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ЭтаКнига" defaultThemeVersion="124226"/>
  <bookViews>
    <workbookView xWindow="0" yWindow="480" windowWidth="15765" windowHeight="4575" tabRatio="911" activeTab="1"/>
  </bookViews>
  <sheets>
    <sheet name="Developer" sheetId="44" r:id="rId1"/>
    <sheet name="C_Input" sheetId="1" r:id="rId2"/>
    <sheet name="Лист4" sheetId="43" r:id="rId3"/>
    <sheet name="C_Skills" sheetId="18" r:id="rId4"/>
    <sheet name="C_Combat_Statistics" sheetId="42" r:id="rId5"/>
    <sheet name="C_Inventory" sheetId="7" r:id="rId6"/>
    <sheet name="C_Variables" sheetId="23" r:id="rId7"/>
    <sheet name="O_Character Sheet" sheetId="30" r:id="rId8"/>
    <sheet name="Character Sheet I" sheetId="45" r:id="rId9"/>
    <sheet name="D00_Leveling" sheetId="5" r:id="rId10"/>
    <sheet name="D01_Races" sheetId="4" r:id="rId11"/>
    <sheet name="D011_RacialTraits" sheetId="13" r:id="rId12"/>
    <sheet name="D02_Background" sheetId="6" r:id="rId13"/>
    <sheet name="D03_Skills" sheetId="2" r:id="rId14"/>
    <sheet name="D04_Classes" sheetId="3" r:id="rId15"/>
    <sheet name="D041_ClassFeatures" sheetId="19" r:id="rId16"/>
    <sheet name="D042ClassDependent" sheetId="34" r:id="rId17"/>
    <sheet name="D05_Feats" sheetId="35" r:id="rId18"/>
    <sheet name="D06_Deities" sheetId="12" r:id="rId19"/>
    <sheet name="D07_Animals" sheetId="39" r:id="rId20"/>
    <sheet name="D08_Spells" sheetId="40" r:id="rId21"/>
    <sheet name="I01_Armor" sheetId="8" r:id="rId22"/>
    <sheet name="I02_Weapon" sheetId="10" r:id="rId23"/>
    <sheet name="I03_" sheetId="26" r:id="rId24"/>
    <sheet name="I04_Weight&amp;Cost" sheetId="27" r:id="rId25"/>
    <sheet name="Лист2" sheetId="38" r:id="rId26"/>
    <sheet name="Лист3" sheetId="36" r:id="rId27"/>
    <sheet name="Лист5" sheetId="11" r:id="rId28"/>
    <sheet name="Лист1" sheetId="14" state="hidden" r:id="rId29"/>
    <sheet name="Names" sheetId="15" state="hidden" r:id="rId30"/>
    <sheet name="Лист10" sheetId="22" state="hidden" r:id="rId31"/>
  </sheets>
  <functionGroups builtInGroupCount="17"/>
  <externalReferences>
    <externalReference r:id="rId32"/>
  </externalReferences>
  <definedNames>
    <definedName name="_xlnm._FilterDatabase" localSheetId="8" hidden="1">'Character Sheet I'!#REF!</definedName>
    <definedName name="_xlnm._FilterDatabase" localSheetId="10" hidden="1">D01_Races!$A$1:$BI$101</definedName>
    <definedName name="_xlnm._FilterDatabase" localSheetId="15" hidden="1">D041_ClassFeatures!$A$1:$V$481</definedName>
    <definedName name="_xlnm._FilterDatabase" localSheetId="20" hidden="1">D08_Spells!$A$1:$Z$452</definedName>
    <definedName name="_xlnm._FilterDatabase" localSheetId="22" hidden="1">I02_Weapon!$A$1:$V$39</definedName>
    <definedName name="_xlnm._FilterDatabase" localSheetId="24" hidden="1">'I04_Weight&amp;Cost'!$A$1:$D$235</definedName>
    <definedName name="_xlnm._FilterDatabase" localSheetId="27" hidden="1">Лист5!$A$1:$G$210</definedName>
    <definedName name="AbilityScores">[1]Tables!$BF$3:$BF$8</definedName>
    <definedName name="Age">C_Input!$D$14</definedName>
    <definedName name="Alignment" localSheetId="8">[1]Start!$K$52</definedName>
    <definedName name="Alignment">C_Input!$O$17</definedName>
    <definedName name="AlignmentList">[1]Tables!$JL$3:$JL$12</definedName>
    <definedName name="AmmunitionBonus">[1]Tables!$RK$4:$RK$7</definedName>
    <definedName name="Archetype1">C_Input!$J$58</definedName>
    <definedName name="Archetype2">C_Input!$J$61</definedName>
    <definedName name="Archetype3">C_Input!$J$64</definedName>
    <definedName name="Archetype4">C_Input!$J$67</definedName>
    <definedName name="Archetype5">C_Input!$J$70</definedName>
    <definedName name="Archetype6">C_Input!$J$73</definedName>
    <definedName name="ArchetypeList1">OFFSET(C_Variables!$L$16,0,0,C_Variables!$L$15,1)</definedName>
    <definedName name="ArchetypeList2">OFFSET(C_Variables!$M$16,0,0,C_Variables!$M$15,1)</definedName>
    <definedName name="ArmorAC">[1]Start!$Y$147</definedName>
    <definedName name="ArmorClass">'Character Sheet I'!$I$51</definedName>
    <definedName name="ArmorDEXmod">[1]Start!$Y$148</definedName>
    <definedName name="ArmorGroup">[1]Start!$Y$145</definedName>
    <definedName name="ArmorList">[1]Tables!$TJ$3:$TJ$17</definedName>
    <definedName name="ArmorName">[1]Start!$Y$143</definedName>
    <definedName name="ArmorProps">[1]Start!$Y$152</definedName>
    <definedName name="ArmorStealth">[1]Start!$Y$150</definedName>
    <definedName name="ArmorStrength">[1]Start!$Y$149</definedName>
    <definedName name="ArmorWeight">[1]Start!$Y$151</definedName>
    <definedName name="Array">{"pack1";"pack2";6}</definedName>
    <definedName name="ASINumber">C_Variables!$AD$42</definedName>
    <definedName name="AspectofBeast">C_Input!$O$199</definedName>
    <definedName name="Attack1bonus">[1]Start!$AV$149</definedName>
    <definedName name="Attack1damage">[1]Start!$AV$150</definedName>
    <definedName name="Attack1name">[1]Start!$AV$145</definedName>
    <definedName name="Attack1props">[1]Start!$AV$154</definedName>
    <definedName name="Attack1range">[1]Start!$AV$152</definedName>
    <definedName name="Attack1type">[1]Start!$AV$151</definedName>
    <definedName name="Attack2bonus">[1]Start!$BD$149</definedName>
    <definedName name="Attack2damage">[1]Start!$BD$150</definedName>
    <definedName name="Attack2name">[1]Start!$BD$145</definedName>
    <definedName name="Attack2props">[1]Start!$BD$154</definedName>
    <definedName name="Attack2range">[1]Start!$BD$152</definedName>
    <definedName name="Attack2type">[1]Start!$BD$151</definedName>
    <definedName name="Attack3bonus">[1]Start!$BL$149</definedName>
    <definedName name="Attack3damage">[1]Start!$BL$150</definedName>
    <definedName name="Attack3name">[1]Start!$BL$145</definedName>
    <definedName name="Attack3props">[1]Start!$BL$154</definedName>
    <definedName name="Attack3range">[1]Start!$BL$152</definedName>
    <definedName name="Attack3type">[1]Start!$BL$151</definedName>
    <definedName name="Attack4bonus">[1]Start!$BT$149</definedName>
    <definedName name="Attack4damage">[1]Start!$BT$150</definedName>
    <definedName name="Attack4name">[1]Start!$BT$145</definedName>
    <definedName name="Attack4props">[1]Start!$BT$154</definedName>
    <definedName name="Attack4range">[1]Start!$BT$152</definedName>
    <definedName name="Attack4type">[1]Start!$BT$151</definedName>
    <definedName name="Attack5bonus">[1]Start!$CB$149</definedName>
    <definedName name="Attack5damage">[1]Start!$CB$150</definedName>
    <definedName name="Attack5name">[1]Start!$CB$145</definedName>
    <definedName name="Attack5props">[1]Start!$CB$154</definedName>
    <definedName name="Attack5range">[1]Start!$CB$152</definedName>
    <definedName name="Attack5type">[1]Start!$CB$151</definedName>
    <definedName name="Attack6bonus">[1]Start!$CJ$149</definedName>
    <definedName name="Attack6damage">[1]Start!$CJ$150</definedName>
    <definedName name="Attack6name">[1]Start!$CJ$145</definedName>
    <definedName name="Attack6props">[1]Start!$CJ$154</definedName>
    <definedName name="Attack6range">[1]Start!$CJ$152</definedName>
    <definedName name="Attack6type">[1]Start!$CJ$151</definedName>
    <definedName name="Background">C_Input!$O$14</definedName>
    <definedName name="BackgroundFeature">C_Input!$D$34</definedName>
    <definedName name="BackgroundFeatureDescription">C_Input!$H$34</definedName>
    <definedName name="BackgroundSpecialty">C_Input!$D$24</definedName>
    <definedName name="BarbarianLevel" localSheetId="8">[1]Tables!$BL$11</definedName>
    <definedName name="BarbarianLevel">C_Variables!$X$4</definedName>
    <definedName name="BarbarianMultiClass">C_Variables!$Z$4</definedName>
    <definedName name="BarbarianSpiritTotems">C_Variables!$AD$41</definedName>
    <definedName name="BarbarianTotemSpiritList">[1]Tables!$HK$3:$HK$6</definedName>
    <definedName name="BarbarianTotemWarriorLevel">[1]Tables!$DN$29</definedName>
    <definedName name="BardCollegeOfLore">C_Variables!$AG$9</definedName>
    <definedName name="BardExpertiseLevel10">[1]Tables!$GD$12</definedName>
    <definedName name="BardExpertiseLevel3">[1]Tables!$GD$10</definedName>
    <definedName name="BardLevel" localSheetId="8">[1]Tables!$BL$12</definedName>
    <definedName name="BardLevel">C_Variables!$X$5</definedName>
    <definedName name="BardLoreLevel">[1]Tables!$DN$30</definedName>
    <definedName name="BardMultiClass">C_Variables!$Z$5</definedName>
    <definedName name="BardValorLevel">[1]Tables!$DN$31</definedName>
    <definedName name="BaseCha">C_Input!$C$52</definedName>
    <definedName name="BaseCon">C_Input!$C$46</definedName>
    <definedName name="BaseDex">C_Input!$C$44</definedName>
    <definedName name="BaseInt">C_Input!$C$48</definedName>
    <definedName name="BaseStr">C_Input!$C$42</definedName>
    <definedName name="BaseWis">C_Input!$C$50</definedName>
    <definedName name="Bond">C_Input!$D$30</definedName>
    <definedName name="CasterLevel">[1]Spellcasting!$J$4</definedName>
    <definedName name="CHA">[1]Start!$AR$10</definedName>
    <definedName name="CHAMod" localSheetId="8">'Character Sheet I'!$O$39</definedName>
    <definedName name="ChaMOD">C_Input!$N$52</definedName>
    <definedName name="CHAModTemp">'Character Sheet I'!$AA$39</definedName>
    <definedName name="Character_Name">C_Input!$D$4</definedName>
    <definedName name="CharacterAge">[1]Start!$K$44</definedName>
    <definedName name="CharacterBackground">[1]Start!$K$25</definedName>
    <definedName name="CharacterBackgroundBond">[1]Start!$C$38</definedName>
    <definedName name="CharacterBackgroundBondList">[1]Tables!$AP$24:$AP$31</definedName>
    <definedName name="CharacterBackgroundFlaw">[1]Start!$C$41</definedName>
    <definedName name="CharacterBackgroundFlawList">[1]Tables!$AP$33:$AP$40</definedName>
    <definedName name="CharacterBackgroundIdeal">[1]Start!$C$35</definedName>
    <definedName name="CharacterBackgroundIdealList">[1]Tables!$AP$15:$AP$22</definedName>
    <definedName name="CharacterBackgroundList">[1]Tables!$AE$4:$AE$17</definedName>
    <definedName name="CharacterBackgroundPersonalityTrait1">[1]Start!$C$30</definedName>
    <definedName name="CharacterBackgroundPersonalityTrait2">[1]Start!$C$32</definedName>
    <definedName name="CharacterBackgroundPersonalityTraitList">[1]Tables!$AP$4:$AP$13</definedName>
    <definedName name="CharacterBackgroundSpecialty">[1]Start!$C$28</definedName>
    <definedName name="CharacterBackgroundSpecialtyList">[1]Tables!$AP$43:$AP$64</definedName>
    <definedName name="CharacterEyes">[1]Start!$K$50</definedName>
    <definedName name="CharacterHair">[1]Start!$K$51</definedName>
    <definedName name="CharacterHeight">[1]Start!$K$47</definedName>
    <definedName name="CharacterLevel">[1]Start!$AC$17</definedName>
    <definedName name="CharacterName">[1]Start!$K$19</definedName>
    <definedName name="CharacterSkin">[1]Start!$K$49</definedName>
    <definedName name="CharacterWeight">[1]Start!$K$48</definedName>
    <definedName name="Charisma">C_Input!$M$52</definedName>
    <definedName name="CharismaST">C_Skills!$T$15</definedName>
    <definedName name="ChaST">C_Variables!$AG$26</definedName>
    <definedName name="Class">[1]Start!$AC$46</definedName>
    <definedName name="Class1">[1]Tables!$BN$3</definedName>
    <definedName name="Class2">[1]Tables!$BN$4</definedName>
    <definedName name="Class3">[1]Tables!$BN$5</definedName>
    <definedName name="ClassList">[1]Tables!$BI$6:$BI$18</definedName>
    <definedName name="ClassTraitList_WorkName">C_Input!$AW$160:$AW$239</definedName>
    <definedName name="ClassTraitList1">C_Input!$BD$160:$BD$239</definedName>
    <definedName name="ClericKnowledgeLevel">[1]Tables!$DN$7</definedName>
    <definedName name="ClericKnowledgeSkillList">[1]Tables!$GX$3:$GX$7</definedName>
    <definedName name="ClericLevel" localSheetId="8">[1]Tables!$BL$7</definedName>
    <definedName name="ClericLevel">C_Variables!$X$6</definedName>
    <definedName name="ClericLifeLevel">[1]Tables!$DN$8</definedName>
    <definedName name="ClericLightLevel">[1]Tables!$DN$9</definedName>
    <definedName name="ClericMultiClass">C_Variables!$Z$6</definedName>
    <definedName name="ClericNatureLevel">[1]Tables!$DN$10</definedName>
    <definedName name="ClericTempestLevel">[1]Tables!$DN$11</definedName>
    <definedName name="ClericWarLevel">[1]Tables!$DN$13</definedName>
    <definedName name="CombatManeuver1">C_Input!$G$166</definedName>
    <definedName name="CombatManeuver10">C_Input!$G$184</definedName>
    <definedName name="CombatManeuver11">C_Input!$G$186</definedName>
    <definedName name="CombatManeuver2">C_Input!$G$168</definedName>
    <definedName name="CombatManeuver3">C_Input!$G$170</definedName>
    <definedName name="CombatManeuver4">C_Input!$G$172</definedName>
    <definedName name="CombatManeuver5">C_Input!$G$174</definedName>
    <definedName name="CombatManeuver6">C_Input!$G$176</definedName>
    <definedName name="CombatManeuver7">C_Input!$G$178</definedName>
    <definedName name="CombatManeuver8">C_Input!$G$180</definedName>
    <definedName name="CombatManeuver9">C_Input!$G$182</definedName>
    <definedName name="CombatManeuversKnown">C_Variables!$AG$10</definedName>
    <definedName name="CON">[1]Start!$AR$7</definedName>
    <definedName name="CONMod" localSheetId="8">'Character Sheet I'!$O$27</definedName>
    <definedName name="ConMOD">C_Input!$N$46</definedName>
    <definedName name="CONModTemp">'Character Sheet I'!$AA$27</definedName>
    <definedName name="ConST">C_Variables!$AG$23</definedName>
    <definedName name="Constitution">C_Input!$M$46</definedName>
    <definedName name="ConstitutionST">C_Skills!$T$9</definedName>
    <definedName name="DefensiveTactics">C_Input!$I$193</definedName>
    <definedName name="Deity" localSheetId="8">[1]Start!$K$55</definedName>
    <definedName name="Deity">C_Input!$L$9</definedName>
    <definedName name="DeityList">[1]Tables!$JN$3:$JN$200</definedName>
    <definedName name="DEX">[1]Start!$AR$6</definedName>
    <definedName name="DEXMod" localSheetId="8">'Character Sheet I'!$O$23</definedName>
    <definedName name="DexMOD">C_Input!$N$44</definedName>
    <definedName name="DEXModTemp">'Character Sheet I'!$AA$23</definedName>
    <definedName name="DexST">C_Variables!$AG$22</definedName>
    <definedName name="Dexterity">C_Input!$M$44</definedName>
    <definedName name="DexterityST">C_Skills!$T$7</definedName>
    <definedName name="DomainKnowledgeSkills">C_Variables!$AG$8</definedName>
    <definedName name="DomainNatureSkill">C_Variables!$AG$12</definedName>
    <definedName name="DruidicLanguage">C_Variables!$AG$14</definedName>
    <definedName name="DruidLand1">C_Input!$A$199</definedName>
    <definedName name="DruidLand2">C_Input!$A$201</definedName>
    <definedName name="DruidLand3">C_Input!$A$203</definedName>
    <definedName name="DruidLand4">C_Input!$A$205</definedName>
    <definedName name="DruidLandLevel">[1]Tables!$DN$32</definedName>
    <definedName name="DruidLandOrigin">[1]Start!$AJ$52</definedName>
    <definedName name="DruidLandOriginList">[1]Tables!$DK$2:$DK$10</definedName>
    <definedName name="DruidLands">C_Variables!$AD$47</definedName>
    <definedName name="DruidLevel" localSheetId="8">[1]Tables!$BL$13</definedName>
    <definedName name="DruidLevel">C_Variables!$X$7</definedName>
    <definedName name="DruidMoonLevel">[1]Tables!$DN$33</definedName>
    <definedName name="DruidMultiClass">C_Variables!$Z$7</definedName>
    <definedName name="ElementalDiscipline1">C_Input!$M$184</definedName>
    <definedName name="ElementalDiscipline2">C_Input!$M$186</definedName>
    <definedName name="ElementalDiscipline3">C_Input!$M$188</definedName>
    <definedName name="ElementalDiscipline4">C_Input!$M$190</definedName>
    <definedName name="ElementalDiscipline5">C_Input!$M$192</definedName>
    <definedName name="ExhaustionList">[1]Tables!$AN$2:$AN$8</definedName>
    <definedName name="Experience">[1]Start!$AF$17</definedName>
    <definedName name="ExperienceNextLvl">[1]Start!$AL$17</definedName>
    <definedName name="Expertise1">C_Input!$U$84</definedName>
    <definedName name="Expertise2">C_Input!$U$86</definedName>
    <definedName name="Expertise3">C_Input!$U$88</definedName>
    <definedName name="Expertise4">C_Input!$U$90</definedName>
    <definedName name="Expertise5">C_Input!$U$92</definedName>
    <definedName name="Expertise6">C_Input!$U$94</definedName>
    <definedName name="Expertise7">C_Input!$U$96</definedName>
    <definedName name="Expertise8">C_Input!$U$98</definedName>
    <definedName name="ExpertiseNumber">C_Variables!$AG$7</definedName>
    <definedName name="Eyes">C_Input!$H$16</definedName>
    <definedName name="FamiliarList">[1]Tables!$YI$4:$YI$24</definedName>
    <definedName name="FamiliarSizeList">[1]Tables!$YG$9:$YG$14</definedName>
    <definedName name="FamiliarTypeList">[1]Tables!$YG$2:$YG$7</definedName>
    <definedName name="FavoredEnemy1">C_Input!$M$166</definedName>
    <definedName name="FavoredEnemy2">C_Input!$M$168</definedName>
    <definedName name="FavoredEnemy3">C_Input!$M$170</definedName>
    <definedName name="Feat1">C_Input!$C$242</definedName>
    <definedName name="Feat2">C_Input!$C$246</definedName>
    <definedName name="Feat3">C_Input!$C$250</definedName>
    <definedName name="Feat4">C_Input!$C$254</definedName>
    <definedName name="Feat5">C_Input!$C$258</definedName>
    <definedName name="Feat6">C_Input!$C$262</definedName>
    <definedName name="Feat7">C_Input!$C$266</definedName>
    <definedName name="Feat8">C_Input!$C$270</definedName>
    <definedName name="FeatList">[1]Tables!$ZB$61:$ZB$110</definedName>
    <definedName name="FeatMartialAdept">D05_Feats!$G$26</definedName>
    <definedName name="FeatsAvalaibilty">C_Input!$F$240</definedName>
    <definedName name="FeatsTotal">C_Input!$G$240</definedName>
    <definedName name="FighterBattleMasterLevel" localSheetId="8">[1]Tables!$DN$14</definedName>
    <definedName name="FighterBattleMasterLevel">D05_Feats!$CN$15</definedName>
    <definedName name="FighterBattleMasterManeuversList">[1]Tables!$GI$2:$GI$18</definedName>
    <definedName name="FighterChampionFightStyleLevel10">[1]Tables!$GH$10</definedName>
    <definedName name="FighterChampionLevel">[1]Tables!$DN$15</definedName>
    <definedName name="FighterEldritchKnightLevel">[1]Tables!$DN$16</definedName>
    <definedName name="FighterFightStyleLevel1">[1]Tables!$GH$7</definedName>
    <definedName name="FighterLevel" localSheetId="8">[1]Tables!$BL$8</definedName>
    <definedName name="FighterLevel">C_Variables!$X$8</definedName>
    <definedName name="FightingStyleList">[1]Tables!$GF$12:$GF$18</definedName>
    <definedName name="FightingStylesNumber">C_Variables!$AG$11</definedName>
    <definedName name="Flaw">C_Input!$N$30</definedName>
    <definedName name="Gender" localSheetId="8">[1]Start!$K$43</definedName>
    <definedName name="Gender">C_Input!$D$11</definedName>
    <definedName name="GenderList">[1]Tables!$AB$3:$AB$6</definedName>
    <definedName name="Hair">C_Input!$H$18</definedName>
    <definedName name="HeavyArmorProf">[1]Tables!$LM$62</definedName>
    <definedName name="HeavyArmorProficiency">C_Skills!$AY$4</definedName>
    <definedName name="Height">C_Input!$D$16</definedName>
    <definedName name="HitPoints">[1]Start!$AN$43</definedName>
    <definedName name="HuntersPrey">C_Input!$I$191</definedName>
    <definedName name="Ideal">C_Input!$D$27</definedName>
    <definedName name="INT">[1]Start!$AR$8</definedName>
    <definedName name="Intelligence">C_Input!$M$48</definedName>
    <definedName name="IntelligenceST">C_Skills!$T$11</definedName>
    <definedName name="INTMod" localSheetId="8">'Character Sheet I'!$O$31</definedName>
    <definedName name="IntMOD">C_Input!$N$48</definedName>
    <definedName name="INTModTemp">'Character Sheet I'!$AA$31</definedName>
    <definedName name="IntST">C_Variables!$AG$24</definedName>
    <definedName name="Invocation1">C_Input!$A$166</definedName>
    <definedName name="Invocation2">C_Input!$A$168</definedName>
    <definedName name="Invocation3">C_Input!$A$170</definedName>
    <definedName name="Invocation4">C_Input!$A$172</definedName>
    <definedName name="Invocation5">C_Input!$A$174</definedName>
    <definedName name="Invocation6">C_Input!$A$176</definedName>
    <definedName name="Invocation7">C_Input!$A$178</definedName>
    <definedName name="Invocation8">C_Input!$A$180</definedName>
    <definedName name="Language1">C_Input!$C$110</definedName>
    <definedName name="Language10">C_Input!$C$128</definedName>
    <definedName name="Language11">C_Input!$C$130</definedName>
    <definedName name="Language12">C_Input!$C$132</definedName>
    <definedName name="Language13">C_Input!$C$134</definedName>
    <definedName name="Language14">C_Input!$C$136</definedName>
    <definedName name="Language15">C_Input!$C$138</definedName>
    <definedName name="Language16">C_Input!$C$140</definedName>
    <definedName name="Language17">C_Input!$C$142</definedName>
    <definedName name="Language2">C_Input!$C$112</definedName>
    <definedName name="Language3">C_Input!$C$114</definedName>
    <definedName name="Language4">C_Input!$C$116</definedName>
    <definedName name="Language5">C_Input!$C$118</definedName>
    <definedName name="Language6">C_Input!$C$120</definedName>
    <definedName name="Language7">C_Input!$C$122</definedName>
    <definedName name="Language8">C_Input!$C$124</definedName>
    <definedName name="Language9">C_Input!$C$126</definedName>
    <definedName name="LanguageList" localSheetId="8">[1]Tables!$JW$2:$JW$70</definedName>
    <definedName name="LanguageList">D03_Skills!$U$3</definedName>
    <definedName name="LanguagesKnown">C_Input!$I$110</definedName>
    <definedName name="LightArmorProf">[1]Tables!$LM$60</definedName>
    <definedName name="LightArmorProficiency">C_Skills!$AY$2</definedName>
    <definedName name="MagicBonus">[1]Tables!$RK$4:$RK$7</definedName>
    <definedName name="MainClass">C_Input!$D$58</definedName>
    <definedName name="MainClassLevel">C_Input!$P$58</definedName>
    <definedName name="MainClassSelected">C_Input!$D$58</definedName>
    <definedName name="MartialWeaponsProficiency">C_Skills!$AY$7</definedName>
    <definedName name="MediumArmorProf">[1]Tables!$LM$61</definedName>
    <definedName name="MediumArmorProficiency">C_Skills!$AY$3</definedName>
    <definedName name="MonkElementalDisciplines">C_Variables!$AD$40</definedName>
    <definedName name="MonkElementalDisciplinesList">[1]Tables!$HF$3:$HF$19</definedName>
    <definedName name="MonkFourElementsLevel">[1]Tables!$DN$34</definedName>
    <definedName name="MonkLevel" localSheetId="8">[1]Tables!$BL$14</definedName>
    <definedName name="MonkLevel">C_Variables!$X$9</definedName>
    <definedName name="Multiattack">C_Input!$I$195</definedName>
    <definedName name="Multiclass1">C_Input!$D$61</definedName>
    <definedName name="MultiClass1Level">C_Input!$P$61</definedName>
    <definedName name="Multiclass2">C_Input!$D$64</definedName>
    <definedName name="MultiClass2Level">C_Input!$P$64</definedName>
    <definedName name="Multiclass3">C_Input!$D$67</definedName>
    <definedName name="MultiClass3Level">C_Input!$P$67</definedName>
    <definedName name="Multiclass4">C_Input!$D$70</definedName>
    <definedName name="MultiClass4Level">C_Input!$P$70</definedName>
    <definedName name="Multiclass5">C_Input!$D$73</definedName>
    <definedName name="MultiClass5Level">C_Input!$P$73</definedName>
    <definedName name="NaturalExplorer1">C_Input!$M$175</definedName>
    <definedName name="NaturalExplorer2">C_Input!$M$177</definedName>
    <definedName name="NaturalExplorer3">C_Input!$M$179</definedName>
    <definedName name="OptionList">[1]Tables!$AN$14:$AN$15</definedName>
    <definedName name="PactBoon">C_Input!$C$194</definedName>
    <definedName name="PaladinFightStyleLevel2">[1]Tables!$GH$8</definedName>
    <definedName name="PaladinLevel" localSheetId="8">[1]Tables!$BL$15</definedName>
    <definedName name="PaladinLevel">C_Variables!$X$10</definedName>
    <definedName name="PersonalTrait1">C_Input!$N$24</definedName>
    <definedName name="PersonalTrait2">C_Input!$N$27</definedName>
    <definedName name="PlayerName">[1]Start!$K$16</definedName>
    <definedName name="ProfArmor">[1]Tables!$LO$3</definedName>
    <definedName name="ProfBonus" localSheetId="8">[1]Tables!$KA$23</definedName>
    <definedName name="ProfBonus">D05_Feats!$IL$2</definedName>
    <definedName name="Proficiency_Bonus">C_Input!$N$76</definedName>
    <definedName name="Proficiency_Parsing">C_Skills!$Y$68</definedName>
    <definedName name="ProficiencyList">[1]Tables!$RK$11:$RK$12</definedName>
    <definedName name="ProfSaves">[1]Tables!$BF$2</definedName>
    <definedName name="ProfTools">[1]Tables!$LO$4</definedName>
    <definedName name="ProfWeapons">[1]Tables!$LO$2</definedName>
    <definedName name="Race" localSheetId="8">[1]Start!$K$20</definedName>
    <definedName name="Race">C_Input!$L$4</definedName>
    <definedName name="RaceDraconicAncestry">[1]Tables!$AC$2</definedName>
    <definedName name="RaceDraconicAncestryList">[1]Tables!$U$16:$U$26</definedName>
    <definedName name="RaceList">[1]Tables!$A$4:$A$17</definedName>
    <definedName name="RaceNumber">COUNTA(D01_Races!$E$2:$E$101)</definedName>
    <definedName name="RacialTrait1">C_Input!$A$148</definedName>
    <definedName name="RacialTrait2">C_Input!$A$150</definedName>
    <definedName name="RacialTrait3">C_Input!$A$152</definedName>
    <definedName name="RacialTrait4">C_Input!$A$154</definedName>
    <definedName name="RacialTrait5">C_Input!$A$156</definedName>
    <definedName name="RacialTrait6">C_Input!$A$158</definedName>
    <definedName name="RangerBeastMasterLevel">[1]Tables!$DN$41</definedName>
    <definedName name="RangerFavoredEnemiesNumber">C_Variables!$AD$37</definedName>
    <definedName name="RangerFavoredEnemyHumanoidList">[1]Tables!$HU$3:$HU$48</definedName>
    <definedName name="RangerFavoredEnemyList">[1]Tables!$HS$3:$HS$62</definedName>
    <definedName name="RangerFightStyleLevel2">[1]Tables!$GH$9</definedName>
    <definedName name="RangerHunterDefensiveTacticsList">[1]Tables!$IF$9:$IF$12</definedName>
    <definedName name="RangerHunterFeatures">C_Variables!$AD$39</definedName>
    <definedName name="RangerHunterLevel">[1]Tables!$DN$40</definedName>
    <definedName name="RangerHunterMultiattackList">[1]Tables!$IF$15:$IF$17</definedName>
    <definedName name="RangerHunterPreyList">[1]Tables!$IF$3:$IF$6</definedName>
    <definedName name="RangerHunterSuperiorDefenseList">[1]Tables!$IF$20:$IF$23</definedName>
    <definedName name="RangerLevel" localSheetId="8">[1]Tables!$BL$16</definedName>
    <definedName name="RangerLevel">C_Variables!$X$11</definedName>
    <definedName name="RangerMultiClass">C_Variables!$Z$11</definedName>
    <definedName name="RangerNaturalExplorer">C_Variables!$AD$38</definedName>
    <definedName name="RangerNaturalExplorerList">[1]Tables!$IB$3:$IB$12</definedName>
    <definedName name="RogueArcaneTricksterLevel">[1]Tables!$DN$17</definedName>
    <definedName name="RogueExpertiseLevel1">[1]Tables!$GD$9</definedName>
    <definedName name="RogueExpertiseLevel6">[1]Tables!$GD$11</definedName>
    <definedName name="RogueExpertiseList">[1]Tables!$FY$3:$FY$22</definedName>
    <definedName name="RogueLanguage">C_Variables!$AG$13</definedName>
    <definedName name="RogueLevel" localSheetId="8">[1]Tables!$BL$9</definedName>
    <definedName name="RogueLevel">C_Variables!$X$12</definedName>
    <definedName name="RogueMultiClass">C_Variables!$Z$12</definedName>
    <definedName name="Saving_Throw1">INDEX(D04_Classes!$P$3:$P$102,SelectedClassID,1)</definedName>
    <definedName name="Saving_Throw2">INDEX(D04_Classes!$Q$3:$Q$102,SelectedClassID,1)</definedName>
    <definedName name="SelectedBackgroundId">INDEX(D02_Background!$A$2:$A$101,MATCH(Background,D02_Background!$B$2:$B$101,0),1)</definedName>
    <definedName name="SelectedClassID">MATCH(MainClassSelected,D03_Skills!$D$1:$AP$1,0)</definedName>
    <definedName name="SelectedItemPackID">MATCH(C_Inventory!XEL1,I03_!$A$2:$A$101,0)</definedName>
    <definedName name="SelectedRaceID">INDEX(C_Input!$BH$15:$BH$149,MATCH(SubRace,C_Input!$BG$15:$BG$149,0),1)</definedName>
    <definedName name="SelectedSkill1">C_Input!$D$82</definedName>
    <definedName name="SelectedSkill10">C_Input!$O$82</definedName>
    <definedName name="SelectedSkill11">C_Input!$O$84</definedName>
    <definedName name="SelectedSkill12">C_Input!$O$86</definedName>
    <definedName name="SelectedSkill13">C_Input!$O$88</definedName>
    <definedName name="SelectedSkill14">C_Input!$O$90</definedName>
    <definedName name="SelectedSkill15">C_Input!$O$92</definedName>
    <definedName name="SelectedSkill16">C_Input!$O$94</definedName>
    <definedName name="SelectedSkill17">C_Input!$O$96</definedName>
    <definedName name="SelectedSkill18">C_Input!$O$98</definedName>
    <definedName name="SelectedSkill2">C_Input!$D$84</definedName>
    <definedName name="SelectedSkill3">C_Input!$D$86</definedName>
    <definedName name="SelectedSkill4">C_Input!$D$96</definedName>
    <definedName name="SelectedSkill5">C_Input!$D$98</definedName>
    <definedName name="SelectedSkill6">C_Input!$D$88</definedName>
    <definedName name="SelectedSkill7">C_Input!$D$90</definedName>
    <definedName name="SelectedSkill8">C_Input!$D$92</definedName>
    <definedName name="SelectedSkill9">C_Input!$D$94</definedName>
    <definedName name="SelectText" localSheetId="8">[1]Tables!$A$4</definedName>
    <definedName name="SelectText">D042ClassDependent!$A$4</definedName>
    <definedName name="ShieldAC">[1]Start!$AG$147</definedName>
    <definedName name="ShieldlList">[1]Tables!$TS$3:$TS$5</definedName>
    <definedName name="ShieldName">[1]Start!$AG$143</definedName>
    <definedName name="ShieldProps">[1]Start!$AG$152</definedName>
    <definedName name="ShieldsProficiency">C_Skills!$AY$5</definedName>
    <definedName name="ShieldWeight">[1]Start!$AG$151</definedName>
    <definedName name="SimpleWeaponsProficiency">C_Skills!$AY$6</definedName>
    <definedName name="Size">[1]Start!$K$22</definedName>
    <definedName name="Skin">C_Input!$H$14</definedName>
    <definedName name="SorcererDraconicBloodlineLevel">[1]Tables!$DN$42</definedName>
    <definedName name="SorcererLevel" localSheetId="8">[1]Tables!$BL$17</definedName>
    <definedName name="SorcererLevel">C_Variables!$X$13</definedName>
    <definedName name="SorcererMetamagicList">[1]Tables!$IK$3:$IK$11</definedName>
    <definedName name="Speed">[1]Start!$K$23</definedName>
    <definedName name="SpellcasterClass1">[1]Spellcasting!$D$11</definedName>
    <definedName name="SpellcasterClass2">[1]Spellcasting!$D$12</definedName>
    <definedName name="SpellcasterClass3">[1]Spellcasting!$D$13</definedName>
    <definedName name="SpellListCantrips">[1]Tables!$XW$2:$XW$51</definedName>
    <definedName name="SpellListCantripsHighElf">[1]Tables!$XV$2:$XV$51</definedName>
    <definedName name="SpellListComplete">[1]Tables!$UC$2:$UC$521</definedName>
    <definedName name="SpellListLevel1">[1]Tables!$XX$2:$XX$51</definedName>
    <definedName name="SpellListLevel2">[1]Tables!$XY$2:$XY$51</definedName>
    <definedName name="SpellListLevel3">[1]Tables!$XZ$2:$XZ$51</definedName>
    <definedName name="SpellListLevel4">[1]Tables!$YA$2:$YA$51</definedName>
    <definedName name="SpellListLevel5">[1]Tables!$YB$2:$YB$51</definedName>
    <definedName name="SpellListLevel6">[1]Tables!$YC$2:$YC$51</definedName>
    <definedName name="SpellListLevel7">[1]Tables!$YD$2:$YD$51</definedName>
    <definedName name="SpellListLevel8">[1]Tables!$YE$2:$YE$51</definedName>
    <definedName name="SpellListLevel9">[1]Tables!$YF$2:$YF$51</definedName>
    <definedName name="STR">[1]Start!$AR$5</definedName>
    <definedName name="Strength">C_Input!$M$42</definedName>
    <definedName name="StrengthST">C_Skills!$T$5</definedName>
    <definedName name="STRMod" localSheetId="8">'Character Sheet I'!$O$19</definedName>
    <definedName name="StrMod">C_Input!$N$42</definedName>
    <definedName name="STRModTemp">'Character Sheet I'!$AA$19</definedName>
    <definedName name="StrST">C_Variables!$AG$21</definedName>
    <definedName name="SubClass">[1]Tables!$BT$2</definedName>
    <definedName name="SubClass1">[1]Start!$AJ$49</definedName>
    <definedName name="SubClass1List">[1]Tables!$FD$6:$FD$15</definedName>
    <definedName name="SubClass2">[1]Start!$AJ$50</definedName>
    <definedName name="SubClass2List">[1]Tables!$FH$6:$FH$15</definedName>
    <definedName name="SubClass3">[1]Start!$AJ$51</definedName>
    <definedName name="SubClass3List">[1]Tables!$FL$6:$FL$15</definedName>
    <definedName name="Subrace" localSheetId="8">[1]Start!$K$21</definedName>
    <definedName name="SubRace">C_Input!$L$6</definedName>
    <definedName name="SubraceList">[1]Tables!$AA$4:$AA$13</definedName>
    <definedName name="SuperiorHuntersDefense">C_Input!$I$197</definedName>
    <definedName name="test">C_Inventory!$BD$5</definedName>
    <definedName name="ToolList">[1]Tables!$LL$12:$LL$59</definedName>
    <definedName name="Tools1">C_Input!$N$110</definedName>
    <definedName name="Tools10">C_Input!$N$128</definedName>
    <definedName name="Tools11">C_Input!$N$130</definedName>
    <definedName name="Tools12">C_Input!$N$132</definedName>
    <definedName name="Tools13">C_Input!$N$134</definedName>
    <definedName name="Tools2">C_Input!$N$112</definedName>
    <definedName name="Tools3">C_Input!$N$114</definedName>
    <definedName name="Tools4">C_Input!$N$116</definedName>
    <definedName name="Tools5">C_Input!$N$118</definedName>
    <definedName name="Tools6">C_Input!$N$120</definedName>
    <definedName name="Tools7">C_Input!$N$122</definedName>
    <definedName name="Tools8">C_Input!$N$124</definedName>
    <definedName name="Tools9">C_Input!$N$126</definedName>
    <definedName name="ToolsProficiencyNumber">C_Input!$I$119</definedName>
    <definedName name="ToolsProficiencyThievesTools">C_Variables!$AG$15</definedName>
    <definedName name="Total_Character_Level">C_Input!$K$76</definedName>
    <definedName name="TotemicAttunement">C_Input!$O$201</definedName>
    <definedName name="TotemSpirit">C_Input!$O$197</definedName>
    <definedName name="Typeofabilityroll">C_Input!$W$42</definedName>
    <definedName name="UniqueClassesNumber">MAX(D04_Classes!$A$3:$A$102)</definedName>
    <definedName name="UniqueRaceNumer">MAX(D01_Races!$C$2:$C$101)</definedName>
    <definedName name="UniqueSubraces">MAX(D01_Races!$D$2:$D$101)</definedName>
    <definedName name="Var_Expertise">C_Skills!$AF$17</definedName>
    <definedName name="Var_JoT">C_Skills!$AF$46</definedName>
    <definedName name="WarlockInvocationsKnown">C_Variables!$AD$32</definedName>
    <definedName name="WarlockInvocationsList">[1]Tables!$IW$2:$IW$34</definedName>
    <definedName name="WarlockLevel" localSheetId="8">[1]Tables!$BL$18</definedName>
    <definedName name="WarlockLevel">C_Variables!$X$14</definedName>
    <definedName name="WarlockPactBoon">[1]Start!$AJ$54</definedName>
    <definedName name="WarlockPactBoonList">[1]Tables!$JC$2:$JC$5</definedName>
    <definedName name="WeaponList">[1]Tables!$QR$3:$QR$70</definedName>
    <definedName name="Weight">C_Input!$D$18</definedName>
    <definedName name="WIS">[1]Start!$AR$9</definedName>
    <definedName name="Wisdom">C_Input!$M$50</definedName>
    <definedName name="WisdomST">C_Skills!$T$13</definedName>
    <definedName name="WISMod" localSheetId="8">'Character Sheet I'!$O$35</definedName>
    <definedName name="WisMOD">C_Input!$N$50</definedName>
    <definedName name="WISModTemp">'Character Sheet I'!$AA$35</definedName>
    <definedName name="WisST">C_Variables!$AG$25</definedName>
    <definedName name="WizardEvocationLevel" localSheetId="8">[1]Tables!$DN$24</definedName>
    <definedName name="WizardEvocationLevel">D08_Spells!$AU$23</definedName>
    <definedName name="WizardLevel" localSheetId="8">[1]Tables!$BL$10</definedName>
    <definedName name="WizardLevel">C_Variables!$X$15</definedName>
    <definedName name="WizardSignatureSpellList">[1]Spellcasting!$BS$6:$BS$25</definedName>
    <definedName name="WizardSpellMastery1List">[1]Spellcasting!$AQ$6:$AQ$25</definedName>
    <definedName name="WizardSpellMastery2List">[1]Spellcasting!$BE$6:$BE$25</definedName>
    <definedName name="WizardTransmutationLevel">[1]Tables!$DN$27</definedName>
    <definedName name="WizardTransmuterStoneList">[1]Tables!$JE$2:$JE$10</definedName>
    <definedName name="_xlnm.Print_Area" localSheetId="8">'Character Sheet I'!$A$1:$CV$160</definedName>
  </definedNames>
  <calcPr calcId="145621"/>
</workbook>
</file>

<file path=xl/calcChain.xml><?xml version="1.0" encoding="utf-8"?>
<calcChain xmlns="http://schemas.openxmlformats.org/spreadsheetml/2006/main">
  <c r="CE20" i="6" l="1"/>
  <c r="AM21" i="6"/>
  <c r="AM20" i="6"/>
  <c r="R20" i="6"/>
  <c r="D20" i="6"/>
  <c r="AX25" i="6"/>
  <c r="AX24" i="6"/>
  <c r="AX23" i="6"/>
  <c r="AX22" i="6"/>
  <c r="AM24" i="6"/>
  <c r="AM23" i="6"/>
  <c r="AM22" i="6"/>
  <c r="D25" i="6"/>
  <c r="D24" i="6"/>
  <c r="D23" i="6"/>
  <c r="D22" i="6"/>
  <c r="AA39" i="45" l="1"/>
  <c r="N39" i="45"/>
  <c r="I39" i="45"/>
  <c r="AA35" i="45"/>
  <c r="N35" i="45"/>
  <c r="I35" i="45"/>
  <c r="AA31" i="45"/>
  <c r="N31" i="45"/>
  <c r="I31" i="45"/>
  <c r="AA27" i="45"/>
  <c r="N27" i="45"/>
  <c r="I27" i="45"/>
  <c r="AA23" i="45"/>
  <c r="N23" i="45"/>
  <c r="I23" i="45"/>
  <c r="AM67" i="30" l="1"/>
  <c r="AM56" i="30"/>
  <c r="AM45" i="30"/>
  <c r="AM23" i="30"/>
  <c r="AM34" i="30"/>
  <c r="AS9" i="30"/>
  <c r="BH9" i="30"/>
  <c r="BL15" i="30"/>
  <c r="AZ15" i="30"/>
  <c r="AN15" i="30"/>
  <c r="AA15" i="30"/>
  <c r="O15" i="30"/>
  <c r="C15" i="30"/>
  <c r="A2" i="43" l="1"/>
  <c r="N240" i="1" l="1"/>
  <c r="AD42" i="23"/>
  <c r="AG146" i="23"/>
  <c r="AG145" i="23"/>
  <c r="AG144" i="23"/>
  <c r="AG143" i="23"/>
  <c r="AG142" i="23"/>
  <c r="AD52" i="1"/>
  <c r="AD50" i="1"/>
  <c r="AD48" i="1"/>
  <c r="AD46" i="1"/>
  <c r="AD44" i="1"/>
  <c r="AD42" i="1"/>
  <c r="E17" i="23"/>
  <c r="E16" i="23"/>
  <c r="E15" i="23"/>
  <c r="E14" i="23"/>
  <c r="E13" i="23"/>
  <c r="E12" i="23"/>
  <c r="H9" i="23"/>
  <c r="H8" i="23"/>
  <c r="H7" i="23"/>
  <c r="H6" i="23"/>
  <c r="H5" i="23"/>
  <c r="H4" i="23"/>
  <c r="E9" i="23"/>
  <c r="F9" i="23" s="1"/>
  <c r="E8" i="23"/>
  <c r="I8" i="23" s="1"/>
  <c r="J8" i="23" s="1"/>
  <c r="E7" i="23"/>
  <c r="F7" i="23" s="1"/>
  <c r="E6" i="23"/>
  <c r="F6" i="23" s="1"/>
  <c r="E5" i="23"/>
  <c r="F5" i="23" s="1"/>
  <c r="E4" i="23"/>
  <c r="I4" i="23" s="1"/>
  <c r="I6" i="23" l="1"/>
  <c r="J6" i="23" s="1"/>
  <c r="I7" i="23"/>
  <c r="J7" i="23" s="1"/>
  <c r="F8" i="23"/>
  <c r="I9" i="23"/>
  <c r="J9" i="23" s="1"/>
  <c r="I5" i="23"/>
  <c r="J5" i="23" s="1"/>
  <c r="F12" i="23"/>
  <c r="F16" i="23"/>
  <c r="J4" i="23"/>
  <c r="H10" i="23"/>
  <c r="G10" i="23"/>
  <c r="E10" i="23"/>
  <c r="F4" i="23"/>
  <c r="A4" i="43"/>
  <c r="A8" i="43"/>
  <c r="A7" i="43"/>
  <c r="A6" i="43"/>
  <c r="A5" i="43"/>
  <c r="A1" i="43"/>
  <c r="F14" i="23" l="1"/>
  <c r="F15" i="23"/>
  <c r="F10" i="23"/>
  <c r="F17" i="23"/>
  <c r="J10" i="23"/>
  <c r="I10" i="23"/>
  <c r="F13" i="23"/>
  <c r="A94" i="13"/>
  <c r="A93" i="13"/>
  <c r="AS63" i="4"/>
  <c r="I63" i="4"/>
  <c r="CE19" i="6"/>
  <c r="BT19" i="6"/>
  <c r="BI19" i="6"/>
  <c r="AX19" i="6"/>
  <c r="AM19" i="6"/>
  <c r="R19" i="6"/>
  <c r="I19" i="6"/>
  <c r="D19" i="6"/>
  <c r="CE18" i="6"/>
  <c r="BT18" i="6"/>
  <c r="BI18" i="6"/>
  <c r="AX18" i="6"/>
  <c r="AM18" i="6"/>
  <c r="S18" i="6"/>
  <c r="R18" i="6"/>
  <c r="I18" i="6"/>
  <c r="D18" i="6"/>
  <c r="I15" i="6"/>
  <c r="I16" i="6"/>
  <c r="I17" i="6"/>
  <c r="CE17" i="6"/>
  <c r="BT17" i="6"/>
  <c r="BI17" i="6"/>
  <c r="AX17" i="6"/>
  <c r="AM17" i="6"/>
  <c r="S17" i="6"/>
  <c r="R17" i="6"/>
  <c r="CE16" i="6"/>
  <c r="BT16" i="6"/>
  <c r="BI16" i="6"/>
  <c r="AX16" i="6"/>
  <c r="AM16" i="6"/>
  <c r="R16" i="6"/>
  <c r="CE15" i="6"/>
  <c r="BT15" i="6"/>
  <c r="BI15" i="6"/>
  <c r="AX15" i="6"/>
  <c r="AM15" i="6"/>
  <c r="R15" i="6"/>
  <c r="S14" i="6"/>
  <c r="S13" i="6"/>
  <c r="G17" i="23" l="1"/>
  <c r="G12" i="23"/>
  <c r="G14" i="23"/>
  <c r="G16" i="23"/>
  <c r="G13" i="23"/>
  <c r="G15" i="23"/>
  <c r="M481" i="19"/>
  <c r="M480" i="19"/>
  <c r="M479" i="19"/>
  <c r="M478" i="19"/>
  <c r="M477" i="19"/>
  <c r="M476" i="19"/>
  <c r="M475" i="19"/>
  <c r="M474" i="19"/>
  <c r="M473" i="19"/>
  <c r="M472" i="19"/>
  <c r="M471" i="19"/>
  <c r="M470" i="19"/>
  <c r="M469" i="19"/>
  <c r="M468" i="19"/>
  <c r="M467" i="19"/>
  <c r="M466" i="19"/>
  <c r="M465" i="19"/>
  <c r="M464" i="19"/>
  <c r="M463" i="19"/>
  <c r="M462" i="19"/>
  <c r="M461" i="19"/>
  <c r="M460" i="19"/>
  <c r="M459" i="19"/>
  <c r="M458" i="19"/>
  <c r="M457" i="19"/>
  <c r="M456" i="19"/>
  <c r="M455" i="19"/>
  <c r="M454" i="19"/>
  <c r="M453" i="19"/>
  <c r="M452" i="19"/>
  <c r="M451" i="19"/>
  <c r="M450" i="19"/>
  <c r="M449" i="19"/>
  <c r="M448" i="19"/>
  <c r="M447" i="19"/>
  <c r="M446" i="19"/>
  <c r="M445" i="19"/>
  <c r="M444" i="19"/>
  <c r="M443" i="19"/>
  <c r="M442" i="19"/>
  <c r="M441" i="19"/>
  <c r="M440" i="19"/>
  <c r="M439" i="19"/>
  <c r="M438" i="19"/>
  <c r="M437" i="19"/>
  <c r="M436" i="19"/>
  <c r="M435" i="19"/>
  <c r="M434" i="19"/>
  <c r="M433" i="19"/>
  <c r="M432" i="19"/>
  <c r="M431" i="19"/>
  <c r="M430" i="19"/>
  <c r="M429" i="19"/>
  <c r="M428" i="19"/>
  <c r="M427" i="19"/>
  <c r="M426" i="19"/>
  <c r="M425" i="19"/>
  <c r="M424" i="19"/>
  <c r="M423" i="19"/>
  <c r="M422" i="19"/>
  <c r="M421" i="19"/>
  <c r="M420" i="19"/>
  <c r="M419" i="19"/>
  <c r="M418" i="19"/>
  <c r="M417" i="19"/>
  <c r="M416" i="19"/>
  <c r="M415" i="19"/>
  <c r="M414" i="19"/>
  <c r="M413" i="19"/>
  <c r="M412" i="19"/>
  <c r="M411" i="19"/>
  <c r="M410" i="19"/>
  <c r="M409" i="19"/>
  <c r="M408" i="19"/>
  <c r="M407" i="19"/>
  <c r="M406" i="19"/>
  <c r="M405" i="19"/>
  <c r="M404" i="19"/>
  <c r="M403" i="19"/>
  <c r="M402" i="19"/>
  <c r="M401" i="19"/>
  <c r="M400" i="19"/>
  <c r="M399" i="19"/>
  <c r="M398" i="19"/>
  <c r="M397" i="19"/>
  <c r="M396" i="19"/>
  <c r="M395" i="19"/>
  <c r="M394" i="19"/>
  <c r="M393" i="19"/>
  <c r="M392" i="19"/>
  <c r="M391" i="19"/>
  <c r="M390" i="19"/>
  <c r="M389" i="19"/>
  <c r="M388" i="19"/>
  <c r="M387" i="19"/>
  <c r="M386" i="19"/>
  <c r="M385" i="19"/>
  <c r="M384" i="19"/>
  <c r="M383" i="19"/>
  <c r="M382" i="19"/>
  <c r="M381" i="19"/>
  <c r="M380" i="19"/>
  <c r="M379" i="19"/>
  <c r="M378" i="19"/>
  <c r="M377" i="19"/>
  <c r="M376" i="19"/>
  <c r="M375" i="19"/>
  <c r="M374" i="19"/>
  <c r="M373" i="19"/>
  <c r="M372" i="19"/>
  <c r="M371" i="19"/>
  <c r="M370" i="19"/>
  <c r="M369" i="19"/>
  <c r="M368" i="19"/>
  <c r="M367" i="19"/>
  <c r="M366" i="19"/>
  <c r="M365" i="19"/>
  <c r="M364" i="19"/>
  <c r="M363" i="19"/>
  <c r="M362" i="19"/>
  <c r="M361" i="19"/>
  <c r="M360" i="19"/>
  <c r="M359" i="19"/>
  <c r="M358" i="19"/>
  <c r="M357" i="19"/>
  <c r="M356" i="19"/>
  <c r="M355" i="19"/>
  <c r="M354" i="19"/>
  <c r="M353" i="19"/>
  <c r="M352" i="19"/>
  <c r="M351" i="19"/>
  <c r="M350" i="19"/>
  <c r="M349" i="19"/>
  <c r="M348" i="19"/>
  <c r="M347" i="19"/>
  <c r="M346" i="19"/>
  <c r="M345" i="19"/>
  <c r="M344" i="19"/>
  <c r="M343" i="19"/>
  <c r="M342" i="19"/>
  <c r="M341" i="19"/>
  <c r="M340" i="19"/>
  <c r="M339" i="19"/>
  <c r="M338" i="19"/>
  <c r="M337" i="19"/>
  <c r="M336" i="19"/>
  <c r="M335" i="19"/>
  <c r="M334" i="19"/>
  <c r="M333" i="19"/>
  <c r="M332" i="19"/>
  <c r="M331" i="19"/>
  <c r="M330" i="19"/>
  <c r="M329" i="19"/>
  <c r="M328" i="19"/>
  <c r="M327" i="19"/>
  <c r="M326" i="19"/>
  <c r="M325" i="19"/>
  <c r="M324" i="19"/>
  <c r="M323" i="19"/>
  <c r="M322" i="19"/>
  <c r="M321" i="19"/>
  <c r="M320" i="19"/>
  <c r="M319" i="19"/>
  <c r="M318" i="19"/>
  <c r="M317" i="19"/>
  <c r="M316" i="19"/>
  <c r="M315" i="19"/>
  <c r="M314" i="19"/>
  <c r="M313" i="19"/>
  <c r="M312" i="19"/>
  <c r="M311" i="19"/>
  <c r="M310" i="19"/>
  <c r="M309" i="19"/>
  <c r="M308" i="19"/>
  <c r="M307" i="19"/>
  <c r="M306" i="19"/>
  <c r="M305" i="19"/>
  <c r="M304" i="19"/>
  <c r="M303" i="19"/>
  <c r="M302" i="19"/>
  <c r="M301" i="19"/>
  <c r="M300" i="19"/>
  <c r="M299" i="19"/>
  <c r="M298" i="19"/>
  <c r="M297" i="19"/>
  <c r="M296" i="19"/>
  <c r="M295" i="19"/>
  <c r="M294" i="19"/>
  <c r="M293" i="19"/>
  <c r="M292" i="19"/>
  <c r="M291" i="19"/>
  <c r="M290" i="19"/>
  <c r="M289" i="19"/>
  <c r="M288" i="19"/>
  <c r="M287" i="19"/>
  <c r="M286" i="19"/>
  <c r="M285" i="19"/>
  <c r="M284" i="19"/>
  <c r="M283" i="19"/>
  <c r="M282" i="19"/>
  <c r="M281" i="19"/>
  <c r="M280" i="19"/>
  <c r="M279" i="19"/>
  <c r="M278" i="19"/>
  <c r="M277" i="19"/>
  <c r="M276" i="19"/>
  <c r="M275" i="19"/>
  <c r="M274" i="19"/>
  <c r="M273" i="19"/>
  <c r="M272" i="19"/>
  <c r="M271" i="19"/>
  <c r="M270" i="19"/>
  <c r="M269" i="19"/>
  <c r="M268" i="19"/>
  <c r="M267" i="19"/>
  <c r="M266" i="19"/>
  <c r="M265" i="19"/>
  <c r="M264" i="19"/>
  <c r="M263" i="19"/>
  <c r="M262" i="19"/>
  <c r="M261" i="19"/>
  <c r="M260" i="19"/>
  <c r="M259" i="19"/>
  <c r="M258" i="19"/>
  <c r="M257" i="19"/>
  <c r="M256" i="19"/>
  <c r="M255" i="19"/>
  <c r="M254" i="19"/>
  <c r="M253" i="19"/>
  <c r="M252" i="19"/>
  <c r="M251" i="19"/>
  <c r="M250" i="19"/>
  <c r="M249" i="19"/>
  <c r="M248" i="19"/>
  <c r="M247" i="19"/>
  <c r="M246" i="19"/>
  <c r="M245" i="19"/>
  <c r="M244" i="19"/>
  <c r="M243" i="19"/>
  <c r="M242" i="19"/>
  <c r="M241" i="19"/>
  <c r="M240" i="19"/>
  <c r="M239" i="19"/>
  <c r="M238" i="19"/>
  <c r="M237" i="19"/>
  <c r="M236" i="19"/>
  <c r="M235" i="19"/>
  <c r="M234" i="19"/>
  <c r="M233" i="19"/>
  <c r="M232" i="19"/>
  <c r="M231" i="19"/>
  <c r="M230" i="19"/>
  <c r="M229" i="19"/>
  <c r="M228" i="19"/>
  <c r="M227" i="19"/>
  <c r="M226" i="19"/>
  <c r="M225" i="19"/>
  <c r="M224" i="19"/>
  <c r="M223" i="19"/>
  <c r="M222" i="19"/>
  <c r="M221" i="19"/>
  <c r="M220" i="19"/>
  <c r="M219" i="19"/>
  <c r="M218" i="19"/>
  <c r="M217" i="19"/>
  <c r="M216" i="19"/>
  <c r="M215" i="19"/>
  <c r="M214" i="19"/>
  <c r="M213" i="19"/>
  <c r="M212" i="19"/>
  <c r="M211" i="19"/>
  <c r="M210" i="19"/>
  <c r="M209" i="19"/>
  <c r="M208" i="19"/>
  <c r="M207" i="19"/>
  <c r="M206" i="19"/>
  <c r="M205" i="19"/>
  <c r="M204" i="19"/>
  <c r="M203" i="19"/>
  <c r="M202" i="19"/>
  <c r="M201" i="19"/>
  <c r="M200" i="19"/>
  <c r="M199" i="19"/>
  <c r="M198" i="19"/>
  <c r="M197" i="19"/>
  <c r="M196" i="19"/>
  <c r="M195" i="19"/>
  <c r="M194" i="19"/>
  <c r="M193" i="19"/>
  <c r="M192" i="19"/>
  <c r="M191" i="19"/>
  <c r="M190" i="19"/>
  <c r="M189" i="19"/>
  <c r="M188" i="19"/>
  <c r="M187" i="19"/>
  <c r="M186" i="19"/>
  <c r="M185" i="19"/>
  <c r="M184" i="19"/>
  <c r="M183" i="19"/>
  <c r="M182" i="19"/>
  <c r="M181" i="19"/>
  <c r="M180" i="19"/>
  <c r="M179" i="19"/>
  <c r="M178" i="19"/>
  <c r="M177" i="19"/>
  <c r="M176" i="19"/>
  <c r="M175" i="19"/>
  <c r="M174" i="19"/>
  <c r="M173" i="19"/>
  <c r="M172" i="19"/>
  <c r="M171" i="19"/>
  <c r="M170" i="19"/>
  <c r="M169" i="19"/>
  <c r="M168" i="19"/>
  <c r="M167" i="19"/>
  <c r="M166" i="19"/>
  <c r="M165" i="19"/>
  <c r="M164" i="19"/>
  <c r="M163" i="19"/>
  <c r="M162" i="19"/>
  <c r="M161" i="19"/>
  <c r="M160" i="19"/>
  <c r="M159" i="19"/>
  <c r="M158" i="19"/>
  <c r="M157" i="19"/>
  <c r="M156" i="19"/>
  <c r="M155" i="19"/>
  <c r="M154" i="19"/>
  <c r="M153" i="19"/>
  <c r="M152" i="19"/>
  <c r="M151" i="19"/>
  <c r="M150" i="19"/>
  <c r="M149" i="19"/>
  <c r="M148" i="19"/>
  <c r="M147" i="19"/>
  <c r="M146" i="19"/>
  <c r="M145" i="19"/>
  <c r="M144" i="19"/>
  <c r="M143" i="19"/>
  <c r="M142" i="19"/>
  <c r="M141" i="19"/>
  <c r="M140" i="19"/>
  <c r="M139" i="19"/>
  <c r="M138" i="19"/>
  <c r="M137" i="19"/>
  <c r="M136" i="19"/>
  <c r="M135" i="19"/>
  <c r="M134" i="19"/>
  <c r="M133" i="19"/>
  <c r="M132" i="19"/>
  <c r="M131" i="19"/>
  <c r="M130" i="19"/>
  <c r="M129" i="19"/>
  <c r="M128" i="19"/>
  <c r="M127" i="19"/>
  <c r="M126" i="19"/>
  <c r="M125" i="19"/>
  <c r="M124" i="19"/>
  <c r="M123" i="19"/>
  <c r="M122" i="19"/>
  <c r="M121" i="19"/>
  <c r="M120" i="19"/>
  <c r="M119" i="19"/>
  <c r="M118" i="19"/>
  <c r="M117" i="19"/>
  <c r="M116" i="19"/>
  <c r="M115" i="19"/>
  <c r="M114" i="19"/>
  <c r="M113" i="19"/>
  <c r="M112" i="19"/>
  <c r="M111" i="19"/>
  <c r="M110" i="19"/>
  <c r="M109" i="19"/>
  <c r="M108" i="19"/>
  <c r="M107" i="19"/>
  <c r="M106" i="19"/>
  <c r="M105" i="19"/>
  <c r="M104" i="19"/>
  <c r="M103" i="19"/>
  <c r="M102" i="19"/>
  <c r="M101" i="19"/>
  <c r="M100" i="19"/>
  <c r="M99" i="19"/>
  <c r="M98" i="19"/>
  <c r="M97" i="19"/>
  <c r="M96" i="19"/>
  <c r="M95" i="19"/>
  <c r="M94" i="19"/>
  <c r="M93" i="19"/>
  <c r="M92" i="19"/>
  <c r="M91" i="19"/>
  <c r="M90" i="19"/>
  <c r="M89" i="19"/>
  <c r="M88" i="19"/>
  <c r="M87" i="19"/>
  <c r="M86" i="19"/>
  <c r="M85" i="19"/>
  <c r="M84" i="19"/>
  <c r="M83" i="19"/>
  <c r="M82" i="19"/>
  <c r="M81" i="19"/>
  <c r="M80" i="19"/>
  <c r="M79" i="19"/>
  <c r="M78" i="19"/>
  <c r="M77" i="19"/>
  <c r="M76" i="19"/>
  <c r="M75" i="19"/>
  <c r="M74" i="19"/>
  <c r="M73" i="19"/>
  <c r="M72" i="19"/>
  <c r="M71" i="19"/>
  <c r="M70" i="19"/>
  <c r="M69" i="19"/>
  <c r="M68" i="19"/>
  <c r="M67" i="19"/>
  <c r="M66" i="19"/>
  <c r="M65" i="19"/>
  <c r="M64" i="19"/>
  <c r="M63" i="19"/>
  <c r="M62" i="19"/>
  <c r="M61" i="19"/>
  <c r="M60" i="19"/>
  <c r="M59" i="19"/>
  <c r="M58" i="19"/>
  <c r="M57" i="19"/>
  <c r="M56" i="19"/>
  <c r="M55" i="19"/>
  <c r="M54" i="19"/>
  <c r="M53" i="19"/>
  <c r="M52" i="19"/>
  <c r="M51" i="19"/>
  <c r="M50" i="19"/>
  <c r="M49" i="19"/>
  <c r="M48" i="19"/>
  <c r="M47" i="19"/>
  <c r="M46" i="19"/>
  <c r="M45" i="19"/>
  <c r="M44" i="19"/>
  <c r="M43" i="19"/>
  <c r="M42" i="19"/>
  <c r="M41" i="19"/>
  <c r="M40" i="19"/>
  <c r="M39" i="19"/>
  <c r="M38" i="19"/>
  <c r="M37" i="19"/>
  <c r="M36" i="19"/>
  <c r="M35" i="19"/>
  <c r="M34" i="19"/>
  <c r="M33" i="19"/>
  <c r="M32" i="19"/>
  <c r="M31" i="19"/>
  <c r="M30" i="19"/>
  <c r="M29" i="19"/>
  <c r="M28" i="19"/>
  <c r="M27" i="19"/>
  <c r="M26" i="19"/>
  <c r="M25" i="19"/>
  <c r="M24" i="19"/>
  <c r="M23" i="19"/>
  <c r="M22" i="19"/>
  <c r="M21" i="19"/>
  <c r="M20" i="19"/>
  <c r="M19" i="19"/>
  <c r="M18" i="19"/>
  <c r="M17" i="19"/>
  <c r="M16" i="19"/>
  <c r="M15" i="19"/>
  <c r="M14" i="19"/>
  <c r="M13" i="19"/>
  <c r="M12" i="19"/>
  <c r="M11" i="19"/>
  <c r="M10" i="19"/>
  <c r="M9" i="19"/>
  <c r="M8" i="19"/>
  <c r="M7" i="19"/>
  <c r="M6" i="19"/>
  <c r="M5" i="19"/>
  <c r="M4" i="19"/>
  <c r="M3" i="19"/>
  <c r="M2" i="19"/>
  <c r="T5" i="39" l="1"/>
  <c r="T6" i="39" s="1"/>
  <c r="T7" i="39" s="1"/>
  <c r="T8" i="39" s="1"/>
  <c r="T9" i="39" s="1"/>
  <c r="T10" i="39" s="1"/>
  <c r="T11" i="39" s="1"/>
  <c r="T12" i="39" s="1"/>
  <c r="T13" i="39" s="1"/>
  <c r="T14" i="39" s="1"/>
  <c r="T15" i="39" s="1"/>
  <c r="T16" i="39" s="1"/>
  <c r="T17" i="39" s="1"/>
  <c r="T18" i="39" s="1"/>
  <c r="T19" i="39" s="1"/>
  <c r="T20" i="39" s="1"/>
  <c r="T21" i="39" s="1"/>
  <c r="T22" i="39" s="1"/>
  <c r="T4" i="39"/>
  <c r="BT82" i="39"/>
  <c r="BT81" i="39"/>
  <c r="BT80" i="39"/>
  <c r="BT79" i="39"/>
  <c r="BT78" i="39"/>
  <c r="BT77" i="39"/>
  <c r="BT76" i="39"/>
  <c r="BT75" i="39"/>
  <c r="BT74" i="39"/>
  <c r="BT73" i="39"/>
  <c r="BT72" i="39"/>
  <c r="BT71" i="39"/>
  <c r="BT70" i="39"/>
  <c r="BT69" i="39"/>
  <c r="BT68" i="39"/>
  <c r="BT67" i="39"/>
  <c r="BT66" i="39"/>
  <c r="BT65" i="39"/>
  <c r="BT64" i="39"/>
  <c r="BT63" i="39"/>
  <c r="BT62" i="39"/>
  <c r="BT61" i="39"/>
  <c r="BT60" i="39"/>
  <c r="BT59" i="39"/>
  <c r="BT58" i="39"/>
  <c r="BT57" i="39"/>
  <c r="BT56" i="39"/>
  <c r="BT55" i="39"/>
  <c r="BT54" i="39"/>
  <c r="BT53" i="39"/>
  <c r="BT52" i="39"/>
  <c r="BT51" i="39"/>
  <c r="BT50" i="39"/>
  <c r="BT49" i="39"/>
  <c r="BT48" i="39"/>
  <c r="BT47" i="39"/>
  <c r="BT46" i="39"/>
  <c r="BT83" i="39"/>
  <c r="BT101" i="39"/>
  <c r="BT100" i="39"/>
  <c r="BT99" i="39"/>
  <c r="BT98" i="39"/>
  <c r="BT97" i="39"/>
  <c r="BT96" i="39"/>
  <c r="BT95" i="39"/>
  <c r="BT94" i="39"/>
  <c r="BT93" i="39"/>
  <c r="BT92" i="39"/>
  <c r="BT91" i="39"/>
  <c r="BT90" i="39"/>
  <c r="BT89" i="39"/>
  <c r="BT88" i="39"/>
  <c r="BT87" i="39"/>
  <c r="BT86" i="39"/>
  <c r="BT85" i="39"/>
  <c r="BT84" i="39"/>
  <c r="BT45" i="39"/>
  <c r="BT44" i="39"/>
  <c r="BT43" i="39"/>
  <c r="BT42" i="39"/>
  <c r="BT41" i="39"/>
  <c r="BT40" i="39"/>
  <c r="BT39" i="39"/>
  <c r="BT38" i="39"/>
  <c r="BT37" i="39"/>
  <c r="BT36" i="39"/>
  <c r="BT35" i="39"/>
  <c r="BT34" i="39"/>
  <c r="BT33" i="39"/>
  <c r="BT32" i="39"/>
  <c r="BT31" i="39"/>
  <c r="BT30" i="39"/>
  <c r="BT29" i="39"/>
  <c r="BT28" i="39"/>
  <c r="BT27" i="39"/>
  <c r="AJ406" i="40" l="1"/>
  <c r="AI406" i="40"/>
  <c r="AH406" i="40"/>
  <c r="AG406" i="40"/>
  <c r="AF406" i="40"/>
  <c r="AE406" i="40"/>
  <c r="AD406" i="40"/>
  <c r="AC406" i="40"/>
  <c r="AB406" i="40"/>
  <c r="AA406" i="40"/>
  <c r="AJ405" i="40"/>
  <c r="AI405" i="40"/>
  <c r="AH405" i="40"/>
  <c r="AG405" i="40"/>
  <c r="AF405" i="40"/>
  <c r="AE405" i="40"/>
  <c r="AD405" i="40"/>
  <c r="AC405" i="40"/>
  <c r="AB405" i="40"/>
  <c r="AA405" i="40"/>
  <c r="AJ404" i="40"/>
  <c r="AI404" i="40"/>
  <c r="AH404" i="40"/>
  <c r="AG404" i="40"/>
  <c r="AF404" i="40"/>
  <c r="AE404" i="40"/>
  <c r="AD404" i="40"/>
  <c r="AC404" i="40"/>
  <c r="AB404" i="40"/>
  <c r="AA404" i="40"/>
  <c r="AJ403" i="40"/>
  <c r="AI403" i="40"/>
  <c r="AH403" i="40"/>
  <c r="AG403" i="40"/>
  <c r="AF403" i="40"/>
  <c r="AE403" i="40"/>
  <c r="AD403" i="40"/>
  <c r="AC403" i="40"/>
  <c r="AB403" i="40"/>
  <c r="AA403" i="40"/>
  <c r="AJ402" i="40"/>
  <c r="AI402" i="40"/>
  <c r="AH402" i="40"/>
  <c r="AG402" i="40"/>
  <c r="AF402" i="40"/>
  <c r="AE402" i="40"/>
  <c r="AD402" i="40"/>
  <c r="AC402" i="40"/>
  <c r="AB402" i="40"/>
  <c r="AA402" i="40"/>
  <c r="AJ401" i="40"/>
  <c r="AI401" i="40"/>
  <c r="AH401" i="40"/>
  <c r="AG401" i="40"/>
  <c r="AF401" i="40"/>
  <c r="AE401" i="40"/>
  <c r="AD401" i="40"/>
  <c r="AC401" i="40"/>
  <c r="AB401" i="40"/>
  <c r="AA401" i="40"/>
  <c r="AJ400" i="40"/>
  <c r="AI400" i="40"/>
  <c r="AH400" i="40"/>
  <c r="AG400" i="40"/>
  <c r="AF400" i="40"/>
  <c r="AE400" i="40"/>
  <c r="AD400" i="40"/>
  <c r="AC400" i="40"/>
  <c r="AB400" i="40"/>
  <c r="AA400" i="40"/>
  <c r="AJ399" i="40"/>
  <c r="AI399" i="40"/>
  <c r="AH399" i="40"/>
  <c r="AG399" i="40"/>
  <c r="AF399" i="40"/>
  <c r="AE399" i="40"/>
  <c r="AD399" i="40"/>
  <c r="AC399" i="40"/>
  <c r="AB399" i="40"/>
  <c r="AA399" i="40"/>
  <c r="AJ398" i="40"/>
  <c r="AI398" i="40"/>
  <c r="AH398" i="40"/>
  <c r="AG398" i="40"/>
  <c r="AF398" i="40"/>
  <c r="AE398" i="40"/>
  <c r="AD398" i="40"/>
  <c r="AC398" i="40"/>
  <c r="AB398" i="40"/>
  <c r="AA398" i="40"/>
  <c r="AJ397" i="40"/>
  <c r="AI397" i="40"/>
  <c r="AH397" i="40"/>
  <c r="AG397" i="40"/>
  <c r="AF397" i="40"/>
  <c r="AE397" i="40"/>
  <c r="AD397" i="40"/>
  <c r="AC397" i="40"/>
  <c r="AB397" i="40"/>
  <c r="AA397" i="40"/>
  <c r="AJ396" i="40"/>
  <c r="AI396" i="40"/>
  <c r="AH396" i="40"/>
  <c r="AG396" i="40"/>
  <c r="AF396" i="40"/>
  <c r="AE396" i="40"/>
  <c r="AD396" i="40"/>
  <c r="AC396" i="40"/>
  <c r="AB396" i="40"/>
  <c r="AA396" i="40"/>
  <c r="AJ395" i="40"/>
  <c r="AI395" i="40"/>
  <c r="AH395" i="40"/>
  <c r="AG395" i="40"/>
  <c r="AF395" i="40"/>
  <c r="AE395" i="40"/>
  <c r="AD395" i="40"/>
  <c r="AC395" i="40"/>
  <c r="AB395" i="40"/>
  <c r="AA395" i="40"/>
  <c r="AJ394" i="40"/>
  <c r="AI394" i="40"/>
  <c r="AH394" i="40"/>
  <c r="AG394" i="40"/>
  <c r="AF394" i="40"/>
  <c r="AE394" i="40"/>
  <c r="AD394" i="40"/>
  <c r="AC394" i="40"/>
  <c r="AB394" i="40"/>
  <c r="AA394" i="40"/>
  <c r="AJ393" i="40"/>
  <c r="AI393" i="40"/>
  <c r="AH393" i="40"/>
  <c r="AG393" i="40"/>
  <c r="AF393" i="40"/>
  <c r="AE393" i="40"/>
  <c r="AD393" i="40"/>
  <c r="AC393" i="40"/>
  <c r="AB393" i="40"/>
  <c r="AA393" i="40"/>
  <c r="AJ392" i="40"/>
  <c r="AI392" i="40"/>
  <c r="AH392" i="40"/>
  <c r="AG392" i="40"/>
  <c r="AF392" i="40"/>
  <c r="AE392" i="40"/>
  <c r="AD392" i="40"/>
  <c r="AC392" i="40"/>
  <c r="AB392" i="40"/>
  <c r="AA392" i="40"/>
  <c r="AJ391" i="40"/>
  <c r="AI391" i="40"/>
  <c r="AH391" i="40"/>
  <c r="AG391" i="40"/>
  <c r="AF391" i="40"/>
  <c r="AE391" i="40"/>
  <c r="AD391" i="40"/>
  <c r="AC391" i="40"/>
  <c r="AB391" i="40"/>
  <c r="AA391" i="40"/>
  <c r="AJ390" i="40"/>
  <c r="AI390" i="40"/>
  <c r="AH390" i="40"/>
  <c r="AG390" i="40"/>
  <c r="AF390" i="40"/>
  <c r="AE390" i="40"/>
  <c r="AD390" i="40"/>
  <c r="AC390" i="40"/>
  <c r="AB390" i="40"/>
  <c r="AA390" i="40"/>
  <c r="AJ389" i="40"/>
  <c r="AI389" i="40"/>
  <c r="AH389" i="40"/>
  <c r="AG389" i="40"/>
  <c r="AF389" i="40"/>
  <c r="AE389" i="40"/>
  <c r="AD389" i="40"/>
  <c r="AC389" i="40"/>
  <c r="AB389" i="40"/>
  <c r="AA389" i="40"/>
  <c r="AJ388" i="40"/>
  <c r="AI388" i="40"/>
  <c r="AH388" i="40"/>
  <c r="AG388" i="40"/>
  <c r="AF388" i="40"/>
  <c r="AE388" i="40"/>
  <c r="AD388" i="40"/>
  <c r="AC388" i="40"/>
  <c r="AB388" i="40"/>
  <c r="AA388" i="40"/>
  <c r="AJ387" i="40"/>
  <c r="AI387" i="40"/>
  <c r="AH387" i="40"/>
  <c r="AG387" i="40"/>
  <c r="AF387" i="40"/>
  <c r="AE387" i="40"/>
  <c r="AD387" i="40"/>
  <c r="AC387" i="40"/>
  <c r="AB387" i="40"/>
  <c r="AA387" i="40"/>
  <c r="AJ386" i="40"/>
  <c r="AI386" i="40"/>
  <c r="AH386" i="40"/>
  <c r="AG386" i="40"/>
  <c r="AF386" i="40"/>
  <c r="AE386" i="40"/>
  <c r="AD386" i="40"/>
  <c r="AC386" i="40"/>
  <c r="AB386" i="40"/>
  <c r="AA386" i="40"/>
  <c r="AJ385" i="40"/>
  <c r="AI385" i="40"/>
  <c r="AH385" i="40"/>
  <c r="AG385" i="40"/>
  <c r="AF385" i="40"/>
  <c r="AE385" i="40"/>
  <c r="AD385" i="40"/>
  <c r="AC385" i="40"/>
  <c r="AB385" i="40"/>
  <c r="AA385" i="40"/>
  <c r="AJ384" i="40"/>
  <c r="AI384" i="40"/>
  <c r="AH384" i="40"/>
  <c r="AG384" i="40"/>
  <c r="AF384" i="40"/>
  <c r="AE384" i="40"/>
  <c r="AD384" i="40"/>
  <c r="AC384" i="40"/>
  <c r="AB384" i="40"/>
  <c r="AA384" i="40"/>
  <c r="AJ383" i="40"/>
  <c r="AI383" i="40"/>
  <c r="AH383" i="40"/>
  <c r="AG383" i="40"/>
  <c r="AF383" i="40"/>
  <c r="AE383" i="40"/>
  <c r="AD383" i="40"/>
  <c r="AC383" i="40"/>
  <c r="AB383" i="40"/>
  <c r="AA383" i="40"/>
  <c r="AJ382" i="40"/>
  <c r="AI382" i="40"/>
  <c r="AH382" i="40"/>
  <c r="AG382" i="40"/>
  <c r="AF382" i="40"/>
  <c r="AE382" i="40"/>
  <c r="AD382" i="40"/>
  <c r="AC382" i="40"/>
  <c r="AB382" i="40"/>
  <c r="AA382" i="40"/>
  <c r="AJ381" i="40"/>
  <c r="AI381" i="40"/>
  <c r="AH381" i="40"/>
  <c r="AG381" i="40"/>
  <c r="AF381" i="40"/>
  <c r="AE381" i="40"/>
  <c r="AD381" i="40"/>
  <c r="AC381" i="40"/>
  <c r="AB381" i="40"/>
  <c r="AA381" i="40"/>
  <c r="AJ380" i="40"/>
  <c r="AI380" i="40"/>
  <c r="AH380" i="40"/>
  <c r="AG380" i="40"/>
  <c r="AF380" i="40"/>
  <c r="AE380" i="40"/>
  <c r="AD380" i="40"/>
  <c r="AC380" i="40"/>
  <c r="AB380" i="40"/>
  <c r="AA380" i="40"/>
  <c r="AJ379" i="40"/>
  <c r="AI379" i="40"/>
  <c r="AH379" i="40"/>
  <c r="AG379" i="40"/>
  <c r="AF379" i="40"/>
  <c r="AE379" i="40"/>
  <c r="AD379" i="40"/>
  <c r="AC379" i="40"/>
  <c r="AB379" i="40"/>
  <c r="AA379" i="40"/>
  <c r="AJ378" i="40"/>
  <c r="AI378" i="40"/>
  <c r="AH378" i="40"/>
  <c r="AG378" i="40"/>
  <c r="AF378" i="40"/>
  <c r="AE378" i="40"/>
  <c r="AD378" i="40"/>
  <c r="AC378" i="40"/>
  <c r="AB378" i="40"/>
  <c r="AA378" i="40"/>
  <c r="AJ377" i="40"/>
  <c r="AI377" i="40"/>
  <c r="AH377" i="40"/>
  <c r="AG377" i="40"/>
  <c r="AF377" i="40"/>
  <c r="AE377" i="40"/>
  <c r="AD377" i="40"/>
  <c r="AC377" i="40"/>
  <c r="AB377" i="40"/>
  <c r="AA377" i="40"/>
  <c r="AJ376" i="40"/>
  <c r="AI376" i="40"/>
  <c r="AH376" i="40"/>
  <c r="AG376" i="40"/>
  <c r="AF376" i="40"/>
  <c r="AE376" i="40"/>
  <c r="AD376" i="40"/>
  <c r="AC376" i="40"/>
  <c r="AB376" i="40"/>
  <c r="AA376" i="40"/>
  <c r="AJ375" i="40"/>
  <c r="AI375" i="40"/>
  <c r="AH375" i="40"/>
  <c r="AG375" i="40"/>
  <c r="AF375" i="40"/>
  <c r="AE375" i="40"/>
  <c r="AD375" i="40"/>
  <c r="AC375" i="40"/>
  <c r="AB375" i="40"/>
  <c r="AA375" i="40"/>
  <c r="AJ374" i="40"/>
  <c r="AI374" i="40"/>
  <c r="AH374" i="40"/>
  <c r="AG374" i="40"/>
  <c r="AF374" i="40"/>
  <c r="AE374" i="40"/>
  <c r="AD374" i="40"/>
  <c r="AC374" i="40"/>
  <c r="AB374" i="40"/>
  <c r="AA374" i="40"/>
  <c r="AJ373" i="40"/>
  <c r="AI373" i="40"/>
  <c r="AH373" i="40"/>
  <c r="AG373" i="40"/>
  <c r="AF373" i="40"/>
  <c r="AE373" i="40"/>
  <c r="AD373" i="40"/>
  <c r="AC373" i="40"/>
  <c r="AB373" i="40"/>
  <c r="AA373" i="40"/>
  <c r="AJ372" i="40"/>
  <c r="AI372" i="40"/>
  <c r="AH372" i="40"/>
  <c r="AG372" i="40"/>
  <c r="AF372" i="40"/>
  <c r="AE372" i="40"/>
  <c r="AD372" i="40"/>
  <c r="AC372" i="40"/>
  <c r="AB372" i="40"/>
  <c r="AA372" i="40"/>
  <c r="AJ371" i="40"/>
  <c r="AI371" i="40"/>
  <c r="AH371" i="40"/>
  <c r="AG371" i="40"/>
  <c r="AF371" i="40"/>
  <c r="AE371" i="40"/>
  <c r="AD371" i="40"/>
  <c r="AC371" i="40"/>
  <c r="AB371" i="40"/>
  <c r="AA371" i="40"/>
  <c r="AJ370" i="40"/>
  <c r="AI370" i="40"/>
  <c r="AH370" i="40"/>
  <c r="AG370" i="40"/>
  <c r="AF370" i="40"/>
  <c r="AE370" i="40"/>
  <c r="AD370" i="40"/>
  <c r="AC370" i="40"/>
  <c r="AB370" i="40"/>
  <c r="AA370" i="40"/>
  <c r="AJ369" i="40"/>
  <c r="AI369" i="40"/>
  <c r="AH369" i="40"/>
  <c r="AG369" i="40"/>
  <c r="AF369" i="40"/>
  <c r="AE369" i="40"/>
  <c r="AD369" i="40"/>
  <c r="AC369" i="40"/>
  <c r="AB369" i="40"/>
  <c r="AA369" i="40"/>
  <c r="AJ368" i="40"/>
  <c r="AI368" i="40"/>
  <c r="AH368" i="40"/>
  <c r="AG368" i="40"/>
  <c r="AF368" i="40"/>
  <c r="AE368" i="40"/>
  <c r="AD368" i="40"/>
  <c r="AC368" i="40"/>
  <c r="AB368" i="40"/>
  <c r="AA368" i="40"/>
  <c r="AJ367" i="40"/>
  <c r="AI367" i="40"/>
  <c r="AH367" i="40"/>
  <c r="AG367" i="40"/>
  <c r="AF367" i="40"/>
  <c r="AE367" i="40"/>
  <c r="AD367" i="40"/>
  <c r="AC367" i="40"/>
  <c r="AB367" i="40"/>
  <c r="AA367" i="40"/>
  <c r="AJ366" i="40"/>
  <c r="AI366" i="40"/>
  <c r="AH366" i="40"/>
  <c r="AG366" i="40"/>
  <c r="AF366" i="40"/>
  <c r="AE366" i="40"/>
  <c r="AD366" i="40"/>
  <c r="AC366" i="40"/>
  <c r="AB366" i="40"/>
  <c r="AA366" i="40"/>
  <c r="AJ365" i="40"/>
  <c r="AI365" i="40"/>
  <c r="AH365" i="40"/>
  <c r="AG365" i="40"/>
  <c r="AF365" i="40"/>
  <c r="AE365" i="40"/>
  <c r="AD365" i="40"/>
  <c r="AC365" i="40"/>
  <c r="AB365" i="40"/>
  <c r="AA365" i="40"/>
  <c r="AJ364" i="40"/>
  <c r="AI364" i="40"/>
  <c r="AH364" i="40"/>
  <c r="AG364" i="40"/>
  <c r="AF364" i="40"/>
  <c r="AE364" i="40"/>
  <c r="AD364" i="40"/>
  <c r="AC364" i="40"/>
  <c r="AB364" i="40"/>
  <c r="AA364" i="40"/>
  <c r="AJ363" i="40"/>
  <c r="AI363" i="40"/>
  <c r="AH363" i="40"/>
  <c r="AG363" i="40"/>
  <c r="AF363" i="40"/>
  <c r="AE363" i="40"/>
  <c r="AD363" i="40"/>
  <c r="AC363" i="40"/>
  <c r="AB363" i="40"/>
  <c r="AA363" i="40"/>
  <c r="AJ362" i="40"/>
  <c r="AI362" i="40"/>
  <c r="AH362" i="40"/>
  <c r="AG362" i="40"/>
  <c r="AF362" i="40"/>
  <c r="AE362" i="40"/>
  <c r="AD362" i="40"/>
  <c r="AC362" i="40"/>
  <c r="AB362" i="40"/>
  <c r="AA362" i="40"/>
  <c r="AJ361" i="40"/>
  <c r="AI361" i="40"/>
  <c r="AH361" i="40"/>
  <c r="AG361" i="40"/>
  <c r="AF361" i="40"/>
  <c r="AE361" i="40"/>
  <c r="AD361" i="40"/>
  <c r="AC361" i="40"/>
  <c r="AB361" i="40"/>
  <c r="AA361" i="40"/>
  <c r="AJ360" i="40"/>
  <c r="AI360" i="40"/>
  <c r="AH360" i="40"/>
  <c r="AG360" i="40"/>
  <c r="AF360" i="40"/>
  <c r="AE360" i="40"/>
  <c r="AD360" i="40"/>
  <c r="AC360" i="40"/>
  <c r="AB360" i="40"/>
  <c r="AA360" i="40"/>
  <c r="AJ359" i="40"/>
  <c r="AI359" i="40"/>
  <c r="AH359" i="40"/>
  <c r="AG359" i="40"/>
  <c r="AF359" i="40"/>
  <c r="AE359" i="40"/>
  <c r="AD359" i="40"/>
  <c r="AC359" i="40"/>
  <c r="AB359" i="40"/>
  <c r="AA359" i="40"/>
  <c r="AJ358" i="40"/>
  <c r="AI358" i="40"/>
  <c r="AH358" i="40"/>
  <c r="AG358" i="40"/>
  <c r="AF358" i="40"/>
  <c r="AE358" i="40"/>
  <c r="AD358" i="40"/>
  <c r="AC358" i="40"/>
  <c r="AB358" i="40"/>
  <c r="AA358" i="40"/>
  <c r="AJ357" i="40"/>
  <c r="AI357" i="40"/>
  <c r="AH357" i="40"/>
  <c r="AG357" i="40"/>
  <c r="AF357" i="40"/>
  <c r="AE357" i="40"/>
  <c r="AD357" i="40"/>
  <c r="AC357" i="40"/>
  <c r="AB357" i="40"/>
  <c r="AA357" i="40"/>
  <c r="AJ356" i="40"/>
  <c r="AI356" i="40"/>
  <c r="AH356" i="40"/>
  <c r="AG356" i="40"/>
  <c r="AF356" i="40"/>
  <c r="AE356" i="40"/>
  <c r="AD356" i="40"/>
  <c r="AC356" i="40"/>
  <c r="AB356" i="40"/>
  <c r="AA356" i="40"/>
  <c r="AJ355" i="40"/>
  <c r="AI355" i="40"/>
  <c r="AH355" i="40"/>
  <c r="AG355" i="40"/>
  <c r="AF355" i="40"/>
  <c r="AE355" i="40"/>
  <c r="AD355" i="40"/>
  <c r="AC355" i="40"/>
  <c r="AB355" i="40"/>
  <c r="AA355" i="40"/>
  <c r="AJ354" i="40"/>
  <c r="AI354" i="40"/>
  <c r="AH354" i="40"/>
  <c r="AG354" i="40"/>
  <c r="AF354" i="40"/>
  <c r="AE354" i="40"/>
  <c r="AD354" i="40"/>
  <c r="AC354" i="40"/>
  <c r="AB354" i="40"/>
  <c r="AA354" i="40"/>
  <c r="AJ353" i="40"/>
  <c r="AI353" i="40"/>
  <c r="AH353" i="40"/>
  <c r="AG353" i="40"/>
  <c r="AF353" i="40"/>
  <c r="AE353" i="40"/>
  <c r="AD353" i="40"/>
  <c r="AC353" i="40"/>
  <c r="AB353" i="40"/>
  <c r="AA353" i="40"/>
  <c r="AJ352" i="40"/>
  <c r="AI352" i="40"/>
  <c r="AH352" i="40"/>
  <c r="AG352" i="40"/>
  <c r="AF352" i="40"/>
  <c r="AE352" i="40"/>
  <c r="AD352" i="40"/>
  <c r="AC352" i="40"/>
  <c r="AB352" i="40"/>
  <c r="AA352" i="40"/>
  <c r="AJ351" i="40"/>
  <c r="AI351" i="40"/>
  <c r="AH351" i="40"/>
  <c r="AG351" i="40"/>
  <c r="AF351" i="40"/>
  <c r="AE351" i="40"/>
  <c r="AD351" i="40"/>
  <c r="AC351" i="40"/>
  <c r="AB351" i="40"/>
  <c r="AA351" i="40"/>
  <c r="AJ350" i="40"/>
  <c r="AI350" i="40"/>
  <c r="AH350" i="40"/>
  <c r="AG350" i="40"/>
  <c r="AF350" i="40"/>
  <c r="AE350" i="40"/>
  <c r="AD350" i="40"/>
  <c r="AC350" i="40"/>
  <c r="AB350" i="40"/>
  <c r="AA350" i="40"/>
  <c r="AJ349" i="40"/>
  <c r="AI349" i="40"/>
  <c r="AH349" i="40"/>
  <c r="AG349" i="40"/>
  <c r="AF349" i="40"/>
  <c r="AE349" i="40"/>
  <c r="AD349" i="40"/>
  <c r="AC349" i="40"/>
  <c r="AB349" i="40"/>
  <c r="AA349" i="40"/>
  <c r="AJ348" i="40"/>
  <c r="AI348" i="40"/>
  <c r="AH348" i="40"/>
  <c r="AG348" i="40"/>
  <c r="AF348" i="40"/>
  <c r="AE348" i="40"/>
  <c r="AD348" i="40"/>
  <c r="AC348" i="40"/>
  <c r="AB348" i="40"/>
  <c r="AA348" i="40"/>
  <c r="AJ347" i="40"/>
  <c r="AI347" i="40"/>
  <c r="AH347" i="40"/>
  <c r="AG347" i="40"/>
  <c r="AF347" i="40"/>
  <c r="AE347" i="40"/>
  <c r="AD347" i="40"/>
  <c r="AC347" i="40"/>
  <c r="AB347" i="40"/>
  <c r="AA347" i="40"/>
  <c r="AJ346" i="40"/>
  <c r="AI346" i="40"/>
  <c r="AH346" i="40"/>
  <c r="AG346" i="40"/>
  <c r="AF346" i="40"/>
  <c r="AE346" i="40"/>
  <c r="AD346" i="40"/>
  <c r="AC346" i="40"/>
  <c r="AB346" i="40"/>
  <c r="AA346" i="40"/>
  <c r="AJ345" i="40"/>
  <c r="AI345" i="40"/>
  <c r="AH345" i="40"/>
  <c r="AG345" i="40"/>
  <c r="AF345" i="40"/>
  <c r="AE345" i="40"/>
  <c r="AD345" i="40"/>
  <c r="AC345" i="40"/>
  <c r="AB345" i="40"/>
  <c r="AA345" i="40"/>
  <c r="AJ344" i="40"/>
  <c r="AI344" i="40"/>
  <c r="AH344" i="40"/>
  <c r="AG344" i="40"/>
  <c r="AF344" i="40"/>
  <c r="AE344" i="40"/>
  <c r="AD344" i="40"/>
  <c r="AC344" i="40"/>
  <c r="AB344" i="40"/>
  <c r="AA344" i="40"/>
  <c r="AJ343" i="40"/>
  <c r="AI343" i="40"/>
  <c r="AH343" i="40"/>
  <c r="AG343" i="40"/>
  <c r="AF343" i="40"/>
  <c r="AE343" i="40"/>
  <c r="AD343" i="40"/>
  <c r="AC343" i="40"/>
  <c r="AB343" i="40"/>
  <c r="AA343" i="40"/>
  <c r="AJ342" i="40"/>
  <c r="AI342" i="40"/>
  <c r="AH342" i="40"/>
  <c r="AG342" i="40"/>
  <c r="AF342" i="40"/>
  <c r="AE342" i="40"/>
  <c r="AD342" i="40"/>
  <c r="AC342" i="40"/>
  <c r="AB342" i="40"/>
  <c r="AA342" i="40"/>
  <c r="AJ341" i="40"/>
  <c r="AI341" i="40"/>
  <c r="AH341" i="40"/>
  <c r="AG341" i="40"/>
  <c r="AF341" i="40"/>
  <c r="AE341" i="40"/>
  <c r="AD341" i="40"/>
  <c r="AC341" i="40"/>
  <c r="AB341" i="40"/>
  <c r="AA341" i="40"/>
  <c r="AJ340" i="40"/>
  <c r="AI340" i="40"/>
  <c r="AH340" i="40"/>
  <c r="AG340" i="40"/>
  <c r="AF340" i="40"/>
  <c r="AE340" i="40"/>
  <c r="AD340" i="40"/>
  <c r="AC340" i="40"/>
  <c r="AB340" i="40"/>
  <c r="AA340" i="40"/>
  <c r="AJ339" i="40"/>
  <c r="AI339" i="40"/>
  <c r="AH339" i="40"/>
  <c r="AG339" i="40"/>
  <c r="AF339" i="40"/>
  <c r="AE339" i="40"/>
  <c r="AD339" i="40"/>
  <c r="AC339" i="40"/>
  <c r="AB339" i="40"/>
  <c r="AA339" i="40"/>
  <c r="AJ338" i="40"/>
  <c r="AI338" i="40"/>
  <c r="AH338" i="40"/>
  <c r="AG338" i="40"/>
  <c r="AF338" i="40"/>
  <c r="AE338" i="40"/>
  <c r="AD338" i="40"/>
  <c r="AC338" i="40"/>
  <c r="AB338" i="40"/>
  <c r="AA338" i="40"/>
  <c r="AJ337" i="40"/>
  <c r="AI337" i="40"/>
  <c r="AH337" i="40"/>
  <c r="AG337" i="40"/>
  <c r="AF337" i="40"/>
  <c r="AE337" i="40"/>
  <c r="AD337" i="40"/>
  <c r="AC337" i="40"/>
  <c r="AB337" i="40"/>
  <c r="AA337" i="40"/>
  <c r="AJ336" i="40"/>
  <c r="AI336" i="40"/>
  <c r="AH336" i="40"/>
  <c r="AG336" i="40"/>
  <c r="AF336" i="40"/>
  <c r="AE336" i="40"/>
  <c r="AD336" i="40"/>
  <c r="AC336" i="40"/>
  <c r="AB336" i="40"/>
  <c r="AA336" i="40"/>
  <c r="AJ335" i="40"/>
  <c r="AI335" i="40"/>
  <c r="AH335" i="40"/>
  <c r="AG335" i="40"/>
  <c r="AF335" i="40"/>
  <c r="AE335" i="40"/>
  <c r="AD335" i="40"/>
  <c r="AC335" i="40"/>
  <c r="AB335" i="40"/>
  <c r="AA335" i="40"/>
  <c r="AJ334" i="40"/>
  <c r="AI334" i="40"/>
  <c r="AH334" i="40"/>
  <c r="AG334" i="40"/>
  <c r="AF334" i="40"/>
  <c r="AE334" i="40"/>
  <c r="AD334" i="40"/>
  <c r="AC334" i="40"/>
  <c r="AB334" i="40"/>
  <c r="AA334" i="40"/>
  <c r="AJ333" i="40"/>
  <c r="AI333" i="40"/>
  <c r="AH333" i="40"/>
  <c r="AG333" i="40"/>
  <c r="AF333" i="40"/>
  <c r="AE333" i="40"/>
  <c r="AD333" i="40"/>
  <c r="AC333" i="40"/>
  <c r="AB333" i="40"/>
  <c r="AA333" i="40"/>
  <c r="AJ332" i="40"/>
  <c r="AI332" i="40"/>
  <c r="AH332" i="40"/>
  <c r="AG332" i="40"/>
  <c r="AF332" i="40"/>
  <c r="AE332" i="40"/>
  <c r="AD332" i="40"/>
  <c r="AC332" i="40"/>
  <c r="AB332" i="40"/>
  <c r="AA332" i="40"/>
  <c r="AJ331" i="40"/>
  <c r="AI331" i="40"/>
  <c r="AH331" i="40"/>
  <c r="AG331" i="40"/>
  <c r="AF331" i="40"/>
  <c r="AE331" i="40"/>
  <c r="AD331" i="40"/>
  <c r="AC331" i="40"/>
  <c r="AB331" i="40"/>
  <c r="AA331" i="40"/>
  <c r="AJ330" i="40"/>
  <c r="AI330" i="40"/>
  <c r="AH330" i="40"/>
  <c r="AG330" i="40"/>
  <c r="AF330" i="40"/>
  <c r="AE330" i="40"/>
  <c r="AD330" i="40"/>
  <c r="AC330" i="40"/>
  <c r="AB330" i="40"/>
  <c r="AA330" i="40"/>
  <c r="AJ329" i="40"/>
  <c r="AI329" i="40"/>
  <c r="AH329" i="40"/>
  <c r="AG329" i="40"/>
  <c r="AF329" i="40"/>
  <c r="AE329" i="40"/>
  <c r="AD329" i="40"/>
  <c r="AC329" i="40"/>
  <c r="AB329" i="40"/>
  <c r="AA329" i="40"/>
  <c r="AJ328" i="40"/>
  <c r="AI328" i="40"/>
  <c r="AH328" i="40"/>
  <c r="AG328" i="40"/>
  <c r="AF328" i="40"/>
  <c r="AE328" i="40"/>
  <c r="AD328" i="40"/>
  <c r="AC328" i="40"/>
  <c r="AB328" i="40"/>
  <c r="AA328" i="40"/>
  <c r="AJ327" i="40"/>
  <c r="AI327" i="40"/>
  <c r="AH327" i="40"/>
  <c r="AG327" i="40"/>
  <c r="AF327" i="40"/>
  <c r="AE327" i="40"/>
  <c r="AD327" i="40"/>
  <c r="AC327" i="40"/>
  <c r="AB327" i="40"/>
  <c r="AA327" i="40"/>
  <c r="AJ326" i="40"/>
  <c r="AI326" i="40"/>
  <c r="AH326" i="40"/>
  <c r="AG326" i="40"/>
  <c r="AF326" i="40"/>
  <c r="AE326" i="40"/>
  <c r="AD326" i="40"/>
  <c r="AC326" i="40"/>
  <c r="AB326" i="40"/>
  <c r="AA326" i="40"/>
  <c r="AJ325" i="40"/>
  <c r="AI325" i="40"/>
  <c r="AH325" i="40"/>
  <c r="AG325" i="40"/>
  <c r="AF325" i="40"/>
  <c r="AE325" i="40"/>
  <c r="AD325" i="40"/>
  <c r="AC325" i="40"/>
  <c r="AB325" i="40"/>
  <c r="AA325" i="40"/>
  <c r="AJ324" i="40"/>
  <c r="AI324" i="40"/>
  <c r="AH324" i="40"/>
  <c r="AG324" i="40"/>
  <c r="AF324" i="40"/>
  <c r="AE324" i="40"/>
  <c r="AD324" i="40"/>
  <c r="AC324" i="40"/>
  <c r="AB324" i="40"/>
  <c r="AA324" i="40"/>
  <c r="AJ323" i="40"/>
  <c r="AI323" i="40"/>
  <c r="AH323" i="40"/>
  <c r="AG323" i="40"/>
  <c r="AF323" i="40"/>
  <c r="AE323" i="40"/>
  <c r="AD323" i="40"/>
  <c r="AC323" i="40"/>
  <c r="AB323" i="40"/>
  <c r="AA323" i="40"/>
  <c r="AJ322" i="40"/>
  <c r="AI322" i="40"/>
  <c r="AH322" i="40"/>
  <c r="AG322" i="40"/>
  <c r="AF322" i="40"/>
  <c r="AE322" i="40"/>
  <c r="AD322" i="40"/>
  <c r="AC322" i="40"/>
  <c r="AB322" i="40"/>
  <c r="AA322" i="40"/>
  <c r="AJ321" i="40"/>
  <c r="AI321" i="40"/>
  <c r="AH321" i="40"/>
  <c r="AG321" i="40"/>
  <c r="AF321" i="40"/>
  <c r="AE321" i="40"/>
  <c r="AD321" i="40"/>
  <c r="AC321" i="40"/>
  <c r="AB321" i="40"/>
  <c r="AA321" i="40"/>
  <c r="AJ320" i="40"/>
  <c r="AI320" i="40"/>
  <c r="AH320" i="40"/>
  <c r="AG320" i="40"/>
  <c r="AF320" i="40"/>
  <c r="AE320" i="40"/>
  <c r="AD320" i="40"/>
  <c r="AC320" i="40"/>
  <c r="AB320" i="40"/>
  <c r="AA320" i="40"/>
  <c r="AJ319" i="40"/>
  <c r="AI319" i="40"/>
  <c r="AH319" i="40"/>
  <c r="AG319" i="40"/>
  <c r="AF319" i="40"/>
  <c r="AE319" i="40"/>
  <c r="AD319" i="40"/>
  <c r="AC319" i="40"/>
  <c r="AB319" i="40"/>
  <c r="AA319" i="40"/>
  <c r="AJ318" i="40"/>
  <c r="AI318" i="40"/>
  <c r="AH318" i="40"/>
  <c r="AG318" i="40"/>
  <c r="AF318" i="40"/>
  <c r="AE318" i="40"/>
  <c r="AD318" i="40"/>
  <c r="AC318" i="40"/>
  <c r="AB318" i="40"/>
  <c r="AA318" i="40"/>
  <c r="AJ317" i="40"/>
  <c r="AI317" i="40"/>
  <c r="AH317" i="40"/>
  <c r="AG317" i="40"/>
  <c r="AF317" i="40"/>
  <c r="AE317" i="40"/>
  <c r="AD317" i="40"/>
  <c r="AC317" i="40"/>
  <c r="AB317" i="40"/>
  <c r="AA317" i="40"/>
  <c r="AJ316" i="40"/>
  <c r="AI316" i="40"/>
  <c r="AH316" i="40"/>
  <c r="AG316" i="40"/>
  <c r="AF316" i="40"/>
  <c r="AE316" i="40"/>
  <c r="AD316" i="40"/>
  <c r="AC316" i="40"/>
  <c r="AB316" i="40"/>
  <c r="AA316" i="40"/>
  <c r="AJ315" i="40"/>
  <c r="AI315" i="40"/>
  <c r="AH315" i="40"/>
  <c r="AG315" i="40"/>
  <c r="AF315" i="40"/>
  <c r="AE315" i="40"/>
  <c r="AD315" i="40"/>
  <c r="AC315" i="40"/>
  <c r="AB315" i="40"/>
  <c r="AA315" i="40"/>
  <c r="AJ314" i="40"/>
  <c r="AI314" i="40"/>
  <c r="AH314" i="40"/>
  <c r="AG314" i="40"/>
  <c r="AF314" i="40"/>
  <c r="AE314" i="40"/>
  <c r="AD314" i="40"/>
  <c r="AC314" i="40"/>
  <c r="AB314" i="40"/>
  <c r="AA314" i="40"/>
  <c r="AJ313" i="40"/>
  <c r="AI313" i="40"/>
  <c r="AH313" i="40"/>
  <c r="AG313" i="40"/>
  <c r="AF313" i="40"/>
  <c r="AE313" i="40"/>
  <c r="AD313" i="40"/>
  <c r="AC313" i="40"/>
  <c r="AB313" i="40"/>
  <c r="AA313" i="40"/>
  <c r="AJ312" i="40"/>
  <c r="AI312" i="40"/>
  <c r="AH312" i="40"/>
  <c r="AG312" i="40"/>
  <c r="AF312" i="40"/>
  <c r="AE312" i="40"/>
  <c r="AD312" i="40"/>
  <c r="AC312" i="40"/>
  <c r="AB312" i="40"/>
  <c r="AA312" i="40"/>
  <c r="AJ311" i="40"/>
  <c r="AI311" i="40"/>
  <c r="AH311" i="40"/>
  <c r="AG311" i="40"/>
  <c r="AF311" i="40"/>
  <c r="AE311" i="40"/>
  <c r="AD311" i="40"/>
  <c r="AC311" i="40"/>
  <c r="AB311" i="40"/>
  <c r="AA311" i="40"/>
  <c r="AJ310" i="40"/>
  <c r="AI310" i="40"/>
  <c r="AH310" i="40"/>
  <c r="AG310" i="40"/>
  <c r="AF310" i="40"/>
  <c r="AE310" i="40"/>
  <c r="AD310" i="40"/>
  <c r="AC310" i="40"/>
  <c r="AB310" i="40"/>
  <c r="AA310" i="40"/>
  <c r="AJ309" i="40"/>
  <c r="AI309" i="40"/>
  <c r="AH309" i="40"/>
  <c r="AG309" i="40"/>
  <c r="AF309" i="40"/>
  <c r="AE309" i="40"/>
  <c r="AD309" i="40"/>
  <c r="AC309" i="40"/>
  <c r="AB309" i="40"/>
  <c r="AA309" i="40"/>
  <c r="AJ308" i="40"/>
  <c r="AI308" i="40"/>
  <c r="AH308" i="40"/>
  <c r="AG308" i="40"/>
  <c r="AF308" i="40"/>
  <c r="AE308" i="40"/>
  <c r="AD308" i="40"/>
  <c r="AC308" i="40"/>
  <c r="AB308" i="40"/>
  <c r="AA308" i="40"/>
  <c r="AJ307" i="40"/>
  <c r="AI307" i="40"/>
  <c r="AH307" i="40"/>
  <c r="AG307" i="40"/>
  <c r="AF307" i="40"/>
  <c r="AE307" i="40"/>
  <c r="AD307" i="40"/>
  <c r="AC307" i="40"/>
  <c r="AB307" i="40"/>
  <c r="AA307" i="40"/>
  <c r="AJ306" i="40"/>
  <c r="AI306" i="40"/>
  <c r="AH306" i="40"/>
  <c r="AG306" i="40"/>
  <c r="AF306" i="40"/>
  <c r="AE306" i="40"/>
  <c r="AD306" i="40"/>
  <c r="AC306" i="40"/>
  <c r="AB306" i="40"/>
  <c r="AA306" i="40"/>
  <c r="AJ305" i="40"/>
  <c r="AI305" i="40"/>
  <c r="AH305" i="40"/>
  <c r="AG305" i="40"/>
  <c r="AF305" i="40"/>
  <c r="AE305" i="40"/>
  <c r="AD305" i="40"/>
  <c r="AC305" i="40"/>
  <c r="AB305" i="40"/>
  <c r="AA305" i="40"/>
  <c r="AJ304" i="40"/>
  <c r="AI304" i="40"/>
  <c r="AH304" i="40"/>
  <c r="AG304" i="40"/>
  <c r="AF304" i="40"/>
  <c r="AE304" i="40"/>
  <c r="AD304" i="40"/>
  <c r="AC304" i="40"/>
  <c r="AB304" i="40"/>
  <c r="AA304" i="40"/>
  <c r="AJ303" i="40"/>
  <c r="AI303" i="40"/>
  <c r="AH303" i="40"/>
  <c r="AG303" i="40"/>
  <c r="AF303" i="40"/>
  <c r="AE303" i="40"/>
  <c r="AD303" i="40"/>
  <c r="AC303" i="40"/>
  <c r="AB303" i="40"/>
  <c r="AA303" i="40"/>
  <c r="AJ302" i="40"/>
  <c r="AI302" i="40"/>
  <c r="AH302" i="40"/>
  <c r="AG302" i="40"/>
  <c r="AF302" i="40"/>
  <c r="AE302" i="40"/>
  <c r="AD302" i="40"/>
  <c r="AC302" i="40"/>
  <c r="AB302" i="40"/>
  <c r="AA302" i="40"/>
  <c r="AJ301" i="40"/>
  <c r="AI301" i="40"/>
  <c r="AH301" i="40"/>
  <c r="AG301" i="40"/>
  <c r="AF301" i="40"/>
  <c r="AE301" i="40"/>
  <c r="AD301" i="40"/>
  <c r="AC301" i="40"/>
  <c r="AB301" i="40"/>
  <c r="AA301" i="40"/>
  <c r="AJ300" i="40"/>
  <c r="AI300" i="40"/>
  <c r="AH300" i="40"/>
  <c r="AG300" i="40"/>
  <c r="AF300" i="40"/>
  <c r="AE300" i="40"/>
  <c r="AD300" i="40"/>
  <c r="AC300" i="40"/>
  <c r="AB300" i="40"/>
  <c r="AA300" i="40"/>
  <c r="AJ299" i="40"/>
  <c r="AI299" i="40"/>
  <c r="AH299" i="40"/>
  <c r="AG299" i="40"/>
  <c r="AF299" i="40"/>
  <c r="AE299" i="40"/>
  <c r="AD299" i="40"/>
  <c r="AC299" i="40"/>
  <c r="AB299" i="40"/>
  <c r="AA299" i="40"/>
  <c r="AJ298" i="40"/>
  <c r="AI298" i="40"/>
  <c r="AH298" i="40"/>
  <c r="AG298" i="40"/>
  <c r="AF298" i="40"/>
  <c r="AE298" i="40"/>
  <c r="AD298" i="40"/>
  <c r="AC298" i="40"/>
  <c r="AB298" i="40"/>
  <c r="AA298" i="40"/>
  <c r="AJ297" i="40"/>
  <c r="AI297" i="40"/>
  <c r="AH297" i="40"/>
  <c r="AG297" i="40"/>
  <c r="AF297" i="40"/>
  <c r="AE297" i="40"/>
  <c r="AD297" i="40"/>
  <c r="AC297" i="40"/>
  <c r="AB297" i="40"/>
  <c r="AA297" i="40"/>
  <c r="AJ296" i="40"/>
  <c r="AI296" i="40"/>
  <c r="AH296" i="40"/>
  <c r="AG296" i="40"/>
  <c r="AF296" i="40"/>
  <c r="AE296" i="40"/>
  <c r="AD296" i="40"/>
  <c r="AC296" i="40"/>
  <c r="AB296" i="40"/>
  <c r="AA296" i="40"/>
  <c r="AJ295" i="40"/>
  <c r="AI295" i="40"/>
  <c r="AH295" i="40"/>
  <c r="AG295" i="40"/>
  <c r="AF295" i="40"/>
  <c r="AE295" i="40"/>
  <c r="AD295" i="40"/>
  <c r="AC295" i="40"/>
  <c r="AB295" i="40"/>
  <c r="AA295" i="40"/>
  <c r="AJ294" i="40"/>
  <c r="AI294" i="40"/>
  <c r="AH294" i="40"/>
  <c r="AG294" i="40"/>
  <c r="AF294" i="40"/>
  <c r="AE294" i="40"/>
  <c r="AD294" i="40"/>
  <c r="AC294" i="40"/>
  <c r="AB294" i="40"/>
  <c r="AA294" i="40"/>
  <c r="AJ293" i="40"/>
  <c r="AI293" i="40"/>
  <c r="AH293" i="40"/>
  <c r="AG293" i="40"/>
  <c r="AF293" i="40"/>
  <c r="AE293" i="40"/>
  <c r="AD293" i="40"/>
  <c r="AC293" i="40"/>
  <c r="AB293" i="40"/>
  <c r="AA293" i="40"/>
  <c r="AJ292" i="40"/>
  <c r="AI292" i="40"/>
  <c r="AH292" i="40"/>
  <c r="AG292" i="40"/>
  <c r="AF292" i="40"/>
  <c r="AE292" i="40"/>
  <c r="AD292" i="40"/>
  <c r="AC292" i="40"/>
  <c r="AB292" i="40"/>
  <c r="AA292" i="40"/>
  <c r="AJ291" i="40"/>
  <c r="AI291" i="40"/>
  <c r="AH291" i="40"/>
  <c r="AG291" i="40"/>
  <c r="AF291" i="40"/>
  <c r="AE291" i="40"/>
  <c r="AD291" i="40"/>
  <c r="AC291" i="40"/>
  <c r="AB291" i="40"/>
  <c r="AA291" i="40"/>
  <c r="AJ290" i="40"/>
  <c r="AI290" i="40"/>
  <c r="AH290" i="40"/>
  <c r="AG290" i="40"/>
  <c r="AF290" i="40"/>
  <c r="AE290" i="40"/>
  <c r="AD290" i="40"/>
  <c r="AC290" i="40"/>
  <c r="AB290" i="40"/>
  <c r="AA290" i="40"/>
  <c r="AJ289" i="40"/>
  <c r="AI289" i="40"/>
  <c r="AH289" i="40"/>
  <c r="AG289" i="40"/>
  <c r="AF289" i="40"/>
  <c r="AE289" i="40"/>
  <c r="AD289" i="40"/>
  <c r="AC289" i="40"/>
  <c r="AB289" i="40"/>
  <c r="AA289" i="40"/>
  <c r="AJ288" i="40"/>
  <c r="AI288" i="40"/>
  <c r="AH288" i="40"/>
  <c r="AG288" i="40"/>
  <c r="AF288" i="40"/>
  <c r="AE288" i="40"/>
  <c r="AD288" i="40"/>
  <c r="AC288" i="40"/>
  <c r="AB288" i="40"/>
  <c r="AA288" i="40"/>
  <c r="AJ287" i="40"/>
  <c r="AI287" i="40"/>
  <c r="AH287" i="40"/>
  <c r="AG287" i="40"/>
  <c r="AF287" i="40"/>
  <c r="AE287" i="40"/>
  <c r="AD287" i="40"/>
  <c r="AC287" i="40"/>
  <c r="AB287" i="40"/>
  <c r="AA287" i="40"/>
  <c r="AJ286" i="40"/>
  <c r="AI286" i="40"/>
  <c r="AH286" i="40"/>
  <c r="AG286" i="40"/>
  <c r="AF286" i="40"/>
  <c r="AE286" i="40"/>
  <c r="AD286" i="40"/>
  <c r="AC286" i="40"/>
  <c r="AB286" i="40"/>
  <c r="AA286" i="40"/>
  <c r="AJ285" i="40"/>
  <c r="AI285" i="40"/>
  <c r="AH285" i="40"/>
  <c r="AG285" i="40"/>
  <c r="AF285" i="40"/>
  <c r="AE285" i="40"/>
  <c r="AD285" i="40"/>
  <c r="AC285" i="40"/>
  <c r="AB285" i="40"/>
  <c r="AA285" i="40"/>
  <c r="AJ284" i="40"/>
  <c r="AI284" i="40"/>
  <c r="AH284" i="40"/>
  <c r="AG284" i="40"/>
  <c r="AF284" i="40"/>
  <c r="AE284" i="40"/>
  <c r="AD284" i="40"/>
  <c r="AC284" i="40"/>
  <c r="AB284" i="40"/>
  <c r="AA284" i="40"/>
  <c r="AJ283" i="40"/>
  <c r="AI283" i="40"/>
  <c r="AH283" i="40"/>
  <c r="AG283" i="40"/>
  <c r="AF283" i="40"/>
  <c r="AE283" i="40"/>
  <c r="AD283" i="40"/>
  <c r="AC283" i="40"/>
  <c r="AB283" i="40"/>
  <c r="AA283" i="40"/>
  <c r="AJ282" i="40"/>
  <c r="AI282" i="40"/>
  <c r="AH282" i="40"/>
  <c r="AG282" i="40"/>
  <c r="AF282" i="40"/>
  <c r="AE282" i="40"/>
  <c r="AD282" i="40"/>
  <c r="AC282" i="40"/>
  <c r="AB282" i="40"/>
  <c r="AA282" i="40"/>
  <c r="AJ281" i="40"/>
  <c r="AI281" i="40"/>
  <c r="AH281" i="40"/>
  <c r="AG281" i="40"/>
  <c r="AF281" i="40"/>
  <c r="AE281" i="40"/>
  <c r="AD281" i="40"/>
  <c r="AC281" i="40"/>
  <c r="AB281" i="40"/>
  <c r="AA281" i="40"/>
  <c r="AJ280" i="40"/>
  <c r="AI280" i="40"/>
  <c r="AH280" i="40"/>
  <c r="AG280" i="40"/>
  <c r="AF280" i="40"/>
  <c r="AE280" i="40"/>
  <c r="AD280" i="40"/>
  <c r="AC280" i="40"/>
  <c r="AB280" i="40"/>
  <c r="AA280" i="40"/>
  <c r="AJ279" i="40"/>
  <c r="AI279" i="40"/>
  <c r="AH279" i="40"/>
  <c r="AG279" i="40"/>
  <c r="AF279" i="40"/>
  <c r="AE279" i="40"/>
  <c r="AD279" i="40"/>
  <c r="AC279" i="40"/>
  <c r="AB279" i="40"/>
  <c r="AA279" i="40"/>
  <c r="AJ278" i="40"/>
  <c r="AI278" i="40"/>
  <c r="AH278" i="40"/>
  <c r="AG278" i="40"/>
  <c r="AF278" i="40"/>
  <c r="AE278" i="40"/>
  <c r="AD278" i="40"/>
  <c r="AC278" i="40"/>
  <c r="AB278" i="40"/>
  <c r="AA278" i="40"/>
  <c r="AJ277" i="40"/>
  <c r="AI277" i="40"/>
  <c r="AH277" i="40"/>
  <c r="AG277" i="40"/>
  <c r="AF277" i="40"/>
  <c r="AE277" i="40"/>
  <c r="AD277" i="40"/>
  <c r="AC277" i="40"/>
  <c r="AB277" i="40"/>
  <c r="AA277" i="40"/>
  <c r="AJ276" i="40"/>
  <c r="AI276" i="40"/>
  <c r="AH276" i="40"/>
  <c r="AG276" i="40"/>
  <c r="AF276" i="40"/>
  <c r="AE276" i="40"/>
  <c r="AD276" i="40"/>
  <c r="AC276" i="40"/>
  <c r="AB276" i="40"/>
  <c r="AA276" i="40"/>
  <c r="AJ275" i="40"/>
  <c r="AI275" i="40"/>
  <c r="AH275" i="40"/>
  <c r="AG275" i="40"/>
  <c r="AF275" i="40"/>
  <c r="AE275" i="40"/>
  <c r="AD275" i="40"/>
  <c r="AC275" i="40"/>
  <c r="AB275" i="40"/>
  <c r="AA275" i="40"/>
  <c r="AJ274" i="40"/>
  <c r="AI274" i="40"/>
  <c r="AH274" i="40"/>
  <c r="AG274" i="40"/>
  <c r="AF274" i="40"/>
  <c r="AE274" i="40"/>
  <c r="AD274" i="40"/>
  <c r="AC274" i="40"/>
  <c r="AB274" i="40"/>
  <c r="AA274" i="40"/>
  <c r="AJ273" i="40"/>
  <c r="AI273" i="40"/>
  <c r="AH273" i="40"/>
  <c r="AG273" i="40"/>
  <c r="AF273" i="40"/>
  <c r="AE273" i="40"/>
  <c r="AD273" i="40"/>
  <c r="AC273" i="40"/>
  <c r="AB273" i="40"/>
  <c r="AA273" i="40"/>
  <c r="AJ272" i="40"/>
  <c r="AI272" i="40"/>
  <c r="AH272" i="40"/>
  <c r="AG272" i="40"/>
  <c r="AF272" i="40"/>
  <c r="AE272" i="40"/>
  <c r="AD272" i="40"/>
  <c r="AC272" i="40"/>
  <c r="AB272" i="40"/>
  <c r="AA272" i="40"/>
  <c r="AJ271" i="40"/>
  <c r="AI271" i="40"/>
  <c r="AH271" i="40"/>
  <c r="AG271" i="40"/>
  <c r="AF271" i="40"/>
  <c r="AE271" i="40"/>
  <c r="AD271" i="40"/>
  <c r="AC271" i="40"/>
  <c r="AB271" i="40"/>
  <c r="AA271" i="40"/>
  <c r="AJ270" i="40"/>
  <c r="AI270" i="40"/>
  <c r="AH270" i="40"/>
  <c r="AG270" i="40"/>
  <c r="AF270" i="40"/>
  <c r="AE270" i="40"/>
  <c r="AD270" i="40"/>
  <c r="AC270" i="40"/>
  <c r="AB270" i="40"/>
  <c r="AA270" i="40"/>
  <c r="AJ269" i="40"/>
  <c r="AI269" i="40"/>
  <c r="AH269" i="40"/>
  <c r="AG269" i="40"/>
  <c r="AF269" i="40"/>
  <c r="AE269" i="40"/>
  <c r="AD269" i="40"/>
  <c r="AC269" i="40"/>
  <c r="AB269" i="40"/>
  <c r="AA269" i="40"/>
  <c r="AJ268" i="40"/>
  <c r="AI268" i="40"/>
  <c r="AH268" i="40"/>
  <c r="AG268" i="40"/>
  <c r="AF268" i="40"/>
  <c r="AE268" i="40"/>
  <c r="AD268" i="40"/>
  <c r="AC268" i="40"/>
  <c r="AB268" i="40"/>
  <c r="AA268" i="40"/>
  <c r="AJ267" i="40"/>
  <c r="AI267" i="40"/>
  <c r="AH267" i="40"/>
  <c r="AG267" i="40"/>
  <c r="AF267" i="40"/>
  <c r="AE267" i="40"/>
  <c r="AD267" i="40"/>
  <c r="AC267" i="40"/>
  <c r="AB267" i="40"/>
  <c r="AA267" i="40"/>
  <c r="AJ266" i="40"/>
  <c r="AI266" i="40"/>
  <c r="AH266" i="40"/>
  <c r="AG266" i="40"/>
  <c r="AF266" i="40"/>
  <c r="AE266" i="40"/>
  <c r="AD266" i="40"/>
  <c r="AC266" i="40"/>
  <c r="AB266" i="40"/>
  <c r="AA266" i="40"/>
  <c r="AJ265" i="40"/>
  <c r="AI265" i="40"/>
  <c r="AH265" i="40"/>
  <c r="AG265" i="40"/>
  <c r="AF265" i="40"/>
  <c r="AE265" i="40"/>
  <c r="AD265" i="40"/>
  <c r="AC265" i="40"/>
  <c r="AB265" i="40"/>
  <c r="AA265" i="40"/>
  <c r="AJ264" i="40"/>
  <c r="AI264" i="40"/>
  <c r="AH264" i="40"/>
  <c r="AG264" i="40"/>
  <c r="AF264" i="40"/>
  <c r="AE264" i="40"/>
  <c r="AD264" i="40"/>
  <c r="AC264" i="40"/>
  <c r="AB264" i="40"/>
  <c r="AA264" i="40"/>
  <c r="AJ263" i="40"/>
  <c r="AI263" i="40"/>
  <c r="AH263" i="40"/>
  <c r="AG263" i="40"/>
  <c r="AF263" i="40"/>
  <c r="AE263" i="40"/>
  <c r="AD263" i="40"/>
  <c r="AC263" i="40"/>
  <c r="AB263" i="40"/>
  <c r="AA263" i="40"/>
  <c r="AJ262" i="40"/>
  <c r="AI262" i="40"/>
  <c r="AH262" i="40"/>
  <c r="AG262" i="40"/>
  <c r="AF262" i="40"/>
  <c r="AE262" i="40"/>
  <c r="AD262" i="40"/>
  <c r="AC262" i="40"/>
  <c r="AB262" i="40"/>
  <c r="AA262" i="40"/>
  <c r="AJ261" i="40"/>
  <c r="AI261" i="40"/>
  <c r="AH261" i="40"/>
  <c r="AG261" i="40"/>
  <c r="AF261" i="40"/>
  <c r="AE261" i="40"/>
  <c r="AD261" i="40"/>
  <c r="AC261" i="40"/>
  <c r="AB261" i="40"/>
  <c r="AA261" i="40"/>
  <c r="AJ260" i="40"/>
  <c r="AI260" i="40"/>
  <c r="AH260" i="40"/>
  <c r="AG260" i="40"/>
  <c r="AF260" i="40"/>
  <c r="AE260" i="40"/>
  <c r="AD260" i="40"/>
  <c r="AC260" i="40"/>
  <c r="AB260" i="40"/>
  <c r="AA260" i="40"/>
  <c r="AJ259" i="40"/>
  <c r="AI259" i="40"/>
  <c r="AH259" i="40"/>
  <c r="AG259" i="40"/>
  <c r="AF259" i="40"/>
  <c r="AE259" i="40"/>
  <c r="AD259" i="40"/>
  <c r="AC259" i="40"/>
  <c r="AB259" i="40"/>
  <c r="AA259" i="40"/>
  <c r="AJ258" i="40"/>
  <c r="AI258" i="40"/>
  <c r="AH258" i="40"/>
  <c r="AG258" i="40"/>
  <c r="AF258" i="40"/>
  <c r="AE258" i="40"/>
  <c r="AD258" i="40"/>
  <c r="AC258" i="40"/>
  <c r="AB258" i="40"/>
  <c r="AA258" i="40"/>
  <c r="AJ257" i="40"/>
  <c r="AI257" i="40"/>
  <c r="AH257" i="40"/>
  <c r="AG257" i="40"/>
  <c r="AF257" i="40"/>
  <c r="AE257" i="40"/>
  <c r="AD257" i="40"/>
  <c r="AC257" i="40"/>
  <c r="AB257" i="40"/>
  <c r="AA257" i="40"/>
  <c r="AJ256" i="40"/>
  <c r="AI256" i="40"/>
  <c r="AH256" i="40"/>
  <c r="AG256" i="40"/>
  <c r="AF256" i="40"/>
  <c r="AE256" i="40"/>
  <c r="AD256" i="40"/>
  <c r="AC256" i="40"/>
  <c r="AB256" i="40"/>
  <c r="AA256" i="40"/>
  <c r="AJ255" i="40"/>
  <c r="AI255" i="40"/>
  <c r="AH255" i="40"/>
  <c r="AG255" i="40"/>
  <c r="AF255" i="40"/>
  <c r="AE255" i="40"/>
  <c r="AD255" i="40"/>
  <c r="AC255" i="40"/>
  <c r="AB255" i="40"/>
  <c r="AA255" i="40"/>
  <c r="AJ254" i="40"/>
  <c r="AI254" i="40"/>
  <c r="AH254" i="40"/>
  <c r="AG254" i="40"/>
  <c r="AF254" i="40"/>
  <c r="AE254" i="40"/>
  <c r="AD254" i="40"/>
  <c r="AC254" i="40"/>
  <c r="AB254" i="40"/>
  <c r="AA254" i="40"/>
  <c r="AJ253" i="40"/>
  <c r="AI253" i="40"/>
  <c r="AH253" i="40"/>
  <c r="AG253" i="40"/>
  <c r="AF253" i="40"/>
  <c r="AE253" i="40"/>
  <c r="AD253" i="40"/>
  <c r="AC253" i="40"/>
  <c r="AB253" i="40"/>
  <c r="AA253" i="40"/>
  <c r="AJ252" i="40"/>
  <c r="AI252" i="40"/>
  <c r="AH252" i="40"/>
  <c r="AG252" i="40"/>
  <c r="AF252" i="40"/>
  <c r="AE252" i="40"/>
  <c r="AD252" i="40"/>
  <c r="AC252" i="40"/>
  <c r="AB252" i="40"/>
  <c r="AA252" i="40"/>
  <c r="AJ251" i="40"/>
  <c r="AI251" i="40"/>
  <c r="AH251" i="40"/>
  <c r="AG251" i="40"/>
  <c r="AF251" i="40"/>
  <c r="AE251" i="40"/>
  <c r="AD251" i="40"/>
  <c r="AC251" i="40"/>
  <c r="AB251" i="40"/>
  <c r="AA251" i="40"/>
  <c r="AJ250" i="40"/>
  <c r="AI250" i="40"/>
  <c r="AH250" i="40"/>
  <c r="AG250" i="40"/>
  <c r="AF250" i="40"/>
  <c r="AE250" i="40"/>
  <c r="AD250" i="40"/>
  <c r="AC250" i="40"/>
  <c r="AB250" i="40"/>
  <c r="AA250" i="40"/>
  <c r="AJ249" i="40"/>
  <c r="AI249" i="40"/>
  <c r="AH249" i="40"/>
  <c r="AG249" i="40"/>
  <c r="AF249" i="40"/>
  <c r="AE249" i="40"/>
  <c r="AD249" i="40"/>
  <c r="AC249" i="40"/>
  <c r="AB249" i="40"/>
  <c r="AA249" i="40"/>
  <c r="AJ248" i="40"/>
  <c r="AI248" i="40"/>
  <c r="AH248" i="40"/>
  <c r="AG248" i="40"/>
  <c r="AF248" i="40"/>
  <c r="AE248" i="40"/>
  <c r="AD248" i="40"/>
  <c r="AC248" i="40"/>
  <c r="AB248" i="40"/>
  <c r="AA248" i="40"/>
  <c r="AJ247" i="40"/>
  <c r="AI247" i="40"/>
  <c r="AH247" i="40"/>
  <c r="AG247" i="40"/>
  <c r="AF247" i="40"/>
  <c r="AE247" i="40"/>
  <c r="AD247" i="40"/>
  <c r="AC247" i="40"/>
  <c r="AB247" i="40"/>
  <c r="AA247" i="40"/>
  <c r="AJ246" i="40"/>
  <c r="AI246" i="40"/>
  <c r="AH246" i="40"/>
  <c r="AG246" i="40"/>
  <c r="AF246" i="40"/>
  <c r="AE246" i="40"/>
  <c r="AD246" i="40"/>
  <c r="AC246" i="40"/>
  <c r="AB246" i="40"/>
  <c r="AA246" i="40"/>
  <c r="AJ245" i="40"/>
  <c r="AI245" i="40"/>
  <c r="AH245" i="40"/>
  <c r="AG245" i="40"/>
  <c r="AF245" i="40"/>
  <c r="AE245" i="40"/>
  <c r="AD245" i="40"/>
  <c r="AC245" i="40"/>
  <c r="AB245" i="40"/>
  <c r="AA245" i="40"/>
  <c r="AJ244" i="40"/>
  <c r="AI244" i="40"/>
  <c r="AH244" i="40"/>
  <c r="AG244" i="40"/>
  <c r="AF244" i="40"/>
  <c r="AE244" i="40"/>
  <c r="AD244" i="40"/>
  <c r="AC244" i="40"/>
  <c r="AB244" i="40"/>
  <c r="AA244" i="40"/>
  <c r="AJ243" i="40"/>
  <c r="AI243" i="40"/>
  <c r="AH243" i="40"/>
  <c r="AG243" i="40"/>
  <c r="AF243" i="40"/>
  <c r="AE243" i="40"/>
  <c r="AD243" i="40"/>
  <c r="AC243" i="40"/>
  <c r="AB243" i="40"/>
  <c r="AA243" i="40"/>
  <c r="AJ242" i="40"/>
  <c r="AI242" i="40"/>
  <c r="AH242" i="40"/>
  <c r="AG242" i="40"/>
  <c r="AF242" i="40"/>
  <c r="AE242" i="40"/>
  <c r="AD242" i="40"/>
  <c r="AC242" i="40"/>
  <c r="AB242" i="40"/>
  <c r="AA242" i="40"/>
  <c r="AJ241" i="40"/>
  <c r="AI241" i="40"/>
  <c r="AH241" i="40"/>
  <c r="AG241" i="40"/>
  <c r="AF241" i="40"/>
  <c r="AE241" i="40"/>
  <c r="AD241" i="40"/>
  <c r="AC241" i="40"/>
  <c r="AB241" i="40"/>
  <c r="AA241" i="40"/>
  <c r="AJ240" i="40"/>
  <c r="AI240" i="40"/>
  <c r="AH240" i="40"/>
  <c r="AG240" i="40"/>
  <c r="AF240" i="40"/>
  <c r="AE240" i="40"/>
  <c r="AD240" i="40"/>
  <c r="AC240" i="40"/>
  <c r="AB240" i="40"/>
  <c r="AA240" i="40"/>
  <c r="AJ239" i="40"/>
  <c r="AI239" i="40"/>
  <c r="AH239" i="40"/>
  <c r="AG239" i="40"/>
  <c r="AF239" i="40"/>
  <c r="AE239" i="40"/>
  <c r="AD239" i="40"/>
  <c r="AC239" i="40"/>
  <c r="AB239" i="40"/>
  <c r="AA239" i="40"/>
  <c r="AJ238" i="40"/>
  <c r="AI238" i="40"/>
  <c r="AH238" i="40"/>
  <c r="AG238" i="40"/>
  <c r="AF238" i="40"/>
  <c r="AE238" i="40"/>
  <c r="AD238" i="40"/>
  <c r="AC238" i="40"/>
  <c r="AB238" i="40"/>
  <c r="AA238" i="40"/>
  <c r="AJ237" i="40"/>
  <c r="AI237" i="40"/>
  <c r="AH237" i="40"/>
  <c r="AG237" i="40"/>
  <c r="AF237" i="40"/>
  <c r="AE237" i="40"/>
  <c r="AD237" i="40"/>
  <c r="AC237" i="40"/>
  <c r="AB237" i="40"/>
  <c r="AA237" i="40"/>
  <c r="AJ236" i="40"/>
  <c r="AI236" i="40"/>
  <c r="AH236" i="40"/>
  <c r="AG236" i="40"/>
  <c r="AF236" i="40"/>
  <c r="AE236" i="40"/>
  <c r="AD236" i="40"/>
  <c r="AC236" i="40"/>
  <c r="AB236" i="40"/>
  <c r="AA236" i="40"/>
  <c r="AJ235" i="40"/>
  <c r="AI235" i="40"/>
  <c r="AH235" i="40"/>
  <c r="AG235" i="40"/>
  <c r="AF235" i="40"/>
  <c r="AE235" i="40"/>
  <c r="AD235" i="40"/>
  <c r="AC235" i="40"/>
  <c r="AB235" i="40"/>
  <c r="AA235" i="40"/>
  <c r="AJ234" i="40"/>
  <c r="AI234" i="40"/>
  <c r="AH234" i="40"/>
  <c r="AG234" i="40"/>
  <c r="AF234" i="40"/>
  <c r="AE234" i="40"/>
  <c r="AD234" i="40"/>
  <c r="AC234" i="40"/>
  <c r="AB234" i="40"/>
  <c r="AA234" i="40"/>
  <c r="AJ233" i="40"/>
  <c r="AI233" i="40"/>
  <c r="AH233" i="40"/>
  <c r="AG233" i="40"/>
  <c r="AF233" i="40"/>
  <c r="AE233" i="40"/>
  <c r="AD233" i="40"/>
  <c r="AC233" i="40"/>
  <c r="AB233" i="40"/>
  <c r="AA233" i="40"/>
  <c r="AJ232" i="40"/>
  <c r="AI232" i="40"/>
  <c r="AH232" i="40"/>
  <c r="AG232" i="40"/>
  <c r="AF232" i="40"/>
  <c r="AE232" i="40"/>
  <c r="AD232" i="40"/>
  <c r="AC232" i="40"/>
  <c r="AB232" i="40"/>
  <c r="AA232" i="40"/>
  <c r="AJ231" i="40"/>
  <c r="AI231" i="40"/>
  <c r="AH231" i="40"/>
  <c r="AG231" i="40"/>
  <c r="AF231" i="40"/>
  <c r="AE231" i="40"/>
  <c r="AD231" i="40"/>
  <c r="AC231" i="40"/>
  <c r="AB231" i="40"/>
  <c r="AA231" i="40"/>
  <c r="AJ230" i="40"/>
  <c r="AI230" i="40"/>
  <c r="AH230" i="40"/>
  <c r="AG230" i="40"/>
  <c r="AF230" i="40"/>
  <c r="AE230" i="40"/>
  <c r="AD230" i="40"/>
  <c r="AC230" i="40"/>
  <c r="AB230" i="40"/>
  <c r="AA230" i="40"/>
  <c r="AJ229" i="40"/>
  <c r="AI229" i="40"/>
  <c r="AH229" i="40"/>
  <c r="AG229" i="40"/>
  <c r="AF229" i="40"/>
  <c r="AE229" i="40"/>
  <c r="AD229" i="40"/>
  <c r="AC229" i="40"/>
  <c r="AB229" i="40"/>
  <c r="AA229" i="40"/>
  <c r="AJ228" i="40"/>
  <c r="AI228" i="40"/>
  <c r="AH228" i="40"/>
  <c r="AG228" i="40"/>
  <c r="AF228" i="40"/>
  <c r="AE228" i="40"/>
  <c r="AD228" i="40"/>
  <c r="AC228" i="40"/>
  <c r="AB228" i="40"/>
  <c r="AA228" i="40"/>
  <c r="AJ227" i="40"/>
  <c r="AI227" i="40"/>
  <c r="AH227" i="40"/>
  <c r="AG227" i="40"/>
  <c r="AF227" i="40"/>
  <c r="AE227" i="40"/>
  <c r="AD227" i="40"/>
  <c r="AC227" i="40"/>
  <c r="AB227" i="40"/>
  <c r="AA227" i="40"/>
  <c r="AJ226" i="40"/>
  <c r="AI226" i="40"/>
  <c r="AH226" i="40"/>
  <c r="AG226" i="40"/>
  <c r="AF226" i="40"/>
  <c r="AE226" i="40"/>
  <c r="AD226" i="40"/>
  <c r="AC226" i="40"/>
  <c r="AB226" i="40"/>
  <c r="AA226" i="40"/>
  <c r="AJ225" i="40"/>
  <c r="AI225" i="40"/>
  <c r="AH225" i="40"/>
  <c r="AG225" i="40"/>
  <c r="AF225" i="40"/>
  <c r="AE225" i="40"/>
  <c r="AD225" i="40"/>
  <c r="AC225" i="40"/>
  <c r="AB225" i="40"/>
  <c r="AA225" i="40"/>
  <c r="AJ224" i="40"/>
  <c r="AI224" i="40"/>
  <c r="AH224" i="40"/>
  <c r="AG224" i="40"/>
  <c r="AF224" i="40"/>
  <c r="AE224" i="40"/>
  <c r="AD224" i="40"/>
  <c r="AC224" i="40"/>
  <c r="AB224" i="40"/>
  <c r="AA224" i="40"/>
  <c r="AJ223" i="40"/>
  <c r="AI223" i="40"/>
  <c r="AH223" i="40"/>
  <c r="AG223" i="40"/>
  <c r="AF223" i="40"/>
  <c r="AE223" i="40"/>
  <c r="AD223" i="40"/>
  <c r="AC223" i="40"/>
  <c r="AB223" i="40"/>
  <c r="AA223" i="40"/>
  <c r="AJ222" i="40"/>
  <c r="AI222" i="40"/>
  <c r="AH222" i="40"/>
  <c r="AG222" i="40"/>
  <c r="AF222" i="40"/>
  <c r="AE222" i="40"/>
  <c r="AD222" i="40"/>
  <c r="AC222" i="40"/>
  <c r="AB222" i="40"/>
  <c r="AA222" i="40"/>
  <c r="AJ221" i="40"/>
  <c r="AI221" i="40"/>
  <c r="AH221" i="40"/>
  <c r="AG221" i="40"/>
  <c r="AF221" i="40"/>
  <c r="AE221" i="40"/>
  <c r="AD221" i="40"/>
  <c r="AC221" i="40"/>
  <c r="AB221" i="40"/>
  <c r="AA221" i="40"/>
  <c r="AJ220" i="40"/>
  <c r="AI220" i="40"/>
  <c r="AH220" i="40"/>
  <c r="AG220" i="40"/>
  <c r="AF220" i="40"/>
  <c r="AE220" i="40"/>
  <c r="AD220" i="40"/>
  <c r="AC220" i="40"/>
  <c r="AB220" i="40"/>
  <c r="AA220" i="40"/>
  <c r="AJ219" i="40"/>
  <c r="AI219" i="40"/>
  <c r="AH219" i="40"/>
  <c r="AG219" i="40"/>
  <c r="AF219" i="40"/>
  <c r="AE219" i="40"/>
  <c r="AD219" i="40"/>
  <c r="AC219" i="40"/>
  <c r="AB219" i="40"/>
  <c r="AA219" i="40"/>
  <c r="AJ218" i="40"/>
  <c r="AI218" i="40"/>
  <c r="AH218" i="40"/>
  <c r="AG218" i="40"/>
  <c r="AF218" i="40"/>
  <c r="AE218" i="40"/>
  <c r="AD218" i="40"/>
  <c r="AC218" i="40"/>
  <c r="AB218" i="40"/>
  <c r="AA218" i="40"/>
  <c r="AJ217" i="40"/>
  <c r="AI217" i="40"/>
  <c r="AH217" i="40"/>
  <c r="AG217" i="40"/>
  <c r="AF217" i="40"/>
  <c r="AE217" i="40"/>
  <c r="AD217" i="40"/>
  <c r="AC217" i="40"/>
  <c r="AB217" i="40"/>
  <c r="AA217" i="40"/>
  <c r="AJ216" i="40"/>
  <c r="AI216" i="40"/>
  <c r="AH216" i="40"/>
  <c r="AG216" i="40"/>
  <c r="AF216" i="40"/>
  <c r="AE216" i="40"/>
  <c r="AD216" i="40"/>
  <c r="AC216" i="40"/>
  <c r="AB216" i="40"/>
  <c r="AA216" i="40"/>
  <c r="AJ215" i="40"/>
  <c r="AI215" i="40"/>
  <c r="AH215" i="40"/>
  <c r="AG215" i="40"/>
  <c r="AF215" i="40"/>
  <c r="AE215" i="40"/>
  <c r="AD215" i="40"/>
  <c r="AC215" i="40"/>
  <c r="AB215" i="40"/>
  <c r="AA215" i="40"/>
  <c r="AJ214" i="40"/>
  <c r="AI214" i="40"/>
  <c r="AH214" i="40"/>
  <c r="AG214" i="40"/>
  <c r="AF214" i="40"/>
  <c r="AE214" i="40"/>
  <c r="AD214" i="40"/>
  <c r="AC214" i="40"/>
  <c r="AB214" i="40"/>
  <c r="AA214" i="40"/>
  <c r="AJ213" i="40"/>
  <c r="AI213" i="40"/>
  <c r="AH213" i="40"/>
  <c r="AG213" i="40"/>
  <c r="AF213" i="40"/>
  <c r="AE213" i="40"/>
  <c r="AD213" i="40"/>
  <c r="AC213" i="40"/>
  <c r="AB213" i="40"/>
  <c r="AA213" i="40"/>
  <c r="AJ212" i="40"/>
  <c r="AI212" i="40"/>
  <c r="AH212" i="40"/>
  <c r="AG212" i="40"/>
  <c r="AF212" i="40"/>
  <c r="AE212" i="40"/>
  <c r="AD212" i="40"/>
  <c r="AC212" i="40"/>
  <c r="AB212" i="40"/>
  <c r="AA212" i="40"/>
  <c r="AJ211" i="40"/>
  <c r="AI211" i="40"/>
  <c r="AH211" i="40"/>
  <c r="AG211" i="40"/>
  <c r="AF211" i="40"/>
  <c r="AE211" i="40"/>
  <c r="AD211" i="40"/>
  <c r="AC211" i="40"/>
  <c r="AB211" i="40"/>
  <c r="AA211" i="40"/>
  <c r="AJ210" i="40"/>
  <c r="AI210" i="40"/>
  <c r="AH210" i="40"/>
  <c r="AG210" i="40"/>
  <c r="AF210" i="40"/>
  <c r="AE210" i="40"/>
  <c r="AD210" i="40"/>
  <c r="AC210" i="40"/>
  <c r="AB210" i="40"/>
  <c r="AA210" i="40"/>
  <c r="AJ209" i="40"/>
  <c r="AI209" i="40"/>
  <c r="AH209" i="40"/>
  <c r="AG209" i="40"/>
  <c r="AF209" i="40"/>
  <c r="AE209" i="40"/>
  <c r="AD209" i="40"/>
  <c r="AC209" i="40"/>
  <c r="AB209" i="40"/>
  <c r="AA209" i="40"/>
  <c r="AJ208" i="40"/>
  <c r="AI208" i="40"/>
  <c r="AH208" i="40"/>
  <c r="AG208" i="40"/>
  <c r="AF208" i="40"/>
  <c r="AE208" i="40"/>
  <c r="AD208" i="40"/>
  <c r="AC208" i="40"/>
  <c r="AB208" i="40"/>
  <c r="AA208" i="40"/>
  <c r="AJ207" i="40"/>
  <c r="AI207" i="40"/>
  <c r="AH207" i="40"/>
  <c r="AG207" i="40"/>
  <c r="AF207" i="40"/>
  <c r="AE207" i="40"/>
  <c r="AD207" i="40"/>
  <c r="AC207" i="40"/>
  <c r="AB207" i="40"/>
  <c r="AA207" i="40"/>
  <c r="AJ206" i="40"/>
  <c r="AI206" i="40"/>
  <c r="AH206" i="40"/>
  <c r="AG206" i="40"/>
  <c r="AF206" i="40"/>
  <c r="AE206" i="40"/>
  <c r="AD206" i="40"/>
  <c r="AC206" i="40"/>
  <c r="AB206" i="40"/>
  <c r="AA206" i="40"/>
  <c r="AJ205" i="40"/>
  <c r="AI205" i="40"/>
  <c r="AH205" i="40"/>
  <c r="AG205" i="40"/>
  <c r="AF205" i="40"/>
  <c r="AE205" i="40"/>
  <c r="AD205" i="40"/>
  <c r="AC205" i="40"/>
  <c r="AB205" i="40"/>
  <c r="AA205" i="40"/>
  <c r="AJ204" i="40"/>
  <c r="AI204" i="40"/>
  <c r="AH204" i="40"/>
  <c r="AG204" i="40"/>
  <c r="AF204" i="40"/>
  <c r="AE204" i="40"/>
  <c r="AD204" i="40"/>
  <c r="AC204" i="40"/>
  <c r="AB204" i="40"/>
  <c r="AA204" i="40"/>
  <c r="AJ203" i="40"/>
  <c r="AI203" i="40"/>
  <c r="AH203" i="40"/>
  <c r="AG203" i="40"/>
  <c r="AF203" i="40"/>
  <c r="AE203" i="40"/>
  <c r="AD203" i="40"/>
  <c r="AC203" i="40"/>
  <c r="AB203" i="40"/>
  <c r="AA203" i="40"/>
  <c r="AJ202" i="40"/>
  <c r="AI202" i="40"/>
  <c r="AH202" i="40"/>
  <c r="AG202" i="40"/>
  <c r="AF202" i="40"/>
  <c r="AE202" i="40"/>
  <c r="AD202" i="40"/>
  <c r="AC202" i="40"/>
  <c r="AB202" i="40"/>
  <c r="AA202" i="40"/>
  <c r="AJ201" i="40"/>
  <c r="AI201" i="40"/>
  <c r="AH201" i="40"/>
  <c r="AG201" i="40"/>
  <c r="AF201" i="40"/>
  <c r="AE201" i="40"/>
  <c r="AD201" i="40"/>
  <c r="AC201" i="40"/>
  <c r="AB201" i="40"/>
  <c r="AA201" i="40"/>
  <c r="AJ200" i="40"/>
  <c r="AI200" i="40"/>
  <c r="AH200" i="40"/>
  <c r="AG200" i="40"/>
  <c r="AF200" i="40"/>
  <c r="AE200" i="40"/>
  <c r="AD200" i="40"/>
  <c r="AC200" i="40"/>
  <c r="AB200" i="40"/>
  <c r="AA200" i="40"/>
  <c r="AJ199" i="40"/>
  <c r="AI199" i="40"/>
  <c r="AH199" i="40"/>
  <c r="AG199" i="40"/>
  <c r="AF199" i="40"/>
  <c r="AE199" i="40"/>
  <c r="AD199" i="40"/>
  <c r="AC199" i="40"/>
  <c r="AB199" i="40"/>
  <c r="AA199" i="40"/>
  <c r="AJ198" i="40"/>
  <c r="AI198" i="40"/>
  <c r="AH198" i="40"/>
  <c r="AG198" i="40"/>
  <c r="AF198" i="40"/>
  <c r="AE198" i="40"/>
  <c r="AD198" i="40"/>
  <c r="AC198" i="40"/>
  <c r="AB198" i="40"/>
  <c r="AA198" i="40"/>
  <c r="AJ197" i="40"/>
  <c r="AI197" i="40"/>
  <c r="AH197" i="40"/>
  <c r="AG197" i="40"/>
  <c r="AF197" i="40"/>
  <c r="AE197" i="40"/>
  <c r="AD197" i="40"/>
  <c r="AC197" i="40"/>
  <c r="AB197" i="40"/>
  <c r="AA197" i="40"/>
  <c r="AJ196" i="40"/>
  <c r="AI196" i="40"/>
  <c r="AH196" i="40"/>
  <c r="AG196" i="40"/>
  <c r="AF196" i="40"/>
  <c r="AE196" i="40"/>
  <c r="AD196" i="40"/>
  <c r="AC196" i="40"/>
  <c r="AB196" i="40"/>
  <c r="AA196" i="40"/>
  <c r="AJ195" i="40"/>
  <c r="AI195" i="40"/>
  <c r="AH195" i="40"/>
  <c r="AG195" i="40"/>
  <c r="AF195" i="40"/>
  <c r="AE195" i="40"/>
  <c r="AD195" i="40"/>
  <c r="AC195" i="40"/>
  <c r="AB195" i="40"/>
  <c r="AA195" i="40"/>
  <c r="AJ194" i="40"/>
  <c r="AI194" i="40"/>
  <c r="AH194" i="40"/>
  <c r="AG194" i="40"/>
  <c r="AF194" i="40"/>
  <c r="AE194" i="40"/>
  <c r="AD194" i="40"/>
  <c r="AC194" i="40"/>
  <c r="AB194" i="40"/>
  <c r="AA194" i="40"/>
  <c r="AJ193" i="40"/>
  <c r="AI193" i="40"/>
  <c r="AH193" i="40"/>
  <c r="AG193" i="40"/>
  <c r="AF193" i="40"/>
  <c r="AE193" i="40"/>
  <c r="AD193" i="40"/>
  <c r="AC193" i="40"/>
  <c r="AB193" i="40"/>
  <c r="AA193" i="40"/>
  <c r="AJ192" i="40"/>
  <c r="AI192" i="40"/>
  <c r="AH192" i="40"/>
  <c r="AG192" i="40"/>
  <c r="AF192" i="40"/>
  <c r="AE192" i="40"/>
  <c r="AD192" i="40"/>
  <c r="AC192" i="40"/>
  <c r="AB192" i="40"/>
  <c r="AA192" i="40"/>
  <c r="AJ191" i="40"/>
  <c r="AI191" i="40"/>
  <c r="AH191" i="40"/>
  <c r="AG191" i="40"/>
  <c r="AF191" i="40"/>
  <c r="AE191" i="40"/>
  <c r="AD191" i="40"/>
  <c r="AC191" i="40"/>
  <c r="AB191" i="40"/>
  <c r="AA191" i="40"/>
  <c r="AJ190" i="40"/>
  <c r="AI190" i="40"/>
  <c r="AH190" i="40"/>
  <c r="AG190" i="40"/>
  <c r="AF190" i="40"/>
  <c r="AE190" i="40"/>
  <c r="AD190" i="40"/>
  <c r="AC190" i="40"/>
  <c r="AB190" i="40"/>
  <c r="AA190" i="40"/>
  <c r="AJ189" i="40"/>
  <c r="AI189" i="40"/>
  <c r="AH189" i="40"/>
  <c r="AG189" i="40"/>
  <c r="AF189" i="40"/>
  <c r="AE189" i="40"/>
  <c r="AD189" i="40"/>
  <c r="AC189" i="40"/>
  <c r="AB189" i="40"/>
  <c r="AA189" i="40"/>
  <c r="AJ188" i="40"/>
  <c r="AI188" i="40"/>
  <c r="AH188" i="40"/>
  <c r="AG188" i="40"/>
  <c r="AF188" i="40"/>
  <c r="AE188" i="40"/>
  <c r="AD188" i="40"/>
  <c r="AC188" i="40"/>
  <c r="AB188" i="40"/>
  <c r="AA188" i="40"/>
  <c r="AJ187" i="40"/>
  <c r="AI187" i="40"/>
  <c r="AH187" i="40"/>
  <c r="AG187" i="40"/>
  <c r="AF187" i="40"/>
  <c r="AE187" i="40"/>
  <c r="AD187" i="40"/>
  <c r="AC187" i="40"/>
  <c r="AB187" i="40"/>
  <c r="AA187" i="40"/>
  <c r="AJ186" i="40"/>
  <c r="AI186" i="40"/>
  <c r="AH186" i="40"/>
  <c r="AG186" i="40"/>
  <c r="AF186" i="40"/>
  <c r="AE186" i="40"/>
  <c r="AD186" i="40"/>
  <c r="AC186" i="40"/>
  <c r="AB186" i="40"/>
  <c r="AA186" i="40"/>
  <c r="AJ185" i="40"/>
  <c r="AI185" i="40"/>
  <c r="AH185" i="40"/>
  <c r="AG185" i="40"/>
  <c r="AF185" i="40"/>
  <c r="AE185" i="40"/>
  <c r="AD185" i="40"/>
  <c r="AC185" i="40"/>
  <c r="AB185" i="40"/>
  <c r="AA185" i="40"/>
  <c r="AJ184" i="40"/>
  <c r="AI184" i="40"/>
  <c r="AH184" i="40"/>
  <c r="AG184" i="40"/>
  <c r="AF184" i="40"/>
  <c r="AE184" i="40"/>
  <c r="AD184" i="40"/>
  <c r="AC184" i="40"/>
  <c r="AB184" i="40"/>
  <c r="AA184" i="40"/>
  <c r="AJ183" i="40"/>
  <c r="AI183" i="40"/>
  <c r="AH183" i="40"/>
  <c r="AG183" i="40"/>
  <c r="AF183" i="40"/>
  <c r="AE183" i="40"/>
  <c r="AD183" i="40"/>
  <c r="AC183" i="40"/>
  <c r="AB183" i="40"/>
  <c r="AA183" i="40"/>
  <c r="AJ182" i="40"/>
  <c r="AI182" i="40"/>
  <c r="AH182" i="40"/>
  <c r="AG182" i="40"/>
  <c r="AF182" i="40"/>
  <c r="AE182" i="40"/>
  <c r="AD182" i="40"/>
  <c r="AC182" i="40"/>
  <c r="AB182" i="40"/>
  <c r="AA182" i="40"/>
  <c r="AJ181" i="40"/>
  <c r="AI181" i="40"/>
  <c r="AH181" i="40"/>
  <c r="AG181" i="40"/>
  <c r="AF181" i="40"/>
  <c r="AE181" i="40"/>
  <c r="AD181" i="40"/>
  <c r="AC181" i="40"/>
  <c r="AB181" i="40"/>
  <c r="AA181" i="40"/>
  <c r="AJ180" i="40"/>
  <c r="AI180" i="40"/>
  <c r="AH180" i="40"/>
  <c r="AG180" i="40"/>
  <c r="AF180" i="40"/>
  <c r="AE180" i="40"/>
  <c r="AD180" i="40"/>
  <c r="AC180" i="40"/>
  <c r="AB180" i="40"/>
  <c r="AA180" i="40"/>
  <c r="AJ179" i="40"/>
  <c r="AI179" i="40"/>
  <c r="AH179" i="40"/>
  <c r="AG179" i="40"/>
  <c r="AF179" i="40"/>
  <c r="AE179" i="40"/>
  <c r="AD179" i="40"/>
  <c r="AC179" i="40"/>
  <c r="AB179" i="40"/>
  <c r="AA179" i="40"/>
  <c r="AJ178" i="40"/>
  <c r="AI178" i="40"/>
  <c r="AH178" i="40"/>
  <c r="AG178" i="40"/>
  <c r="AF178" i="40"/>
  <c r="AE178" i="40"/>
  <c r="AD178" i="40"/>
  <c r="AC178" i="40"/>
  <c r="AB178" i="40"/>
  <c r="AA178" i="40"/>
  <c r="AJ177" i="40"/>
  <c r="AI177" i="40"/>
  <c r="AH177" i="40"/>
  <c r="AG177" i="40"/>
  <c r="AF177" i="40"/>
  <c r="AE177" i="40"/>
  <c r="AD177" i="40"/>
  <c r="AC177" i="40"/>
  <c r="AB177" i="40"/>
  <c r="AA177" i="40"/>
  <c r="AJ176" i="40"/>
  <c r="AI176" i="40"/>
  <c r="AH176" i="40"/>
  <c r="AG176" i="40"/>
  <c r="AF176" i="40"/>
  <c r="AE176" i="40"/>
  <c r="AD176" i="40"/>
  <c r="AC176" i="40"/>
  <c r="AB176" i="40"/>
  <c r="AA176" i="40"/>
  <c r="AJ175" i="40"/>
  <c r="AI175" i="40"/>
  <c r="AH175" i="40"/>
  <c r="AG175" i="40"/>
  <c r="AF175" i="40"/>
  <c r="AE175" i="40"/>
  <c r="AD175" i="40"/>
  <c r="AC175" i="40"/>
  <c r="AB175" i="40"/>
  <c r="AA175" i="40"/>
  <c r="AJ174" i="40"/>
  <c r="AI174" i="40"/>
  <c r="AH174" i="40"/>
  <c r="AG174" i="40"/>
  <c r="AF174" i="40"/>
  <c r="AE174" i="40"/>
  <c r="AD174" i="40"/>
  <c r="AC174" i="40"/>
  <c r="AB174" i="40"/>
  <c r="AA174" i="40"/>
  <c r="AJ173" i="40"/>
  <c r="AI173" i="40"/>
  <c r="AH173" i="40"/>
  <c r="AG173" i="40"/>
  <c r="AF173" i="40"/>
  <c r="AE173" i="40"/>
  <c r="AD173" i="40"/>
  <c r="AC173" i="40"/>
  <c r="AB173" i="40"/>
  <c r="AA173" i="40"/>
  <c r="AJ172" i="40"/>
  <c r="AI172" i="40"/>
  <c r="AH172" i="40"/>
  <c r="AG172" i="40"/>
  <c r="AF172" i="40"/>
  <c r="AE172" i="40"/>
  <c r="AD172" i="40"/>
  <c r="AC172" i="40"/>
  <c r="AB172" i="40"/>
  <c r="AA172" i="40"/>
  <c r="AJ171" i="40"/>
  <c r="AI171" i="40"/>
  <c r="AH171" i="40"/>
  <c r="AG171" i="40"/>
  <c r="AF171" i="40"/>
  <c r="AE171" i="40"/>
  <c r="AD171" i="40"/>
  <c r="AC171" i="40"/>
  <c r="AB171" i="40"/>
  <c r="AA171" i="40"/>
  <c r="AJ170" i="40"/>
  <c r="AI170" i="40"/>
  <c r="AH170" i="40"/>
  <c r="AG170" i="40"/>
  <c r="AF170" i="40"/>
  <c r="AE170" i="40"/>
  <c r="AD170" i="40"/>
  <c r="AC170" i="40"/>
  <c r="AB170" i="40"/>
  <c r="AA170" i="40"/>
  <c r="AJ169" i="40"/>
  <c r="AI169" i="40"/>
  <c r="AH169" i="40"/>
  <c r="AG169" i="40"/>
  <c r="AF169" i="40"/>
  <c r="AE169" i="40"/>
  <c r="AD169" i="40"/>
  <c r="AC169" i="40"/>
  <c r="AB169" i="40"/>
  <c r="AA169" i="40"/>
  <c r="AJ168" i="40"/>
  <c r="AI168" i="40"/>
  <c r="AH168" i="40"/>
  <c r="AG168" i="40"/>
  <c r="AF168" i="40"/>
  <c r="AE168" i="40"/>
  <c r="AD168" i="40"/>
  <c r="AC168" i="40"/>
  <c r="AB168" i="40"/>
  <c r="AA168" i="40"/>
  <c r="AJ167" i="40"/>
  <c r="AI167" i="40"/>
  <c r="AH167" i="40"/>
  <c r="AG167" i="40"/>
  <c r="AF167" i="40"/>
  <c r="AE167" i="40"/>
  <c r="AD167" i="40"/>
  <c r="AC167" i="40"/>
  <c r="AB167" i="40"/>
  <c r="AA167" i="40"/>
  <c r="AJ166" i="40"/>
  <c r="AI166" i="40"/>
  <c r="AH166" i="40"/>
  <c r="AG166" i="40"/>
  <c r="AF166" i="40"/>
  <c r="AE166" i="40"/>
  <c r="AD166" i="40"/>
  <c r="AC166" i="40"/>
  <c r="AB166" i="40"/>
  <c r="AA166" i="40"/>
  <c r="AJ165" i="40"/>
  <c r="AI165" i="40"/>
  <c r="AH165" i="40"/>
  <c r="AG165" i="40"/>
  <c r="AF165" i="40"/>
  <c r="AE165" i="40"/>
  <c r="AD165" i="40"/>
  <c r="AC165" i="40"/>
  <c r="AB165" i="40"/>
  <c r="AA165" i="40"/>
  <c r="AJ164" i="40"/>
  <c r="AI164" i="40"/>
  <c r="AH164" i="40"/>
  <c r="AG164" i="40"/>
  <c r="AF164" i="40"/>
  <c r="AE164" i="40"/>
  <c r="AD164" i="40"/>
  <c r="AC164" i="40"/>
  <c r="AB164" i="40"/>
  <c r="AA164" i="40"/>
  <c r="AJ163" i="40"/>
  <c r="AI163" i="40"/>
  <c r="AH163" i="40"/>
  <c r="AG163" i="40"/>
  <c r="AF163" i="40"/>
  <c r="AE163" i="40"/>
  <c r="AD163" i="40"/>
  <c r="AC163" i="40"/>
  <c r="AB163" i="40"/>
  <c r="AA163" i="40"/>
  <c r="AJ162" i="40"/>
  <c r="AI162" i="40"/>
  <c r="AH162" i="40"/>
  <c r="AG162" i="40"/>
  <c r="AF162" i="40"/>
  <c r="AE162" i="40"/>
  <c r="AD162" i="40"/>
  <c r="AC162" i="40"/>
  <c r="AB162" i="40"/>
  <c r="AA162" i="40"/>
  <c r="AJ161" i="40"/>
  <c r="AI161" i="40"/>
  <c r="AH161" i="40"/>
  <c r="AG161" i="40"/>
  <c r="AF161" i="40"/>
  <c r="AE161" i="40"/>
  <c r="AD161" i="40"/>
  <c r="AC161" i="40"/>
  <c r="AB161" i="40"/>
  <c r="AA161" i="40"/>
  <c r="AJ160" i="40"/>
  <c r="AI160" i="40"/>
  <c r="AH160" i="40"/>
  <c r="AG160" i="40"/>
  <c r="AF160" i="40"/>
  <c r="AE160" i="40"/>
  <c r="AD160" i="40"/>
  <c r="AC160" i="40"/>
  <c r="AB160" i="40"/>
  <c r="AA160" i="40"/>
  <c r="AJ159" i="40"/>
  <c r="AI159" i="40"/>
  <c r="AH159" i="40"/>
  <c r="AG159" i="40"/>
  <c r="AF159" i="40"/>
  <c r="AE159" i="40"/>
  <c r="AD159" i="40"/>
  <c r="AC159" i="40"/>
  <c r="AB159" i="40"/>
  <c r="AA159" i="40"/>
  <c r="AJ158" i="40"/>
  <c r="AI158" i="40"/>
  <c r="AH158" i="40"/>
  <c r="AG158" i="40"/>
  <c r="AF158" i="40"/>
  <c r="AE158" i="40"/>
  <c r="AD158" i="40"/>
  <c r="AC158" i="40"/>
  <c r="AB158" i="40"/>
  <c r="AA158" i="40"/>
  <c r="AJ157" i="40"/>
  <c r="AI157" i="40"/>
  <c r="AH157" i="40"/>
  <c r="AG157" i="40"/>
  <c r="AF157" i="40"/>
  <c r="AE157" i="40"/>
  <c r="AD157" i="40"/>
  <c r="AC157" i="40"/>
  <c r="AB157" i="40"/>
  <c r="AA157" i="40"/>
  <c r="AJ156" i="40"/>
  <c r="AI156" i="40"/>
  <c r="AH156" i="40"/>
  <c r="AG156" i="40"/>
  <c r="AF156" i="40"/>
  <c r="AE156" i="40"/>
  <c r="AD156" i="40"/>
  <c r="AC156" i="40"/>
  <c r="AB156" i="40"/>
  <c r="AA156" i="40"/>
  <c r="AJ155" i="40"/>
  <c r="AI155" i="40"/>
  <c r="AH155" i="40"/>
  <c r="AG155" i="40"/>
  <c r="AF155" i="40"/>
  <c r="AE155" i="40"/>
  <c r="AD155" i="40"/>
  <c r="AC155" i="40"/>
  <c r="AB155" i="40"/>
  <c r="AA155" i="40"/>
  <c r="AJ154" i="40"/>
  <c r="AI154" i="40"/>
  <c r="AH154" i="40"/>
  <c r="AG154" i="40"/>
  <c r="AF154" i="40"/>
  <c r="AE154" i="40"/>
  <c r="AD154" i="40"/>
  <c r="AC154" i="40"/>
  <c r="AB154" i="40"/>
  <c r="AA154" i="40"/>
  <c r="AJ153" i="40"/>
  <c r="AI153" i="40"/>
  <c r="AH153" i="40"/>
  <c r="AG153" i="40"/>
  <c r="AF153" i="40"/>
  <c r="AE153" i="40"/>
  <c r="AD153" i="40"/>
  <c r="AC153" i="40"/>
  <c r="AB153" i="40"/>
  <c r="AA153" i="40"/>
  <c r="AJ152" i="40"/>
  <c r="AI152" i="40"/>
  <c r="AH152" i="40"/>
  <c r="AG152" i="40"/>
  <c r="AF152" i="40"/>
  <c r="AE152" i="40"/>
  <c r="AD152" i="40"/>
  <c r="AC152" i="40"/>
  <c r="AB152" i="40"/>
  <c r="AA152" i="40"/>
  <c r="AJ151" i="40"/>
  <c r="AI151" i="40"/>
  <c r="AH151" i="40"/>
  <c r="AG151" i="40"/>
  <c r="AF151" i="40"/>
  <c r="AE151" i="40"/>
  <c r="AD151" i="40"/>
  <c r="AC151" i="40"/>
  <c r="AB151" i="40"/>
  <c r="AA151" i="40"/>
  <c r="AJ150" i="40"/>
  <c r="AI150" i="40"/>
  <c r="AH150" i="40"/>
  <c r="AG150" i="40"/>
  <c r="AF150" i="40"/>
  <c r="AE150" i="40"/>
  <c r="AD150" i="40"/>
  <c r="AC150" i="40"/>
  <c r="AB150" i="40"/>
  <c r="AA150" i="40"/>
  <c r="AJ149" i="40"/>
  <c r="AI149" i="40"/>
  <c r="AH149" i="40"/>
  <c r="AG149" i="40"/>
  <c r="AF149" i="40"/>
  <c r="AE149" i="40"/>
  <c r="AD149" i="40"/>
  <c r="AC149" i="40"/>
  <c r="AB149" i="40"/>
  <c r="AA149" i="40"/>
  <c r="AJ148" i="40"/>
  <c r="AI148" i="40"/>
  <c r="AH148" i="40"/>
  <c r="AG148" i="40"/>
  <c r="AF148" i="40"/>
  <c r="AE148" i="40"/>
  <c r="AD148" i="40"/>
  <c r="AC148" i="40"/>
  <c r="AB148" i="40"/>
  <c r="AA148" i="40"/>
  <c r="AJ147" i="40"/>
  <c r="AI147" i="40"/>
  <c r="AH147" i="40"/>
  <c r="AG147" i="40"/>
  <c r="AF147" i="40"/>
  <c r="AE147" i="40"/>
  <c r="AD147" i="40"/>
  <c r="AC147" i="40"/>
  <c r="AB147" i="40"/>
  <c r="AA147" i="40"/>
  <c r="AJ146" i="40"/>
  <c r="AI146" i="40"/>
  <c r="AH146" i="40"/>
  <c r="AG146" i="40"/>
  <c r="AF146" i="40"/>
  <c r="AE146" i="40"/>
  <c r="AD146" i="40"/>
  <c r="AC146" i="40"/>
  <c r="AB146" i="40"/>
  <c r="AA146" i="40"/>
  <c r="AJ145" i="40"/>
  <c r="AI145" i="40"/>
  <c r="AH145" i="40"/>
  <c r="AG145" i="40"/>
  <c r="AF145" i="40"/>
  <c r="AE145" i="40"/>
  <c r="AD145" i="40"/>
  <c r="AC145" i="40"/>
  <c r="AB145" i="40"/>
  <c r="AA145" i="40"/>
  <c r="AJ144" i="40"/>
  <c r="AI144" i="40"/>
  <c r="AH144" i="40"/>
  <c r="AG144" i="40"/>
  <c r="AF144" i="40"/>
  <c r="AE144" i="40"/>
  <c r="AD144" i="40"/>
  <c r="AC144" i="40"/>
  <c r="AB144" i="40"/>
  <c r="AA144" i="40"/>
  <c r="AJ143" i="40"/>
  <c r="AI143" i="40"/>
  <c r="AH143" i="40"/>
  <c r="AG143" i="40"/>
  <c r="AF143" i="40"/>
  <c r="AE143" i="40"/>
  <c r="AD143" i="40"/>
  <c r="AC143" i="40"/>
  <c r="AB143" i="40"/>
  <c r="AA143" i="40"/>
  <c r="AJ142" i="40"/>
  <c r="AI142" i="40"/>
  <c r="AH142" i="40"/>
  <c r="AG142" i="40"/>
  <c r="AF142" i="40"/>
  <c r="AE142" i="40"/>
  <c r="AD142" i="40"/>
  <c r="AC142" i="40"/>
  <c r="AB142" i="40"/>
  <c r="AA142" i="40"/>
  <c r="AJ141" i="40"/>
  <c r="AI141" i="40"/>
  <c r="AH141" i="40"/>
  <c r="AG141" i="40"/>
  <c r="AF141" i="40"/>
  <c r="AE141" i="40"/>
  <c r="AD141" i="40"/>
  <c r="AC141" i="40"/>
  <c r="AB141" i="40"/>
  <c r="AA141" i="40"/>
  <c r="AJ140" i="40"/>
  <c r="AI140" i="40"/>
  <c r="AH140" i="40"/>
  <c r="AG140" i="40"/>
  <c r="AF140" i="40"/>
  <c r="AE140" i="40"/>
  <c r="AD140" i="40"/>
  <c r="AC140" i="40"/>
  <c r="AB140" i="40"/>
  <c r="AA140" i="40"/>
  <c r="AJ139" i="40"/>
  <c r="AI139" i="40"/>
  <c r="AH139" i="40"/>
  <c r="AG139" i="40"/>
  <c r="AF139" i="40"/>
  <c r="AE139" i="40"/>
  <c r="AD139" i="40"/>
  <c r="AC139" i="40"/>
  <c r="AB139" i="40"/>
  <c r="AA139" i="40"/>
  <c r="AJ138" i="40"/>
  <c r="AI138" i="40"/>
  <c r="AH138" i="40"/>
  <c r="AG138" i="40"/>
  <c r="AF138" i="40"/>
  <c r="AE138" i="40"/>
  <c r="AD138" i="40"/>
  <c r="AC138" i="40"/>
  <c r="AB138" i="40"/>
  <c r="AA138" i="40"/>
  <c r="AJ137" i="40"/>
  <c r="AI137" i="40"/>
  <c r="AH137" i="40"/>
  <c r="AG137" i="40"/>
  <c r="AF137" i="40"/>
  <c r="AE137" i="40"/>
  <c r="AD137" i="40"/>
  <c r="AC137" i="40"/>
  <c r="AB137" i="40"/>
  <c r="AA137" i="40"/>
  <c r="AJ136" i="40"/>
  <c r="AI136" i="40"/>
  <c r="AH136" i="40"/>
  <c r="AG136" i="40"/>
  <c r="AF136" i="40"/>
  <c r="AE136" i="40"/>
  <c r="AD136" i="40"/>
  <c r="AC136" i="40"/>
  <c r="AB136" i="40"/>
  <c r="AA136" i="40"/>
  <c r="AJ135" i="40"/>
  <c r="AI135" i="40"/>
  <c r="AH135" i="40"/>
  <c r="AG135" i="40"/>
  <c r="AF135" i="40"/>
  <c r="AE135" i="40"/>
  <c r="AD135" i="40"/>
  <c r="AC135" i="40"/>
  <c r="AB135" i="40"/>
  <c r="AA135" i="40"/>
  <c r="AJ134" i="40"/>
  <c r="AI134" i="40"/>
  <c r="AH134" i="40"/>
  <c r="AG134" i="40"/>
  <c r="AF134" i="40"/>
  <c r="AE134" i="40"/>
  <c r="AD134" i="40"/>
  <c r="AC134" i="40"/>
  <c r="AB134" i="40"/>
  <c r="AA134" i="40"/>
  <c r="AJ133" i="40"/>
  <c r="AI133" i="40"/>
  <c r="AH133" i="40"/>
  <c r="AG133" i="40"/>
  <c r="AF133" i="40"/>
  <c r="AE133" i="40"/>
  <c r="AD133" i="40"/>
  <c r="AC133" i="40"/>
  <c r="AB133" i="40"/>
  <c r="AA133" i="40"/>
  <c r="AJ132" i="40"/>
  <c r="AI132" i="40"/>
  <c r="AH132" i="40"/>
  <c r="AG132" i="40"/>
  <c r="AF132" i="40"/>
  <c r="AE132" i="40"/>
  <c r="AD132" i="40"/>
  <c r="AC132" i="40"/>
  <c r="AB132" i="40"/>
  <c r="AA132" i="40"/>
  <c r="AJ131" i="40"/>
  <c r="AI131" i="40"/>
  <c r="AH131" i="40"/>
  <c r="AG131" i="40"/>
  <c r="AF131" i="40"/>
  <c r="AE131" i="40"/>
  <c r="AD131" i="40"/>
  <c r="AC131" i="40"/>
  <c r="AB131" i="40"/>
  <c r="AA131" i="40"/>
  <c r="AJ130" i="40"/>
  <c r="AI130" i="40"/>
  <c r="AH130" i="40"/>
  <c r="AG130" i="40"/>
  <c r="AF130" i="40"/>
  <c r="AE130" i="40"/>
  <c r="AD130" i="40"/>
  <c r="AC130" i="40"/>
  <c r="AB130" i="40"/>
  <c r="AA130" i="40"/>
  <c r="AJ129" i="40"/>
  <c r="AI129" i="40"/>
  <c r="AH129" i="40"/>
  <c r="AG129" i="40"/>
  <c r="AF129" i="40"/>
  <c r="AE129" i="40"/>
  <c r="AD129" i="40"/>
  <c r="AC129" i="40"/>
  <c r="AB129" i="40"/>
  <c r="AA129" i="40"/>
  <c r="AJ128" i="40"/>
  <c r="AI128" i="40"/>
  <c r="AH128" i="40"/>
  <c r="AG128" i="40"/>
  <c r="AF128" i="40"/>
  <c r="AE128" i="40"/>
  <c r="AD128" i="40"/>
  <c r="AC128" i="40"/>
  <c r="AB128" i="40"/>
  <c r="AA128" i="40"/>
  <c r="AJ127" i="40"/>
  <c r="AI127" i="40"/>
  <c r="AH127" i="40"/>
  <c r="AG127" i="40"/>
  <c r="AF127" i="40"/>
  <c r="AE127" i="40"/>
  <c r="AD127" i="40"/>
  <c r="AC127" i="40"/>
  <c r="AB127" i="40"/>
  <c r="AA127" i="40"/>
  <c r="AJ126" i="40"/>
  <c r="AI126" i="40"/>
  <c r="AH126" i="40"/>
  <c r="AG126" i="40"/>
  <c r="AF126" i="40"/>
  <c r="AE126" i="40"/>
  <c r="AD126" i="40"/>
  <c r="AC126" i="40"/>
  <c r="AB126" i="40"/>
  <c r="AA126" i="40"/>
  <c r="AJ125" i="40"/>
  <c r="AI125" i="40"/>
  <c r="AH125" i="40"/>
  <c r="AG125" i="40"/>
  <c r="AF125" i="40"/>
  <c r="AE125" i="40"/>
  <c r="AD125" i="40"/>
  <c r="AC125" i="40"/>
  <c r="AB125" i="40"/>
  <c r="AA125" i="40"/>
  <c r="AJ124" i="40"/>
  <c r="AI124" i="40"/>
  <c r="AH124" i="40"/>
  <c r="AG124" i="40"/>
  <c r="AF124" i="40"/>
  <c r="AE124" i="40"/>
  <c r="AD124" i="40"/>
  <c r="AC124" i="40"/>
  <c r="AB124" i="40"/>
  <c r="AA124" i="40"/>
  <c r="AJ123" i="40"/>
  <c r="AI123" i="40"/>
  <c r="AH123" i="40"/>
  <c r="AG123" i="40"/>
  <c r="AF123" i="40"/>
  <c r="AE123" i="40"/>
  <c r="AD123" i="40"/>
  <c r="AC123" i="40"/>
  <c r="AB123" i="40"/>
  <c r="AA123" i="40"/>
  <c r="AJ122" i="40"/>
  <c r="AI122" i="40"/>
  <c r="AH122" i="40"/>
  <c r="AG122" i="40"/>
  <c r="AF122" i="40"/>
  <c r="AE122" i="40"/>
  <c r="AD122" i="40"/>
  <c r="AC122" i="40"/>
  <c r="AB122" i="40"/>
  <c r="AA122" i="40"/>
  <c r="AJ121" i="40"/>
  <c r="AI121" i="40"/>
  <c r="AH121" i="40"/>
  <c r="AG121" i="40"/>
  <c r="AF121" i="40"/>
  <c r="AE121" i="40"/>
  <c r="AD121" i="40"/>
  <c r="AC121" i="40"/>
  <c r="AB121" i="40"/>
  <c r="AA121" i="40"/>
  <c r="AJ120" i="40"/>
  <c r="AI120" i="40"/>
  <c r="AH120" i="40"/>
  <c r="AG120" i="40"/>
  <c r="AF120" i="40"/>
  <c r="AE120" i="40"/>
  <c r="AD120" i="40"/>
  <c r="AC120" i="40"/>
  <c r="AB120" i="40"/>
  <c r="AA120" i="40"/>
  <c r="AJ119" i="40"/>
  <c r="AI119" i="40"/>
  <c r="AH119" i="40"/>
  <c r="AG119" i="40"/>
  <c r="AF119" i="40"/>
  <c r="AE119" i="40"/>
  <c r="AD119" i="40"/>
  <c r="AC119" i="40"/>
  <c r="AB119" i="40"/>
  <c r="AA119" i="40"/>
  <c r="AJ118" i="40"/>
  <c r="AI118" i="40"/>
  <c r="AH118" i="40"/>
  <c r="AG118" i="40"/>
  <c r="AF118" i="40"/>
  <c r="AE118" i="40"/>
  <c r="AD118" i="40"/>
  <c r="AC118" i="40"/>
  <c r="AB118" i="40"/>
  <c r="AA118" i="40"/>
  <c r="AJ117" i="40"/>
  <c r="AI117" i="40"/>
  <c r="AH117" i="40"/>
  <c r="AG117" i="40"/>
  <c r="AF117" i="40"/>
  <c r="AE117" i="40"/>
  <c r="AD117" i="40"/>
  <c r="AC117" i="40"/>
  <c r="AB117" i="40"/>
  <c r="AA117" i="40"/>
  <c r="AJ116" i="40"/>
  <c r="AI116" i="40"/>
  <c r="AH116" i="40"/>
  <c r="AG116" i="40"/>
  <c r="AF116" i="40"/>
  <c r="AE116" i="40"/>
  <c r="AD116" i="40"/>
  <c r="AC116" i="40"/>
  <c r="AB116" i="40"/>
  <c r="AA116" i="40"/>
  <c r="AJ115" i="40"/>
  <c r="AI115" i="40"/>
  <c r="AH115" i="40"/>
  <c r="AG115" i="40"/>
  <c r="AF115" i="40"/>
  <c r="AE115" i="40"/>
  <c r="AD115" i="40"/>
  <c r="AC115" i="40"/>
  <c r="AB115" i="40"/>
  <c r="AA115" i="40"/>
  <c r="AJ114" i="40"/>
  <c r="AI114" i="40"/>
  <c r="AH114" i="40"/>
  <c r="AG114" i="40"/>
  <c r="AF114" i="40"/>
  <c r="AE114" i="40"/>
  <c r="AD114" i="40"/>
  <c r="AC114" i="40"/>
  <c r="AB114" i="40"/>
  <c r="AA114" i="40"/>
  <c r="AJ113" i="40"/>
  <c r="AI113" i="40"/>
  <c r="AH113" i="40"/>
  <c r="AG113" i="40"/>
  <c r="AF113" i="40"/>
  <c r="AE113" i="40"/>
  <c r="AD113" i="40"/>
  <c r="AC113" i="40"/>
  <c r="AB113" i="40"/>
  <c r="AA113" i="40"/>
  <c r="AJ112" i="40"/>
  <c r="AI112" i="40"/>
  <c r="AH112" i="40"/>
  <c r="AG112" i="40"/>
  <c r="AF112" i="40"/>
  <c r="AE112" i="40"/>
  <c r="AD112" i="40"/>
  <c r="AC112" i="40"/>
  <c r="AB112" i="40"/>
  <c r="AA112" i="40"/>
  <c r="AJ111" i="40"/>
  <c r="AI111" i="40"/>
  <c r="AH111" i="40"/>
  <c r="AG111" i="40"/>
  <c r="AF111" i="40"/>
  <c r="AE111" i="40"/>
  <c r="AD111" i="40"/>
  <c r="AC111" i="40"/>
  <c r="AB111" i="40"/>
  <c r="AA111" i="40"/>
  <c r="AJ110" i="40"/>
  <c r="AI110" i="40"/>
  <c r="AH110" i="40"/>
  <c r="AG110" i="40"/>
  <c r="AF110" i="40"/>
  <c r="AE110" i="40"/>
  <c r="AD110" i="40"/>
  <c r="AC110" i="40"/>
  <c r="AB110" i="40"/>
  <c r="AA110" i="40"/>
  <c r="AJ109" i="40"/>
  <c r="AI109" i="40"/>
  <c r="AH109" i="40"/>
  <c r="AG109" i="40"/>
  <c r="AF109" i="40"/>
  <c r="AE109" i="40"/>
  <c r="AD109" i="40"/>
  <c r="AC109" i="40"/>
  <c r="AB109" i="40"/>
  <c r="AA109" i="40"/>
  <c r="AJ108" i="40"/>
  <c r="AI108" i="40"/>
  <c r="AH108" i="40"/>
  <c r="AG108" i="40"/>
  <c r="AF108" i="40"/>
  <c r="AE108" i="40"/>
  <c r="AD108" i="40"/>
  <c r="AC108" i="40"/>
  <c r="AB108" i="40"/>
  <c r="AA108" i="40"/>
  <c r="AJ107" i="40"/>
  <c r="AI107" i="40"/>
  <c r="AH107" i="40"/>
  <c r="AG107" i="40"/>
  <c r="AF107" i="40"/>
  <c r="AE107" i="40"/>
  <c r="AD107" i="40"/>
  <c r="AC107" i="40"/>
  <c r="AB107" i="40"/>
  <c r="AA107" i="40"/>
  <c r="AJ106" i="40"/>
  <c r="AI106" i="40"/>
  <c r="AH106" i="40"/>
  <c r="AG106" i="40"/>
  <c r="AF106" i="40"/>
  <c r="AE106" i="40"/>
  <c r="AD106" i="40"/>
  <c r="AC106" i="40"/>
  <c r="AB106" i="40"/>
  <c r="AA106" i="40"/>
  <c r="AJ105" i="40"/>
  <c r="AI105" i="40"/>
  <c r="AH105" i="40"/>
  <c r="AG105" i="40"/>
  <c r="AF105" i="40"/>
  <c r="AE105" i="40"/>
  <c r="AD105" i="40"/>
  <c r="AC105" i="40"/>
  <c r="AB105" i="40"/>
  <c r="AA105" i="40"/>
  <c r="AJ104" i="40"/>
  <c r="AI104" i="40"/>
  <c r="AH104" i="40"/>
  <c r="AG104" i="40"/>
  <c r="AF104" i="40"/>
  <c r="AE104" i="40"/>
  <c r="AD104" i="40"/>
  <c r="AC104" i="40"/>
  <c r="AB104" i="40"/>
  <c r="AA104" i="40"/>
  <c r="AJ103" i="40"/>
  <c r="AI103" i="40"/>
  <c r="AH103" i="40"/>
  <c r="AG103" i="40"/>
  <c r="AF103" i="40"/>
  <c r="AE103" i="40"/>
  <c r="AD103" i="40"/>
  <c r="AC103" i="40"/>
  <c r="AB103" i="40"/>
  <c r="AA103" i="40"/>
  <c r="AJ102" i="40"/>
  <c r="AI102" i="40"/>
  <c r="AH102" i="40"/>
  <c r="AG102" i="40"/>
  <c r="AF102" i="40"/>
  <c r="AE102" i="40"/>
  <c r="AD102" i="40"/>
  <c r="AC102" i="40"/>
  <c r="AB102" i="40"/>
  <c r="AA102" i="40"/>
  <c r="AJ101" i="40"/>
  <c r="AI101" i="40"/>
  <c r="AH101" i="40"/>
  <c r="AG101" i="40"/>
  <c r="AF101" i="40"/>
  <c r="AE101" i="40"/>
  <c r="AD101" i="40"/>
  <c r="AC101" i="40"/>
  <c r="AB101" i="40"/>
  <c r="AA101" i="40"/>
  <c r="AJ100" i="40"/>
  <c r="AI100" i="40"/>
  <c r="AH100" i="40"/>
  <c r="AG100" i="40"/>
  <c r="AF100" i="40"/>
  <c r="AE100" i="40"/>
  <c r="AD100" i="40"/>
  <c r="AC100" i="40"/>
  <c r="AB100" i="40"/>
  <c r="AA100" i="40"/>
  <c r="AJ99" i="40"/>
  <c r="AI99" i="40"/>
  <c r="AH99" i="40"/>
  <c r="AG99" i="40"/>
  <c r="AF99" i="40"/>
  <c r="AE99" i="40"/>
  <c r="AD99" i="40"/>
  <c r="AC99" i="40"/>
  <c r="AB99" i="40"/>
  <c r="AA99" i="40"/>
  <c r="AJ98" i="40"/>
  <c r="AI98" i="40"/>
  <c r="AH98" i="40"/>
  <c r="AG98" i="40"/>
  <c r="AF98" i="40"/>
  <c r="AE98" i="40"/>
  <c r="AD98" i="40"/>
  <c r="AC98" i="40"/>
  <c r="AB98" i="40"/>
  <c r="AA98" i="40"/>
  <c r="AJ97" i="40"/>
  <c r="AI97" i="40"/>
  <c r="AH97" i="40"/>
  <c r="AG97" i="40"/>
  <c r="AF97" i="40"/>
  <c r="AE97" i="40"/>
  <c r="AD97" i="40"/>
  <c r="AC97" i="40"/>
  <c r="AB97" i="40"/>
  <c r="AA97" i="40"/>
  <c r="AJ96" i="40"/>
  <c r="AI96" i="40"/>
  <c r="AH96" i="40"/>
  <c r="AG96" i="40"/>
  <c r="AF96" i="40"/>
  <c r="AE96" i="40"/>
  <c r="AD96" i="40"/>
  <c r="AC96" i="40"/>
  <c r="AB96" i="40"/>
  <c r="AA96" i="40"/>
  <c r="AJ95" i="40"/>
  <c r="AI95" i="40"/>
  <c r="AH95" i="40"/>
  <c r="AG95" i="40"/>
  <c r="AF95" i="40"/>
  <c r="AE95" i="40"/>
  <c r="AD95" i="40"/>
  <c r="AC95" i="40"/>
  <c r="AB95" i="40"/>
  <c r="AA95" i="40"/>
  <c r="AJ94" i="40"/>
  <c r="AI94" i="40"/>
  <c r="AH94" i="40"/>
  <c r="AG94" i="40"/>
  <c r="AF94" i="40"/>
  <c r="AE94" i="40"/>
  <c r="AD94" i="40"/>
  <c r="AC94" i="40"/>
  <c r="AB94" i="40"/>
  <c r="AA94" i="40"/>
  <c r="AJ93" i="40"/>
  <c r="AI93" i="40"/>
  <c r="AH93" i="40"/>
  <c r="AG93" i="40"/>
  <c r="AF93" i="40"/>
  <c r="AE93" i="40"/>
  <c r="AD93" i="40"/>
  <c r="AC93" i="40"/>
  <c r="AB93" i="40"/>
  <c r="AA93" i="40"/>
  <c r="AJ92" i="40"/>
  <c r="AI92" i="40"/>
  <c r="AH92" i="40"/>
  <c r="AG92" i="40"/>
  <c r="AF92" i="40"/>
  <c r="AE92" i="40"/>
  <c r="AD92" i="40"/>
  <c r="AC92" i="40"/>
  <c r="AB92" i="40"/>
  <c r="AA92" i="40"/>
  <c r="AJ91" i="40"/>
  <c r="AI91" i="40"/>
  <c r="AH91" i="40"/>
  <c r="AG91" i="40"/>
  <c r="AF91" i="40"/>
  <c r="AE91" i="40"/>
  <c r="AD91" i="40"/>
  <c r="AC91" i="40"/>
  <c r="AB91" i="40"/>
  <c r="AA91" i="40"/>
  <c r="AJ90" i="40"/>
  <c r="AI90" i="40"/>
  <c r="AH90" i="40"/>
  <c r="AG90" i="40"/>
  <c r="AF90" i="40"/>
  <c r="AE90" i="40"/>
  <c r="AD90" i="40"/>
  <c r="AC90" i="40"/>
  <c r="AB90" i="40"/>
  <c r="AA90" i="40"/>
  <c r="AJ89" i="40"/>
  <c r="AI89" i="40"/>
  <c r="AH89" i="40"/>
  <c r="AG89" i="40"/>
  <c r="AF89" i="40"/>
  <c r="AE89" i="40"/>
  <c r="AD89" i="40"/>
  <c r="AC89" i="40"/>
  <c r="AB89" i="40"/>
  <c r="AA89" i="40"/>
  <c r="AJ88" i="40"/>
  <c r="AI88" i="40"/>
  <c r="AH88" i="40"/>
  <c r="AG88" i="40"/>
  <c r="AF88" i="40"/>
  <c r="AE88" i="40"/>
  <c r="AD88" i="40"/>
  <c r="AC88" i="40"/>
  <c r="AB88" i="40"/>
  <c r="AA88" i="40"/>
  <c r="AJ87" i="40"/>
  <c r="AI87" i="40"/>
  <c r="AH87" i="40"/>
  <c r="AG87" i="40"/>
  <c r="AF87" i="40"/>
  <c r="AE87" i="40"/>
  <c r="AD87" i="40"/>
  <c r="AC87" i="40"/>
  <c r="AB87" i="40"/>
  <c r="AA87" i="40"/>
  <c r="AJ86" i="40"/>
  <c r="AI86" i="40"/>
  <c r="AH86" i="40"/>
  <c r="AG86" i="40"/>
  <c r="AF86" i="40"/>
  <c r="AE86" i="40"/>
  <c r="AD86" i="40"/>
  <c r="AC86" i="40"/>
  <c r="AB86" i="40"/>
  <c r="AA86" i="40"/>
  <c r="AJ85" i="40"/>
  <c r="AI85" i="40"/>
  <c r="AH85" i="40"/>
  <c r="AG85" i="40"/>
  <c r="AF85" i="40"/>
  <c r="AE85" i="40"/>
  <c r="AD85" i="40"/>
  <c r="AC85" i="40"/>
  <c r="AB85" i="40"/>
  <c r="AA85" i="40"/>
  <c r="AJ84" i="40"/>
  <c r="AI84" i="40"/>
  <c r="AH84" i="40"/>
  <c r="AG84" i="40"/>
  <c r="AF84" i="40"/>
  <c r="AE84" i="40"/>
  <c r="AD84" i="40"/>
  <c r="AC84" i="40"/>
  <c r="AB84" i="40"/>
  <c r="AA84" i="40"/>
  <c r="AJ83" i="40"/>
  <c r="AI83" i="40"/>
  <c r="AH83" i="40"/>
  <c r="AG83" i="40"/>
  <c r="AF83" i="40"/>
  <c r="AE83" i="40"/>
  <c r="AD83" i="40"/>
  <c r="AC83" i="40"/>
  <c r="AB83" i="40"/>
  <c r="AA83" i="40"/>
  <c r="AJ82" i="40"/>
  <c r="AI82" i="40"/>
  <c r="AH82" i="40"/>
  <c r="AG82" i="40"/>
  <c r="AF82" i="40"/>
  <c r="AE82" i="40"/>
  <c r="AD82" i="40"/>
  <c r="AC82" i="40"/>
  <c r="AB82" i="40"/>
  <c r="AA82" i="40"/>
  <c r="AJ81" i="40"/>
  <c r="AI81" i="40"/>
  <c r="AH81" i="40"/>
  <c r="AG81" i="40"/>
  <c r="AF81" i="40"/>
  <c r="AE81" i="40"/>
  <c r="AD81" i="40"/>
  <c r="AC81" i="40"/>
  <c r="AB81" i="40"/>
  <c r="AA81" i="40"/>
  <c r="AJ80" i="40"/>
  <c r="AI80" i="40"/>
  <c r="AH80" i="40"/>
  <c r="AG80" i="40"/>
  <c r="AF80" i="40"/>
  <c r="AE80" i="40"/>
  <c r="AD80" i="40"/>
  <c r="AC80" i="40"/>
  <c r="AB80" i="40"/>
  <c r="AA80" i="40"/>
  <c r="AJ79" i="40"/>
  <c r="AI79" i="40"/>
  <c r="AH79" i="40"/>
  <c r="AG79" i="40"/>
  <c r="AF79" i="40"/>
  <c r="AE79" i="40"/>
  <c r="AD79" i="40"/>
  <c r="AC79" i="40"/>
  <c r="AB79" i="40"/>
  <c r="AA79" i="40"/>
  <c r="AJ78" i="40"/>
  <c r="AI78" i="40"/>
  <c r="AH78" i="40"/>
  <c r="AG78" i="40"/>
  <c r="AF78" i="40"/>
  <c r="AE78" i="40"/>
  <c r="AD78" i="40"/>
  <c r="AC78" i="40"/>
  <c r="AB78" i="40"/>
  <c r="AA78" i="40"/>
  <c r="AJ77" i="40"/>
  <c r="AI77" i="40"/>
  <c r="AH77" i="40"/>
  <c r="AG77" i="40"/>
  <c r="AF77" i="40"/>
  <c r="AE77" i="40"/>
  <c r="AD77" i="40"/>
  <c r="AC77" i="40"/>
  <c r="AB77" i="40"/>
  <c r="AA77" i="40"/>
  <c r="AJ76" i="40"/>
  <c r="AI76" i="40"/>
  <c r="AH76" i="40"/>
  <c r="AG76" i="40"/>
  <c r="AF76" i="40"/>
  <c r="AE76" i="40"/>
  <c r="AD76" i="40"/>
  <c r="AC76" i="40"/>
  <c r="AB76" i="40"/>
  <c r="AA76" i="40"/>
  <c r="AJ75" i="40"/>
  <c r="AI75" i="40"/>
  <c r="AH75" i="40"/>
  <c r="AG75" i="40"/>
  <c r="AF75" i="40"/>
  <c r="AE75" i="40"/>
  <c r="AD75" i="40"/>
  <c r="AC75" i="40"/>
  <c r="AB75" i="40"/>
  <c r="AA75" i="40"/>
  <c r="AJ74" i="40"/>
  <c r="AI74" i="40"/>
  <c r="AH74" i="40"/>
  <c r="AG74" i="40"/>
  <c r="AF74" i="40"/>
  <c r="AE74" i="40"/>
  <c r="AD74" i="40"/>
  <c r="AC74" i="40"/>
  <c r="AB74" i="40"/>
  <c r="AA74" i="40"/>
  <c r="AJ73" i="40"/>
  <c r="AI73" i="40"/>
  <c r="AH73" i="40"/>
  <c r="AG73" i="40"/>
  <c r="AF73" i="40"/>
  <c r="AE73" i="40"/>
  <c r="AD73" i="40"/>
  <c r="AC73" i="40"/>
  <c r="AB73" i="40"/>
  <c r="AA73" i="40"/>
  <c r="AJ72" i="40"/>
  <c r="AI72" i="40"/>
  <c r="AH72" i="40"/>
  <c r="AG72" i="40"/>
  <c r="AF72" i="40"/>
  <c r="AE72" i="40"/>
  <c r="AD72" i="40"/>
  <c r="AC72" i="40"/>
  <c r="AB72" i="40"/>
  <c r="AA72" i="40"/>
  <c r="AJ71" i="40"/>
  <c r="AI71" i="40"/>
  <c r="AH71" i="40"/>
  <c r="AG71" i="40"/>
  <c r="AF71" i="40"/>
  <c r="AE71" i="40"/>
  <c r="AD71" i="40"/>
  <c r="AC71" i="40"/>
  <c r="AB71" i="40"/>
  <c r="AA71" i="40"/>
  <c r="AJ70" i="40"/>
  <c r="AI70" i="40"/>
  <c r="AH70" i="40"/>
  <c r="AG70" i="40"/>
  <c r="AF70" i="40"/>
  <c r="AE70" i="40"/>
  <c r="AD70" i="40"/>
  <c r="AC70" i="40"/>
  <c r="AB70" i="40"/>
  <c r="AA70" i="40"/>
  <c r="AJ69" i="40"/>
  <c r="AI69" i="40"/>
  <c r="AH69" i="40"/>
  <c r="AG69" i="40"/>
  <c r="AF69" i="40"/>
  <c r="AE69" i="40"/>
  <c r="AD69" i="40"/>
  <c r="AC69" i="40"/>
  <c r="AB69" i="40"/>
  <c r="AA69" i="40"/>
  <c r="AJ68" i="40"/>
  <c r="AI68" i="40"/>
  <c r="AH68" i="40"/>
  <c r="AG68" i="40"/>
  <c r="AF68" i="40"/>
  <c r="AE68" i="40"/>
  <c r="AD68" i="40"/>
  <c r="AC68" i="40"/>
  <c r="AB68" i="40"/>
  <c r="AA68" i="40"/>
  <c r="AJ67" i="40"/>
  <c r="AI67" i="40"/>
  <c r="AH67" i="40"/>
  <c r="AG67" i="40"/>
  <c r="AF67" i="40"/>
  <c r="AE67" i="40"/>
  <c r="AD67" i="40"/>
  <c r="AC67" i="40"/>
  <c r="AB67" i="40"/>
  <c r="AA67" i="40"/>
  <c r="AJ66" i="40"/>
  <c r="AI66" i="40"/>
  <c r="AH66" i="40"/>
  <c r="AG66" i="40"/>
  <c r="AF66" i="40"/>
  <c r="AE66" i="40"/>
  <c r="AD66" i="40"/>
  <c r="AC66" i="40"/>
  <c r="AB66" i="40"/>
  <c r="AA66" i="40"/>
  <c r="AJ65" i="40"/>
  <c r="AI65" i="40"/>
  <c r="AH65" i="40"/>
  <c r="AG65" i="40"/>
  <c r="AF65" i="40"/>
  <c r="AE65" i="40"/>
  <c r="AD65" i="40"/>
  <c r="AC65" i="40"/>
  <c r="AB65" i="40"/>
  <c r="AA65" i="40"/>
  <c r="AJ64" i="40"/>
  <c r="AI64" i="40"/>
  <c r="AH64" i="40"/>
  <c r="AG64" i="40"/>
  <c r="AF64" i="40"/>
  <c r="AE64" i="40"/>
  <c r="AD64" i="40"/>
  <c r="AC64" i="40"/>
  <c r="AB64" i="40"/>
  <c r="AA64" i="40"/>
  <c r="AJ63" i="40"/>
  <c r="AI63" i="40"/>
  <c r="AH63" i="40"/>
  <c r="AG63" i="40"/>
  <c r="AF63" i="40"/>
  <c r="AE63" i="40"/>
  <c r="AD63" i="40"/>
  <c r="AC63" i="40"/>
  <c r="AB63" i="40"/>
  <c r="AA63" i="40"/>
  <c r="AJ62" i="40"/>
  <c r="AI62" i="40"/>
  <c r="AH62" i="40"/>
  <c r="AG62" i="40"/>
  <c r="AF62" i="40"/>
  <c r="AE62" i="40"/>
  <c r="AD62" i="40"/>
  <c r="AC62" i="40"/>
  <c r="AB62" i="40"/>
  <c r="AA62" i="40"/>
  <c r="AJ61" i="40"/>
  <c r="AI61" i="40"/>
  <c r="AH61" i="40"/>
  <c r="AG61" i="40"/>
  <c r="AF61" i="40"/>
  <c r="AE61" i="40"/>
  <c r="AD61" i="40"/>
  <c r="AC61" i="40"/>
  <c r="AB61" i="40"/>
  <c r="AA61" i="40"/>
  <c r="AJ60" i="40"/>
  <c r="AI60" i="40"/>
  <c r="AH60" i="40"/>
  <c r="AG60" i="40"/>
  <c r="AF60" i="40"/>
  <c r="AE60" i="40"/>
  <c r="AD60" i="40"/>
  <c r="AC60" i="40"/>
  <c r="AB60" i="40"/>
  <c r="AA60" i="40"/>
  <c r="AJ59" i="40"/>
  <c r="AI59" i="40"/>
  <c r="AH59" i="40"/>
  <c r="AG59" i="40"/>
  <c r="AF59" i="40"/>
  <c r="AE59" i="40"/>
  <c r="AD59" i="40"/>
  <c r="AC59" i="40"/>
  <c r="AB59" i="40"/>
  <c r="AA59" i="40"/>
  <c r="AJ58" i="40"/>
  <c r="AI58" i="40"/>
  <c r="AH58" i="40"/>
  <c r="AG58" i="40"/>
  <c r="AF58" i="40"/>
  <c r="AE58" i="40"/>
  <c r="AD58" i="40"/>
  <c r="AC58" i="40"/>
  <c r="AB58" i="40"/>
  <c r="AA58" i="40"/>
  <c r="AJ57" i="40"/>
  <c r="AI57" i="40"/>
  <c r="AH57" i="40"/>
  <c r="AG57" i="40"/>
  <c r="AF57" i="40"/>
  <c r="AE57" i="40"/>
  <c r="AD57" i="40"/>
  <c r="AC57" i="40"/>
  <c r="AB57" i="40"/>
  <c r="AA57" i="40"/>
  <c r="AJ56" i="40"/>
  <c r="AI56" i="40"/>
  <c r="AH56" i="40"/>
  <c r="AG56" i="40"/>
  <c r="AF56" i="40"/>
  <c r="AE56" i="40"/>
  <c r="AD56" i="40"/>
  <c r="AC56" i="40"/>
  <c r="AB56" i="40"/>
  <c r="AA56" i="40"/>
  <c r="AJ55" i="40"/>
  <c r="AI55" i="40"/>
  <c r="AH55" i="40"/>
  <c r="AG55" i="40"/>
  <c r="AF55" i="40"/>
  <c r="AE55" i="40"/>
  <c r="AD55" i="40"/>
  <c r="AC55" i="40"/>
  <c r="AB55" i="40"/>
  <c r="AA55" i="40"/>
  <c r="AJ54" i="40"/>
  <c r="AI54" i="40"/>
  <c r="AH54" i="40"/>
  <c r="AG54" i="40"/>
  <c r="AF54" i="40"/>
  <c r="AE54" i="40"/>
  <c r="AD54" i="40"/>
  <c r="AC54" i="40"/>
  <c r="AB54" i="40"/>
  <c r="AA54" i="40"/>
  <c r="AJ53" i="40"/>
  <c r="AI53" i="40"/>
  <c r="AH53" i="40"/>
  <c r="AG53" i="40"/>
  <c r="AF53" i="40"/>
  <c r="AE53" i="40"/>
  <c r="AD53" i="40"/>
  <c r="AC53" i="40"/>
  <c r="AB53" i="40"/>
  <c r="AA53" i="40"/>
  <c r="AJ52" i="40"/>
  <c r="AI52" i="40"/>
  <c r="AH52" i="40"/>
  <c r="AG52" i="40"/>
  <c r="AF52" i="40"/>
  <c r="AE52" i="40"/>
  <c r="AD52" i="40"/>
  <c r="AC52" i="40"/>
  <c r="AB52" i="40"/>
  <c r="AA52" i="40"/>
  <c r="AJ51" i="40"/>
  <c r="AI51" i="40"/>
  <c r="AH51" i="40"/>
  <c r="AG51" i="40"/>
  <c r="AF51" i="40"/>
  <c r="AE51" i="40"/>
  <c r="AD51" i="40"/>
  <c r="AC51" i="40"/>
  <c r="AB51" i="40"/>
  <c r="AA51" i="40"/>
  <c r="AJ50" i="40"/>
  <c r="AI50" i="40"/>
  <c r="AH50" i="40"/>
  <c r="AG50" i="40"/>
  <c r="AF50" i="40"/>
  <c r="AE50" i="40"/>
  <c r="AD50" i="40"/>
  <c r="AC50" i="40"/>
  <c r="AB50" i="40"/>
  <c r="AA50" i="40"/>
  <c r="AJ49" i="40"/>
  <c r="AI49" i="40"/>
  <c r="AH49" i="40"/>
  <c r="AG49" i="40"/>
  <c r="AF49" i="40"/>
  <c r="AE49" i="40"/>
  <c r="AD49" i="40"/>
  <c r="AC49" i="40"/>
  <c r="AB49" i="40"/>
  <c r="AA49" i="40"/>
  <c r="AJ48" i="40"/>
  <c r="AI48" i="40"/>
  <c r="AH48" i="40"/>
  <c r="AG48" i="40"/>
  <c r="AF48" i="40"/>
  <c r="AE48" i="40"/>
  <c r="AD48" i="40"/>
  <c r="AC48" i="40"/>
  <c r="AB48" i="40"/>
  <c r="AA48" i="40"/>
  <c r="AJ47" i="40"/>
  <c r="AI47" i="40"/>
  <c r="AH47" i="40"/>
  <c r="AG47" i="40"/>
  <c r="AF47" i="40"/>
  <c r="AE47" i="40"/>
  <c r="AD47" i="40"/>
  <c r="AC47" i="40"/>
  <c r="AB47" i="40"/>
  <c r="AA47" i="40"/>
  <c r="AJ46" i="40"/>
  <c r="AI46" i="40"/>
  <c r="AH46" i="40"/>
  <c r="AG46" i="40"/>
  <c r="AF46" i="40"/>
  <c r="AE46" i="40"/>
  <c r="AD46" i="40"/>
  <c r="AC46" i="40"/>
  <c r="AB46" i="40"/>
  <c r="AA46" i="40"/>
  <c r="AJ45" i="40"/>
  <c r="AI45" i="40"/>
  <c r="AH45" i="40"/>
  <c r="AG45" i="40"/>
  <c r="AF45" i="40"/>
  <c r="AE45" i="40"/>
  <c r="AD45" i="40"/>
  <c r="AC45" i="40"/>
  <c r="AB45" i="40"/>
  <c r="AA45" i="40"/>
  <c r="AJ44" i="40"/>
  <c r="AI44" i="40"/>
  <c r="AH44" i="40"/>
  <c r="AG44" i="40"/>
  <c r="AF44" i="40"/>
  <c r="AE44" i="40"/>
  <c r="AD44" i="40"/>
  <c r="AC44" i="40"/>
  <c r="AB44" i="40"/>
  <c r="AA44" i="40"/>
  <c r="AJ43" i="40"/>
  <c r="AI43" i="40"/>
  <c r="AH43" i="40"/>
  <c r="AG43" i="40"/>
  <c r="AF43" i="40"/>
  <c r="AE43" i="40"/>
  <c r="AD43" i="40"/>
  <c r="AC43" i="40"/>
  <c r="AB43" i="40"/>
  <c r="AA43" i="40"/>
  <c r="AJ42" i="40"/>
  <c r="AI42" i="40"/>
  <c r="AH42" i="40"/>
  <c r="AG42" i="40"/>
  <c r="AF42" i="40"/>
  <c r="AE42" i="40"/>
  <c r="AD42" i="40"/>
  <c r="AC42" i="40"/>
  <c r="AB42" i="40"/>
  <c r="AA42" i="40"/>
  <c r="AJ41" i="40"/>
  <c r="AI41" i="40"/>
  <c r="AH41" i="40"/>
  <c r="AG41" i="40"/>
  <c r="AF41" i="40"/>
  <c r="AE41" i="40"/>
  <c r="AD41" i="40"/>
  <c r="AC41" i="40"/>
  <c r="AB41" i="40"/>
  <c r="AA41" i="40"/>
  <c r="AJ40" i="40"/>
  <c r="AI40" i="40"/>
  <c r="AH40" i="40"/>
  <c r="AG40" i="40"/>
  <c r="AF40" i="40"/>
  <c r="AE40" i="40"/>
  <c r="AD40" i="40"/>
  <c r="AC40" i="40"/>
  <c r="AB40" i="40"/>
  <c r="AA40" i="40"/>
  <c r="AJ39" i="40"/>
  <c r="AI39" i="40"/>
  <c r="AH39" i="40"/>
  <c r="AG39" i="40"/>
  <c r="AF39" i="40"/>
  <c r="AE39" i="40"/>
  <c r="AD39" i="40"/>
  <c r="AC39" i="40"/>
  <c r="AB39" i="40"/>
  <c r="AA39" i="40"/>
  <c r="AJ38" i="40"/>
  <c r="AI38" i="40"/>
  <c r="AH38" i="40"/>
  <c r="AG38" i="40"/>
  <c r="AF38" i="40"/>
  <c r="AE38" i="40"/>
  <c r="AD38" i="40"/>
  <c r="AC38" i="40"/>
  <c r="AB38" i="40"/>
  <c r="AA38" i="40"/>
  <c r="AJ37" i="40"/>
  <c r="AI37" i="40"/>
  <c r="AH37" i="40"/>
  <c r="AG37" i="40"/>
  <c r="AF37" i="40"/>
  <c r="AE37" i="40"/>
  <c r="AD37" i="40"/>
  <c r="AC37" i="40"/>
  <c r="AB37" i="40"/>
  <c r="AA37" i="40"/>
  <c r="AJ36" i="40"/>
  <c r="AI36" i="40"/>
  <c r="AH36" i="40"/>
  <c r="AG36" i="40"/>
  <c r="AF36" i="40"/>
  <c r="AE36" i="40"/>
  <c r="AD36" i="40"/>
  <c r="AC36" i="40"/>
  <c r="AB36" i="40"/>
  <c r="AA36" i="40"/>
  <c r="AJ35" i="40"/>
  <c r="AI35" i="40"/>
  <c r="AH35" i="40"/>
  <c r="AG35" i="40"/>
  <c r="AF35" i="40"/>
  <c r="AE35" i="40"/>
  <c r="AD35" i="40"/>
  <c r="AC35" i="40"/>
  <c r="AB35" i="40"/>
  <c r="AA35" i="40"/>
  <c r="AJ34" i="40"/>
  <c r="AI34" i="40"/>
  <c r="AH34" i="40"/>
  <c r="AG34" i="40"/>
  <c r="AF34" i="40"/>
  <c r="AE34" i="40"/>
  <c r="AD34" i="40"/>
  <c r="AC34" i="40"/>
  <c r="AB34" i="40"/>
  <c r="AA34" i="40"/>
  <c r="AJ33" i="40"/>
  <c r="AI33" i="40"/>
  <c r="AH33" i="40"/>
  <c r="AG33" i="40"/>
  <c r="AF33" i="40"/>
  <c r="AE33" i="40"/>
  <c r="AD33" i="40"/>
  <c r="AC33" i="40"/>
  <c r="AB33" i="40"/>
  <c r="AA33" i="40"/>
  <c r="AJ32" i="40"/>
  <c r="AI32" i="40"/>
  <c r="AH32" i="40"/>
  <c r="AG32" i="40"/>
  <c r="AF32" i="40"/>
  <c r="AE32" i="40"/>
  <c r="AD32" i="40"/>
  <c r="AC32" i="40"/>
  <c r="AB32" i="40"/>
  <c r="AA32" i="40"/>
  <c r="AJ31" i="40"/>
  <c r="AI31" i="40"/>
  <c r="AH31" i="40"/>
  <c r="AG31" i="40"/>
  <c r="AF31" i="40"/>
  <c r="AE31" i="40"/>
  <c r="AD31" i="40"/>
  <c r="AC31" i="40"/>
  <c r="AB31" i="40"/>
  <c r="AA31" i="40"/>
  <c r="AJ30" i="40"/>
  <c r="AI30" i="40"/>
  <c r="AH30" i="40"/>
  <c r="AG30" i="40"/>
  <c r="AF30" i="40"/>
  <c r="AE30" i="40"/>
  <c r="AD30" i="40"/>
  <c r="AC30" i="40"/>
  <c r="AB30" i="40"/>
  <c r="AA30" i="40"/>
  <c r="AJ29" i="40"/>
  <c r="AI29" i="40"/>
  <c r="AH29" i="40"/>
  <c r="AG29" i="40"/>
  <c r="AF29" i="40"/>
  <c r="AE29" i="40"/>
  <c r="AD29" i="40"/>
  <c r="AC29" i="40"/>
  <c r="AB29" i="40"/>
  <c r="AA29" i="40"/>
  <c r="AJ28" i="40"/>
  <c r="AI28" i="40"/>
  <c r="AH28" i="40"/>
  <c r="AG28" i="40"/>
  <c r="AF28" i="40"/>
  <c r="AE28" i="40"/>
  <c r="AD28" i="40"/>
  <c r="AC28" i="40"/>
  <c r="AB28" i="40"/>
  <c r="AA28" i="40"/>
  <c r="AJ27" i="40"/>
  <c r="AI27" i="40"/>
  <c r="AH27" i="40"/>
  <c r="AG27" i="40"/>
  <c r="AF27" i="40"/>
  <c r="AE27" i="40"/>
  <c r="AD27" i="40"/>
  <c r="AC27" i="40"/>
  <c r="AB27" i="40"/>
  <c r="AA27" i="40"/>
  <c r="AJ26" i="40"/>
  <c r="AI26" i="40"/>
  <c r="AH26" i="40"/>
  <c r="AG26" i="40"/>
  <c r="AF26" i="40"/>
  <c r="AE26" i="40"/>
  <c r="AD26" i="40"/>
  <c r="AC26" i="40"/>
  <c r="AB26" i="40"/>
  <c r="AA26" i="40"/>
  <c r="AJ25" i="40"/>
  <c r="AI25" i="40"/>
  <c r="AH25" i="40"/>
  <c r="AG25" i="40"/>
  <c r="AF25" i="40"/>
  <c r="AE25" i="40"/>
  <c r="AD25" i="40"/>
  <c r="AC25" i="40"/>
  <c r="AB25" i="40"/>
  <c r="AA25" i="40"/>
  <c r="AJ24" i="40"/>
  <c r="AI24" i="40"/>
  <c r="AH24" i="40"/>
  <c r="AG24" i="40"/>
  <c r="AF24" i="40"/>
  <c r="AE24" i="40"/>
  <c r="AD24" i="40"/>
  <c r="AC24" i="40"/>
  <c r="AB24" i="40"/>
  <c r="AA24" i="40"/>
  <c r="AJ23" i="40"/>
  <c r="AI23" i="40"/>
  <c r="AH23" i="40"/>
  <c r="AG23" i="40"/>
  <c r="AF23" i="40"/>
  <c r="AE23" i="40"/>
  <c r="AD23" i="40"/>
  <c r="AC23" i="40"/>
  <c r="AB23" i="40"/>
  <c r="AA23" i="40"/>
  <c r="AJ22" i="40"/>
  <c r="AI22" i="40"/>
  <c r="AH22" i="40"/>
  <c r="AG22" i="40"/>
  <c r="AF22" i="40"/>
  <c r="AE22" i="40"/>
  <c r="AD22" i="40"/>
  <c r="AC22" i="40"/>
  <c r="AB22" i="40"/>
  <c r="AA22" i="40"/>
  <c r="AJ21" i="40"/>
  <c r="AI21" i="40"/>
  <c r="AH21" i="40"/>
  <c r="AG21" i="40"/>
  <c r="AF21" i="40"/>
  <c r="AE21" i="40"/>
  <c r="AD21" i="40"/>
  <c r="AC21" i="40"/>
  <c r="AB21" i="40"/>
  <c r="AA21" i="40"/>
  <c r="AJ20" i="40"/>
  <c r="AI20" i="40"/>
  <c r="AH20" i="40"/>
  <c r="AG20" i="40"/>
  <c r="AF20" i="40"/>
  <c r="AE20" i="40"/>
  <c r="AD20" i="40"/>
  <c r="AC20" i="40"/>
  <c r="AB20" i="40"/>
  <c r="AA20" i="40"/>
  <c r="AJ19" i="40"/>
  <c r="AI19" i="40"/>
  <c r="AH19" i="40"/>
  <c r="AG19" i="40"/>
  <c r="AF19" i="40"/>
  <c r="AE19" i="40"/>
  <c r="AD19" i="40"/>
  <c r="AC19" i="40"/>
  <c r="AB19" i="40"/>
  <c r="AA19" i="40"/>
  <c r="AJ18" i="40"/>
  <c r="AI18" i="40"/>
  <c r="AH18" i="40"/>
  <c r="AG18" i="40"/>
  <c r="AF18" i="40"/>
  <c r="AE18" i="40"/>
  <c r="AD18" i="40"/>
  <c r="AC18" i="40"/>
  <c r="AB18" i="40"/>
  <c r="AA18" i="40"/>
  <c r="AJ17" i="40"/>
  <c r="AI17" i="40"/>
  <c r="AH17" i="40"/>
  <c r="AG17" i="40"/>
  <c r="AF17" i="40"/>
  <c r="AE17" i="40"/>
  <c r="AD17" i="40"/>
  <c r="AC17" i="40"/>
  <c r="AB17" i="40"/>
  <c r="AA17" i="40"/>
  <c r="AJ16" i="40"/>
  <c r="AI16" i="40"/>
  <c r="AH16" i="40"/>
  <c r="AG16" i="40"/>
  <c r="AF16" i="40"/>
  <c r="AE16" i="40"/>
  <c r="AD16" i="40"/>
  <c r="AC16" i="40"/>
  <c r="AB16" i="40"/>
  <c r="AA16" i="40"/>
  <c r="AJ15" i="40"/>
  <c r="AI15" i="40"/>
  <c r="AH15" i="40"/>
  <c r="AG15" i="40"/>
  <c r="AF15" i="40"/>
  <c r="AE15" i="40"/>
  <c r="AD15" i="40"/>
  <c r="AC15" i="40"/>
  <c r="AB15" i="40"/>
  <c r="AA15" i="40"/>
  <c r="AJ14" i="40"/>
  <c r="AI14" i="40"/>
  <c r="AH14" i="40"/>
  <c r="AG14" i="40"/>
  <c r="AF14" i="40"/>
  <c r="AE14" i="40"/>
  <c r="AD14" i="40"/>
  <c r="AC14" i="40"/>
  <c r="AB14" i="40"/>
  <c r="AA14" i="40"/>
  <c r="AJ13" i="40"/>
  <c r="AI13" i="40"/>
  <c r="AH13" i="40"/>
  <c r="AG13" i="40"/>
  <c r="AF13" i="40"/>
  <c r="AE13" i="40"/>
  <c r="AD13" i="40"/>
  <c r="AC13" i="40"/>
  <c r="AB13" i="40"/>
  <c r="AA13" i="40"/>
  <c r="AJ12" i="40"/>
  <c r="AI12" i="40"/>
  <c r="AH12" i="40"/>
  <c r="AG12" i="40"/>
  <c r="AF12" i="40"/>
  <c r="AE12" i="40"/>
  <c r="AD12" i="40"/>
  <c r="AC12" i="40"/>
  <c r="AB12" i="40"/>
  <c r="AA12" i="40"/>
  <c r="AJ11" i="40"/>
  <c r="AI11" i="40"/>
  <c r="AH11" i="40"/>
  <c r="AG11" i="40"/>
  <c r="AF11" i="40"/>
  <c r="AE11" i="40"/>
  <c r="AD11" i="40"/>
  <c r="AC11" i="40"/>
  <c r="AB11" i="40"/>
  <c r="AA11" i="40"/>
  <c r="AJ10" i="40"/>
  <c r="AI10" i="40"/>
  <c r="AH10" i="40"/>
  <c r="AG10" i="40"/>
  <c r="AF10" i="40"/>
  <c r="AE10" i="40"/>
  <c r="AD10" i="40"/>
  <c r="AC10" i="40"/>
  <c r="AB10" i="40"/>
  <c r="AA10" i="40"/>
  <c r="AJ9" i="40"/>
  <c r="AI9" i="40"/>
  <c r="AH9" i="40"/>
  <c r="AG9" i="40"/>
  <c r="AF9" i="40"/>
  <c r="AE9" i="40"/>
  <c r="AD9" i="40"/>
  <c r="AC9" i="40"/>
  <c r="AB9" i="40"/>
  <c r="AA9" i="40"/>
  <c r="AJ8" i="40"/>
  <c r="AI8" i="40"/>
  <c r="AH8" i="40"/>
  <c r="AG8" i="40"/>
  <c r="AF8" i="40"/>
  <c r="AE8" i="40"/>
  <c r="AD8" i="40"/>
  <c r="AC8" i="40"/>
  <c r="AB8" i="40"/>
  <c r="AA8" i="40"/>
  <c r="AJ7" i="40"/>
  <c r="AI7" i="40"/>
  <c r="AH7" i="40"/>
  <c r="AG7" i="40"/>
  <c r="AF7" i="40"/>
  <c r="AE7" i="40"/>
  <c r="AD7" i="40"/>
  <c r="AC7" i="40"/>
  <c r="AB7" i="40"/>
  <c r="AA7" i="40"/>
  <c r="AJ6" i="40"/>
  <c r="AI6" i="40"/>
  <c r="AH6" i="40"/>
  <c r="AG6" i="40"/>
  <c r="AF6" i="40"/>
  <c r="AE6" i="40"/>
  <c r="AD6" i="40"/>
  <c r="AC6" i="40"/>
  <c r="AB6" i="40"/>
  <c r="AA6" i="40"/>
  <c r="AJ5" i="40"/>
  <c r="AI5" i="40"/>
  <c r="AH5" i="40"/>
  <c r="AG5" i="40"/>
  <c r="AF5" i="40"/>
  <c r="AE5" i="40"/>
  <c r="AD5" i="40"/>
  <c r="AC5" i="40"/>
  <c r="AB5" i="40"/>
  <c r="AA5" i="40"/>
  <c r="AJ4" i="40"/>
  <c r="AI4" i="40"/>
  <c r="AH4" i="40"/>
  <c r="AG4" i="40"/>
  <c r="AF4" i="40"/>
  <c r="AE4" i="40"/>
  <c r="AD4" i="40"/>
  <c r="AC4" i="40"/>
  <c r="AB4" i="40"/>
  <c r="AA4" i="40"/>
  <c r="AJ3" i="40"/>
  <c r="AI3" i="40"/>
  <c r="AH3" i="40"/>
  <c r="AG3" i="40"/>
  <c r="AF3" i="40"/>
  <c r="AE3" i="40"/>
  <c r="AD3" i="40"/>
  <c r="AC3" i="40"/>
  <c r="AB3" i="40"/>
  <c r="AA3" i="40"/>
  <c r="AJ2" i="40"/>
  <c r="AI2" i="40"/>
  <c r="AH2" i="40"/>
  <c r="AG2" i="40"/>
  <c r="AF2" i="40"/>
  <c r="AE2" i="40"/>
  <c r="AD2" i="40"/>
  <c r="AC2" i="40"/>
  <c r="AB2" i="40"/>
  <c r="AA2" i="40"/>
  <c r="DX352" i="23" l="1"/>
  <c r="DX351" i="23"/>
  <c r="DX350" i="23"/>
  <c r="DX349" i="23"/>
  <c r="DX348" i="23"/>
  <c r="DX347" i="23"/>
  <c r="DX346" i="23"/>
  <c r="DX345" i="23"/>
  <c r="DX344" i="23"/>
  <c r="DX343" i="23"/>
  <c r="DX342" i="23"/>
  <c r="DX341" i="23"/>
  <c r="DX340" i="23"/>
  <c r="DX339" i="23"/>
  <c r="DX338" i="23"/>
  <c r="DX337" i="23"/>
  <c r="DX336" i="23"/>
  <c r="DX335" i="23"/>
  <c r="DX334" i="23"/>
  <c r="DX333" i="23"/>
  <c r="DX332" i="23"/>
  <c r="DX331" i="23"/>
  <c r="DX330" i="23"/>
  <c r="DX329" i="23"/>
  <c r="DX328" i="23"/>
  <c r="DX327" i="23"/>
  <c r="DX326" i="23"/>
  <c r="DX325" i="23"/>
  <c r="DX324" i="23"/>
  <c r="DX323" i="23"/>
  <c r="DX322" i="23"/>
  <c r="DX321" i="23"/>
  <c r="DX320" i="23"/>
  <c r="DX319" i="23"/>
  <c r="DX318" i="23"/>
  <c r="DX317" i="23"/>
  <c r="DX316" i="23"/>
  <c r="DX315" i="23"/>
  <c r="DX314" i="23"/>
  <c r="DU313" i="23"/>
  <c r="DS313" i="23"/>
  <c r="DR352" i="23"/>
  <c r="DR351" i="23"/>
  <c r="DR350" i="23"/>
  <c r="DR349" i="23"/>
  <c r="DR348" i="23"/>
  <c r="DR347" i="23"/>
  <c r="DR346" i="23"/>
  <c r="DR345" i="23"/>
  <c r="DR344" i="23"/>
  <c r="DR343" i="23"/>
  <c r="DR342" i="23"/>
  <c r="DR341" i="23"/>
  <c r="DR340" i="23"/>
  <c r="DR339" i="23"/>
  <c r="DR338" i="23"/>
  <c r="DR337" i="23"/>
  <c r="DR336" i="23"/>
  <c r="DR335" i="23"/>
  <c r="DR334" i="23"/>
  <c r="DR333" i="23"/>
  <c r="DR332" i="23"/>
  <c r="DR331" i="23"/>
  <c r="DR330" i="23"/>
  <c r="DR329" i="23"/>
  <c r="DR328" i="23"/>
  <c r="DR327" i="23"/>
  <c r="DR326" i="23"/>
  <c r="DR325" i="23"/>
  <c r="DR324" i="23"/>
  <c r="DR323" i="23"/>
  <c r="DR322" i="23"/>
  <c r="DR321" i="23"/>
  <c r="DR320" i="23"/>
  <c r="DR319" i="23"/>
  <c r="DR318" i="23"/>
  <c r="DR317" i="23"/>
  <c r="DR316" i="23"/>
  <c r="DR315" i="23"/>
  <c r="DR314" i="23"/>
  <c r="DO313" i="23"/>
  <c r="DM313" i="23"/>
  <c r="DL352" i="23"/>
  <c r="DL351" i="23"/>
  <c r="DL350" i="23"/>
  <c r="DL349" i="23"/>
  <c r="DL348" i="23"/>
  <c r="DL347" i="23"/>
  <c r="DL346" i="23"/>
  <c r="DL345" i="23"/>
  <c r="DL344" i="23"/>
  <c r="DL343" i="23"/>
  <c r="DL342" i="23"/>
  <c r="DL341" i="23"/>
  <c r="DL340" i="23"/>
  <c r="DL339" i="23"/>
  <c r="DL338" i="23"/>
  <c r="DL337" i="23"/>
  <c r="DL336" i="23"/>
  <c r="DL335" i="23"/>
  <c r="DL334" i="23"/>
  <c r="DL333" i="23"/>
  <c r="DL332" i="23"/>
  <c r="DL331" i="23"/>
  <c r="DL330" i="23"/>
  <c r="DL329" i="23"/>
  <c r="DL328" i="23"/>
  <c r="DL327" i="23"/>
  <c r="DL326" i="23"/>
  <c r="DL325" i="23"/>
  <c r="DL324" i="23"/>
  <c r="DL323" i="23"/>
  <c r="DL322" i="23"/>
  <c r="DL321" i="23"/>
  <c r="DL320" i="23"/>
  <c r="DL319" i="23"/>
  <c r="DL318" i="23"/>
  <c r="DL317" i="23"/>
  <c r="DL316" i="23"/>
  <c r="DL315" i="23"/>
  <c r="DL314" i="23"/>
  <c r="DI313" i="23"/>
  <c r="DG313" i="23"/>
  <c r="DF352" i="23"/>
  <c r="DF351" i="23"/>
  <c r="DF350" i="23"/>
  <c r="DF349" i="23"/>
  <c r="DF348" i="23"/>
  <c r="DF347" i="23"/>
  <c r="DF346" i="23"/>
  <c r="DF345" i="23"/>
  <c r="DF344" i="23"/>
  <c r="DF343" i="23"/>
  <c r="DF342" i="23"/>
  <c r="DF341" i="23"/>
  <c r="DF340" i="23"/>
  <c r="DF339" i="23"/>
  <c r="DF338" i="23"/>
  <c r="DF337" i="23"/>
  <c r="DF336" i="23"/>
  <c r="DF335" i="23"/>
  <c r="DF334" i="23"/>
  <c r="DF333" i="23"/>
  <c r="DF332" i="23"/>
  <c r="DF331" i="23"/>
  <c r="DF330" i="23"/>
  <c r="DF329" i="23"/>
  <c r="DF328" i="23"/>
  <c r="DF327" i="23"/>
  <c r="DF326" i="23"/>
  <c r="DF325" i="23"/>
  <c r="DF324" i="23"/>
  <c r="DF323" i="23"/>
  <c r="DF322" i="23"/>
  <c r="DF321" i="23"/>
  <c r="DF320" i="23"/>
  <c r="DF319" i="23"/>
  <c r="DF318" i="23"/>
  <c r="DF317" i="23"/>
  <c r="DF316" i="23"/>
  <c r="DF315" i="23"/>
  <c r="DF314" i="23"/>
  <c r="DC313" i="23"/>
  <c r="DA313" i="23"/>
  <c r="CZ352" i="23"/>
  <c r="CZ351" i="23"/>
  <c r="CZ350" i="23"/>
  <c r="CZ349" i="23"/>
  <c r="CZ348" i="23"/>
  <c r="CZ347" i="23"/>
  <c r="CZ346" i="23"/>
  <c r="CZ345" i="23"/>
  <c r="CZ344" i="23"/>
  <c r="CZ343" i="23"/>
  <c r="CZ342" i="23"/>
  <c r="CZ341" i="23"/>
  <c r="CZ340" i="23"/>
  <c r="CZ339" i="23"/>
  <c r="CZ338" i="23"/>
  <c r="CZ337" i="23"/>
  <c r="CZ336" i="23"/>
  <c r="CZ335" i="23"/>
  <c r="CZ334" i="23"/>
  <c r="CZ333" i="23"/>
  <c r="CZ332" i="23"/>
  <c r="CZ331" i="23"/>
  <c r="CZ330" i="23"/>
  <c r="CZ329" i="23"/>
  <c r="CZ328" i="23"/>
  <c r="CZ327" i="23"/>
  <c r="CZ326" i="23"/>
  <c r="CZ325" i="23"/>
  <c r="CZ324" i="23"/>
  <c r="CZ323" i="23"/>
  <c r="CZ322" i="23"/>
  <c r="CZ321" i="23"/>
  <c r="CZ320" i="23"/>
  <c r="CZ319" i="23"/>
  <c r="CZ318" i="23"/>
  <c r="CZ317" i="23"/>
  <c r="CZ316" i="23"/>
  <c r="CZ315" i="23"/>
  <c r="CZ314" i="23"/>
  <c r="CW313" i="23"/>
  <c r="CU313" i="23"/>
  <c r="CT352" i="23"/>
  <c r="CT351" i="23"/>
  <c r="CT350" i="23"/>
  <c r="CT349" i="23"/>
  <c r="CT348" i="23"/>
  <c r="CT347" i="23"/>
  <c r="CT346" i="23"/>
  <c r="CT345" i="23"/>
  <c r="CT344" i="23"/>
  <c r="CT343" i="23"/>
  <c r="CT342" i="23"/>
  <c r="CT341" i="23"/>
  <c r="CT340" i="23"/>
  <c r="CT339" i="23"/>
  <c r="CT338" i="23"/>
  <c r="CT337" i="23"/>
  <c r="CT336" i="23"/>
  <c r="CT335" i="23"/>
  <c r="CT334" i="23"/>
  <c r="CT333" i="23"/>
  <c r="CT332" i="23"/>
  <c r="CT331" i="23"/>
  <c r="CT330" i="23"/>
  <c r="CT329" i="23"/>
  <c r="CT328" i="23"/>
  <c r="CT327" i="23"/>
  <c r="CT326" i="23"/>
  <c r="CT325" i="23"/>
  <c r="CT324" i="23"/>
  <c r="CT323" i="23"/>
  <c r="CT322" i="23"/>
  <c r="CT321" i="23"/>
  <c r="CT320" i="23"/>
  <c r="CT319" i="23"/>
  <c r="CT318" i="23"/>
  <c r="CT317" i="23"/>
  <c r="CT316" i="23"/>
  <c r="CT315" i="23"/>
  <c r="CT314" i="23"/>
  <c r="CO313" i="23"/>
  <c r="CN352" i="23"/>
  <c r="CN351" i="23"/>
  <c r="CN350" i="23"/>
  <c r="CN349" i="23"/>
  <c r="CN348" i="23"/>
  <c r="CN347" i="23"/>
  <c r="CN346" i="23"/>
  <c r="CN345" i="23"/>
  <c r="CN344" i="23"/>
  <c r="CN343" i="23"/>
  <c r="CN342" i="23"/>
  <c r="CN341" i="23"/>
  <c r="CN340" i="23"/>
  <c r="CN339" i="23"/>
  <c r="CN338" i="23"/>
  <c r="CN337" i="23"/>
  <c r="CN336" i="23"/>
  <c r="CN335" i="23"/>
  <c r="CN334" i="23"/>
  <c r="CN333" i="23"/>
  <c r="CN332" i="23"/>
  <c r="CN331" i="23"/>
  <c r="CN330" i="23"/>
  <c r="CN329" i="23"/>
  <c r="CN328" i="23"/>
  <c r="CN327" i="23"/>
  <c r="CN326" i="23"/>
  <c r="CN325" i="23"/>
  <c r="CN324" i="23"/>
  <c r="CN323" i="23"/>
  <c r="CN322" i="23"/>
  <c r="CN321" i="23"/>
  <c r="CN320" i="23"/>
  <c r="CN319" i="23"/>
  <c r="CN318" i="23"/>
  <c r="CN317" i="23"/>
  <c r="CN316" i="23"/>
  <c r="CN315" i="23"/>
  <c r="CN314" i="23"/>
  <c r="CK313" i="23"/>
  <c r="CI313" i="23"/>
  <c r="CH352" i="23"/>
  <c r="CH351" i="23"/>
  <c r="CH350" i="23"/>
  <c r="CH349" i="23"/>
  <c r="CH348" i="23"/>
  <c r="CH347" i="23"/>
  <c r="CH346" i="23"/>
  <c r="CH345" i="23"/>
  <c r="CH344" i="23"/>
  <c r="CH343" i="23"/>
  <c r="CH342" i="23"/>
  <c r="CH341" i="23"/>
  <c r="CH340" i="23"/>
  <c r="CH339" i="23"/>
  <c r="CH338" i="23"/>
  <c r="CH337" i="23"/>
  <c r="CH336" i="23"/>
  <c r="CH335" i="23"/>
  <c r="CH334" i="23"/>
  <c r="CH333" i="23"/>
  <c r="CH332" i="23"/>
  <c r="CH331" i="23"/>
  <c r="CH330" i="23"/>
  <c r="CH329" i="23"/>
  <c r="CH328" i="23"/>
  <c r="CH327" i="23"/>
  <c r="CH326" i="23"/>
  <c r="CH325" i="23"/>
  <c r="CH324" i="23"/>
  <c r="CH323" i="23"/>
  <c r="CH322" i="23"/>
  <c r="CH321" i="23"/>
  <c r="CH320" i="23"/>
  <c r="CH319" i="23"/>
  <c r="CH318" i="23"/>
  <c r="CH317" i="23"/>
  <c r="CH316" i="23"/>
  <c r="CH315" i="23"/>
  <c r="CH314" i="23"/>
  <c r="CC313" i="23"/>
  <c r="CB352" i="23"/>
  <c r="CB351" i="23"/>
  <c r="CB350" i="23"/>
  <c r="CB349" i="23"/>
  <c r="CB348" i="23"/>
  <c r="CB347" i="23"/>
  <c r="CB346" i="23"/>
  <c r="CB345" i="23"/>
  <c r="CB344" i="23"/>
  <c r="CB343" i="23"/>
  <c r="CB342" i="23"/>
  <c r="CB341" i="23"/>
  <c r="CB340" i="23"/>
  <c r="CB339" i="23"/>
  <c r="CB338" i="23"/>
  <c r="CB337" i="23"/>
  <c r="CB336" i="23"/>
  <c r="CB335" i="23"/>
  <c r="CB334" i="23"/>
  <c r="CB333" i="23"/>
  <c r="CB332" i="23"/>
  <c r="CB331" i="23"/>
  <c r="CB330" i="23"/>
  <c r="CB329" i="23"/>
  <c r="CB328" i="23"/>
  <c r="CB327" i="23"/>
  <c r="CB326" i="23"/>
  <c r="CB325" i="23"/>
  <c r="CB324" i="23"/>
  <c r="CB323" i="23"/>
  <c r="CB322" i="23"/>
  <c r="CB321" i="23"/>
  <c r="CB320" i="23"/>
  <c r="CB319" i="23"/>
  <c r="CB318" i="23"/>
  <c r="CB317" i="23"/>
  <c r="CB316" i="23"/>
  <c r="CB315" i="23"/>
  <c r="CB314" i="23"/>
  <c r="BY313" i="23"/>
  <c r="BW313" i="23"/>
  <c r="BV352" i="23"/>
  <c r="BV351" i="23"/>
  <c r="BV350" i="23"/>
  <c r="BV349" i="23"/>
  <c r="BV348" i="23"/>
  <c r="BV347" i="23"/>
  <c r="BV346" i="23"/>
  <c r="BV345" i="23"/>
  <c r="BV344" i="23"/>
  <c r="BV343" i="23"/>
  <c r="BV342" i="23"/>
  <c r="BV341" i="23"/>
  <c r="BV340" i="23"/>
  <c r="BV339" i="23"/>
  <c r="BV338" i="23"/>
  <c r="BV337" i="23"/>
  <c r="BV336" i="23"/>
  <c r="BV335" i="23"/>
  <c r="BV334" i="23"/>
  <c r="BV333" i="23"/>
  <c r="BV332" i="23"/>
  <c r="BV331" i="23"/>
  <c r="BV330" i="23"/>
  <c r="BV329" i="23"/>
  <c r="BV328" i="23"/>
  <c r="BV327" i="23"/>
  <c r="BV326" i="23"/>
  <c r="BV325" i="23"/>
  <c r="BV324" i="23"/>
  <c r="BV323" i="23"/>
  <c r="BV322" i="23"/>
  <c r="BV321" i="23"/>
  <c r="BV320" i="23"/>
  <c r="BV319" i="23"/>
  <c r="BV318" i="23"/>
  <c r="BV317" i="23"/>
  <c r="BV316" i="23"/>
  <c r="BV315" i="23"/>
  <c r="BV314" i="23"/>
  <c r="BS313" i="23"/>
  <c r="BQ313" i="23"/>
  <c r="BP352" i="23"/>
  <c r="BP351" i="23"/>
  <c r="BP350" i="23"/>
  <c r="BP349" i="23"/>
  <c r="BP348" i="23"/>
  <c r="BP347" i="23"/>
  <c r="BP346" i="23"/>
  <c r="BP345" i="23"/>
  <c r="BP344" i="23"/>
  <c r="BP343" i="23"/>
  <c r="BP342" i="23"/>
  <c r="BP341" i="23"/>
  <c r="BP340" i="23"/>
  <c r="BP339" i="23"/>
  <c r="BP338" i="23"/>
  <c r="BP337" i="23"/>
  <c r="BP336" i="23"/>
  <c r="BP335" i="23"/>
  <c r="BP334" i="23"/>
  <c r="BP333" i="23"/>
  <c r="BP332" i="23"/>
  <c r="BP331" i="23"/>
  <c r="BP330" i="23"/>
  <c r="BP329" i="23"/>
  <c r="BP328" i="23"/>
  <c r="BP327" i="23"/>
  <c r="BP326" i="23"/>
  <c r="BP325" i="23"/>
  <c r="BP324" i="23"/>
  <c r="BP323" i="23"/>
  <c r="BP322" i="23"/>
  <c r="BP321" i="23"/>
  <c r="BP320" i="23"/>
  <c r="BP319" i="23"/>
  <c r="BP318" i="23"/>
  <c r="BP317" i="23"/>
  <c r="BP316" i="23"/>
  <c r="BP315" i="23"/>
  <c r="BP314" i="23"/>
  <c r="BK313" i="23"/>
  <c r="BJ352" i="23"/>
  <c r="BJ351" i="23"/>
  <c r="BJ350" i="23"/>
  <c r="BJ349" i="23"/>
  <c r="BJ348" i="23"/>
  <c r="BJ347" i="23"/>
  <c r="BJ346" i="23"/>
  <c r="BJ345" i="23"/>
  <c r="BJ344" i="23"/>
  <c r="BJ343" i="23"/>
  <c r="BJ342" i="23"/>
  <c r="BJ341" i="23"/>
  <c r="BJ340" i="23"/>
  <c r="BJ339" i="23"/>
  <c r="BJ338" i="23"/>
  <c r="BJ337" i="23"/>
  <c r="BJ336" i="23"/>
  <c r="BJ335" i="23"/>
  <c r="BJ334" i="23"/>
  <c r="BJ333" i="23"/>
  <c r="BJ332" i="23"/>
  <c r="BJ331" i="23"/>
  <c r="BJ330" i="23"/>
  <c r="BJ329" i="23"/>
  <c r="BJ328" i="23"/>
  <c r="BJ327" i="23"/>
  <c r="BJ326" i="23"/>
  <c r="BJ325" i="23"/>
  <c r="BJ324" i="23"/>
  <c r="BJ323" i="23"/>
  <c r="BJ322" i="23"/>
  <c r="BJ321" i="23"/>
  <c r="BJ320" i="23"/>
  <c r="BJ319" i="23"/>
  <c r="BJ318" i="23"/>
  <c r="BJ317" i="23"/>
  <c r="BJ316" i="23"/>
  <c r="BJ315" i="23"/>
  <c r="BJ314" i="23"/>
  <c r="BG313" i="23"/>
  <c r="BE313" i="23"/>
  <c r="BD352" i="23"/>
  <c r="BD351" i="23"/>
  <c r="BD350" i="23"/>
  <c r="BD349" i="23"/>
  <c r="BD348" i="23"/>
  <c r="BD347" i="23"/>
  <c r="BD346" i="23"/>
  <c r="BD345" i="23"/>
  <c r="BD344" i="23"/>
  <c r="BD343" i="23"/>
  <c r="BD342" i="23"/>
  <c r="BD341" i="23"/>
  <c r="BD340" i="23"/>
  <c r="BD339" i="23"/>
  <c r="BD338" i="23"/>
  <c r="BD337" i="23"/>
  <c r="BD336" i="23"/>
  <c r="BD335" i="23"/>
  <c r="BD334" i="23"/>
  <c r="BD333" i="23"/>
  <c r="BD332" i="23"/>
  <c r="BD331" i="23"/>
  <c r="BD330" i="23"/>
  <c r="BD329" i="23"/>
  <c r="BD328" i="23"/>
  <c r="BD327" i="23"/>
  <c r="BD326" i="23"/>
  <c r="BD325" i="23"/>
  <c r="BD324" i="23"/>
  <c r="BD323" i="23"/>
  <c r="BD322" i="23"/>
  <c r="BD321" i="23"/>
  <c r="BD320" i="23"/>
  <c r="BD319" i="23"/>
  <c r="BD318" i="23"/>
  <c r="BD317" i="23"/>
  <c r="BD316" i="23"/>
  <c r="BD315" i="23"/>
  <c r="BD314" i="23"/>
  <c r="BA313" i="23"/>
  <c r="AY313" i="23"/>
  <c r="AX352" i="23"/>
  <c r="AX351" i="23"/>
  <c r="AX350" i="23"/>
  <c r="AX349" i="23"/>
  <c r="AX348" i="23"/>
  <c r="AX347" i="23"/>
  <c r="AX346" i="23"/>
  <c r="AX345" i="23"/>
  <c r="AX344" i="23"/>
  <c r="AX343" i="23"/>
  <c r="AX342" i="23"/>
  <c r="AX341" i="23"/>
  <c r="AX340" i="23"/>
  <c r="AX339" i="23"/>
  <c r="AX338" i="23"/>
  <c r="AX337" i="23"/>
  <c r="AX336" i="23"/>
  <c r="AX335" i="23"/>
  <c r="AX334" i="23"/>
  <c r="AX333" i="23"/>
  <c r="AX332" i="23"/>
  <c r="AX331" i="23"/>
  <c r="AX330" i="23"/>
  <c r="AX329" i="23"/>
  <c r="AX328" i="23"/>
  <c r="AX327" i="23"/>
  <c r="AX326" i="23"/>
  <c r="AX325" i="23"/>
  <c r="AX324" i="23"/>
  <c r="AX323" i="23"/>
  <c r="AX322" i="23"/>
  <c r="AX321" i="23"/>
  <c r="AX320" i="23"/>
  <c r="AX319" i="23"/>
  <c r="AX318" i="23"/>
  <c r="AX317" i="23"/>
  <c r="AX316" i="23"/>
  <c r="AX315" i="23"/>
  <c r="AX314" i="23"/>
  <c r="AU313" i="23"/>
  <c r="AS313" i="23"/>
  <c r="AR352" i="23"/>
  <c r="AR351" i="23"/>
  <c r="AR350" i="23"/>
  <c r="AR349" i="23"/>
  <c r="AR348" i="23"/>
  <c r="AR347" i="23"/>
  <c r="AR346" i="23"/>
  <c r="AR345" i="23"/>
  <c r="AR344" i="23"/>
  <c r="AR343" i="23"/>
  <c r="AR342" i="23"/>
  <c r="AR341" i="23"/>
  <c r="AR340" i="23"/>
  <c r="AR339" i="23"/>
  <c r="AR338" i="23"/>
  <c r="AR337" i="23"/>
  <c r="AR336" i="23"/>
  <c r="AR335" i="23"/>
  <c r="AR334" i="23"/>
  <c r="AR333" i="23"/>
  <c r="AR332" i="23"/>
  <c r="AR331" i="23"/>
  <c r="AR330" i="23"/>
  <c r="AR329" i="23"/>
  <c r="AR328" i="23"/>
  <c r="AR327" i="23"/>
  <c r="AR326" i="23"/>
  <c r="AR325" i="23"/>
  <c r="AR324" i="23"/>
  <c r="AR323" i="23"/>
  <c r="AR322" i="23"/>
  <c r="AR321" i="23"/>
  <c r="AR320" i="23"/>
  <c r="AR319" i="23"/>
  <c r="AR318" i="23"/>
  <c r="AR317" i="23"/>
  <c r="AR316" i="23"/>
  <c r="AR315" i="23"/>
  <c r="AR314" i="23"/>
  <c r="AO313" i="23"/>
  <c r="AM313" i="23"/>
  <c r="M367" i="23"/>
  <c r="I367" i="23"/>
  <c r="I364" i="23"/>
  <c r="I363" i="23"/>
  <c r="CQ313" i="23" l="1"/>
  <c r="CE313" i="23"/>
  <c r="BM313" i="23"/>
  <c r="K224" i="23" l="1"/>
  <c r="K225" i="23"/>
  <c r="AL352" i="23" l="1"/>
  <c r="AL351" i="23"/>
  <c r="AL350" i="23"/>
  <c r="AL349" i="23"/>
  <c r="AL348" i="23"/>
  <c r="AL347" i="23"/>
  <c r="AL346" i="23"/>
  <c r="AL345" i="23"/>
  <c r="AL344" i="23"/>
  <c r="AL343" i="23"/>
  <c r="AL342" i="23"/>
  <c r="AL341" i="23"/>
  <c r="AL340" i="23"/>
  <c r="AL339" i="23"/>
  <c r="AL338" i="23"/>
  <c r="AL337" i="23"/>
  <c r="AL336" i="23"/>
  <c r="AL335" i="23"/>
  <c r="AL334" i="23"/>
  <c r="AL333" i="23"/>
  <c r="AL332" i="23"/>
  <c r="AL331" i="23"/>
  <c r="AL330" i="23"/>
  <c r="AL329" i="23"/>
  <c r="AL328" i="23"/>
  <c r="AL327" i="23"/>
  <c r="AL326" i="23"/>
  <c r="AL325" i="23"/>
  <c r="AL324" i="23"/>
  <c r="AL323" i="23"/>
  <c r="AL322" i="23"/>
  <c r="AL321" i="23"/>
  <c r="AL320" i="23"/>
  <c r="AL319" i="23"/>
  <c r="AL318" i="23"/>
  <c r="AL317" i="23"/>
  <c r="AL316" i="23"/>
  <c r="AL315" i="23"/>
  <c r="AL314" i="23"/>
  <c r="Z352" i="23"/>
  <c r="Z351" i="23"/>
  <c r="Z350" i="23"/>
  <c r="Z349" i="23"/>
  <c r="Z348" i="23"/>
  <c r="Z347" i="23"/>
  <c r="Z346" i="23"/>
  <c r="Z345" i="23"/>
  <c r="Z344" i="23"/>
  <c r="Z343" i="23"/>
  <c r="Z342" i="23"/>
  <c r="Z341" i="23"/>
  <c r="Z340" i="23"/>
  <c r="Z339" i="23"/>
  <c r="Z338" i="23"/>
  <c r="Z337" i="23"/>
  <c r="Z336" i="23"/>
  <c r="Z335" i="23"/>
  <c r="Z334" i="23"/>
  <c r="Z333" i="23"/>
  <c r="Z332" i="23"/>
  <c r="Z331" i="23"/>
  <c r="Z330" i="23"/>
  <c r="Z329" i="23"/>
  <c r="Z328" i="23"/>
  <c r="Z327" i="23"/>
  <c r="Z326" i="23"/>
  <c r="Z325" i="23"/>
  <c r="Z324" i="23"/>
  <c r="Z323" i="23"/>
  <c r="Z322" i="23"/>
  <c r="Z321" i="23"/>
  <c r="Z320" i="23"/>
  <c r="Z319" i="23"/>
  <c r="Z318" i="23"/>
  <c r="Z317" i="23"/>
  <c r="Z316" i="23"/>
  <c r="Z315" i="23"/>
  <c r="Z314" i="23"/>
  <c r="AF352" i="23"/>
  <c r="AF351" i="23"/>
  <c r="AF350" i="23"/>
  <c r="AF349" i="23"/>
  <c r="AF348" i="23"/>
  <c r="AF347" i="23"/>
  <c r="AF346" i="23"/>
  <c r="AF345" i="23"/>
  <c r="AF344" i="23"/>
  <c r="AF343" i="23"/>
  <c r="AF342" i="23"/>
  <c r="AF341" i="23"/>
  <c r="AF340" i="23"/>
  <c r="AF339" i="23"/>
  <c r="AF338" i="23"/>
  <c r="AF337" i="23"/>
  <c r="AF336" i="23"/>
  <c r="AF335" i="23"/>
  <c r="AF334" i="23"/>
  <c r="AF333" i="23"/>
  <c r="AF332" i="23"/>
  <c r="AF331" i="23"/>
  <c r="AF330" i="23"/>
  <c r="AF329" i="23"/>
  <c r="AF328" i="23"/>
  <c r="AF327" i="23"/>
  <c r="AF326" i="23"/>
  <c r="AF325" i="23"/>
  <c r="AF324" i="23"/>
  <c r="AF323" i="23"/>
  <c r="AF322" i="23"/>
  <c r="AF321" i="23"/>
  <c r="AF320" i="23"/>
  <c r="AF319" i="23"/>
  <c r="AF318" i="23"/>
  <c r="AF317" i="23"/>
  <c r="AF316" i="23"/>
  <c r="AF315" i="23"/>
  <c r="AF314" i="23"/>
  <c r="AA313" i="23"/>
  <c r="AC313" i="23" s="1"/>
  <c r="U313" i="23"/>
  <c r="W313" i="23" s="1"/>
  <c r="T352" i="23"/>
  <c r="T351" i="23"/>
  <c r="T350" i="23"/>
  <c r="T349" i="23"/>
  <c r="T348" i="23"/>
  <c r="T347" i="23"/>
  <c r="T346" i="23"/>
  <c r="T345" i="23"/>
  <c r="T344" i="23"/>
  <c r="T343" i="23"/>
  <c r="T342" i="23"/>
  <c r="T341" i="23"/>
  <c r="T340" i="23"/>
  <c r="T339" i="23"/>
  <c r="T338" i="23"/>
  <c r="T337" i="23"/>
  <c r="T336" i="23"/>
  <c r="T335" i="23"/>
  <c r="T334" i="23"/>
  <c r="T333" i="23"/>
  <c r="T332" i="23"/>
  <c r="T331" i="23"/>
  <c r="T330" i="23"/>
  <c r="T329" i="23"/>
  <c r="T328" i="23"/>
  <c r="T327" i="23"/>
  <c r="T326" i="23"/>
  <c r="T325" i="23"/>
  <c r="T324" i="23"/>
  <c r="T323" i="23"/>
  <c r="T322" i="23"/>
  <c r="T321" i="23"/>
  <c r="T320" i="23"/>
  <c r="T319" i="23"/>
  <c r="T318" i="23"/>
  <c r="T317" i="23"/>
  <c r="T316" i="23"/>
  <c r="T315" i="23"/>
  <c r="T314" i="23"/>
  <c r="N352" i="23"/>
  <c r="N351" i="23"/>
  <c r="N350" i="23"/>
  <c r="N349" i="23"/>
  <c r="N348" i="23"/>
  <c r="N347" i="23"/>
  <c r="N346" i="23"/>
  <c r="N345" i="23"/>
  <c r="N344" i="23"/>
  <c r="N343" i="23"/>
  <c r="N342" i="23"/>
  <c r="N341" i="23"/>
  <c r="N340" i="23"/>
  <c r="N339" i="23"/>
  <c r="N338" i="23"/>
  <c r="N337" i="23"/>
  <c r="N336" i="23"/>
  <c r="N335" i="23"/>
  <c r="N334" i="23"/>
  <c r="N333" i="23"/>
  <c r="N332" i="23"/>
  <c r="N331" i="23"/>
  <c r="N330" i="23"/>
  <c r="N329" i="23"/>
  <c r="N328" i="23"/>
  <c r="N327" i="23"/>
  <c r="N326" i="23"/>
  <c r="N325" i="23"/>
  <c r="N324" i="23"/>
  <c r="N323" i="23"/>
  <c r="N322" i="23"/>
  <c r="N321" i="23"/>
  <c r="N320" i="23"/>
  <c r="N319" i="23"/>
  <c r="N318" i="23"/>
  <c r="N317" i="23"/>
  <c r="N316" i="23"/>
  <c r="N315" i="23"/>
  <c r="N314" i="23"/>
  <c r="O313" i="23"/>
  <c r="Q313" i="23"/>
  <c r="K313" i="23"/>
  <c r="H318" i="23"/>
  <c r="J367" i="23" s="1"/>
  <c r="H317" i="23"/>
  <c r="J364" i="23" s="1"/>
  <c r="K364" i="23" s="1"/>
  <c r="H316" i="23"/>
  <c r="J363" i="23" s="1"/>
  <c r="K363" i="23" s="1"/>
  <c r="AH41" i="2"/>
  <c r="AH40" i="2"/>
  <c r="AH39" i="2"/>
  <c r="AH38" i="2"/>
  <c r="AH37" i="2"/>
  <c r="AH36" i="2"/>
  <c r="AH35" i="2"/>
  <c r="AH34" i="2"/>
  <c r="AH33" i="2"/>
  <c r="AH32" i="2"/>
  <c r="AH31" i="2"/>
  <c r="AH30" i="2"/>
  <c r="AH29" i="2"/>
  <c r="AH28" i="2"/>
  <c r="AH27" i="2"/>
  <c r="AH26" i="2"/>
  <c r="AH25" i="2"/>
  <c r="AH24" i="2"/>
  <c r="AH23" i="2"/>
  <c r="AH22" i="2"/>
  <c r="AH21" i="2"/>
  <c r="AH20" i="2"/>
  <c r="AH19" i="2"/>
  <c r="AH18" i="2"/>
  <c r="AH17" i="2"/>
  <c r="AH16" i="2"/>
  <c r="AH15" i="2"/>
  <c r="AH14" i="2"/>
  <c r="AH13" i="2"/>
  <c r="AH12" i="2"/>
  <c r="AH11" i="2"/>
  <c r="AH10" i="2"/>
  <c r="AH9" i="2"/>
  <c r="AH8" i="2"/>
  <c r="AH7" i="2"/>
  <c r="AH6" i="2"/>
  <c r="AH5" i="2"/>
  <c r="AH4" i="2"/>
  <c r="AH3" i="2"/>
  <c r="AQ285" i="23"/>
  <c r="AV285" i="23" s="1"/>
  <c r="BA285" i="23" s="1"/>
  <c r="AG285" i="23"/>
  <c r="AL285" i="23" s="1"/>
  <c r="J366" i="23" l="1"/>
  <c r="K366" i="23" s="1"/>
  <c r="J365" i="23"/>
  <c r="K365" i="23" s="1"/>
  <c r="I125" i="1"/>
  <c r="DW314" i="23"/>
  <c r="DQ314" i="23"/>
  <c r="DK314" i="23"/>
  <c r="DE314" i="23"/>
  <c r="CY314" i="23"/>
  <c r="CM314" i="23"/>
  <c r="CA314" i="23"/>
  <c r="BU314" i="23"/>
  <c r="BI314" i="23"/>
  <c r="BC314" i="23"/>
  <c r="BH315" i="23"/>
  <c r="DV315" i="23"/>
  <c r="DP315" i="23"/>
  <c r="DJ315" i="23"/>
  <c r="DD315" i="23"/>
  <c r="CX315" i="23"/>
  <c r="CL315" i="23"/>
  <c r="BZ315" i="23"/>
  <c r="BT315" i="23"/>
  <c r="BB315" i="23"/>
  <c r="CF315" i="23"/>
  <c r="CR315" i="23"/>
  <c r="CG314" i="23"/>
  <c r="BN315" i="23"/>
  <c r="BO314" i="23"/>
  <c r="CS314" i="23"/>
  <c r="AW314" i="23"/>
  <c r="AQ314" i="23"/>
  <c r="AP315" i="23"/>
  <c r="AV315" i="23"/>
  <c r="AG313" i="23"/>
  <c r="AI313" i="23"/>
  <c r="Y314" i="23" l="1"/>
  <c r="AK314" i="23" l="1"/>
  <c r="AE314" i="23"/>
  <c r="S304" i="23"/>
  <c r="J306" i="23" l="1"/>
  <c r="J307" i="23"/>
  <c r="J308" i="23"/>
  <c r="J309" i="23"/>
  <c r="J310" i="23"/>
  <c r="J311" i="23"/>
  <c r="J305" i="23"/>
  <c r="J304" i="23"/>
  <c r="J303" i="23"/>
  <c r="J302" i="23"/>
  <c r="J301" i="23"/>
  <c r="J300" i="23"/>
  <c r="J299" i="23"/>
  <c r="J298" i="23"/>
  <c r="J297" i="23"/>
  <c r="J296" i="23"/>
  <c r="J295" i="23"/>
  <c r="J294" i="23"/>
  <c r="J293" i="23"/>
  <c r="J292" i="23"/>
  <c r="J291" i="23"/>
  <c r="J290" i="23"/>
  <c r="J289" i="23"/>
  <c r="J288" i="23"/>
  <c r="J287" i="23"/>
  <c r="J286" i="23"/>
  <c r="G260" i="23"/>
  <c r="G259" i="23"/>
  <c r="G258" i="23"/>
  <c r="G257" i="23"/>
  <c r="G256" i="23"/>
  <c r="G255" i="23"/>
  <c r="G254" i="23"/>
  <c r="G253" i="23"/>
  <c r="G252" i="23"/>
  <c r="G251" i="23"/>
  <c r="G250" i="23"/>
  <c r="G249" i="23"/>
  <c r="G248" i="23"/>
  <c r="G247" i="23"/>
  <c r="G246" i="23"/>
  <c r="G245" i="23"/>
  <c r="G244" i="23"/>
  <c r="G243" i="23"/>
  <c r="U3" i="2"/>
  <c r="U4" i="2" s="1"/>
  <c r="U5" i="2" s="1"/>
  <c r="U6" i="2" s="1"/>
  <c r="U7" i="2" s="1"/>
  <c r="U8" i="2" s="1"/>
  <c r="U9" i="2" s="1"/>
  <c r="U10" i="2" s="1"/>
  <c r="U11" i="2" s="1"/>
  <c r="U12" i="2" s="1"/>
  <c r="U13" i="2" s="1"/>
  <c r="U14" i="2" s="1"/>
  <c r="U15" i="2" s="1"/>
  <c r="U16" i="2" s="1"/>
  <c r="U17" i="2" s="1"/>
  <c r="U18" i="2" s="1"/>
  <c r="U19" i="2" s="1"/>
  <c r="U20" i="2" s="1"/>
  <c r="U21" i="2" s="1"/>
  <c r="A2" i="12"/>
  <c r="A3" i="12" s="1"/>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BE286" i="23" l="1"/>
  <c r="AZ286" i="23"/>
  <c r="BE290" i="23"/>
  <c r="AZ290" i="23"/>
  <c r="BE298" i="23"/>
  <c r="AZ298" i="23"/>
  <c r="BE302" i="23"/>
  <c r="AZ302" i="23"/>
  <c r="BE291" i="23"/>
  <c r="AZ291" i="23"/>
  <c r="AZ299" i="23"/>
  <c r="BE299" i="23"/>
  <c r="AZ311" i="23"/>
  <c r="BE311" i="23"/>
  <c r="BE309" i="23"/>
  <c r="AZ309" i="23"/>
  <c r="AZ288" i="23"/>
  <c r="BE288" i="23"/>
  <c r="AZ292" i="23"/>
  <c r="BE292" i="23"/>
  <c r="BE296" i="23"/>
  <c r="AZ296" i="23"/>
  <c r="AZ300" i="23"/>
  <c r="BE300" i="23"/>
  <c r="AZ304" i="23"/>
  <c r="BE304" i="23"/>
  <c r="AZ310" i="23"/>
  <c r="BE310" i="23"/>
  <c r="AZ308" i="23"/>
  <c r="BE308" i="23"/>
  <c r="AZ307" i="23"/>
  <c r="BE307" i="23"/>
  <c r="AZ294" i="23"/>
  <c r="BE294" i="23"/>
  <c r="BE287" i="23"/>
  <c r="AZ287" i="23"/>
  <c r="AZ295" i="23"/>
  <c r="BE295" i="23"/>
  <c r="AZ303" i="23"/>
  <c r="BE303" i="23"/>
  <c r="BE289" i="23"/>
  <c r="AZ289" i="23"/>
  <c r="BE293" i="23"/>
  <c r="AZ293" i="23"/>
  <c r="BE297" i="23"/>
  <c r="AZ297" i="23"/>
  <c r="BE301" i="23"/>
  <c r="AZ301" i="23"/>
  <c r="BE305" i="23"/>
  <c r="AZ305" i="23"/>
  <c r="AZ306" i="23"/>
  <c r="BE306" i="23"/>
  <c r="AP293" i="23"/>
  <c r="AK293" i="23"/>
  <c r="AA293" i="23"/>
  <c r="AU293" i="23"/>
  <c r="V293" i="23"/>
  <c r="AF293" i="23"/>
  <c r="AP301" i="23"/>
  <c r="AK301" i="23"/>
  <c r="AA301" i="23"/>
  <c r="AU301" i="23"/>
  <c r="V301" i="23"/>
  <c r="AF301" i="23"/>
  <c r="AU287" i="23"/>
  <c r="V287" i="23"/>
  <c r="AF287" i="23"/>
  <c r="AP287" i="23"/>
  <c r="AK287" i="23"/>
  <c r="AA287" i="23"/>
  <c r="AU291" i="23"/>
  <c r="V291" i="23"/>
  <c r="AF291" i="23"/>
  <c r="AP291" i="23"/>
  <c r="AK291" i="23"/>
  <c r="AA291" i="23"/>
  <c r="AU295" i="23"/>
  <c r="V295" i="23"/>
  <c r="AF295" i="23"/>
  <c r="AP295" i="23"/>
  <c r="AK295" i="23"/>
  <c r="AA295" i="23"/>
  <c r="AU299" i="23"/>
  <c r="V299" i="23"/>
  <c r="AF299" i="23"/>
  <c r="AP299" i="23"/>
  <c r="AK299" i="23"/>
  <c r="AA299" i="23"/>
  <c r="AU303" i="23"/>
  <c r="V303" i="23"/>
  <c r="W303" i="23" s="1"/>
  <c r="AF303" i="23"/>
  <c r="AP303" i="23"/>
  <c r="AK303" i="23"/>
  <c r="AA303" i="23"/>
  <c r="AF308" i="23"/>
  <c r="AP308" i="23"/>
  <c r="AK308" i="23"/>
  <c r="AA308" i="23"/>
  <c r="AU308" i="23"/>
  <c r="V308" i="23"/>
  <c r="AU307" i="23"/>
  <c r="V307" i="23"/>
  <c r="AF307" i="23"/>
  <c r="AP307" i="23"/>
  <c r="AK307" i="23"/>
  <c r="AA307" i="23"/>
  <c r="AF288" i="23"/>
  <c r="AP288" i="23"/>
  <c r="AK288" i="23"/>
  <c r="AA288" i="23"/>
  <c r="AU288" i="23"/>
  <c r="V288" i="23"/>
  <c r="AF292" i="23"/>
  <c r="AP292" i="23"/>
  <c r="AK292" i="23"/>
  <c r="AA292" i="23"/>
  <c r="AU292" i="23"/>
  <c r="V292" i="23"/>
  <c r="AF296" i="23"/>
  <c r="AP296" i="23"/>
  <c r="AK296" i="23"/>
  <c r="AA296" i="23"/>
  <c r="AU296" i="23"/>
  <c r="V296" i="23"/>
  <c r="AF300" i="23"/>
  <c r="AP300" i="23"/>
  <c r="AK300" i="23"/>
  <c r="AA300" i="23"/>
  <c r="AU300" i="23"/>
  <c r="V300" i="23"/>
  <c r="AF304" i="23"/>
  <c r="AP304" i="23"/>
  <c r="AK304" i="23"/>
  <c r="AA304" i="23"/>
  <c r="AU304" i="23"/>
  <c r="V304" i="23"/>
  <c r="W304" i="23" s="1"/>
  <c r="AP306" i="23"/>
  <c r="AK306" i="23"/>
  <c r="AA306" i="23"/>
  <c r="AU306" i="23"/>
  <c r="V306" i="23"/>
  <c r="AF306" i="23"/>
  <c r="AP289" i="23"/>
  <c r="AK289" i="23"/>
  <c r="AA289" i="23"/>
  <c r="AU289" i="23"/>
  <c r="AF289" i="23"/>
  <c r="V289" i="23"/>
  <c r="AP297" i="23"/>
  <c r="AK297" i="23"/>
  <c r="AA297" i="23"/>
  <c r="AU297" i="23"/>
  <c r="V297" i="23"/>
  <c r="AF297" i="23"/>
  <c r="AP305" i="23"/>
  <c r="AK305" i="23"/>
  <c r="AA305" i="23"/>
  <c r="AU305" i="23"/>
  <c r="V305" i="23"/>
  <c r="AF305" i="23"/>
  <c r="AU311" i="23"/>
  <c r="V311" i="23"/>
  <c r="AF311" i="23"/>
  <c r="AP311" i="23"/>
  <c r="AK311" i="23"/>
  <c r="AA311" i="23"/>
  <c r="AP286" i="23"/>
  <c r="AK286" i="23"/>
  <c r="AA286" i="23"/>
  <c r="AU286" i="23"/>
  <c r="V286" i="23"/>
  <c r="AF286" i="23"/>
  <c r="AP290" i="23"/>
  <c r="AK290" i="23"/>
  <c r="AA290" i="23"/>
  <c r="AU290" i="23"/>
  <c r="V290" i="23"/>
  <c r="AF290" i="23"/>
  <c r="AP294" i="23"/>
  <c r="AK294" i="23"/>
  <c r="AA294" i="23"/>
  <c r="AU294" i="23"/>
  <c r="V294" i="23"/>
  <c r="AF294" i="23"/>
  <c r="AP298" i="23"/>
  <c r="AK298" i="23"/>
  <c r="AA298" i="23"/>
  <c r="AU298" i="23"/>
  <c r="V298" i="23"/>
  <c r="AF298" i="23"/>
  <c r="AP302" i="23"/>
  <c r="AK302" i="23"/>
  <c r="AA302" i="23"/>
  <c r="AU302" i="23"/>
  <c r="V302" i="23"/>
  <c r="AF302" i="23"/>
  <c r="AP310" i="23"/>
  <c r="AK310" i="23"/>
  <c r="AA310" i="23"/>
  <c r="AU310" i="23"/>
  <c r="V310" i="23"/>
  <c r="AF310" i="23"/>
  <c r="AP309" i="23"/>
  <c r="AK309" i="23"/>
  <c r="AA309" i="23"/>
  <c r="AU309" i="23"/>
  <c r="V309" i="23"/>
  <c r="AF309" i="23"/>
  <c r="AB304" i="23" l="1"/>
  <c r="AB303" i="23"/>
  <c r="AG303" i="23" l="1"/>
  <c r="AC303" i="23"/>
  <c r="AG304" i="23"/>
  <c r="AC304" i="23"/>
  <c r="H261" i="23"/>
  <c r="K261" i="23" s="1"/>
  <c r="AP210" i="23"/>
  <c r="AP209" i="23"/>
  <c r="AP208" i="23"/>
  <c r="AP207" i="23"/>
  <c r="AP206" i="23"/>
  <c r="AP205" i="23"/>
  <c r="AP204" i="23"/>
  <c r="AP203" i="23"/>
  <c r="AP202" i="23"/>
  <c r="AP201" i="23"/>
  <c r="AP200" i="23"/>
  <c r="AP199" i="23"/>
  <c r="AP198" i="23"/>
  <c r="AP197" i="23"/>
  <c r="AP196" i="23"/>
  <c r="AP195" i="23"/>
  <c r="AP194" i="23"/>
  <c r="AP193" i="23"/>
  <c r="S243" i="23"/>
  <c r="V244" i="23"/>
  <c r="S245" i="23"/>
  <c r="V246" i="23"/>
  <c r="S247" i="23"/>
  <c r="V248" i="23"/>
  <c r="M249" i="23"/>
  <c r="V250" i="23"/>
  <c r="AE251" i="23"/>
  <c r="P252" i="23"/>
  <c r="V253" i="23"/>
  <c r="AB254" i="23"/>
  <c r="M255" i="23"/>
  <c r="S256" i="23"/>
  <c r="P257" i="23"/>
  <c r="V258" i="23"/>
  <c r="P259" i="23"/>
  <c r="P260" i="23"/>
  <c r="M260" i="23"/>
  <c r="M261" i="23"/>
  <c r="P261" i="23"/>
  <c r="S261" i="23"/>
  <c r="V261" i="23"/>
  <c r="Y261" i="23"/>
  <c r="AB261" i="23"/>
  <c r="AE261" i="23"/>
  <c r="AH261" i="23"/>
  <c r="AH303" i="23" l="1"/>
  <c r="AL303" i="23"/>
  <c r="AH304" i="23"/>
  <c r="AL304" i="23"/>
  <c r="S248" i="23"/>
  <c r="S259" i="23"/>
  <c r="Y256" i="23"/>
  <c r="AB260" i="23"/>
  <c r="AH259" i="23"/>
  <c r="AB248" i="23"/>
  <c r="Y260" i="23"/>
  <c r="AE259" i="23"/>
  <c r="AE257" i="23"/>
  <c r="Y248" i="23"/>
  <c r="AB246" i="23"/>
  <c r="V256" i="23"/>
  <c r="Y251" i="23"/>
  <c r="M248" i="23"/>
  <c r="S246" i="23"/>
  <c r="AB244" i="23"/>
  <c r="P258" i="23"/>
  <c r="AH256" i="23"/>
  <c r="P256" i="23"/>
  <c r="M246" i="23"/>
  <c r="AB256" i="23"/>
  <c r="M256" i="23"/>
  <c r="Y250" i="23"/>
  <c r="AH243" i="23"/>
  <c r="S250" i="23"/>
  <c r="Y244" i="23"/>
  <c r="N261" i="23"/>
  <c r="Q261" i="23" s="1"/>
  <c r="T261" i="23" s="1"/>
  <c r="V259" i="23"/>
  <c r="AE256" i="23"/>
  <c r="Y255" i="23"/>
  <c r="Y252" i="23"/>
  <c r="AE250" i="23"/>
  <c r="P250" i="23"/>
  <c r="Y246" i="23"/>
  <c r="AH245" i="23"/>
  <c r="S244" i="23"/>
  <c r="AB250" i="23"/>
  <c r="M250" i="23"/>
  <c r="AH247" i="23"/>
  <c r="M244" i="23"/>
  <c r="Y259" i="23"/>
  <c r="M258" i="23"/>
  <c r="Y257" i="23"/>
  <c r="V255" i="23"/>
  <c r="AE254" i="23"/>
  <c r="AE253" i="23"/>
  <c r="AE252" i="23"/>
  <c r="S251" i="23"/>
  <c r="AE248" i="23"/>
  <c r="P248" i="23"/>
  <c r="Y247" i="23"/>
  <c r="AE246" i="23"/>
  <c r="P246" i="23"/>
  <c r="Y245" i="23"/>
  <c r="AE244" i="23"/>
  <c r="P244" i="23"/>
  <c r="Y243" i="23"/>
  <c r="V257" i="23"/>
  <c r="AH255" i="23"/>
  <c r="S255" i="23"/>
  <c r="Y254" i="23"/>
  <c r="Y253" i="23"/>
  <c r="AH249" i="23"/>
  <c r="V247" i="23"/>
  <c r="V245" i="23"/>
  <c r="V243" i="23"/>
  <c r="AB258" i="23"/>
  <c r="Y258" i="23"/>
  <c r="AH257" i="23"/>
  <c r="S257" i="23"/>
  <c r="AE255" i="23"/>
  <c r="P254" i="23"/>
  <c r="S253" i="23"/>
  <c r="Y249" i="23"/>
  <c r="M247" i="23"/>
  <c r="M245" i="23"/>
  <c r="M243" i="23"/>
  <c r="V260" i="23"/>
  <c r="AH260" i="23"/>
  <c r="S260" i="23"/>
  <c r="AE260" i="23"/>
  <c r="M259" i="23"/>
  <c r="AE258" i="23"/>
  <c r="S258" i="23"/>
  <c r="M257" i="23"/>
  <c r="AB259" i="23"/>
  <c r="AH258" i="23"/>
  <c r="AB257" i="23"/>
  <c r="P255" i="23"/>
  <c r="AB255" i="23"/>
  <c r="S254" i="23"/>
  <c r="M254" i="23"/>
  <c r="AH253" i="23"/>
  <c r="M253" i="23"/>
  <c r="AB252" i="23"/>
  <c r="V251" i="23"/>
  <c r="V249" i="23"/>
  <c r="V252" i="23"/>
  <c r="AH252" i="23"/>
  <c r="P251" i="23"/>
  <c r="AB251" i="23"/>
  <c r="V254" i="23"/>
  <c r="AH254" i="23"/>
  <c r="P253" i="23"/>
  <c r="AB253" i="23"/>
  <c r="S252" i="23"/>
  <c r="M252" i="23"/>
  <c r="AH251" i="23"/>
  <c r="M251" i="23"/>
  <c r="S249" i="23"/>
  <c r="AE249" i="23"/>
  <c r="P249" i="23"/>
  <c r="AB249" i="23"/>
  <c r="AH250" i="23"/>
  <c r="AH248" i="23"/>
  <c r="AB247" i="23"/>
  <c r="P247" i="23"/>
  <c r="AH246" i="23"/>
  <c r="AB245" i="23"/>
  <c r="P245" i="23"/>
  <c r="AH244" i="23"/>
  <c r="AB243" i="23"/>
  <c r="P243" i="23"/>
  <c r="AE247" i="23"/>
  <c r="AE245" i="23"/>
  <c r="AE243" i="23"/>
  <c r="I406" i="40"/>
  <c r="I405" i="40"/>
  <c r="I404" i="40"/>
  <c r="I403" i="40"/>
  <c r="I402" i="40"/>
  <c r="I401" i="40"/>
  <c r="I400" i="40"/>
  <c r="I399" i="40"/>
  <c r="I398" i="40"/>
  <c r="I397" i="40"/>
  <c r="I396" i="40"/>
  <c r="I395" i="40"/>
  <c r="I394" i="40"/>
  <c r="I393" i="40"/>
  <c r="I392" i="40"/>
  <c r="I391" i="40"/>
  <c r="I390" i="40"/>
  <c r="I389" i="40"/>
  <c r="I388" i="40"/>
  <c r="I387" i="40"/>
  <c r="I386" i="40"/>
  <c r="I385" i="40"/>
  <c r="I384" i="40"/>
  <c r="I383" i="40"/>
  <c r="I382" i="40"/>
  <c r="I381" i="40"/>
  <c r="I380" i="40"/>
  <c r="I379" i="40"/>
  <c r="I378" i="40"/>
  <c r="I377" i="40"/>
  <c r="I376" i="40"/>
  <c r="I375" i="40"/>
  <c r="I374" i="40"/>
  <c r="I373" i="40"/>
  <c r="I372" i="40"/>
  <c r="I371" i="40"/>
  <c r="I370" i="40"/>
  <c r="I369" i="40"/>
  <c r="I368" i="40"/>
  <c r="I367" i="40"/>
  <c r="I366" i="40"/>
  <c r="I365" i="40"/>
  <c r="I364" i="40"/>
  <c r="I363" i="40"/>
  <c r="I362" i="40"/>
  <c r="I361" i="40"/>
  <c r="I360" i="40"/>
  <c r="I359" i="40"/>
  <c r="I358" i="40"/>
  <c r="I357" i="40"/>
  <c r="I356" i="40"/>
  <c r="I355" i="40"/>
  <c r="I354" i="40"/>
  <c r="I353" i="40"/>
  <c r="I352" i="40"/>
  <c r="I351" i="40"/>
  <c r="I350" i="40"/>
  <c r="I349" i="40"/>
  <c r="I348" i="40"/>
  <c r="I347" i="40"/>
  <c r="I346" i="40"/>
  <c r="I345" i="40"/>
  <c r="I344" i="40"/>
  <c r="I343" i="40"/>
  <c r="I342" i="40"/>
  <c r="I341" i="40"/>
  <c r="I340" i="40"/>
  <c r="I339" i="40"/>
  <c r="I338" i="40"/>
  <c r="I337" i="40"/>
  <c r="I336" i="40"/>
  <c r="I335" i="40"/>
  <c r="I334" i="40"/>
  <c r="I333" i="40"/>
  <c r="I332" i="40"/>
  <c r="I331" i="40"/>
  <c r="I330" i="40"/>
  <c r="I329" i="40"/>
  <c r="I328" i="40"/>
  <c r="I327" i="40"/>
  <c r="I326" i="40"/>
  <c r="I325" i="40"/>
  <c r="I324" i="40"/>
  <c r="I323" i="40"/>
  <c r="I322" i="40"/>
  <c r="I321" i="40"/>
  <c r="I320" i="40"/>
  <c r="I319" i="40"/>
  <c r="I318" i="40"/>
  <c r="I317" i="40"/>
  <c r="I316" i="40"/>
  <c r="I315" i="40"/>
  <c r="I314" i="40"/>
  <c r="I313" i="40"/>
  <c r="I312" i="40"/>
  <c r="I311" i="40"/>
  <c r="I310" i="40"/>
  <c r="I309" i="40"/>
  <c r="I308" i="40"/>
  <c r="I307" i="40"/>
  <c r="I306" i="40"/>
  <c r="I305" i="40"/>
  <c r="I304" i="40"/>
  <c r="I303" i="40"/>
  <c r="I302" i="40"/>
  <c r="I301" i="40"/>
  <c r="I300" i="40"/>
  <c r="I299" i="40"/>
  <c r="I298" i="40"/>
  <c r="I297" i="40"/>
  <c r="I296" i="40"/>
  <c r="I295" i="40"/>
  <c r="I294" i="40"/>
  <c r="I293" i="40"/>
  <c r="I292" i="40"/>
  <c r="I291" i="40"/>
  <c r="I290" i="40"/>
  <c r="I289" i="40"/>
  <c r="I288" i="40"/>
  <c r="I287" i="40"/>
  <c r="I286" i="40"/>
  <c r="I285" i="40"/>
  <c r="I284" i="40"/>
  <c r="I283" i="40"/>
  <c r="I282" i="40"/>
  <c r="I281" i="40"/>
  <c r="I280" i="40"/>
  <c r="I279" i="40"/>
  <c r="I278" i="40"/>
  <c r="I277" i="40"/>
  <c r="I276" i="40"/>
  <c r="I275" i="40"/>
  <c r="I274" i="40"/>
  <c r="I273" i="40"/>
  <c r="I272" i="40"/>
  <c r="I271" i="40"/>
  <c r="I270" i="40"/>
  <c r="I269" i="40"/>
  <c r="I268" i="40"/>
  <c r="I267" i="40"/>
  <c r="I266" i="40"/>
  <c r="I265" i="40"/>
  <c r="I264" i="40"/>
  <c r="I263" i="40"/>
  <c r="I262" i="40"/>
  <c r="I261" i="40"/>
  <c r="I260" i="40"/>
  <c r="I259" i="40"/>
  <c r="I258" i="40"/>
  <c r="I257" i="40"/>
  <c r="I256" i="40"/>
  <c r="I255" i="40"/>
  <c r="I254" i="40"/>
  <c r="I253" i="40"/>
  <c r="I252" i="40"/>
  <c r="I251" i="40"/>
  <c r="I250" i="40"/>
  <c r="I249" i="40"/>
  <c r="I248" i="40"/>
  <c r="I247" i="40"/>
  <c r="I246" i="40"/>
  <c r="I245" i="40"/>
  <c r="I244" i="40"/>
  <c r="I243" i="40"/>
  <c r="I242" i="40"/>
  <c r="I241" i="40"/>
  <c r="I240" i="40"/>
  <c r="I239" i="40"/>
  <c r="I238" i="40"/>
  <c r="I237" i="40"/>
  <c r="I236" i="40"/>
  <c r="I235" i="40"/>
  <c r="I234" i="40"/>
  <c r="I233" i="40"/>
  <c r="I232" i="40"/>
  <c r="I231" i="40"/>
  <c r="I230" i="40"/>
  <c r="I229" i="40"/>
  <c r="I228" i="40"/>
  <c r="I227" i="40"/>
  <c r="I226" i="40"/>
  <c r="I225" i="40"/>
  <c r="I224" i="40"/>
  <c r="I223" i="40"/>
  <c r="I222" i="40"/>
  <c r="I221" i="40"/>
  <c r="I220" i="40"/>
  <c r="I219" i="40"/>
  <c r="I218" i="40"/>
  <c r="I217" i="40"/>
  <c r="I216" i="40"/>
  <c r="I215" i="40"/>
  <c r="I214" i="40"/>
  <c r="I213" i="40"/>
  <c r="I212" i="40"/>
  <c r="I211" i="40"/>
  <c r="I210" i="40"/>
  <c r="I209" i="40"/>
  <c r="I208" i="40"/>
  <c r="I207" i="40"/>
  <c r="I206" i="40"/>
  <c r="I205" i="40"/>
  <c r="I204" i="40"/>
  <c r="I203" i="40"/>
  <c r="I202" i="40"/>
  <c r="I201" i="40"/>
  <c r="I200" i="40"/>
  <c r="I199" i="40"/>
  <c r="I198" i="40"/>
  <c r="I197" i="40"/>
  <c r="I196" i="40"/>
  <c r="I195" i="40"/>
  <c r="I194" i="40"/>
  <c r="I193" i="40"/>
  <c r="I192" i="40"/>
  <c r="I191" i="40"/>
  <c r="I190" i="40"/>
  <c r="I189" i="40"/>
  <c r="I188" i="40"/>
  <c r="I187" i="40"/>
  <c r="I186" i="40"/>
  <c r="I185" i="40"/>
  <c r="I184" i="40"/>
  <c r="I183" i="40"/>
  <c r="I182" i="40"/>
  <c r="I181" i="40"/>
  <c r="I180" i="40"/>
  <c r="I179" i="40"/>
  <c r="I178" i="40"/>
  <c r="I177" i="40"/>
  <c r="I176" i="40"/>
  <c r="I175" i="40"/>
  <c r="I174" i="40"/>
  <c r="I173" i="40"/>
  <c r="I172" i="40"/>
  <c r="I171" i="40"/>
  <c r="I170" i="40"/>
  <c r="I169" i="40"/>
  <c r="I168" i="40"/>
  <c r="I167" i="40"/>
  <c r="I166" i="40"/>
  <c r="I165" i="40"/>
  <c r="I164" i="40"/>
  <c r="I163" i="40"/>
  <c r="I162" i="40"/>
  <c r="I161" i="40"/>
  <c r="I160" i="40"/>
  <c r="I159" i="40"/>
  <c r="I158" i="40"/>
  <c r="I157" i="40"/>
  <c r="I156" i="40"/>
  <c r="I155" i="40"/>
  <c r="I154" i="40"/>
  <c r="I153" i="40"/>
  <c r="I152" i="40"/>
  <c r="I151" i="40"/>
  <c r="I150" i="40"/>
  <c r="I149" i="40"/>
  <c r="I148" i="40"/>
  <c r="I147" i="40"/>
  <c r="I146" i="40"/>
  <c r="I145" i="40"/>
  <c r="I144" i="40"/>
  <c r="I143" i="40"/>
  <c r="I142" i="40"/>
  <c r="I141" i="40"/>
  <c r="I140" i="40"/>
  <c r="I139" i="40"/>
  <c r="I138" i="40"/>
  <c r="I137" i="40"/>
  <c r="I136" i="40"/>
  <c r="I135" i="40"/>
  <c r="I134" i="40"/>
  <c r="I133" i="40"/>
  <c r="I132" i="40"/>
  <c r="I131" i="40"/>
  <c r="I130" i="40"/>
  <c r="I129" i="40"/>
  <c r="I128" i="40"/>
  <c r="I127" i="40"/>
  <c r="I126" i="40"/>
  <c r="I125" i="40"/>
  <c r="I124" i="40"/>
  <c r="I123" i="40"/>
  <c r="I122" i="40"/>
  <c r="I121" i="40"/>
  <c r="I120" i="40"/>
  <c r="I119" i="40"/>
  <c r="I118" i="40"/>
  <c r="I117" i="40"/>
  <c r="I116" i="40"/>
  <c r="I115" i="40"/>
  <c r="I114" i="40"/>
  <c r="I113" i="40"/>
  <c r="I112" i="40"/>
  <c r="I111" i="40"/>
  <c r="I110" i="40"/>
  <c r="I109" i="40"/>
  <c r="I108" i="40"/>
  <c r="I107" i="40"/>
  <c r="I106" i="40"/>
  <c r="I105" i="40"/>
  <c r="I104" i="40"/>
  <c r="I103" i="40"/>
  <c r="I102" i="40"/>
  <c r="I101" i="40"/>
  <c r="I100" i="40"/>
  <c r="I99" i="40"/>
  <c r="I98" i="40"/>
  <c r="I97" i="40"/>
  <c r="I96" i="40"/>
  <c r="I95" i="40"/>
  <c r="I94" i="40"/>
  <c r="I93" i="40"/>
  <c r="I92" i="40"/>
  <c r="I91" i="40"/>
  <c r="I90" i="40"/>
  <c r="I89" i="40"/>
  <c r="I88" i="40"/>
  <c r="I87" i="40"/>
  <c r="I86" i="40"/>
  <c r="I85" i="40"/>
  <c r="I84" i="40"/>
  <c r="I83" i="40"/>
  <c r="I82" i="40"/>
  <c r="I81" i="40"/>
  <c r="I80" i="40"/>
  <c r="I79" i="40"/>
  <c r="I78" i="40"/>
  <c r="I77" i="40"/>
  <c r="I76" i="40"/>
  <c r="I75" i="40"/>
  <c r="I74" i="40"/>
  <c r="I73" i="40"/>
  <c r="I72" i="40"/>
  <c r="I71" i="40"/>
  <c r="I70" i="40"/>
  <c r="I69" i="40"/>
  <c r="I68" i="40"/>
  <c r="I67" i="40"/>
  <c r="I66" i="40"/>
  <c r="I65" i="40"/>
  <c r="I64" i="40"/>
  <c r="I63" i="40"/>
  <c r="I62" i="40"/>
  <c r="I61" i="40"/>
  <c r="I60" i="40"/>
  <c r="I59" i="40"/>
  <c r="I58" i="40"/>
  <c r="I57" i="40"/>
  <c r="I56" i="40"/>
  <c r="I55" i="40"/>
  <c r="I54" i="40"/>
  <c r="I53" i="40"/>
  <c r="I52" i="40"/>
  <c r="I51" i="40"/>
  <c r="I50" i="40"/>
  <c r="I49" i="40"/>
  <c r="I48" i="40"/>
  <c r="I47" i="40"/>
  <c r="I46" i="40"/>
  <c r="I45" i="40"/>
  <c r="I44" i="40"/>
  <c r="I43" i="40"/>
  <c r="I42" i="40"/>
  <c r="I41" i="40"/>
  <c r="I40" i="40"/>
  <c r="I39" i="40"/>
  <c r="I38" i="40"/>
  <c r="I37" i="40"/>
  <c r="I36" i="40"/>
  <c r="I35" i="40"/>
  <c r="I34" i="40"/>
  <c r="I33" i="40"/>
  <c r="I32" i="40"/>
  <c r="I31" i="40"/>
  <c r="I30" i="40"/>
  <c r="I29" i="40"/>
  <c r="I28" i="40"/>
  <c r="I27" i="40"/>
  <c r="I26" i="40"/>
  <c r="I25" i="40"/>
  <c r="I24" i="40"/>
  <c r="I23" i="40"/>
  <c r="I22" i="40"/>
  <c r="I21" i="40"/>
  <c r="I20" i="40"/>
  <c r="I19" i="40"/>
  <c r="I18" i="40"/>
  <c r="I17" i="40"/>
  <c r="I16" i="40"/>
  <c r="I15" i="40"/>
  <c r="I14" i="40"/>
  <c r="I13" i="40"/>
  <c r="I12" i="40"/>
  <c r="I11" i="40"/>
  <c r="I10" i="40"/>
  <c r="I9" i="40"/>
  <c r="I8" i="40"/>
  <c r="I7" i="40"/>
  <c r="I6" i="40"/>
  <c r="I5" i="40"/>
  <c r="I4" i="40"/>
  <c r="I3" i="40"/>
  <c r="I2" i="40"/>
  <c r="F406" i="40"/>
  <c r="F405" i="40"/>
  <c r="N404" i="40"/>
  <c r="F404" i="40"/>
  <c r="F403" i="40"/>
  <c r="F402" i="40"/>
  <c r="F401" i="40"/>
  <c r="F400" i="40"/>
  <c r="F399" i="40"/>
  <c r="N398" i="40"/>
  <c r="F398" i="40"/>
  <c r="N397" i="40"/>
  <c r="F397" i="40"/>
  <c r="F396" i="40"/>
  <c r="N395" i="40"/>
  <c r="N394" i="40"/>
  <c r="F394" i="40"/>
  <c r="N393" i="40"/>
  <c r="F393" i="40"/>
  <c r="N392" i="40"/>
  <c r="F392" i="40"/>
  <c r="N391" i="40"/>
  <c r="F391" i="40"/>
  <c r="F390" i="40"/>
  <c r="F389" i="40"/>
  <c r="N388" i="40"/>
  <c r="F388" i="40"/>
  <c r="F387" i="40"/>
  <c r="N386" i="40"/>
  <c r="F386" i="40"/>
  <c r="N385" i="40"/>
  <c r="F385" i="40"/>
  <c r="N384" i="40"/>
  <c r="F384" i="40"/>
  <c r="N383" i="40"/>
  <c r="F383" i="40"/>
  <c r="N382" i="40"/>
  <c r="F382" i="40"/>
  <c r="F381" i="40"/>
  <c r="N380" i="40"/>
  <c r="F380" i="40"/>
  <c r="N379" i="40"/>
  <c r="F379" i="40"/>
  <c r="N378" i="40"/>
  <c r="F378" i="40"/>
  <c r="F377" i="40"/>
  <c r="N376" i="40"/>
  <c r="F376" i="40"/>
  <c r="N375" i="40"/>
  <c r="F375" i="40"/>
  <c r="N374" i="40"/>
  <c r="F374" i="40"/>
  <c r="F373" i="40"/>
  <c r="N372" i="40"/>
  <c r="F372" i="40"/>
  <c r="N371" i="40"/>
  <c r="F371" i="40"/>
  <c r="N370" i="40"/>
  <c r="F370" i="40"/>
  <c r="N369" i="40"/>
  <c r="F369" i="40"/>
  <c r="N368" i="40"/>
  <c r="F368" i="40"/>
  <c r="F367" i="40"/>
  <c r="F366" i="40"/>
  <c r="N365" i="40"/>
  <c r="F365" i="40"/>
  <c r="F364" i="40"/>
  <c r="N363" i="40"/>
  <c r="F363" i="40"/>
  <c r="N362" i="40"/>
  <c r="F362" i="40"/>
  <c r="N361" i="40"/>
  <c r="F361" i="40"/>
  <c r="F360" i="40"/>
  <c r="N359" i="40"/>
  <c r="F359" i="40"/>
  <c r="F358" i="40"/>
  <c r="N357" i="40"/>
  <c r="F357" i="40"/>
  <c r="N356" i="40"/>
  <c r="F356" i="40"/>
  <c r="F355" i="40"/>
  <c r="F352" i="40"/>
  <c r="N351" i="40"/>
  <c r="F351" i="40"/>
  <c r="F350" i="40"/>
  <c r="F349" i="40"/>
  <c r="F348" i="40"/>
  <c r="F347" i="40"/>
  <c r="N346" i="40"/>
  <c r="F346" i="40"/>
  <c r="N345" i="40"/>
  <c r="F345" i="40"/>
  <c r="F343" i="40"/>
  <c r="N342" i="40"/>
  <c r="F342" i="40"/>
  <c r="F341" i="40"/>
  <c r="F340" i="40"/>
  <c r="F339" i="40"/>
  <c r="N338" i="40"/>
  <c r="F338" i="40"/>
  <c r="F337" i="40"/>
  <c r="F336" i="40"/>
  <c r="F335" i="40"/>
  <c r="N334" i="40"/>
  <c r="F334" i="40"/>
  <c r="N333" i="40"/>
  <c r="F333" i="40"/>
  <c r="N332" i="40"/>
  <c r="F332" i="40"/>
  <c r="F331" i="40"/>
  <c r="N330" i="40"/>
  <c r="F330" i="40"/>
  <c r="F328" i="40"/>
  <c r="N327" i="40"/>
  <c r="F327" i="40"/>
  <c r="F326" i="40"/>
  <c r="N325" i="40"/>
  <c r="F325" i="40"/>
  <c r="F324" i="40"/>
  <c r="F323" i="40"/>
  <c r="N322" i="40"/>
  <c r="F322" i="40"/>
  <c r="F321" i="40"/>
  <c r="F320" i="40"/>
  <c r="F319" i="40"/>
  <c r="N318" i="40"/>
  <c r="F318" i="40"/>
  <c r="F317" i="40"/>
  <c r="F316" i="40"/>
  <c r="F315" i="40"/>
  <c r="F314" i="40"/>
  <c r="N313" i="40"/>
  <c r="F313" i="40"/>
  <c r="F312" i="40"/>
  <c r="F311" i="40"/>
  <c r="F310" i="40"/>
  <c r="F309" i="40"/>
  <c r="F308" i="40"/>
  <c r="N307" i="40"/>
  <c r="N306" i="40"/>
  <c r="F306" i="40"/>
  <c r="F305" i="40"/>
  <c r="F304" i="40"/>
  <c r="F303" i="40"/>
  <c r="F302" i="40"/>
  <c r="F301" i="40"/>
  <c r="N300" i="40"/>
  <c r="N299" i="40"/>
  <c r="F299" i="40"/>
  <c r="F298" i="40"/>
  <c r="F297" i="40"/>
  <c r="N296" i="40"/>
  <c r="F296" i="40"/>
  <c r="F295" i="40"/>
  <c r="F294" i="40"/>
  <c r="F293" i="40"/>
  <c r="F292" i="40"/>
  <c r="N291" i="40"/>
  <c r="F291" i="40"/>
  <c r="F290" i="40"/>
  <c r="N289" i="40"/>
  <c r="F289" i="40"/>
  <c r="F288" i="40"/>
  <c r="N287" i="40"/>
  <c r="F287" i="40"/>
  <c r="F286" i="40"/>
  <c r="N285" i="40"/>
  <c r="F285" i="40"/>
  <c r="F284" i="40"/>
  <c r="F283" i="40"/>
  <c r="F282" i="40"/>
  <c r="F281" i="40"/>
  <c r="F280" i="40"/>
  <c r="N279" i="40"/>
  <c r="F279" i="40"/>
  <c r="F278" i="40"/>
  <c r="F277" i="40"/>
  <c r="N276" i="40"/>
  <c r="F276" i="40"/>
  <c r="N275" i="40"/>
  <c r="F275" i="40"/>
  <c r="N274" i="40"/>
  <c r="F274" i="40"/>
  <c r="F272" i="40"/>
  <c r="N271" i="40"/>
  <c r="N270" i="40"/>
  <c r="F270" i="40"/>
  <c r="F269" i="40"/>
  <c r="N268" i="40"/>
  <c r="F268" i="40"/>
  <c r="F267" i="40"/>
  <c r="F266" i="40"/>
  <c r="N265" i="40"/>
  <c r="F265" i="40"/>
  <c r="N264" i="40"/>
  <c r="F264" i="40"/>
  <c r="N263" i="40"/>
  <c r="F263" i="40"/>
  <c r="N262" i="40"/>
  <c r="F262" i="40"/>
  <c r="N261" i="40"/>
  <c r="F261" i="40"/>
  <c r="N260" i="40"/>
  <c r="F260" i="40"/>
  <c r="N259" i="40"/>
  <c r="F259" i="40"/>
  <c r="F258" i="40"/>
  <c r="F257" i="40"/>
  <c r="N256" i="40"/>
  <c r="F256" i="40"/>
  <c r="N255" i="40"/>
  <c r="F254" i="40"/>
  <c r="F253" i="40"/>
  <c r="N252" i="40"/>
  <c r="F252" i="40"/>
  <c r="N251" i="40"/>
  <c r="N250" i="40"/>
  <c r="F250" i="40"/>
  <c r="F249" i="40"/>
  <c r="F248" i="40"/>
  <c r="F247" i="40"/>
  <c r="N246" i="40"/>
  <c r="F246" i="40"/>
  <c r="F245" i="40"/>
  <c r="F244" i="40"/>
  <c r="F243" i="40"/>
  <c r="F242" i="40"/>
  <c r="F241" i="40"/>
  <c r="F240" i="40"/>
  <c r="F239" i="40"/>
  <c r="F238" i="40"/>
  <c r="F237" i="40"/>
  <c r="F236" i="40"/>
  <c r="N235" i="40"/>
  <c r="F235" i="40"/>
  <c r="N234" i="40"/>
  <c r="F234" i="40"/>
  <c r="N233" i="40"/>
  <c r="F233" i="40"/>
  <c r="N232" i="40"/>
  <c r="F232" i="40"/>
  <c r="N231" i="40"/>
  <c r="F231" i="40"/>
  <c r="F230" i="40"/>
  <c r="N229" i="40"/>
  <c r="F229" i="40"/>
  <c r="N228" i="40"/>
  <c r="F228" i="40"/>
  <c r="F227" i="40"/>
  <c r="N226" i="40"/>
  <c r="F226" i="40"/>
  <c r="F225" i="40"/>
  <c r="N224" i="40"/>
  <c r="N223" i="40"/>
  <c r="F223" i="40"/>
  <c r="F222" i="40"/>
  <c r="N221" i="40"/>
  <c r="F221" i="40"/>
  <c r="N220" i="40"/>
  <c r="F220" i="40"/>
  <c r="N219" i="40"/>
  <c r="F219" i="40"/>
  <c r="F218" i="40"/>
  <c r="N217" i="40"/>
  <c r="F217" i="40"/>
  <c r="N215" i="40"/>
  <c r="F215" i="40"/>
  <c r="F214" i="40"/>
  <c r="F213" i="40"/>
  <c r="N212" i="40"/>
  <c r="F212" i="40"/>
  <c r="F211" i="40"/>
  <c r="F210" i="40"/>
  <c r="F209" i="40"/>
  <c r="F208" i="40"/>
  <c r="F206" i="40"/>
  <c r="F205" i="40"/>
  <c r="F204" i="40"/>
  <c r="F203" i="40"/>
  <c r="N202" i="40"/>
  <c r="F202" i="40"/>
  <c r="F200" i="40"/>
  <c r="F199" i="40"/>
  <c r="N198" i="40"/>
  <c r="F198" i="40"/>
  <c r="F197" i="40"/>
  <c r="F196" i="40"/>
  <c r="F195" i="40"/>
  <c r="N194" i="40"/>
  <c r="F194" i="40"/>
  <c r="N193" i="40"/>
  <c r="F193" i="40"/>
  <c r="F192" i="40"/>
  <c r="F189" i="40"/>
  <c r="F188" i="40"/>
  <c r="N187" i="40"/>
  <c r="F187" i="40"/>
  <c r="F186" i="40"/>
  <c r="F185" i="40"/>
  <c r="F184" i="40"/>
  <c r="F183" i="40"/>
  <c r="F182" i="40"/>
  <c r="F181" i="40"/>
  <c r="F180" i="40"/>
  <c r="F179" i="40"/>
  <c r="F178" i="40"/>
  <c r="N177" i="40"/>
  <c r="F177" i="40"/>
  <c r="N176" i="40"/>
  <c r="F176" i="40"/>
  <c r="F175" i="40"/>
  <c r="N174" i="40"/>
  <c r="F174" i="40"/>
  <c r="F173" i="40"/>
  <c r="F172" i="40"/>
  <c r="N171" i="40"/>
  <c r="F171" i="40"/>
  <c r="F170" i="40"/>
  <c r="N169" i="40"/>
  <c r="F169" i="40"/>
  <c r="N168" i="40"/>
  <c r="F168" i="40"/>
  <c r="F167" i="40"/>
  <c r="N166" i="40"/>
  <c r="F166" i="40"/>
  <c r="F165" i="40"/>
  <c r="N164" i="40"/>
  <c r="F164" i="40"/>
  <c r="F163" i="40"/>
  <c r="N162" i="40"/>
  <c r="F162" i="40"/>
  <c r="F161" i="40"/>
  <c r="F160" i="40"/>
  <c r="F159" i="40"/>
  <c r="F158" i="40"/>
  <c r="F157" i="40"/>
  <c r="N155" i="40"/>
  <c r="F155" i="40"/>
  <c r="F154" i="40"/>
  <c r="F153" i="40"/>
  <c r="F152" i="40"/>
  <c r="F151" i="40"/>
  <c r="F150" i="40"/>
  <c r="F149" i="40"/>
  <c r="N147" i="40"/>
  <c r="F147" i="40"/>
  <c r="F146" i="40"/>
  <c r="F145" i="40"/>
  <c r="F144" i="40"/>
  <c r="F143" i="40"/>
  <c r="F142" i="40"/>
  <c r="F141" i="40"/>
  <c r="N140" i="40"/>
  <c r="F140" i="40"/>
  <c r="F139" i="40"/>
  <c r="N138" i="40"/>
  <c r="F138" i="40"/>
  <c r="N137" i="40"/>
  <c r="F137" i="40"/>
  <c r="N136" i="40"/>
  <c r="F136" i="40"/>
  <c r="F135" i="40"/>
  <c r="F134" i="40"/>
  <c r="F131" i="40"/>
  <c r="F130" i="40"/>
  <c r="F129" i="40"/>
  <c r="F128" i="40"/>
  <c r="N127" i="40"/>
  <c r="F127" i="40"/>
  <c r="N126" i="40"/>
  <c r="F126" i="40"/>
  <c r="N125" i="40"/>
  <c r="F125" i="40"/>
  <c r="N124" i="40"/>
  <c r="F124" i="40"/>
  <c r="F123" i="40"/>
  <c r="N122" i="40"/>
  <c r="F122" i="40"/>
  <c r="F121" i="40"/>
  <c r="N120" i="40"/>
  <c r="F120" i="40"/>
  <c r="F119" i="40"/>
  <c r="F118" i="40"/>
  <c r="F117" i="40"/>
  <c r="N116" i="40"/>
  <c r="F116" i="40"/>
  <c r="F115" i="40"/>
  <c r="F114" i="40"/>
  <c r="N113" i="40"/>
  <c r="F113" i="40"/>
  <c r="F112" i="40"/>
  <c r="N110" i="40"/>
  <c r="F110" i="40"/>
  <c r="N109" i="40"/>
  <c r="F109" i="40"/>
  <c r="N108" i="40"/>
  <c r="F108" i="40"/>
  <c r="N107" i="40"/>
  <c r="F107" i="40"/>
  <c r="N106" i="40"/>
  <c r="F106" i="40"/>
  <c r="F104" i="40"/>
  <c r="N103" i="40"/>
  <c r="F103" i="40"/>
  <c r="F102" i="40"/>
  <c r="F101" i="40"/>
  <c r="N100" i="40"/>
  <c r="F100" i="40"/>
  <c r="N99" i="40"/>
  <c r="F99" i="40"/>
  <c r="F98" i="40"/>
  <c r="N96" i="40"/>
  <c r="N95" i="40"/>
  <c r="F95" i="40"/>
  <c r="N94" i="40"/>
  <c r="F94" i="40"/>
  <c r="N93" i="40"/>
  <c r="F93" i="40"/>
  <c r="F92" i="40"/>
  <c r="N91" i="40"/>
  <c r="F91" i="40"/>
  <c r="N90" i="40"/>
  <c r="F90" i="40"/>
  <c r="F89" i="40"/>
  <c r="F88" i="40"/>
  <c r="F87" i="40"/>
  <c r="N86" i="40"/>
  <c r="F86" i="40"/>
  <c r="N85" i="40"/>
  <c r="F85" i="40"/>
  <c r="N84" i="40"/>
  <c r="F84" i="40"/>
  <c r="F83" i="40"/>
  <c r="F82" i="40"/>
  <c r="F81" i="40"/>
  <c r="N80" i="40"/>
  <c r="F80" i="40"/>
  <c r="N79" i="40"/>
  <c r="F79" i="40"/>
  <c r="F78" i="40"/>
  <c r="F77" i="40"/>
  <c r="F76" i="40"/>
  <c r="F75" i="40"/>
  <c r="F74" i="40"/>
  <c r="N73" i="40"/>
  <c r="F73" i="40"/>
  <c r="N72" i="40"/>
  <c r="F71" i="40"/>
  <c r="F70" i="40"/>
  <c r="N69" i="40"/>
  <c r="F69" i="40"/>
  <c r="F68" i="40"/>
  <c r="F67" i="40"/>
  <c r="N66" i="40"/>
  <c r="F66" i="40"/>
  <c r="F65" i="40"/>
  <c r="F64" i="40"/>
  <c r="F63" i="40"/>
  <c r="F62" i="40"/>
  <c r="F61" i="40"/>
  <c r="F59" i="40"/>
  <c r="N56" i="40"/>
  <c r="F56" i="40"/>
  <c r="F55" i="40"/>
  <c r="N54" i="40"/>
  <c r="F54" i="40"/>
  <c r="F53" i="40"/>
  <c r="F52" i="40"/>
  <c r="F51" i="40"/>
  <c r="N50" i="40"/>
  <c r="F50" i="40"/>
  <c r="F49" i="40"/>
  <c r="F48" i="40"/>
  <c r="N47" i="40"/>
  <c r="F47" i="40"/>
  <c r="N46" i="40"/>
  <c r="F46" i="40"/>
  <c r="F45" i="40"/>
  <c r="N44" i="40"/>
  <c r="F44" i="40"/>
  <c r="N43" i="40"/>
  <c r="F43" i="40"/>
  <c r="N42" i="40"/>
  <c r="F42" i="40"/>
  <c r="N41" i="40"/>
  <c r="F41" i="40"/>
  <c r="N40" i="40"/>
  <c r="F40" i="40"/>
  <c r="N39" i="40"/>
  <c r="F39" i="40"/>
  <c r="N38" i="40"/>
  <c r="F38" i="40"/>
  <c r="N37" i="40"/>
  <c r="F37" i="40"/>
  <c r="N36" i="40"/>
  <c r="F36" i="40"/>
  <c r="F35" i="40"/>
  <c r="N34" i="40"/>
  <c r="F34" i="40"/>
  <c r="N33" i="40"/>
  <c r="F33" i="40"/>
  <c r="F32" i="40"/>
  <c r="N31" i="40"/>
  <c r="F31" i="40"/>
  <c r="N30" i="40"/>
  <c r="N29" i="40"/>
  <c r="F29" i="40"/>
  <c r="F28" i="40"/>
  <c r="F27" i="40"/>
  <c r="N26" i="40"/>
  <c r="F26" i="40"/>
  <c r="F25" i="40"/>
  <c r="F24" i="40"/>
  <c r="N23" i="40"/>
  <c r="F23" i="40"/>
  <c r="N22" i="40"/>
  <c r="F22" i="40"/>
  <c r="N21" i="40"/>
  <c r="F21" i="40"/>
  <c r="F19" i="40"/>
  <c r="N18" i="40"/>
  <c r="F18" i="40"/>
  <c r="F17" i="40"/>
  <c r="F16" i="40"/>
  <c r="N15" i="40"/>
  <c r="F15" i="40"/>
  <c r="F14" i="40"/>
  <c r="F13" i="40"/>
  <c r="F12" i="40"/>
  <c r="N11" i="40"/>
  <c r="F11" i="40"/>
  <c r="N10" i="40"/>
  <c r="F10" i="40"/>
  <c r="F9" i="40"/>
  <c r="N8" i="40"/>
  <c r="F8" i="40"/>
  <c r="F6" i="40"/>
  <c r="N5" i="40"/>
  <c r="F5" i="40"/>
  <c r="F3" i="40"/>
  <c r="A3" i="40"/>
  <c r="A4" i="40" s="1"/>
  <c r="A5" i="40" s="1"/>
  <c r="N2" i="40"/>
  <c r="F2" i="40"/>
  <c r="AM304" i="23" l="1"/>
  <c r="AQ304" i="23"/>
  <c r="AV304" i="23" s="1"/>
  <c r="AM303" i="23"/>
  <c r="AQ303" i="23"/>
  <c r="AV303" i="23" s="1"/>
  <c r="W261" i="23"/>
  <c r="A6" i="40"/>
  <c r="A7" i="40" s="1"/>
  <c r="A8" i="40" s="1"/>
  <c r="A9" i="40" s="1"/>
  <c r="A10" i="40" s="1"/>
  <c r="A11" i="40" s="1"/>
  <c r="A12" i="40" s="1"/>
  <c r="A13" i="40" s="1"/>
  <c r="A14" i="40" s="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49"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A79" i="40" s="1"/>
  <c r="A80" i="40" s="1"/>
  <c r="A81" i="40" s="1"/>
  <c r="A82" i="40" s="1"/>
  <c r="A83" i="40" s="1"/>
  <c r="A84" i="40" s="1"/>
  <c r="A85" i="40" s="1"/>
  <c r="A86" i="40" s="1"/>
  <c r="A87" i="40" s="1"/>
  <c r="A88" i="40" s="1"/>
  <c r="A89" i="40" s="1"/>
  <c r="A90" i="40" s="1"/>
  <c r="A91" i="40" s="1"/>
  <c r="A92" i="40" s="1"/>
  <c r="A93" i="40" s="1"/>
  <c r="A94" i="40" s="1"/>
  <c r="A95" i="40" s="1"/>
  <c r="A96" i="40" s="1"/>
  <c r="A97" i="40" s="1"/>
  <c r="A98" i="40" s="1"/>
  <c r="A99" i="40" s="1"/>
  <c r="A100" i="40" s="1"/>
  <c r="A101" i="40" s="1"/>
  <c r="A102" i="40" s="1"/>
  <c r="A103" i="40" s="1"/>
  <c r="A104" i="40" s="1"/>
  <c r="A105" i="40" s="1"/>
  <c r="A106" i="40" s="1"/>
  <c r="A107" i="40" s="1"/>
  <c r="A108" i="40" s="1"/>
  <c r="A109" i="40" s="1"/>
  <c r="A110" i="40" s="1"/>
  <c r="A111" i="40" s="1"/>
  <c r="A112" i="40" s="1"/>
  <c r="A113" i="40" s="1"/>
  <c r="A114" i="40" s="1"/>
  <c r="A115" i="40" s="1"/>
  <c r="A116" i="40" s="1"/>
  <c r="A117" i="40" s="1"/>
  <c r="A118" i="40" s="1"/>
  <c r="A119" i="40" s="1"/>
  <c r="A120" i="40" s="1"/>
  <c r="A121" i="40" s="1"/>
  <c r="A122" i="40" s="1"/>
  <c r="A123" i="40" s="1"/>
  <c r="A124" i="40" s="1"/>
  <c r="A125" i="40" s="1"/>
  <c r="A126" i="40" s="1"/>
  <c r="A127" i="40" s="1"/>
  <c r="A128" i="40" s="1"/>
  <c r="A129" i="40" s="1"/>
  <c r="A130" i="40" s="1"/>
  <c r="A131" i="40" s="1"/>
  <c r="A132" i="40" s="1"/>
  <c r="A133" i="40" s="1"/>
  <c r="A134" i="40" s="1"/>
  <c r="A135" i="40" s="1"/>
  <c r="A136" i="40" s="1"/>
  <c r="A137" i="40" s="1"/>
  <c r="A138" i="40" s="1"/>
  <c r="A139" i="40" s="1"/>
  <c r="A140" i="40" s="1"/>
  <c r="A141" i="40" s="1"/>
  <c r="A142" i="40" s="1"/>
  <c r="A143" i="40" s="1"/>
  <c r="A144" i="40" s="1"/>
  <c r="A145" i="40" s="1"/>
  <c r="A146" i="40" s="1"/>
  <c r="A147" i="40" s="1"/>
  <c r="A148" i="40" s="1"/>
  <c r="A149" i="40" s="1"/>
  <c r="A150" i="40" s="1"/>
  <c r="A151" i="40" s="1"/>
  <c r="A152" i="40" s="1"/>
  <c r="A153" i="40" s="1"/>
  <c r="A154" i="40" s="1"/>
  <c r="A155" i="40" s="1"/>
  <c r="A156" i="40" s="1"/>
  <c r="A157" i="40" s="1"/>
  <c r="A158" i="40" s="1"/>
  <c r="A159" i="40" s="1"/>
  <c r="A160" i="40" s="1"/>
  <c r="A161" i="40" s="1"/>
  <c r="A162" i="40" s="1"/>
  <c r="A163" i="40" s="1"/>
  <c r="A164" i="40" s="1"/>
  <c r="A165" i="40" s="1"/>
  <c r="A166" i="40" s="1"/>
  <c r="A167" i="40" s="1"/>
  <c r="A168" i="40" s="1"/>
  <c r="A169" i="40" s="1"/>
  <c r="A170" i="40" s="1"/>
  <c r="A171" i="40" s="1"/>
  <c r="A172" i="40" s="1"/>
  <c r="A173" i="40" s="1"/>
  <c r="A174" i="40" s="1"/>
  <c r="A175" i="40" s="1"/>
  <c r="A176" i="40" s="1"/>
  <c r="A177" i="40" s="1"/>
  <c r="A178" i="40" s="1"/>
  <c r="A179" i="40" s="1"/>
  <c r="A180" i="40" s="1"/>
  <c r="A181" i="40" s="1"/>
  <c r="A182" i="40" s="1"/>
  <c r="A183" i="40" s="1"/>
  <c r="A184" i="40" s="1"/>
  <c r="A185" i="40" s="1"/>
  <c r="A186" i="40" s="1"/>
  <c r="A187" i="40" s="1"/>
  <c r="A188" i="40" s="1"/>
  <c r="A189" i="40" s="1"/>
  <c r="A190" i="40" s="1"/>
  <c r="A191" i="40" s="1"/>
  <c r="A192" i="40" s="1"/>
  <c r="A193" i="40" s="1"/>
  <c r="A194" i="40" s="1"/>
  <c r="A195" i="40" s="1"/>
  <c r="A196" i="40" s="1"/>
  <c r="A197" i="40" s="1"/>
  <c r="A198" i="40" s="1"/>
  <c r="A199" i="40" s="1"/>
  <c r="A200" i="40" s="1"/>
  <c r="A201" i="40" s="1"/>
  <c r="A202" i="40" s="1"/>
  <c r="A203" i="40" s="1"/>
  <c r="A204" i="40" s="1"/>
  <c r="A205" i="40" s="1"/>
  <c r="A206" i="40" s="1"/>
  <c r="A207" i="40" s="1"/>
  <c r="A208" i="40" s="1"/>
  <c r="A209" i="40" s="1"/>
  <c r="A210" i="40" s="1"/>
  <c r="A211" i="40" s="1"/>
  <c r="A212" i="40" s="1"/>
  <c r="A213" i="40" s="1"/>
  <c r="A214" i="40" s="1"/>
  <c r="A215" i="40" s="1"/>
  <c r="A216" i="40" s="1"/>
  <c r="A217" i="40" s="1"/>
  <c r="A218" i="40" s="1"/>
  <c r="A219" i="40" s="1"/>
  <c r="A220" i="40" s="1"/>
  <c r="A221" i="40" s="1"/>
  <c r="A222" i="40" s="1"/>
  <c r="A223" i="40" s="1"/>
  <c r="A224" i="40" s="1"/>
  <c r="A225" i="40" s="1"/>
  <c r="A226" i="40" s="1"/>
  <c r="A227" i="40" s="1"/>
  <c r="A228" i="40" s="1"/>
  <c r="A229" i="40" s="1"/>
  <c r="A230" i="40" s="1"/>
  <c r="A231" i="40" s="1"/>
  <c r="A232" i="40" s="1"/>
  <c r="A233" i="40" s="1"/>
  <c r="A234" i="40" s="1"/>
  <c r="A235" i="40" s="1"/>
  <c r="A236" i="40" s="1"/>
  <c r="A237" i="40" s="1"/>
  <c r="A238" i="40" s="1"/>
  <c r="A239" i="40" s="1"/>
  <c r="A240" i="40" s="1"/>
  <c r="A241" i="40" s="1"/>
  <c r="A242" i="40" s="1"/>
  <c r="A243" i="40" s="1"/>
  <c r="A244" i="40" s="1"/>
  <c r="A245" i="40" s="1"/>
  <c r="A246" i="40" s="1"/>
  <c r="A247" i="40" s="1"/>
  <c r="A248" i="40" s="1"/>
  <c r="A249" i="40" s="1"/>
  <c r="A250" i="40" s="1"/>
  <c r="A251" i="40" s="1"/>
  <c r="A252" i="40" s="1"/>
  <c r="A253" i="40" s="1"/>
  <c r="A254" i="40" s="1"/>
  <c r="A255" i="40" s="1"/>
  <c r="A256" i="40" s="1"/>
  <c r="A257" i="40" s="1"/>
  <c r="A258" i="40" s="1"/>
  <c r="A259" i="40" s="1"/>
  <c r="A260" i="40" s="1"/>
  <c r="A261" i="40" s="1"/>
  <c r="A262" i="40" s="1"/>
  <c r="A263" i="40" s="1"/>
  <c r="A264" i="40" s="1"/>
  <c r="A265" i="40" s="1"/>
  <c r="A266" i="40" s="1"/>
  <c r="A267" i="40" s="1"/>
  <c r="A268" i="40" s="1"/>
  <c r="A269" i="40" s="1"/>
  <c r="A270" i="40" s="1"/>
  <c r="A271" i="40" s="1"/>
  <c r="A272" i="40" s="1"/>
  <c r="A273" i="40" s="1"/>
  <c r="A274" i="40" s="1"/>
  <c r="A275" i="40" s="1"/>
  <c r="A276" i="40" s="1"/>
  <c r="A277" i="40" s="1"/>
  <c r="A278" i="40" s="1"/>
  <c r="A279" i="40" s="1"/>
  <c r="A280" i="40" s="1"/>
  <c r="A281" i="40" s="1"/>
  <c r="A282" i="40" s="1"/>
  <c r="A283" i="40" s="1"/>
  <c r="A284" i="40" s="1"/>
  <c r="A285" i="40" s="1"/>
  <c r="A286" i="40" s="1"/>
  <c r="A287" i="40" s="1"/>
  <c r="A288" i="40" s="1"/>
  <c r="A289" i="40" s="1"/>
  <c r="A290" i="40" s="1"/>
  <c r="A291" i="40" s="1"/>
  <c r="A292" i="40" s="1"/>
  <c r="A293" i="40" s="1"/>
  <c r="A294" i="40" s="1"/>
  <c r="A295" i="40" s="1"/>
  <c r="A296" i="40" s="1"/>
  <c r="A297" i="40" s="1"/>
  <c r="A298" i="40" s="1"/>
  <c r="A299" i="40" s="1"/>
  <c r="A300" i="40" s="1"/>
  <c r="A301" i="40" s="1"/>
  <c r="A302" i="40" s="1"/>
  <c r="A303" i="40" s="1"/>
  <c r="A304" i="40" s="1"/>
  <c r="A305" i="40" s="1"/>
  <c r="A306" i="40" s="1"/>
  <c r="A307" i="40" s="1"/>
  <c r="A308" i="40" s="1"/>
  <c r="A309" i="40" s="1"/>
  <c r="A310" i="40" s="1"/>
  <c r="A311" i="40" s="1"/>
  <c r="A312" i="40" s="1"/>
  <c r="A313" i="40" s="1"/>
  <c r="A314" i="40" s="1"/>
  <c r="A315" i="40" s="1"/>
  <c r="A316" i="40" s="1"/>
  <c r="A317" i="40" s="1"/>
  <c r="A318" i="40" s="1"/>
  <c r="A319" i="40" s="1"/>
  <c r="A320" i="40" s="1"/>
  <c r="A321" i="40" s="1"/>
  <c r="A322" i="40" s="1"/>
  <c r="A323" i="40" s="1"/>
  <c r="A324" i="40" s="1"/>
  <c r="A325" i="40" s="1"/>
  <c r="A326" i="40" s="1"/>
  <c r="A327" i="40" s="1"/>
  <c r="A328" i="40" s="1"/>
  <c r="A329" i="40" s="1"/>
  <c r="A330" i="40" s="1"/>
  <c r="A331" i="40" s="1"/>
  <c r="A332" i="40" s="1"/>
  <c r="A333" i="40" s="1"/>
  <c r="A334" i="40" s="1"/>
  <c r="A335" i="40" s="1"/>
  <c r="A336" i="40" s="1"/>
  <c r="A337" i="40" s="1"/>
  <c r="A338" i="40" s="1"/>
  <c r="A339" i="40" s="1"/>
  <c r="A340" i="40" s="1"/>
  <c r="A341" i="40" s="1"/>
  <c r="A342" i="40" s="1"/>
  <c r="A343" i="40" s="1"/>
  <c r="A344" i="40" s="1"/>
  <c r="A345" i="40" s="1"/>
  <c r="A346" i="40" s="1"/>
  <c r="A347" i="40" s="1"/>
  <c r="A348" i="40" s="1"/>
  <c r="A349" i="40" s="1"/>
  <c r="A350" i="40" s="1"/>
  <c r="A351" i="40" s="1"/>
  <c r="A352" i="40" s="1"/>
  <c r="A353" i="40" s="1"/>
  <c r="A354" i="40" s="1"/>
  <c r="A355" i="40" s="1"/>
  <c r="A356" i="40" s="1"/>
  <c r="A357" i="40" s="1"/>
  <c r="A358" i="40" s="1"/>
  <c r="A359" i="40" s="1"/>
  <c r="A360" i="40" s="1"/>
  <c r="A361" i="40" s="1"/>
  <c r="A362" i="40" s="1"/>
  <c r="A363" i="40" s="1"/>
  <c r="A364" i="40" s="1"/>
  <c r="A365" i="40" s="1"/>
  <c r="A366" i="40" s="1"/>
  <c r="A367" i="40" s="1"/>
  <c r="A368" i="40" s="1"/>
  <c r="A369" i="40" s="1"/>
  <c r="A370" i="40" s="1"/>
  <c r="A371" i="40" s="1"/>
  <c r="A372" i="40" s="1"/>
  <c r="A373" i="40" s="1"/>
  <c r="A374" i="40" s="1"/>
  <c r="A375" i="40" s="1"/>
  <c r="A376" i="40" s="1"/>
  <c r="A377" i="40" s="1"/>
  <c r="A378" i="40" s="1"/>
  <c r="A379" i="40" s="1"/>
  <c r="A380" i="40" s="1"/>
  <c r="A381" i="40" s="1"/>
  <c r="A382" i="40" s="1"/>
  <c r="A383" i="40" s="1"/>
  <c r="A384" i="40" s="1"/>
  <c r="A385" i="40" s="1"/>
  <c r="A386" i="40" s="1"/>
  <c r="A387" i="40" s="1"/>
  <c r="A388" i="40" s="1"/>
  <c r="A389" i="40" s="1"/>
  <c r="A390" i="40" s="1"/>
  <c r="A391" i="40" s="1"/>
  <c r="A392" i="40" s="1"/>
  <c r="A393" i="40" s="1"/>
  <c r="A394" i="40" s="1"/>
  <c r="A395" i="40" s="1"/>
  <c r="A396" i="40" s="1"/>
  <c r="A397" i="40" s="1"/>
  <c r="A398" i="40" s="1"/>
  <c r="A399" i="40" s="1"/>
  <c r="A400" i="40" s="1"/>
  <c r="A401" i="40" s="1"/>
  <c r="A402" i="40" s="1"/>
  <c r="A403" i="40" s="1"/>
  <c r="A404" i="40" s="1"/>
  <c r="A405" i="40" s="1"/>
  <c r="A406" i="40" s="1"/>
  <c r="BA303" i="23" l="1"/>
  <c r="BB303" i="23" s="1"/>
  <c r="AW303" i="23"/>
  <c r="BA304" i="23"/>
  <c r="BB304" i="23" s="1"/>
  <c r="AW304" i="23"/>
  <c r="AR304" i="23"/>
  <c r="AR303" i="23"/>
  <c r="Z261" i="23"/>
  <c r="BB117" i="23"/>
  <c r="BB116" i="23"/>
  <c r="BB115" i="23"/>
  <c r="BB114" i="23"/>
  <c r="BB113" i="23"/>
  <c r="BB112" i="23"/>
  <c r="BB111" i="23"/>
  <c r="BB110" i="23"/>
  <c r="BB109" i="23"/>
  <c r="BB108" i="23"/>
  <c r="BB107" i="23"/>
  <c r="BB106" i="23"/>
  <c r="BB105" i="23"/>
  <c r="BB104" i="23"/>
  <c r="BB103" i="23"/>
  <c r="BB102" i="23"/>
  <c r="BB101" i="23"/>
  <c r="BB100" i="23"/>
  <c r="BB99" i="23"/>
  <c r="BB98" i="23"/>
  <c r="BB97" i="23"/>
  <c r="BB96" i="23"/>
  <c r="BB95" i="23"/>
  <c r="BB94" i="23"/>
  <c r="BB93" i="23"/>
  <c r="BB92" i="23"/>
  <c r="BB91" i="23"/>
  <c r="BB90" i="23"/>
  <c r="BB89" i="23"/>
  <c r="BB88" i="23"/>
  <c r="BB87" i="23"/>
  <c r="BB86" i="23"/>
  <c r="AW117" i="23"/>
  <c r="AW116" i="23"/>
  <c r="AW115" i="23"/>
  <c r="AW114" i="23"/>
  <c r="AW113" i="23"/>
  <c r="AW112" i="23"/>
  <c r="AW111" i="23"/>
  <c r="AW110" i="23"/>
  <c r="AW109" i="23"/>
  <c r="AW108" i="23"/>
  <c r="AW107" i="23"/>
  <c r="AW106" i="23"/>
  <c r="AW105" i="23"/>
  <c r="AW104" i="23"/>
  <c r="AW103" i="23"/>
  <c r="AW102" i="23"/>
  <c r="AW101" i="23"/>
  <c r="AW100" i="23"/>
  <c r="AW99" i="23"/>
  <c r="AW98" i="23"/>
  <c r="AW97" i="23"/>
  <c r="AW96" i="23"/>
  <c r="AW95" i="23"/>
  <c r="AW94" i="23"/>
  <c r="AW93" i="23"/>
  <c r="AW92" i="23"/>
  <c r="AW91" i="23"/>
  <c r="AW90" i="23"/>
  <c r="AW89" i="23"/>
  <c r="AW88" i="23"/>
  <c r="AW87" i="23"/>
  <c r="AW86" i="23"/>
  <c r="AR117" i="23"/>
  <c r="AR116" i="23"/>
  <c r="AR115" i="23"/>
  <c r="AR114" i="23"/>
  <c r="AR113" i="23"/>
  <c r="AR112" i="23"/>
  <c r="AR111" i="23"/>
  <c r="AR110" i="23"/>
  <c r="AR109" i="23"/>
  <c r="AR108" i="23"/>
  <c r="AR107" i="23"/>
  <c r="AR106" i="23"/>
  <c r="AR105" i="23"/>
  <c r="AR104" i="23"/>
  <c r="AR103" i="23"/>
  <c r="AR102" i="23"/>
  <c r="AR101" i="23"/>
  <c r="AR100" i="23"/>
  <c r="AR99" i="23"/>
  <c r="AR98" i="23"/>
  <c r="AR97" i="23"/>
  <c r="AR96" i="23"/>
  <c r="AR95" i="23"/>
  <c r="AR94" i="23"/>
  <c r="AR93" i="23"/>
  <c r="AR92" i="23"/>
  <c r="AR91" i="23"/>
  <c r="AR90" i="23"/>
  <c r="AR89" i="23"/>
  <c r="AR88" i="23"/>
  <c r="AR87" i="23"/>
  <c r="AR86" i="23"/>
  <c r="AM117" i="23"/>
  <c r="AM116" i="23"/>
  <c r="AM115" i="23"/>
  <c r="AM114" i="23"/>
  <c r="AM113" i="23"/>
  <c r="AM112" i="23"/>
  <c r="AM111" i="23"/>
  <c r="AM110" i="23"/>
  <c r="AM109" i="23"/>
  <c r="AM108" i="23"/>
  <c r="AM107" i="23"/>
  <c r="AM106" i="23"/>
  <c r="AM105" i="23"/>
  <c r="AM104" i="23"/>
  <c r="AM103" i="23"/>
  <c r="AM102" i="23"/>
  <c r="AM101" i="23"/>
  <c r="AM100" i="23"/>
  <c r="AM99" i="23"/>
  <c r="AM98" i="23"/>
  <c r="AM97" i="23"/>
  <c r="AM96" i="23"/>
  <c r="AM95" i="23"/>
  <c r="AM94" i="23"/>
  <c r="AM93" i="23"/>
  <c r="AM92" i="23"/>
  <c r="AM91" i="23"/>
  <c r="AM90" i="23"/>
  <c r="AM89" i="23"/>
  <c r="AM88" i="23"/>
  <c r="AM87" i="23"/>
  <c r="AM86" i="23"/>
  <c r="AH117" i="23"/>
  <c r="AH116" i="23"/>
  <c r="AH115" i="23"/>
  <c r="AH114" i="23"/>
  <c r="AH113" i="23"/>
  <c r="AH112" i="23"/>
  <c r="AH111" i="23"/>
  <c r="AH110" i="23"/>
  <c r="AH109" i="23"/>
  <c r="AH108" i="23"/>
  <c r="AH107" i="23"/>
  <c r="AH106" i="23"/>
  <c r="AH105" i="23"/>
  <c r="AH104" i="23"/>
  <c r="AH103" i="23"/>
  <c r="AH102" i="23"/>
  <c r="AH101" i="23"/>
  <c r="AH100" i="23"/>
  <c r="AH99" i="23"/>
  <c r="AH98" i="23"/>
  <c r="AH97" i="23"/>
  <c r="AH96" i="23"/>
  <c r="AH95" i="23"/>
  <c r="AH94" i="23"/>
  <c r="AH93" i="23"/>
  <c r="AH92" i="23"/>
  <c r="AH91" i="23"/>
  <c r="AH90" i="23"/>
  <c r="AH89" i="23"/>
  <c r="AH88" i="23"/>
  <c r="AH87" i="23"/>
  <c r="AH86" i="23"/>
  <c r="AC117" i="23"/>
  <c r="AC116" i="23"/>
  <c r="AC115" i="23"/>
  <c r="AC114" i="23"/>
  <c r="AC113" i="23"/>
  <c r="AC112" i="23"/>
  <c r="AC111" i="23"/>
  <c r="AC110" i="23"/>
  <c r="AC109" i="23"/>
  <c r="AC108" i="23"/>
  <c r="AC107" i="23"/>
  <c r="AC106" i="23"/>
  <c r="AC105" i="23"/>
  <c r="AC104" i="23"/>
  <c r="AC103" i="23"/>
  <c r="AC102" i="23"/>
  <c r="AC101" i="23"/>
  <c r="AC100" i="23"/>
  <c r="AC99" i="23"/>
  <c r="AC98" i="23"/>
  <c r="AC97" i="23"/>
  <c r="AC96" i="23"/>
  <c r="AC95" i="23"/>
  <c r="AC94" i="23"/>
  <c r="AC93" i="23"/>
  <c r="AC92" i="23"/>
  <c r="AC91" i="23"/>
  <c r="AC90" i="23"/>
  <c r="AC89" i="23"/>
  <c r="AC88" i="23"/>
  <c r="AC87" i="23"/>
  <c r="AC86" i="23"/>
  <c r="X117" i="23"/>
  <c r="X116" i="23"/>
  <c r="X115" i="23"/>
  <c r="X114" i="23"/>
  <c r="X113" i="23"/>
  <c r="X112" i="23"/>
  <c r="X111" i="23"/>
  <c r="X110" i="23"/>
  <c r="X109" i="23"/>
  <c r="X108" i="23"/>
  <c r="X107" i="23"/>
  <c r="X106" i="23"/>
  <c r="X105" i="23"/>
  <c r="X104" i="23"/>
  <c r="X103" i="23"/>
  <c r="X102" i="23"/>
  <c r="X101" i="23"/>
  <c r="X100" i="23"/>
  <c r="X99" i="23"/>
  <c r="X98" i="23"/>
  <c r="X97" i="23"/>
  <c r="X96" i="23"/>
  <c r="X95" i="23"/>
  <c r="X94" i="23"/>
  <c r="X93" i="23"/>
  <c r="X92" i="23"/>
  <c r="X91" i="23"/>
  <c r="X90" i="23"/>
  <c r="X89" i="23"/>
  <c r="X88" i="23"/>
  <c r="X87" i="23"/>
  <c r="X86" i="23"/>
  <c r="S117" i="23"/>
  <c r="S116" i="23"/>
  <c r="S115" i="23"/>
  <c r="S114" i="23"/>
  <c r="S113" i="23"/>
  <c r="S112" i="23"/>
  <c r="S111" i="23"/>
  <c r="S110" i="23"/>
  <c r="S109" i="23"/>
  <c r="S108" i="23"/>
  <c r="S107" i="23"/>
  <c r="S106" i="23"/>
  <c r="S105" i="23"/>
  <c r="S104" i="23"/>
  <c r="S103" i="23"/>
  <c r="S102" i="23"/>
  <c r="S101" i="23"/>
  <c r="S100" i="23"/>
  <c r="S99" i="23"/>
  <c r="S98" i="23"/>
  <c r="S97" i="23"/>
  <c r="S96" i="23"/>
  <c r="S95" i="23"/>
  <c r="S94" i="23"/>
  <c r="S93" i="23"/>
  <c r="S92" i="23"/>
  <c r="S91" i="23"/>
  <c r="S90" i="23"/>
  <c r="S89" i="23"/>
  <c r="S88" i="23"/>
  <c r="S87" i="23"/>
  <c r="S86" i="23"/>
  <c r="N84" i="23"/>
  <c r="M115" i="23" s="1"/>
  <c r="M93" i="23" l="1"/>
  <c r="O93" i="23" s="1"/>
  <c r="P93" i="23" s="1"/>
  <c r="M101" i="23"/>
  <c r="O101" i="23" s="1"/>
  <c r="P101" i="23" s="1"/>
  <c r="O115" i="23"/>
  <c r="P115" i="23" s="1"/>
  <c r="AX115" i="23"/>
  <c r="AY115" i="23" s="1"/>
  <c r="AN115" i="23"/>
  <c r="AO115" i="23" s="1"/>
  <c r="AI115" i="23"/>
  <c r="AJ115" i="23" s="1"/>
  <c r="AD115" i="23"/>
  <c r="AE115" i="23" s="1"/>
  <c r="M113" i="23"/>
  <c r="AS113" i="23" s="1"/>
  <c r="AT113" i="23" s="1"/>
  <c r="M92" i="23"/>
  <c r="Y92" i="23" s="1"/>
  <c r="Z92" i="23" s="1"/>
  <c r="AC261" i="23"/>
  <c r="AS115" i="23"/>
  <c r="AT115" i="23" s="1"/>
  <c r="Y115" i="23"/>
  <c r="Z115" i="23" s="1"/>
  <c r="T115" i="23"/>
  <c r="U115" i="23" s="1"/>
  <c r="K223" i="23"/>
  <c r="M98" i="1"/>
  <c r="M96" i="1"/>
  <c r="DE210" i="23"/>
  <c r="DE209" i="23"/>
  <c r="DE208" i="23"/>
  <c r="DE207" i="23"/>
  <c r="DE206" i="23"/>
  <c r="DE205" i="23"/>
  <c r="DE204" i="23"/>
  <c r="DE203" i="23"/>
  <c r="DE202" i="23"/>
  <c r="DE201" i="23"/>
  <c r="DE200" i="23"/>
  <c r="DE199" i="23"/>
  <c r="DE198" i="23"/>
  <c r="DE197" i="23"/>
  <c r="DE196" i="23"/>
  <c r="DE195" i="23"/>
  <c r="DE194" i="23"/>
  <c r="DE193" i="23"/>
  <c r="DJ210" i="23"/>
  <c r="DJ209" i="23"/>
  <c r="DJ208" i="23"/>
  <c r="DJ207" i="23"/>
  <c r="DJ206" i="23"/>
  <c r="DJ205" i="23"/>
  <c r="DJ204" i="23"/>
  <c r="DJ203" i="23"/>
  <c r="DJ202" i="23"/>
  <c r="DJ201" i="23"/>
  <c r="DJ200" i="23"/>
  <c r="DJ199" i="23"/>
  <c r="DJ198" i="23"/>
  <c r="DJ197" i="23"/>
  <c r="DJ196" i="23"/>
  <c r="DJ195" i="23"/>
  <c r="DJ194" i="23"/>
  <c r="DJ193" i="23"/>
  <c r="DD210" i="23"/>
  <c r="DD209" i="23"/>
  <c r="DD208" i="23"/>
  <c r="DD207" i="23"/>
  <c r="DD206" i="23"/>
  <c r="DD205" i="23"/>
  <c r="DD204" i="23"/>
  <c r="DD203" i="23"/>
  <c r="DD202" i="23"/>
  <c r="DD201" i="23"/>
  <c r="DD200" i="23"/>
  <c r="DD199" i="23"/>
  <c r="DD198" i="23"/>
  <c r="DD197" i="23"/>
  <c r="DD196" i="23"/>
  <c r="DD195" i="23"/>
  <c r="DD194" i="23"/>
  <c r="DD193" i="23"/>
  <c r="CX210" i="23"/>
  <c r="CX209" i="23"/>
  <c r="CX208" i="23"/>
  <c r="CX207" i="23"/>
  <c r="CX206" i="23"/>
  <c r="CX205" i="23"/>
  <c r="CX204" i="23"/>
  <c r="CX203" i="23"/>
  <c r="CX202" i="23"/>
  <c r="CX201" i="23"/>
  <c r="CX200" i="23"/>
  <c r="CX199" i="23"/>
  <c r="CX198" i="23"/>
  <c r="CX197" i="23"/>
  <c r="CX196" i="23"/>
  <c r="CX195" i="23"/>
  <c r="CX194" i="23"/>
  <c r="CX193" i="23"/>
  <c r="T93" i="23" l="1"/>
  <c r="U93" i="23" s="1"/>
  <c r="AN93" i="23"/>
  <c r="AO93" i="23" s="1"/>
  <c r="Y93" i="23"/>
  <c r="Z93" i="23" s="1"/>
  <c r="AI93" i="23"/>
  <c r="AJ93" i="23" s="1"/>
  <c r="Y101" i="23"/>
  <c r="Z101" i="23" s="1"/>
  <c r="AS101" i="23"/>
  <c r="AT101" i="23" s="1"/>
  <c r="AI101" i="23"/>
  <c r="AJ101" i="23" s="1"/>
  <c r="AS93" i="23"/>
  <c r="AT93" i="23" s="1"/>
  <c r="T113" i="23"/>
  <c r="U113" i="23" s="1"/>
  <c r="AN101" i="23"/>
  <c r="AO101" i="23" s="1"/>
  <c r="AD101" i="23"/>
  <c r="AE101" i="23" s="1"/>
  <c r="AX101" i="23"/>
  <c r="AY101" i="23" s="1"/>
  <c r="AD93" i="23"/>
  <c r="AE93" i="23" s="1"/>
  <c r="AX93" i="23"/>
  <c r="AY93" i="23" s="1"/>
  <c r="T101" i="23"/>
  <c r="U101" i="23" s="1"/>
  <c r="T92" i="23"/>
  <c r="U92" i="23" s="1"/>
  <c r="AN92" i="23"/>
  <c r="AO92" i="23" s="1"/>
  <c r="AF261" i="23"/>
  <c r="O92" i="23"/>
  <c r="P92" i="23" s="1"/>
  <c r="AI92" i="23"/>
  <c r="AJ92" i="23" s="1"/>
  <c r="AD92" i="23"/>
  <c r="AE92" i="23" s="1"/>
  <c r="AX92" i="23"/>
  <c r="AY92" i="23" s="1"/>
  <c r="AS92" i="23"/>
  <c r="AT92" i="23" s="1"/>
  <c r="O113" i="23"/>
  <c r="P113" i="23" s="1"/>
  <c r="AI113" i="23"/>
  <c r="AJ113" i="23" s="1"/>
  <c r="AD113" i="23"/>
  <c r="AE113" i="23" s="1"/>
  <c r="AX113" i="23"/>
  <c r="AY113" i="23" s="1"/>
  <c r="AN113" i="23"/>
  <c r="AO113" i="23" s="1"/>
  <c r="Y113" i="23"/>
  <c r="Z113" i="23" s="1"/>
  <c r="CR210" i="23"/>
  <c r="CR209" i="23"/>
  <c r="CR208" i="23"/>
  <c r="CR207" i="23"/>
  <c r="CR206" i="23"/>
  <c r="CR205" i="23"/>
  <c r="CR204" i="23"/>
  <c r="CR203" i="23"/>
  <c r="CR202" i="23"/>
  <c r="CR201" i="23"/>
  <c r="CR200" i="23"/>
  <c r="CR199" i="23"/>
  <c r="CR198" i="23"/>
  <c r="CR197" i="23"/>
  <c r="CR196" i="23"/>
  <c r="CR195" i="23"/>
  <c r="CR194" i="23"/>
  <c r="CR193" i="23"/>
  <c r="CL210" i="23"/>
  <c r="CL209" i="23"/>
  <c r="CL208" i="23"/>
  <c r="CL207" i="23"/>
  <c r="CL206" i="23"/>
  <c r="CL205" i="23"/>
  <c r="CL204" i="23"/>
  <c r="CL203" i="23"/>
  <c r="CL202" i="23"/>
  <c r="CL201" i="23"/>
  <c r="CL200" i="23"/>
  <c r="CL199" i="23"/>
  <c r="CL198" i="23"/>
  <c r="CL197" i="23"/>
  <c r="CL196" i="23"/>
  <c r="CL195" i="23"/>
  <c r="CL194" i="23"/>
  <c r="CL193" i="23"/>
  <c r="M94" i="1"/>
  <c r="CF210" i="23"/>
  <c r="CF209" i="23"/>
  <c r="CF208" i="23"/>
  <c r="CF207" i="23"/>
  <c r="CF206" i="23"/>
  <c r="CF205" i="23"/>
  <c r="CF204" i="23"/>
  <c r="CF203" i="23"/>
  <c r="CF202" i="23"/>
  <c r="CF201" i="23"/>
  <c r="CF200" i="23"/>
  <c r="CF199" i="23"/>
  <c r="CF198" i="23"/>
  <c r="CF197" i="23"/>
  <c r="CF196" i="23"/>
  <c r="CF195" i="23"/>
  <c r="CF194" i="23"/>
  <c r="CF193" i="23"/>
  <c r="BZ210" i="23"/>
  <c r="BZ209" i="23"/>
  <c r="BZ208" i="23"/>
  <c r="BZ207" i="23"/>
  <c r="BZ206" i="23"/>
  <c r="BZ205" i="23"/>
  <c r="BZ204" i="23"/>
  <c r="BZ203" i="23"/>
  <c r="BZ202" i="23"/>
  <c r="BZ201" i="23"/>
  <c r="BZ200" i="23"/>
  <c r="BZ199" i="23"/>
  <c r="BZ198" i="23"/>
  <c r="BZ197" i="23"/>
  <c r="BZ196" i="23"/>
  <c r="BZ195" i="23"/>
  <c r="BZ194" i="23"/>
  <c r="BZ193" i="23"/>
  <c r="M92" i="1"/>
  <c r="M90" i="1"/>
  <c r="M88" i="1"/>
  <c r="M86" i="1"/>
  <c r="M84" i="1"/>
  <c r="M82" i="1"/>
  <c r="BT210" i="23"/>
  <c r="BT209" i="23"/>
  <c r="BT208" i="23"/>
  <c r="BT207" i="23"/>
  <c r="BT206" i="23"/>
  <c r="BT205" i="23"/>
  <c r="BT204" i="23"/>
  <c r="BT203" i="23"/>
  <c r="BT202" i="23"/>
  <c r="BT201" i="23"/>
  <c r="BT200" i="23"/>
  <c r="BT199" i="23"/>
  <c r="BT198" i="23"/>
  <c r="BT197" i="23"/>
  <c r="BT196" i="23"/>
  <c r="BT195" i="23"/>
  <c r="BT194" i="23"/>
  <c r="BT193" i="23"/>
  <c r="BN210" i="23"/>
  <c r="BN209" i="23"/>
  <c r="BN208" i="23"/>
  <c r="BN207" i="23"/>
  <c r="BN206" i="23"/>
  <c r="BN205" i="23"/>
  <c r="BN204" i="23"/>
  <c r="BN203" i="23"/>
  <c r="BN202" i="23"/>
  <c r="BN201" i="23"/>
  <c r="BN200" i="23"/>
  <c r="BN199" i="23"/>
  <c r="BN198" i="23"/>
  <c r="BN197" i="23"/>
  <c r="BN196" i="23"/>
  <c r="BN195" i="23"/>
  <c r="BN194" i="23"/>
  <c r="BN193" i="23"/>
  <c r="BH210" i="23"/>
  <c r="BH209" i="23"/>
  <c r="BH208" i="23"/>
  <c r="BH207" i="23"/>
  <c r="BH206" i="23"/>
  <c r="BH205" i="23"/>
  <c r="BH204" i="23"/>
  <c r="BH203" i="23"/>
  <c r="BH202" i="23"/>
  <c r="BH201" i="23"/>
  <c r="BH200" i="23"/>
  <c r="BH199" i="23"/>
  <c r="BH198" i="23"/>
  <c r="BH197" i="23"/>
  <c r="BH196" i="23"/>
  <c r="BH195" i="23"/>
  <c r="BH194" i="23"/>
  <c r="BH193" i="23"/>
  <c r="BB210" i="23"/>
  <c r="BB209" i="23"/>
  <c r="BB208" i="23"/>
  <c r="BB207" i="23"/>
  <c r="BB206" i="23"/>
  <c r="BB205" i="23"/>
  <c r="BB204" i="23"/>
  <c r="BB203" i="23"/>
  <c r="BB202" i="23"/>
  <c r="BB201" i="23"/>
  <c r="BB200" i="23"/>
  <c r="BB199" i="23"/>
  <c r="BB198" i="23"/>
  <c r="BB197" i="23"/>
  <c r="BB196" i="23"/>
  <c r="BB195" i="23"/>
  <c r="BB194" i="23"/>
  <c r="BB193" i="23"/>
  <c r="AV210" i="23"/>
  <c r="AV209" i="23"/>
  <c r="AV208" i="23"/>
  <c r="AV207" i="23"/>
  <c r="AV206" i="23"/>
  <c r="AV205" i="23"/>
  <c r="AV204" i="23"/>
  <c r="AV203" i="23"/>
  <c r="AV202" i="23"/>
  <c r="AV201" i="23"/>
  <c r="AV200" i="23"/>
  <c r="AV199" i="23"/>
  <c r="AV198" i="23"/>
  <c r="AV197" i="23"/>
  <c r="AV196" i="23"/>
  <c r="AV195" i="23"/>
  <c r="AV194" i="23"/>
  <c r="AV193" i="23"/>
  <c r="AK210" i="23" l="1"/>
  <c r="AK209" i="23"/>
  <c r="AK208" i="23"/>
  <c r="AK207" i="23"/>
  <c r="AK206" i="23"/>
  <c r="AK205" i="23"/>
  <c r="AK204" i="23"/>
  <c r="AK203" i="23"/>
  <c r="AK202" i="23"/>
  <c r="AK201" i="23"/>
  <c r="AK200" i="23"/>
  <c r="AK199" i="23"/>
  <c r="AK198" i="23"/>
  <c r="AK197" i="23"/>
  <c r="AK196" i="23"/>
  <c r="AK195" i="23"/>
  <c r="AK194" i="23"/>
  <c r="AK193" i="23"/>
  <c r="AA194" i="23"/>
  <c r="AA195" i="23"/>
  <c r="AA196" i="23"/>
  <c r="AA197" i="23"/>
  <c r="AA198" i="23"/>
  <c r="AA199" i="23"/>
  <c r="AA200" i="23"/>
  <c r="AA201" i="23"/>
  <c r="AA202" i="23"/>
  <c r="AA203" i="23"/>
  <c r="AA204" i="23"/>
  <c r="AA205" i="23"/>
  <c r="AA206" i="23"/>
  <c r="AA207" i="23"/>
  <c r="AA208" i="23"/>
  <c r="AA209" i="23"/>
  <c r="AA210" i="23"/>
  <c r="AF210" i="23"/>
  <c r="AF209" i="23"/>
  <c r="AF208" i="23"/>
  <c r="AF207" i="23"/>
  <c r="AF206" i="23"/>
  <c r="AF205" i="23"/>
  <c r="AF204" i="23"/>
  <c r="AF203" i="23"/>
  <c r="AF202" i="23"/>
  <c r="AF201" i="23"/>
  <c r="AF200" i="23"/>
  <c r="AF199" i="23"/>
  <c r="AF198" i="23"/>
  <c r="AF197" i="23"/>
  <c r="AF196" i="23"/>
  <c r="AF195" i="23"/>
  <c r="AF194" i="23"/>
  <c r="AF193" i="23"/>
  <c r="AA193" i="23"/>
  <c r="V210" i="23"/>
  <c r="V209" i="23"/>
  <c r="V208" i="23"/>
  <c r="V207" i="23"/>
  <c r="V206" i="23"/>
  <c r="V205" i="23"/>
  <c r="V204" i="23"/>
  <c r="V203" i="23"/>
  <c r="V202" i="23"/>
  <c r="V201" i="23"/>
  <c r="V200" i="23"/>
  <c r="V199" i="23"/>
  <c r="V198" i="23"/>
  <c r="V197" i="23"/>
  <c r="V196" i="23"/>
  <c r="V195" i="23"/>
  <c r="V194" i="23"/>
  <c r="V193" i="23"/>
  <c r="Q210" i="23"/>
  <c r="Q209" i="23"/>
  <c r="Q208" i="23"/>
  <c r="Q207" i="23"/>
  <c r="Q206" i="23"/>
  <c r="Q205" i="23"/>
  <c r="Q204" i="23"/>
  <c r="Q203" i="23"/>
  <c r="Q202" i="23"/>
  <c r="Q201" i="23"/>
  <c r="Q200" i="23"/>
  <c r="Q199" i="23"/>
  <c r="Q198" i="23"/>
  <c r="Q197" i="23"/>
  <c r="Q196" i="23"/>
  <c r="Q195" i="23"/>
  <c r="Q194" i="23"/>
  <c r="Q193" i="23"/>
  <c r="O191" i="23"/>
  <c r="L210" i="23"/>
  <c r="L209" i="23"/>
  <c r="L208" i="23"/>
  <c r="L207" i="23"/>
  <c r="L206" i="23"/>
  <c r="L205" i="23"/>
  <c r="L204" i="23"/>
  <c r="L203" i="23"/>
  <c r="L202" i="23"/>
  <c r="L201" i="23"/>
  <c r="L200" i="23"/>
  <c r="L199" i="23"/>
  <c r="L198" i="23"/>
  <c r="L197" i="23"/>
  <c r="L196" i="23"/>
  <c r="L195" i="23"/>
  <c r="L194" i="23"/>
  <c r="L193" i="23"/>
  <c r="BF62" i="4" l="1"/>
  <c r="BA62" i="4"/>
  <c r="AS62" i="4"/>
  <c r="AI62" i="4"/>
  <c r="I62" i="4"/>
  <c r="BF61" i="4"/>
  <c r="BA61" i="4"/>
  <c r="AS61" i="4"/>
  <c r="AI61" i="4"/>
  <c r="I61" i="4"/>
  <c r="BF60" i="4"/>
  <c r="BA60" i="4"/>
  <c r="AS60" i="4"/>
  <c r="AI60" i="4"/>
  <c r="I60" i="4"/>
  <c r="BF59" i="4"/>
  <c r="BA59" i="4"/>
  <c r="AS59" i="4"/>
  <c r="AI59" i="4"/>
  <c r="I59" i="4"/>
  <c r="BF58" i="4"/>
  <c r="BA58" i="4"/>
  <c r="AS58" i="4"/>
  <c r="AI58" i="4"/>
  <c r="I58" i="4"/>
  <c r="BF57" i="4"/>
  <c r="BA57" i="4"/>
  <c r="AS57" i="4"/>
  <c r="AI57" i="4"/>
  <c r="I57" i="4"/>
  <c r="BF56" i="4"/>
  <c r="BA56" i="4"/>
  <c r="AS56" i="4"/>
  <c r="AI56" i="4"/>
  <c r="I56" i="4"/>
  <c r="BF55" i="4"/>
  <c r="BA55" i="4"/>
  <c r="AS55" i="4"/>
  <c r="AI55" i="4"/>
  <c r="I55" i="4"/>
  <c r="BF54" i="4"/>
  <c r="BA54" i="4"/>
  <c r="AS54" i="4"/>
  <c r="AI54" i="4"/>
  <c r="I54" i="4"/>
  <c r="D54" i="4"/>
  <c r="C54" i="4"/>
  <c r="Y138" i="23" l="1"/>
  <c r="Y137" i="23"/>
  <c r="Y136" i="23"/>
  <c r="Y135" i="23"/>
  <c r="Y134" i="23"/>
  <c r="Y133" i="23"/>
  <c r="Y132" i="23"/>
  <c r="Y131" i="23"/>
  <c r="Y130" i="23"/>
  <c r="Y129" i="23"/>
  <c r="Y128" i="23"/>
  <c r="Y127" i="23"/>
  <c r="Y126" i="23"/>
  <c r="Y125" i="23"/>
  <c r="Y124" i="23"/>
  <c r="Y123" i="23"/>
  <c r="AD138" i="23"/>
  <c r="AD137" i="23"/>
  <c r="AD136" i="23"/>
  <c r="AD135" i="23"/>
  <c r="AD134" i="23"/>
  <c r="AD133" i="23"/>
  <c r="AD132" i="23"/>
  <c r="AD131" i="23"/>
  <c r="AD130" i="23"/>
  <c r="AD129" i="23"/>
  <c r="AD128" i="23"/>
  <c r="AD127" i="23"/>
  <c r="AD126" i="23"/>
  <c r="AD125" i="23"/>
  <c r="AD124" i="23"/>
  <c r="AD123" i="23"/>
  <c r="BM138" i="23"/>
  <c r="BM137" i="23"/>
  <c r="BM136" i="23"/>
  <c r="BM135" i="23"/>
  <c r="BM134" i="23"/>
  <c r="BM133" i="23"/>
  <c r="BM132" i="23"/>
  <c r="BM131" i="23"/>
  <c r="BM130" i="23"/>
  <c r="BM129" i="23"/>
  <c r="BM128" i="23"/>
  <c r="BM127" i="23"/>
  <c r="BM126" i="23"/>
  <c r="BM125" i="23"/>
  <c r="BM124" i="23"/>
  <c r="BM123" i="23"/>
  <c r="BH138" i="23"/>
  <c r="BH137" i="23"/>
  <c r="BH136" i="23"/>
  <c r="BH135" i="23"/>
  <c r="BH134" i="23"/>
  <c r="BH133" i="23"/>
  <c r="BH132" i="23"/>
  <c r="BH131" i="23"/>
  <c r="BH130" i="23"/>
  <c r="BH129" i="23"/>
  <c r="BH128" i="23"/>
  <c r="BH127" i="23"/>
  <c r="BH126" i="23"/>
  <c r="BH125" i="23"/>
  <c r="BH124" i="23"/>
  <c r="BH123" i="23"/>
  <c r="BC138" i="23"/>
  <c r="BC137" i="23"/>
  <c r="BC136" i="23"/>
  <c r="BC135" i="23"/>
  <c r="BC134" i="23"/>
  <c r="BC133" i="23"/>
  <c r="BC132" i="23"/>
  <c r="BC131" i="23"/>
  <c r="BC130" i="23"/>
  <c r="BC129" i="23"/>
  <c r="BC128" i="23"/>
  <c r="BC127" i="23"/>
  <c r="BC126" i="23"/>
  <c r="BC125" i="23"/>
  <c r="BC124" i="23"/>
  <c r="BC123" i="23"/>
  <c r="AX138" i="23"/>
  <c r="AX137" i="23"/>
  <c r="AX136" i="23"/>
  <c r="AX135" i="23"/>
  <c r="AX134" i="23"/>
  <c r="AX133" i="23"/>
  <c r="AX132" i="23"/>
  <c r="AX131" i="23"/>
  <c r="AX130" i="23"/>
  <c r="AX129" i="23"/>
  <c r="AX128" i="23"/>
  <c r="AX127" i="23"/>
  <c r="AX126" i="23"/>
  <c r="AX125" i="23"/>
  <c r="AX124" i="23"/>
  <c r="AX123" i="23"/>
  <c r="AS138" i="23"/>
  <c r="AS137" i="23"/>
  <c r="AS136" i="23"/>
  <c r="AS135" i="23"/>
  <c r="AS134" i="23"/>
  <c r="AS133" i="23"/>
  <c r="AS132" i="23"/>
  <c r="AS131" i="23"/>
  <c r="AS130" i="23"/>
  <c r="AS129" i="23"/>
  <c r="AS128" i="23"/>
  <c r="AS127" i="23"/>
  <c r="AS126" i="23"/>
  <c r="AS125" i="23"/>
  <c r="AS124" i="23"/>
  <c r="AS123" i="23"/>
  <c r="AN138" i="23"/>
  <c r="AN137" i="23"/>
  <c r="AN136" i="23"/>
  <c r="AN135" i="23"/>
  <c r="AN134" i="23"/>
  <c r="AN133" i="23"/>
  <c r="AN132" i="23"/>
  <c r="AN131" i="23"/>
  <c r="AN130" i="23"/>
  <c r="AN129" i="23"/>
  <c r="AN128" i="23"/>
  <c r="AN127" i="23"/>
  <c r="AN126" i="23"/>
  <c r="AN125" i="23"/>
  <c r="AN124" i="23"/>
  <c r="AN123" i="23"/>
  <c r="AI138" i="23"/>
  <c r="AI137" i="23"/>
  <c r="AI136" i="23"/>
  <c r="AI135" i="23"/>
  <c r="AI134" i="23"/>
  <c r="AI133" i="23"/>
  <c r="AI132" i="23"/>
  <c r="AI131" i="23"/>
  <c r="AI130" i="23"/>
  <c r="AI129" i="23"/>
  <c r="AI128" i="23"/>
  <c r="AI127" i="23"/>
  <c r="AI126" i="23"/>
  <c r="AI125" i="23"/>
  <c r="AI124" i="23"/>
  <c r="AI123" i="23"/>
  <c r="T138" i="23"/>
  <c r="T137" i="23"/>
  <c r="T136" i="23"/>
  <c r="T135" i="23"/>
  <c r="T134" i="23"/>
  <c r="T133" i="23"/>
  <c r="T132" i="23"/>
  <c r="T131" i="23"/>
  <c r="T130" i="23"/>
  <c r="T129" i="23"/>
  <c r="T128" i="23"/>
  <c r="T127" i="23"/>
  <c r="T126" i="23"/>
  <c r="T125" i="23"/>
  <c r="T124" i="23"/>
  <c r="T123" i="23"/>
  <c r="O138" i="23"/>
  <c r="O137" i="23"/>
  <c r="O136" i="23"/>
  <c r="O135" i="23"/>
  <c r="O134" i="23"/>
  <c r="O133" i="23"/>
  <c r="O132" i="23"/>
  <c r="O131" i="23"/>
  <c r="O130" i="23"/>
  <c r="O129" i="23"/>
  <c r="O128" i="23"/>
  <c r="O127" i="23"/>
  <c r="O126" i="23"/>
  <c r="O125" i="23"/>
  <c r="O124" i="23"/>
  <c r="O123" i="23"/>
  <c r="J138" i="23"/>
  <c r="K138" i="23" s="1"/>
  <c r="J137" i="23"/>
  <c r="K137" i="23" s="1"/>
  <c r="J136" i="23"/>
  <c r="K136" i="23" s="1"/>
  <c r="J135" i="23"/>
  <c r="K135" i="23" s="1"/>
  <c r="J134" i="23"/>
  <c r="K134" i="23" s="1"/>
  <c r="J133" i="23"/>
  <c r="K133" i="23" s="1"/>
  <c r="J132" i="23"/>
  <c r="K132" i="23" s="1"/>
  <c r="J131" i="23"/>
  <c r="K131" i="23" s="1"/>
  <c r="J130" i="23"/>
  <c r="K130" i="23" s="1"/>
  <c r="J129" i="23"/>
  <c r="K129" i="23" s="1"/>
  <c r="J128" i="23"/>
  <c r="K128" i="23" s="1"/>
  <c r="J127" i="23"/>
  <c r="K127" i="23" s="1"/>
  <c r="J126" i="23"/>
  <c r="K126" i="23" s="1"/>
  <c r="J125" i="23"/>
  <c r="K125" i="23" s="1"/>
  <c r="J124" i="23"/>
  <c r="K124" i="23" s="1"/>
  <c r="J123" i="23"/>
  <c r="K123" i="23" s="1"/>
  <c r="L123" i="23" s="1"/>
  <c r="P123" i="23" s="1"/>
  <c r="Q123" i="23" s="1"/>
  <c r="J168" i="23"/>
  <c r="K168" i="23" s="1"/>
  <c r="J167" i="23"/>
  <c r="K167" i="23" s="1"/>
  <c r="J166" i="23"/>
  <c r="K166" i="23" s="1"/>
  <c r="J165" i="23"/>
  <c r="K165" i="23" s="1"/>
  <c r="J164" i="23"/>
  <c r="K164" i="23" s="1"/>
  <c r="J163" i="23"/>
  <c r="K163" i="23" s="1"/>
  <c r="J162" i="23"/>
  <c r="K162" i="23" s="1"/>
  <c r="J161" i="23"/>
  <c r="K161" i="23" s="1"/>
  <c r="J160" i="23"/>
  <c r="K160" i="23" s="1"/>
  <c r="J159" i="23"/>
  <c r="K159" i="23" s="1"/>
  <c r="J158" i="23"/>
  <c r="K158" i="23" s="1"/>
  <c r="J157" i="23"/>
  <c r="K157" i="23" s="1"/>
  <c r="J156" i="23"/>
  <c r="K156" i="23" s="1"/>
  <c r="T151" i="23"/>
  <c r="T150" i="23"/>
  <c r="T149" i="23"/>
  <c r="T148" i="23"/>
  <c r="T147" i="23"/>
  <c r="T146" i="23"/>
  <c r="T145" i="23"/>
  <c r="T144" i="23"/>
  <c r="J151" i="23"/>
  <c r="J150" i="23"/>
  <c r="K150" i="23" s="1"/>
  <c r="J149" i="23"/>
  <c r="K149" i="23" s="1"/>
  <c r="J148" i="23"/>
  <c r="K148" i="23" s="1"/>
  <c r="J147" i="23"/>
  <c r="K147" i="23" s="1"/>
  <c r="J146" i="23"/>
  <c r="K146" i="23" s="1"/>
  <c r="J145" i="23"/>
  <c r="K145" i="23" s="1"/>
  <c r="J144" i="23"/>
  <c r="O151" i="23"/>
  <c r="O150" i="23"/>
  <c r="O149" i="23"/>
  <c r="O148" i="23"/>
  <c r="O147" i="23"/>
  <c r="P147" i="23" s="1"/>
  <c r="O146" i="23"/>
  <c r="O145" i="23"/>
  <c r="O144" i="23"/>
  <c r="K151" i="23"/>
  <c r="T179" i="23"/>
  <c r="T178" i="23"/>
  <c r="T177" i="23"/>
  <c r="T176" i="23"/>
  <c r="T175" i="23"/>
  <c r="T174" i="23"/>
  <c r="T173" i="23"/>
  <c r="T172" i="23"/>
  <c r="Y179" i="23"/>
  <c r="Y178" i="23"/>
  <c r="Y177" i="23"/>
  <c r="Y176" i="23"/>
  <c r="Y175" i="23"/>
  <c r="Y174" i="23"/>
  <c r="Y173" i="23"/>
  <c r="Y172" i="23"/>
  <c r="O179" i="23"/>
  <c r="O178" i="23"/>
  <c r="O177" i="23"/>
  <c r="O176" i="23"/>
  <c r="O175" i="23"/>
  <c r="O174" i="23"/>
  <c r="O173" i="23"/>
  <c r="O172" i="23"/>
  <c r="J179" i="23"/>
  <c r="K179" i="23" s="1"/>
  <c r="J178" i="23"/>
  <c r="K178" i="23" s="1"/>
  <c r="J177" i="23"/>
  <c r="U177" i="23" s="1"/>
  <c r="J176" i="23"/>
  <c r="K176" i="23" s="1"/>
  <c r="J175" i="23"/>
  <c r="K175" i="23" s="1"/>
  <c r="J174" i="23"/>
  <c r="K174" i="23" s="1"/>
  <c r="J173" i="23"/>
  <c r="K173" i="23" s="1"/>
  <c r="J172" i="23"/>
  <c r="K172" i="23" s="1"/>
  <c r="L172" i="23" s="1"/>
  <c r="L124" i="23" l="1"/>
  <c r="P124" i="23" s="1"/>
  <c r="Q124" i="23" s="1"/>
  <c r="U124" i="23" s="1"/>
  <c r="P176" i="23"/>
  <c r="P175" i="23"/>
  <c r="P179" i="23"/>
  <c r="P173" i="23"/>
  <c r="P177" i="23"/>
  <c r="P172" i="23"/>
  <c r="Q172" i="23" s="1"/>
  <c r="P174" i="23"/>
  <c r="P178" i="23"/>
  <c r="U173" i="23"/>
  <c r="U178" i="23"/>
  <c r="P144" i="23"/>
  <c r="Q144" i="23" s="1"/>
  <c r="K177" i="23"/>
  <c r="U175" i="23"/>
  <c r="U179" i="23"/>
  <c r="U123" i="23"/>
  <c r="V123" i="23" s="1"/>
  <c r="Z123" i="23" s="1"/>
  <c r="AA123" i="23" s="1"/>
  <c r="U176" i="23"/>
  <c r="P146" i="23"/>
  <c r="K144" i="23"/>
  <c r="L144" i="23" s="1"/>
  <c r="L145" i="23" s="1"/>
  <c r="P145" i="23"/>
  <c r="P148" i="23"/>
  <c r="P149" i="23"/>
  <c r="P150" i="23"/>
  <c r="P151" i="23"/>
  <c r="U174" i="23"/>
  <c r="U172" i="23"/>
  <c r="V172" i="23" s="1"/>
  <c r="L173" i="23"/>
  <c r="L174" i="23" s="1"/>
  <c r="S5" i="6"/>
  <c r="AM12" i="6"/>
  <c r="H27" i="23"/>
  <c r="G27" i="23"/>
  <c r="F27" i="23"/>
  <c r="H26" i="23"/>
  <c r="G26" i="23"/>
  <c r="F26" i="23"/>
  <c r="H25" i="23"/>
  <c r="G25" i="23"/>
  <c r="F25" i="23"/>
  <c r="F246" i="1"/>
  <c r="L175" i="23" l="1"/>
  <c r="L176" i="23" s="1"/>
  <c r="L177" i="23" s="1"/>
  <c r="L178" i="23" s="1"/>
  <c r="L179" i="23" s="1"/>
  <c r="L125" i="23"/>
  <c r="P125" i="23" s="1"/>
  <c r="Q125" i="23" s="1"/>
  <c r="U125" i="23" s="1"/>
  <c r="Q173" i="23"/>
  <c r="V173" i="23"/>
  <c r="Q145" i="23"/>
  <c r="Q146" i="23" s="1"/>
  <c r="V124" i="23"/>
  <c r="Z124" i="23" s="1"/>
  <c r="AA124" i="23" s="1"/>
  <c r="AE123" i="23"/>
  <c r="AF123" i="23" s="1"/>
  <c r="L146" i="23"/>
  <c r="H52" i="23"/>
  <c r="O55" i="23" s="1"/>
  <c r="H51" i="23"/>
  <c r="N51" i="23" s="1"/>
  <c r="H50" i="23"/>
  <c r="H49" i="23"/>
  <c r="L56" i="23" s="1"/>
  <c r="J58" i="23"/>
  <c r="J69" i="23" s="1"/>
  <c r="J80" i="23" s="1"/>
  <c r="J57" i="23"/>
  <c r="J68" i="23" s="1"/>
  <c r="J79" i="23" s="1"/>
  <c r="J56" i="23"/>
  <c r="J67" i="23" s="1"/>
  <c r="J78" i="23" s="1"/>
  <c r="J55" i="23"/>
  <c r="J66" i="23" s="1"/>
  <c r="J77" i="23" s="1"/>
  <c r="J54" i="23"/>
  <c r="J65" i="23" s="1"/>
  <c r="J76" i="23" s="1"/>
  <c r="J53" i="23"/>
  <c r="J64" i="23" s="1"/>
  <c r="J75" i="23" s="1"/>
  <c r="J52" i="23"/>
  <c r="J63" i="23" s="1"/>
  <c r="J74" i="23" s="1"/>
  <c r="J51" i="23"/>
  <c r="J62" i="23" s="1"/>
  <c r="J73" i="23" s="1"/>
  <c r="J50" i="23"/>
  <c r="J61" i="23" s="1"/>
  <c r="J72" i="23" s="1"/>
  <c r="J49" i="23"/>
  <c r="J60" i="23" s="1"/>
  <c r="J71" i="23" s="1"/>
  <c r="Q174" i="23" l="1"/>
  <c r="V174" i="23"/>
  <c r="V175" i="23" s="1"/>
  <c r="Q147" i="23"/>
  <c r="Q148" i="23" s="1"/>
  <c r="Q149" i="23" s="1"/>
  <c r="Q150" i="23" s="1"/>
  <c r="Q151" i="23" s="1"/>
  <c r="L147" i="23"/>
  <c r="L148" i="23" s="1"/>
  <c r="L149" i="23" s="1"/>
  <c r="L126" i="23"/>
  <c r="P126" i="23" s="1"/>
  <c r="Q126" i="23" s="1"/>
  <c r="U126" i="23" s="1"/>
  <c r="V125" i="23"/>
  <c r="Z125" i="23" s="1"/>
  <c r="AA125" i="23" s="1"/>
  <c r="AE125" i="23" s="1"/>
  <c r="M58" i="23"/>
  <c r="AJ123" i="23"/>
  <c r="AK123" i="23" s="1"/>
  <c r="AE124" i="23"/>
  <c r="AF124" i="23" s="1"/>
  <c r="AJ124" i="23" s="1"/>
  <c r="M53" i="23"/>
  <c r="M49" i="23"/>
  <c r="M55" i="23"/>
  <c r="M51" i="23"/>
  <c r="M56" i="23"/>
  <c r="M52" i="23"/>
  <c r="M57" i="23"/>
  <c r="M50" i="23"/>
  <c r="M54" i="23"/>
  <c r="L49" i="23"/>
  <c r="L53" i="23"/>
  <c r="L57" i="23"/>
  <c r="L50" i="23"/>
  <c r="L54" i="23"/>
  <c r="L58" i="23"/>
  <c r="L51" i="23"/>
  <c r="L55" i="23"/>
  <c r="L52" i="23"/>
  <c r="N54" i="23"/>
  <c r="N58" i="23"/>
  <c r="N50" i="23"/>
  <c r="N55" i="23"/>
  <c r="N52" i="23"/>
  <c r="N56" i="23"/>
  <c r="N49" i="23"/>
  <c r="N53" i="23"/>
  <c r="N57" i="23"/>
  <c r="O56" i="23"/>
  <c r="O52" i="23"/>
  <c r="O49" i="23"/>
  <c r="O53" i="23"/>
  <c r="O57" i="23"/>
  <c r="O50" i="23"/>
  <c r="O54" i="23"/>
  <c r="O58" i="23"/>
  <c r="O51" i="23"/>
  <c r="R58" i="1"/>
  <c r="V176" i="23" l="1"/>
  <c r="V177" i="23" s="1"/>
  <c r="Q175" i="23"/>
  <c r="Q176" i="23" s="1"/>
  <c r="Q177" i="23" s="1"/>
  <c r="Q178" i="23" s="1"/>
  <c r="L150" i="23"/>
  <c r="L151" i="23" s="1"/>
  <c r="L127" i="23"/>
  <c r="L128" i="23" s="1"/>
  <c r="P128" i="23" s="1"/>
  <c r="AF125" i="23"/>
  <c r="AJ125" i="23" s="1"/>
  <c r="V126" i="23"/>
  <c r="Z126" i="23" s="1"/>
  <c r="AA126" i="23" s="1"/>
  <c r="AE126" i="23" s="1"/>
  <c r="AK124" i="23"/>
  <c r="AO124" i="23" s="1"/>
  <c r="AO123" i="23"/>
  <c r="AP123" i="23" s="1"/>
  <c r="V178" i="23" l="1"/>
  <c r="V179" i="23" s="1"/>
  <c r="Q179" i="23"/>
  <c r="P127" i="23"/>
  <c r="Q127" i="23" s="1"/>
  <c r="U127" i="23" s="1"/>
  <c r="V127" i="23" s="1"/>
  <c r="Z127" i="23" s="1"/>
  <c r="AA127" i="23" s="1"/>
  <c r="AE127" i="23" s="1"/>
  <c r="L129" i="23"/>
  <c r="P129" i="23" s="1"/>
  <c r="AK125" i="23"/>
  <c r="AO125" i="23" s="1"/>
  <c r="AF126" i="23"/>
  <c r="AJ126" i="23" s="1"/>
  <c r="AP124" i="23"/>
  <c r="AT124" i="23" s="1"/>
  <c r="AT123" i="23"/>
  <c r="AU123" i="23" s="1"/>
  <c r="AF127" i="23" l="1"/>
  <c r="AJ127" i="23" s="1"/>
  <c r="Q128" i="23"/>
  <c r="U128" i="23" s="1"/>
  <c r="V128" i="23" s="1"/>
  <c r="Z128" i="23" s="1"/>
  <c r="AA128" i="23" s="1"/>
  <c r="AE128" i="23" s="1"/>
  <c r="L130" i="23"/>
  <c r="AK126" i="23"/>
  <c r="AO126" i="23" s="1"/>
  <c r="AP125" i="23"/>
  <c r="AT125" i="23" s="1"/>
  <c r="AY123" i="23"/>
  <c r="AZ123" i="23" s="1"/>
  <c r="AU124" i="23"/>
  <c r="V58" i="1"/>
  <c r="O9" i="23"/>
  <c r="O8" i="23"/>
  <c r="O7" i="23"/>
  <c r="O6" i="23"/>
  <c r="O4" i="23"/>
  <c r="O5" i="23"/>
  <c r="AF128" i="23" l="1"/>
  <c r="AJ128" i="23" s="1"/>
  <c r="Q129" i="23"/>
  <c r="P130" i="23"/>
  <c r="L131" i="23"/>
  <c r="AK127" i="23"/>
  <c r="AO127" i="23" s="1"/>
  <c r="U129" i="23"/>
  <c r="V129" i="23" s="1"/>
  <c r="AP126" i="23"/>
  <c r="AT126" i="23" s="1"/>
  <c r="AU125" i="23"/>
  <c r="AY125" i="23" s="1"/>
  <c r="BD123" i="23"/>
  <c r="BE123" i="23" s="1"/>
  <c r="AY124" i="23"/>
  <c r="AZ124" i="23" s="1"/>
  <c r="BD124" i="23" s="1"/>
  <c r="AG12" i="23"/>
  <c r="AG8" i="23"/>
  <c r="AG9" i="23"/>
  <c r="W21" i="23"/>
  <c r="W45" i="23"/>
  <c r="W22" i="23"/>
  <c r="W30" i="23"/>
  <c r="W34" i="23"/>
  <c r="W46" i="23"/>
  <c r="W54" i="23"/>
  <c r="W58" i="23"/>
  <c r="W17" i="23"/>
  <c r="W25" i="23"/>
  <c r="W33" i="23"/>
  <c r="W57" i="23"/>
  <c r="W19" i="23"/>
  <c r="W23" i="23"/>
  <c r="W27" i="23"/>
  <c r="W35" i="23"/>
  <c r="W43" i="23"/>
  <c r="W55" i="23"/>
  <c r="W20" i="23"/>
  <c r="W32" i="23"/>
  <c r="W44" i="23"/>
  <c r="O102" i="3"/>
  <c r="O101" i="3"/>
  <c r="O100" i="3"/>
  <c r="O99" i="3"/>
  <c r="O98" i="3"/>
  <c r="O97" i="3"/>
  <c r="O96" i="3"/>
  <c r="O95" i="3"/>
  <c r="O94" i="3"/>
  <c r="O93" i="3"/>
  <c r="O92" i="3"/>
  <c r="O91" i="3"/>
  <c r="O90" i="3"/>
  <c r="O89" i="3"/>
  <c r="O88" i="3"/>
  <c r="O87" i="3"/>
  <c r="O86" i="3"/>
  <c r="O85" i="3"/>
  <c r="O84" i="3"/>
  <c r="O83" i="3"/>
  <c r="O82" i="3"/>
  <c r="O81" i="3"/>
  <c r="O80" i="3"/>
  <c r="O79" i="3"/>
  <c r="O78" i="3"/>
  <c r="O77" i="3"/>
  <c r="O76" i="3"/>
  <c r="O75" i="3"/>
  <c r="O74" i="3"/>
  <c r="O73" i="3"/>
  <c r="O72" i="3"/>
  <c r="O71" i="3"/>
  <c r="O70" i="3"/>
  <c r="O69" i="3"/>
  <c r="O68" i="3"/>
  <c r="O67" i="3"/>
  <c r="O66" i="3"/>
  <c r="O65" i="3"/>
  <c r="O64" i="3"/>
  <c r="O63" i="3"/>
  <c r="O62" i="3"/>
  <c r="O61" i="3"/>
  <c r="O60" i="3"/>
  <c r="O59" i="3"/>
  <c r="O58" i="3"/>
  <c r="O57" i="3"/>
  <c r="O56" i="3"/>
  <c r="O55" i="3"/>
  <c r="O54" i="3"/>
  <c r="O53" i="3"/>
  <c r="O52" i="3"/>
  <c r="O51" i="3"/>
  <c r="O50" i="3"/>
  <c r="O49" i="3"/>
  <c r="O48" i="3"/>
  <c r="O47" i="3"/>
  <c r="O46" i="3"/>
  <c r="O45" i="3"/>
  <c r="O44" i="3"/>
  <c r="O43" i="3"/>
  <c r="O42" i="3"/>
  <c r="O41" i="3"/>
  <c r="O40" i="3"/>
  <c r="O39" i="3"/>
  <c r="O38" i="3"/>
  <c r="O37" i="3"/>
  <c r="O36" i="3"/>
  <c r="O35" i="3"/>
  <c r="O34" i="3"/>
  <c r="O33" i="3"/>
  <c r="O32" i="3"/>
  <c r="O31" i="3"/>
  <c r="O30" i="3"/>
  <c r="O29" i="3"/>
  <c r="O28" i="3"/>
  <c r="O27" i="3"/>
  <c r="O26" i="3"/>
  <c r="O25" i="3"/>
  <c r="O24" i="3"/>
  <c r="O23" i="3"/>
  <c r="O22" i="3"/>
  <c r="O21" i="3"/>
  <c r="O20" i="3"/>
  <c r="O19" i="3"/>
  <c r="O18" i="3"/>
  <c r="O17" i="3"/>
  <c r="O16" i="3"/>
  <c r="O15" i="3"/>
  <c r="O14" i="3"/>
  <c r="O13" i="3"/>
  <c r="O12" i="3"/>
  <c r="O11" i="3"/>
  <c r="O10" i="3"/>
  <c r="O9" i="3"/>
  <c r="O8" i="3"/>
  <c r="O7" i="3"/>
  <c r="O6" i="3"/>
  <c r="O5" i="3"/>
  <c r="O4" i="3"/>
  <c r="O3" i="3"/>
  <c r="Q130" i="23" l="1"/>
  <c r="U130" i="23" s="1"/>
  <c r="V130" i="23" s="1"/>
  <c r="AU126" i="23"/>
  <c r="AY126" i="23" s="1"/>
  <c r="AK128" i="23"/>
  <c r="AO128" i="23" s="1"/>
  <c r="P131" i="23"/>
  <c r="L132" i="23"/>
  <c r="BE124" i="23"/>
  <c r="BI124" i="23" s="1"/>
  <c r="AZ125" i="23"/>
  <c r="BD125" i="23" s="1"/>
  <c r="Z129" i="23"/>
  <c r="AA129" i="23" s="1"/>
  <c r="AP127" i="23"/>
  <c r="AT127" i="23" s="1"/>
  <c r="BI123" i="23"/>
  <c r="BJ123" i="23" s="1"/>
  <c r="I14" i="6"/>
  <c r="I13" i="6"/>
  <c r="I12" i="6"/>
  <c r="I11" i="6"/>
  <c r="I10" i="6"/>
  <c r="I9" i="6"/>
  <c r="I8" i="6"/>
  <c r="I7" i="6"/>
  <c r="I6" i="6"/>
  <c r="I5" i="6"/>
  <c r="I3" i="6"/>
  <c r="I2" i="6"/>
  <c r="I4" i="6"/>
  <c r="AJ41" i="18"/>
  <c r="AJ40" i="18"/>
  <c r="AI41" i="18"/>
  <c r="Q131" i="23" l="1"/>
  <c r="U131" i="23" s="1"/>
  <c r="V131" i="23" s="1"/>
  <c r="Z131" i="23" s="1"/>
  <c r="AU127" i="23"/>
  <c r="AY127" i="23" s="1"/>
  <c r="BE125" i="23"/>
  <c r="BI125" i="23" s="1"/>
  <c r="P132" i="23"/>
  <c r="L133" i="23"/>
  <c r="AZ126" i="23"/>
  <c r="BD126" i="23" s="1"/>
  <c r="Z130" i="23"/>
  <c r="AA130" i="23" s="1"/>
  <c r="AE130" i="23" s="1"/>
  <c r="AE129" i="23"/>
  <c r="AF129" i="23" s="1"/>
  <c r="AJ129" i="23" s="1"/>
  <c r="AK129" i="23" s="1"/>
  <c r="AO129" i="23" s="1"/>
  <c r="AP128" i="23"/>
  <c r="AT128" i="23" s="1"/>
  <c r="BJ124" i="23"/>
  <c r="Q12" i="23"/>
  <c r="P12" i="23"/>
  <c r="O12" i="23"/>
  <c r="N12" i="23"/>
  <c r="M12" i="23"/>
  <c r="L12" i="23"/>
  <c r="AQ161" i="1"/>
  <c r="AQ162" i="1" s="1"/>
  <c r="AQ163" i="1" s="1"/>
  <c r="AQ164" i="1" s="1"/>
  <c r="AQ165" i="1" s="1"/>
  <c r="AQ166" i="1" s="1"/>
  <c r="AQ167" i="1" s="1"/>
  <c r="AQ168" i="1" s="1"/>
  <c r="AQ169" i="1" s="1"/>
  <c r="AQ170" i="1" s="1"/>
  <c r="AQ171" i="1" s="1"/>
  <c r="AQ172" i="1" s="1"/>
  <c r="AQ173" i="1" s="1"/>
  <c r="AQ174" i="1" s="1"/>
  <c r="AQ175" i="1" s="1"/>
  <c r="AQ176" i="1" s="1"/>
  <c r="AQ177" i="1" s="1"/>
  <c r="AQ178" i="1" s="1"/>
  <c r="AQ179" i="1" s="1"/>
  <c r="AQ180" i="1" s="1"/>
  <c r="AQ181" i="1" s="1"/>
  <c r="AQ182" i="1" s="1"/>
  <c r="AQ183" i="1" s="1"/>
  <c r="AQ184" i="1" s="1"/>
  <c r="AQ185" i="1" s="1"/>
  <c r="AQ186" i="1" s="1"/>
  <c r="AQ187" i="1" s="1"/>
  <c r="AQ188" i="1" s="1"/>
  <c r="AQ189" i="1" s="1"/>
  <c r="AQ190" i="1" s="1"/>
  <c r="AQ191" i="1" s="1"/>
  <c r="AQ192" i="1" s="1"/>
  <c r="AQ193" i="1" s="1"/>
  <c r="AQ194" i="1" s="1"/>
  <c r="AQ195" i="1" s="1"/>
  <c r="AQ196" i="1" s="1"/>
  <c r="AQ197" i="1" s="1"/>
  <c r="AQ198" i="1" s="1"/>
  <c r="AQ199" i="1" s="1"/>
  <c r="AQ200" i="1" s="1"/>
  <c r="AQ201" i="1" s="1"/>
  <c r="AQ202" i="1" s="1"/>
  <c r="AQ203" i="1" s="1"/>
  <c r="AQ204" i="1" s="1"/>
  <c r="AQ205" i="1" s="1"/>
  <c r="AQ206" i="1" s="1"/>
  <c r="AQ207" i="1" s="1"/>
  <c r="AQ208" i="1" s="1"/>
  <c r="AQ209" i="1" s="1"/>
  <c r="AQ210" i="1" s="1"/>
  <c r="AQ211" i="1" s="1"/>
  <c r="AQ212" i="1" s="1"/>
  <c r="AQ213" i="1" s="1"/>
  <c r="AQ214" i="1" s="1"/>
  <c r="AQ215" i="1" s="1"/>
  <c r="AQ216" i="1" s="1"/>
  <c r="AQ217" i="1" s="1"/>
  <c r="AQ218" i="1" s="1"/>
  <c r="AQ219" i="1" s="1"/>
  <c r="AQ220" i="1" s="1"/>
  <c r="AQ221" i="1" s="1"/>
  <c r="AQ222" i="1" s="1"/>
  <c r="AQ223" i="1" s="1"/>
  <c r="AQ224" i="1" s="1"/>
  <c r="AQ225" i="1" s="1"/>
  <c r="AQ226" i="1" s="1"/>
  <c r="AQ227" i="1" s="1"/>
  <c r="AQ228" i="1" s="1"/>
  <c r="AQ229" i="1" s="1"/>
  <c r="AQ230" i="1" s="1"/>
  <c r="AQ231" i="1" s="1"/>
  <c r="AQ232" i="1" s="1"/>
  <c r="AQ233" i="1" s="1"/>
  <c r="AQ234" i="1" s="1"/>
  <c r="AQ235" i="1" s="1"/>
  <c r="AQ236" i="1" s="1"/>
  <c r="AQ237" i="1" s="1"/>
  <c r="AQ238" i="1" s="1"/>
  <c r="AQ239" i="1" s="1"/>
  <c r="AU128" i="23" l="1"/>
  <c r="AY128" i="23" s="1"/>
  <c r="BJ125" i="23"/>
  <c r="BE126" i="23"/>
  <c r="BI126" i="23" s="1"/>
  <c r="BJ126" i="23" s="1"/>
  <c r="Q132" i="23"/>
  <c r="U132" i="23" s="1"/>
  <c r="V132" i="23" s="1"/>
  <c r="Z132" i="23" s="1"/>
  <c r="P133" i="23"/>
  <c r="L134" i="23"/>
  <c r="P134" i="23" s="1"/>
  <c r="AZ127" i="23"/>
  <c r="BD127" i="23" s="1"/>
  <c r="BE127" i="23" s="1"/>
  <c r="BI127" i="23" s="1"/>
  <c r="AP129" i="23"/>
  <c r="AT129" i="23" s="1"/>
  <c r="AA131" i="23"/>
  <c r="AE131" i="23" s="1"/>
  <c r="AF130" i="23"/>
  <c r="AJ130" i="23" s="1"/>
  <c r="AK130" i="23" s="1"/>
  <c r="AO130" i="23" s="1"/>
  <c r="AS53" i="4"/>
  <c r="AS52" i="4"/>
  <c r="AS51" i="4"/>
  <c r="AS50" i="4"/>
  <c r="AS49" i="4"/>
  <c r="AS48" i="4"/>
  <c r="AS47" i="4"/>
  <c r="AS46" i="4"/>
  <c r="AS45" i="4"/>
  <c r="AS44" i="4"/>
  <c r="AS43" i="4"/>
  <c r="AS42" i="4"/>
  <c r="AS41" i="4"/>
  <c r="AS40" i="4"/>
  <c r="AS39" i="4"/>
  <c r="AS38" i="4"/>
  <c r="AS37" i="4"/>
  <c r="AS36" i="4"/>
  <c r="AS35" i="4"/>
  <c r="AS34" i="4"/>
  <c r="AS33" i="4"/>
  <c r="AS32" i="4"/>
  <c r="AS31" i="4"/>
  <c r="AS30" i="4"/>
  <c r="AS29" i="4"/>
  <c r="AS28" i="4"/>
  <c r="AS27" i="4"/>
  <c r="AS26" i="4"/>
  <c r="AS25" i="4"/>
  <c r="AS24" i="4"/>
  <c r="AS23" i="4"/>
  <c r="AS22" i="4"/>
  <c r="AS21" i="4"/>
  <c r="AS20" i="4"/>
  <c r="AS19" i="4"/>
  <c r="AS18" i="4"/>
  <c r="AS17" i="4"/>
  <c r="AS16" i="4"/>
  <c r="AS15" i="4"/>
  <c r="AS14" i="4"/>
  <c r="AS13" i="4"/>
  <c r="AS12" i="4"/>
  <c r="AS11" i="4"/>
  <c r="AS10" i="4"/>
  <c r="AS9" i="4"/>
  <c r="AS8" i="4"/>
  <c r="AS7" i="4"/>
  <c r="AS6" i="4"/>
  <c r="AS5" i="4"/>
  <c r="AS4" i="4"/>
  <c r="AS3" i="4"/>
  <c r="AS2" i="4"/>
  <c r="AI53" i="4"/>
  <c r="I53" i="4"/>
  <c r="I51" i="4"/>
  <c r="I50" i="4"/>
  <c r="I49" i="4"/>
  <c r="BF101" i="4"/>
  <c r="BF100" i="4"/>
  <c r="BF99" i="4"/>
  <c r="BF98" i="4"/>
  <c r="BF97" i="4"/>
  <c r="BF96" i="4"/>
  <c r="BF95" i="4"/>
  <c r="BF94" i="4"/>
  <c r="BF93" i="4"/>
  <c r="BF92" i="4"/>
  <c r="BF91" i="4"/>
  <c r="BF90" i="4"/>
  <c r="BF89" i="4"/>
  <c r="BF88" i="4"/>
  <c r="BF87" i="4"/>
  <c r="BF86" i="4"/>
  <c r="BF85" i="4"/>
  <c r="BF84" i="4"/>
  <c r="BF83" i="4"/>
  <c r="BF82" i="4"/>
  <c r="BF81" i="4"/>
  <c r="BF80" i="4"/>
  <c r="BF79" i="4"/>
  <c r="BF78" i="4"/>
  <c r="BF77" i="4"/>
  <c r="BF76" i="4"/>
  <c r="BF75" i="4"/>
  <c r="BF74" i="4"/>
  <c r="BF73" i="4"/>
  <c r="BF72" i="4"/>
  <c r="BF71" i="4"/>
  <c r="BF70" i="4"/>
  <c r="BF69" i="4"/>
  <c r="BF68" i="4"/>
  <c r="BF67" i="4"/>
  <c r="BF66" i="4"/>
  <c r="BF65" i="4"/>
  <c r="BF64" i="4"/>
  <c r="BF63" i="4"/>
  <c r="BF53" i="4"/>
  <c r="BF52" i="4"/>
  <c r="BF51" i="4"/>
  <c r="BF50" i="4"/>
  <c r="BF49" i="4"/>
  <c r="BF48" i="4"/>
  <c r="BF47" i="4"/>
  <c r="BF46" i="4"/>
  <c r="BF45" i="4"/>
  <c r="BF44" i="4"/>
  <c r="BF43" i="4"/>
  <c r="BF42" i="4"/>
  <c r="BF41" i="4"/>
  <c r="BF40" i="4"/>
  <c r="BF39" i="4"/>
  <c r="BF38" i="4"/>
  <c r="BF37" i="4"/>
  <c r="BF36" i="4"/>
  <c r="BF35" i="4"/>
  <c r="BF34" i="4"/>
  <c r="BF33" i="4"/>
  <c r="BF32" i="4"/>
  <c r="BF31" i="4"/>
  <c r="BF30" i="4"/>
  <c r="BF29" i="4"/>
  <c r="BF28" i="4"/>
  <c r="BF27" i="4"/>
  <c r="BF26" i="4"/>
  <c r="BF25" i="4"/>
  <c r="BF24" i="4"/>
  <c r="BF23" i="4"/>
  <c r="BF22" i="4"/>
  <c r="BF21" i="4"/>
  <c r="BF20" i="4"/>
  <c r="BF19" i="4"/>
  <c r="BF18" i="4"/>
  <c r="BF17" i="4"/>
  <c r="BF16" i="4"/>
  <c r="BF15" i="4"/>
  <c r="BF14" i="4"/>
  <c r="BF13" i="4"/>
  <c r="BF12" i="4"/>
  <c r="BF11" i="4"/>
  <c r="BF10" i="4"/>
  <c r="BF9" i="4"/>
  <c r="BF8" i="4"/>
  <c r="BF7" i="4"/>
  <c r="BF6" i="4"/>
  <c r="BF5" i="4"/>
  <c r="BF4" i="4"/>
  <c r="BF3" i="4"/>
  <c r="BF2" i="4"/>
  <c r="AI52" i="4"/>
  <c r="AI51" i="4"/>
  <c r="AI50" i="4"/>
  <c r="AI49" i="4"/>
  <c r="AI48" i="4"/>
  <c r="AI47" i="4"/>
  <c r="AI46" i="4"/>
  <c r="AI45" i="4"/>
  <c r="AI44" i="4"/>
  <c r="AI43" i="4"/>
  <c r="AI42" i="4"/>
  <c r="AI41" i="4"/>
  <c r="AI40" i="4"/>
  <c r="AI39" i="4"/>
  <c r="AI38" i="4"/>
  <c r="AI37" i="4"/>
  <c r="AI36" i="4"/>
  <c r="AI35" i="4"/>
  <c r="AI34" i="4"/>
  <c r="AI33" i="4"/>
  <c r="AI32" i="4"/>
  <c r="AI31" i="4"/>
  <c r="AI30" i="4"/>
  <c r="AI29" i="4"/>
  <c r="AI28" i="4"/>
  <c r="AI27" i="4"/>
  <c r="AI26" i="4"/>
  <c r="AI25" i="4"/>
  <c r="AI24" i="4"/>
  <c r="AI23" i="4"/>
  <c r="AI22" i="4"/>
  <c r="AI21" i="4"/>
  <c r="AI20" i="4"/>
  <c r="AI19" i="4"/>
  <c r="AI18" i="4"/>
  <c r="AI17" i="4"/>
  <c r="AI16" i="4"/>
  <c r="AI15" i="4"/>
  <c r="AI14" i="4"/>
  <c r="AI13" i="4"/>
  <c r="AI12" i="4"/>
  <c r="AI11" i="4"/>
  <c r="AI10" i="4"/>
  <c r="AI9" i="4"/>
  <c r="AI8" i="4"/>
  <c r="AI7" i="4"/>
  <c r="AI6" i="4"/>
  <c r="AI5" i="4"/>
  <c r="AI4" i="4"/>
  <c r="AI3" i="4"/>
  <c r="AI2" i="4"/>
  <c r="I52" i="4"/>
  <c r="AU129" i="23" l="1"/>
  <c r="AY129" i="23" s="1"/>
  <c r="Q133" i="23"/>
  <c r="U133" i="23" s="1"/>
  <c r="V133" i="23" s="1"/>
  <c r="Z133" i="23" s="1"/>
  <c r="AP130" i="23"/>
  <c r="AT130" i="23" s="1"/>
  <c r="AZ128" i="23"/>
  <c r="BD128" i="23" s="1"/>
  <c r="BE128" i="23" s="1"/>
  <c r="BI128" i="23" s="1"/>
  <c r="BJ127" i="23"/>
  <c r="L135" i="23"/>
  <c r="Q134" i="23"/>
  <c r="U134" i="23" s="1"/>
  <c r="AA132" i="23"/>
  <c r="AE132" i="23" s="1"/>
  <c r="AF131" i="23"/>
  <c r="AJ131" i="23" s="1"/>
  <c r="AK131" i="23" s="1"/>
  <c r="AO131" i="23" s="1"/>
  <c r="AP131" i="23" s="1"/>
  <c r="AT131" i="23" s="1"/>
  <c r="CE14" i="6"/>
  <c r="CE13" i="6"/>
  <c r="CE12" i="6"/>
  <c r="CE11" i="6"/>
  <c r="CE10" i="6"/>
  <c r="CE9" i="6"/>
  <c r="CE8" i="6"/>
  <c r="CE7" i="6"/>
  <c r="CE6" i="6"/>
  <c r="CE5" i="6"/>
  <c r="CE4" i="6"/>
  <c r="CE3" i="6"/>
  <c r="CE2" i="6"/>
  <c r="D17" i="6"/>
  <c r="D16" i="6"/>
  <c r="D15" i="6"/>
  <c r="D14" i="6"/>
  <c r="D13" i="6"/>
  <c r="D12" i="6"/>
  <c r="D11" i="6"/>
  <c r="D10" i="6"/>
  <c r="D9" i="6"/>
  <c r="D8" i="6"/>
  <c r="D7" i="6"/>
  <c r="D6" i="6"/>
  <c r="D5" i="6"/>
  <c r="D4" i="6"/>
  <c r="D3" i="6"/>
  <c r="D2" i="6"/>
  <c r="BA48" i="4"/>
  <c r="BA47" i="4"/>
  <c r="BA46" i="4"/>
  <c r="BA45" i="4"/>
  <c r="BA44" i="4"/>
  <c r="BA43" i="4"/>
  <c r="BA42" i="4"/>
  <c r="BA41" i="4"/>
  <c r="BA40" i="4"/>
  <c r="BA39" i="4"/>
  <c r="BA38" i="4"/>
  <c r="BA37" i="4"/>
  <c r="BA36" i="4"/>
  <c r="BA35" i="4"/>
  <c r="BA34" i="4"/>
  <c r="BA33" i="4"/>
  <c r="BA32" i="4"/>
  <c r="BA31" i="4"/>
  <c r="BA30" i="4"/>
  <c r="BA29" i="4"/>
  <c r="BA28" i="4"/>
  <c r="BA27" i="4"/>
  <c r="BA26" i="4"/>
  <c r="BA25" i="4"/>
  <c r="BA24" i="4"/>
  <c r="BA23" i="4"/>
  <c r="BA22" i="4"/>
  <c r="BA21" i="4"/>
  <c r="BA20" i="4"/>
  <c r="BA19" i="4"/>
  <c r="BA17" i="4"/>
  <c r="BA16" i="4"/>
  <c r="BA15" i="4"/>
  <c r="BA14" i="4"/>
  <c r="BA13" i="4"/>
  <c r="BA12" i="4"/>
  <c r="BA11" i="4"/>
  <c r="BA10" i="4"/>
  <c r="BA9" i="4"/>
  <c r="BA8" i="4"/>
  <c r="AI40" i="18" s="1"/>
  <c r="BA7" i="4"/>
  <c r="BA6" i="4"/>
  <c r="BA5" i="4"/>
  <c r="BA4"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I5" i="4"/>
  <c r="I4" i="4"/>
  <c r="I3" i="4"/>
  <c r="I2" i="4"/>
  <c r="Y11" i="18"/>
  <c r="AG26" i="23" s="1"/>
  <c r="Z54" i="30" s="1"/>
  <c r="Y10" i="18"/>
  <c r="AG25" i="23" s="1"/>
  <c r="Z49" i="30" s="1"/>
  <c r="Y9" i="18"/>
  <c r="AG24" i="23" s="1"/>
  <c r="Z44" i="30" s="1"/>
  <c r="Y8" i="18"/>
  <c r="AG23" i="23" s="1"/>
  <c r="Z39" i="30" s="1"/>
  <c r="Y7" i="18"/>
  <c r="AG22" i="23" s="1"/>
  <c r="Z34" i="30" s="1"/>
  <c r="Y6" i="18"/>
  <c r="AG21" i="23" s="1"/>
  <c r="Z29" i="30" s="1"/>
  <c r="I15" i="8"/>
  <c r="I14" i="8"/>
  <c r="I13" i="8"/>
  <c r="I12" i="8"/>
  <c r="I11" i="8"/>
  <c r="I10" i="8"/>
  <c r="I9" i="8"/>
  <c r="I8" i="8"/>
  <c r="I7" i="8"/>
  <c r="I6" i="8"/>
  <c r="I5" i="8"/>
  <c r="I4" i="8"/>
  <c r="I3" i="8"/>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10" i="10"/>
  <c r="H9" i="10"/>
  <c r="H8" i="10"/>
  <c r="H7" i="10"/>
  <c r="H6" i="10"/>
  <c r="H5" i="10"/>
  <c r="H4" i="10"/>
  <c r="H3" i="10"/>
  <c r="H2" i="10"/>
  <c r="X72" i="18"/>
  <c r="Y72" i="18" s="1"/>
  <c r="AU130" i="23" l="1"/>
  <c r="AY130" i="23" s="1"/>
  <c r="BJ128" i="23"/>
  <c r="AZ129" i="23"/>
  <c r="BD129" i="23" s="1"/>
  <c r="BE129" i="23" s="1"/>
  <c r="BI129" i="23" s="1"/>
  <c r="BJ129" i="23" s="1"/>
  <c r="L136" i="23"/>
  <c r="L137" i="23" s="1"/>
  <c r="P137" i="23" s="1"/>
  <c r="P135" i="23"/>
  <c r="V134" i="23"/>
  <c r="Z134" i="23" s="1"/>
  <c r="AA133" i="23"/>
  <c r="AE133" i="23" s="1"/>
  <c r="Q135" i="23"/>
  <c r="AF132" i="23"/>
  <c r="AJ132" i="23" s="1"/>
  <c r="AK132" i="23" s="1"/>
  <c r="AO132" i="23" s="1"/>
  <c r="AP132" i="23" s="1"/>
  <c r="AT132" i="23" s="1"/>
  <c r="AO48" i="18"/>
  <c r="AH56" i="18" s="1"/>
  <c r="AP48" i="18"/>
  <c r="AH57" i="18" s="1"/>
  <c r="AN48" i="18"/>
  <c r="AH55" i="18" s="1"/>
  <c r="AQ48" i="18"/>
  <c r="Z72" i="18"/>
  <c r="AU131" i="23" l="1"/>
  <c r="AY131" i="23" s="1"/>
  <c r="AZ130" i="23"/>
  <c r="P136" i="23"/>
  <c r="Q136" i="23" s="1"/>
  <c r="Q137" i="23" s="1"/>
  <c r="U137" i="23" s="1"/>
  <c r="L138" i="23"/>
  <c r="P138" i="23" s="1"/>
  <c r="U135" i="23"/>
  <c r="V135" i="23" s="1"/>
  <c r="Z135" i="23" s="1"/>
  <c r="AA134" i="23"/>
  <c r="AE134" i="23" s="1"/>
  <c r="AF133" i="23"/>
  <c r="AJ133" i="23" s="1"/>
  <c r="AK133" i="23" s="1"/>
  <c r="AO133" i="23" s="1"/>
  <c r="AP133" i="23" s="1"/>
  <c r="AT133" i="23" s="1"/>
  <c r="BD130" i="23"/>
  <c r="BE130" i="23" s="1"/>
  <c r="BI130" i="23" s="1"/>
  <c r="BJ130" i="23" s="1"/>
  <c r="AZ131" i="23" l="1"/>
  <c r="BD131" i="23" s="1"/>
  <c r="BE131" i="23" s="1"/>
  <c r="BI131" i="23" s="1"/>
  <c r="BJ131" i="23" s="1"/>
  <c r="AU132" i="23"/>
  <c r="AY132" i="23" s="1"/>
  <c r="U136" i="23"/>
  <c r="V136" i="23" s="1"/>
  <c r="Z136" i="23" s="1"/>
  <c r="Q138" i="23"/>
  <c r="U138" i="23" s="1"/>
  <c r="AA135" i="23"/>
  <c r="AE135" i="23" s="1"/>
  <c r="AF134" i="23"/>
  <c r="AJ134" i="23" s="1"/>
  <c r="AK134" i="23" s="1"/>
  <c r="AO134" i="23" s="1"/>
  <c r="AP134" i="23" s="1"/>
  <c r="AT134" i="23" s="1"/>
  <c r="AZ132" i="23" l="1"/>
  <c r="BD132" i="23" s="1"/>
  <c r="BE132" i="23" s="1"/>
  <c r="BI132" i="23" s="1"/>
  <c r="BJ132" i="23" s="1"/>
  <c r="AU133" i="23"/>
  <c r="AY133" i="23" s="1"/>
  <c r="AA136" i="23"/>
  <c r="AE136" i="23" s="1"/>
  <c r="AF135" i="23"/>
  <c r="AJ135" i="23" s="1"/>
  <c r="AK135" i="23" s="1"/>
  <c r="AO135" i="23" s="1"/>
  <c r="AP135" i="23" s="1"/>
  <c r="AT135" i="23" s="1"/>
  <c r="V137" i="23"/>
  <c r="R48" i="1"/>
  <c r="R51" i="1" s="1"/>
  <c r="F270" i="1"/>
  <c r="F266" i="1"/>
  <c r="F262" i="1"/>
  <c r="F258" i="1"/>
  <c r="F254" i="1"/>
  <c r="F250" i="1"/>
  <c r="F242" i="1"/>
  <c r="AZ133" i="23" l="1"/>
  <c r="BD133" i="23" s="1"/>
  <c r="BE133" i="23" s="1"/>
  <c r="BI133" i="23" s="1"/>
  <c r="BJ133" i="23" s="1"/>
  <c r="AU134" i="23"/>
  <c r="AY134" i="23" s="1"/>
  <c r="AZ134" i="23" s="1"/>
  <c r="BD134" i="23" s="1"/>
  <c r="AF136" i="23"/>
  <c r="AJ136" i="23" s="1"/>
  <c r="AK136" i="23" s="1"/>
  <c r="AO136" i="23" s="1"/>
  <c r="AP136" i="23" s="1"/>
  <c r="AT136" i="23" s="1"/>
  <c r="V138" i="23"/>
  <c r="Z138" i="23" s="1"/>
  <c r="Z137" i="23"/>
  <c r="AA137" i="23" s="1"/>
  <c r="AE137" i="23" s="1"/>
  <c r="AF137" i="23" s="1"/>
  <c r="AJ137" i="23" s="1"/>
  <c r="AK137" i="23" s="1"/>
  <c r="AO137" i="23" s="1"/>
  <c r="AP137" i="23" s="1"/>
  <c r="AT137" i="23" s="1"/>
  <c r="BE134" i="23" l="1"/>
  <c r="BI134" i="23" s="1"/>
  <c r="BJ134" i="23" s="1"/>
  <c r="AU135" i="23"/>
  <c r="AY135" i="23" s="1"/>
  <c r="AZ135" i="23" s="1"/>
  <c r="AA138" i="23"/>
  <c r="AE138" i="23" s="1"/>
  <c r="AF138" i="23" s="1"/>
  <c r="AJ138" i="23" s="1"/>
  <c r="AK138" i="23" s="1"/>
  <c r="AO138" i="23" s="1"/>
  <c r="AP138" i="23" s="1"/>
  <c r="AT138" i="23" s="1"/>
  <c r="AK19" i="18"/>
  <c r="AK18" i="18"/>
  <c r="AK17" i="18"/>
  <c r="AK16" i="18"/>
  <c r="AK15" i="18"/>
  <c r="AK14" i="18"/>
  <c r="AK13" i="18"/>
  <c r="AK12" i="18"/>
  <c r="AK11" i="18"/>
  <c r="AK10" i="18"/>
  <c r="AK9" i="18"/>
  <c r="AK8" i="18"/>
  <c r="AK7" i="18"/>
  <c r="AK6" i="18"/>
  <c r="AK5" i="18"/>
  <c r="AK4" i="18"/>
  <c r="AK3" i="18"/>
  <c r="AK2" i="18"/>
  <c r="Y15" i="23"/>
  <c r="Y14" i="23"/>
  <c r="Y13" i="23"/>
  <c r="Y12" i="23"/>
  <c r="Y11" i="23"/>
  <c r="Y10" i="23"/>
  <c r="Y9" i="23"/>
  <c r="Y8" i="23"/>
  <c r="Y7" i="23"/>
  <c r="Y6" i="23"/>
  <c r="Y5" i="23"/>
  <c r="Y4" i="23"/>
  <c r="M4" i="23"/>
  <c r="AU136" i="23" l="1"/>
  <c r="AY136" i="23" s="1"/>
  <c r="AZ136" i="23" s="1"/>
  <c r="BD136" i="23" s="1"/>
  <c r="BE136" i="23" s="1"/>
  <c r="BI136" i="23" s="1"/>
  <c r="BJ136" i="23" s="1"/>
  <c r="BD135" i="23"/>
  <c r="BE135" i="23" s="1"/>
  <c r="BI135" i="23" s="1"/>
  <c r="BJ135" i="23" s="1"/>
  <c r="L13" i="23"/>
  <c r="N4" i="23"/>
  <c r="P4" i="23"/>
  <c r="AU137" i="23" l="1"/>
  <c r="AY137" i="23" s="1"/>
  <c r="AZ137" i="23" s="1"/>
  <c r="BD137" i="23" s="1"/>
  <c r="BE137" i="23" s="1"/>
  <c r="BI137" i="23" s="1"/>
  <c r="BJ137" i="23" s="1"/>
  <c r="L14" i="23"/>
  <c r="H58" i="1"/>
  <c r="BA2" i="15"/>
  <c r="AV2" i="15"/>
  <c r="AU2" i="15"/>
  <c r="AR2" i="15"/>
  <c r="AO2" i="15"/>
  <c r="AK2" i="15"/>
  <c r="AH2" i="15"/>
  <c r="AE2" i="15"/>
  <c r="AB2" i="15"/>
  <c r="Y2" i="15"/>
  <c r="V2" i="15"/>
  <c r="S2" i="15"/>
  <c r="P2" i="15"/>
  <c r="M2" i="15"/>
  <c r="J2" i="15"/>
  <c r="G2" i="15"/>
  <c r="D2" i="15"/>
  <c r="B1" i="14"/>
  <c r="A102" i="3"/>
  <c r="A101" i="3"/>
  <c r="A100" i="3"/>
  <c r="A99" i="3"/>
  <c r="A98" i="3"/>
  <c r="A97" i="3"/>
  <c r="A96" i="3"/>
  <c r="A95" i="3"/>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28" i="3"/>
  <c r="A27" i="3"/>
  <c r="A26" i="3"/>
  <c r="A25" i="3"/>
  <c r="A24" i="3"/>
  <c r="A23" i="3"/>
  <c r="A22" i="3"/>
  <c r="A21" i="3"/>
  <c r="A20" i="3"/>
  <c r="A19" i="3"/>
  <c r="A18" i="3"/>
  <c r="A17" i="3"/>
  <c r="A16" i="3"/>
  <c r="A15" i="3"/>
  <c r="A3" i="3"/>
  <c r="A4" i="3" s="1"/>
  <c r="A5" i="3" s="1"/>
  <c r="A6" i="3" s="1"/>
  <c r="A7" i="3" s="1"/>
  <c r="A8" i="3" s="1"/>
  <c r="A9" i="3" s="1"/>
  <c r="A10" i="3" s="1"/>
  <c r="A11" i="3" s="1"/>
  <c r="A12" i="3" s="1"/>
  <c r="A13" i="3" s="1"/>
  <c r="A14" i="3" s="1"/>
  <c r="A2" i="2"/>
  <c r="A3" i="2" s="1"/>
  <c r="A4" i="2" s="1"/>
  <c r="A5" i="2" s="1"/>
  <c r="A6" i="2" s="1"/>
  <c r="A7" i="2" s="1"/>
  <c r="A8" i="2" s="1"/>
  <c r="A9" i="2" s="1"/>
  <c r="A10" i="2" s="1"/>
  <c r="A11" i="2" s="1"/>
  <c r="A12" i="2" s="1"/>
  <c r="A13" i="2" s="1"/>
  <c r="A14" i="2" s="1"/>
  <c r="A15" i="2" s="1"/>
  <c r="A16" i="2" s="1"/>
  <c r="A17" i="2" s="1"/>
  <c r="A18" i="2" s="1"/>
  <c r="A19" i="2" s="1"/>
  <c r="BT14" i="6"/>
  <c r="BI14" i="6"/>
  <c r="AX14" i="6"/>
  <c r="AM14" i="6"/>
  <c r="R14" i="6"/>
  <c r="BT13" i="6"/>
  <c r="BI13" i="6"/>
  <c r="AX13" i="6"/>
  <c r="AM13" i="6"/>
  <c r="R13" i="6"/>
  <c r="BT12" i="6"/>
  <c r="BI12" i="6"/>
  <c r="AX12" i="6"/>
  <c r="R12" i="6"/>
  <c r="BT11" i="6"/>
  <c r="BI11" i="6"/>
  <c r="AX11" i="6"/>
  <c r="AM11" i="6"/>
  <c r="R11" i="6"/>
  <c r="BT10" i="6"/>
  <c r="BI10" i="6"/>
  <c r="AX10" i="6"/>
  <c r="AM10" i="6"/>
  <c r="R10" i="6"/>
  <c r="BT9" i="6"/>
  <c r="BI9" i="6"/>
  <c r="AX9" i="6"/>
  <c r="AM9" i="6"/>
  <c r="R9" i="6"/>
  <c r="BT8" i="6"/>
  <c r="BI8" i="6"/>
  <c r="AX8" i="6"/>
  <c r="AM8" i="6"/>
  <c r="R8" i="6"/>
  <c r="BT7" i="6"/>
  <c r="BI7" i="6"/>
  <c r="AX7" i="6"/>
  <c r="AM7" i="6"/>
  <c r="R7" i="6"/>
  <c r="BT6" i="6"/>
  <c r="BI6" i="6"/>
  <c r="AX6" i="6"/>
  <c r="AM6" i="6"/>
  <c r="R6" i="6"/>
  <c r="BT5" i="6"/>
  <c r="BI5" i="6"/>
  <c r="AX5" i="6"/>
  <c r="AM5" i="6"/>
  <c r="R5" i="6"/>
  <c r="BT4" i="6"/>
  <c r="BI4" i="6"/>
  <c r="AX4" i="6"/>
  <c r="AM4" i="6"/>
  <c r="R4" i="6"/>
  <c r="BT3" i="6"/>
  <c r="BI3" i="6"/>
  <c r="AX3" i="6"/>
  <c r="AM3" i="6"/>
  <c r="R3" i="6"/>
  <c r="BT2" i="6"/>
  <c r="BI2" i="6"/>
  <c r="AX2" i="6"/>
  <c r="AM2" i="6"/>
  <c r="R2" i="6"/>
  <c r="A2" i="6"/>
  <c r="A3" i="6" s="1"/>
  <c r="A4" i="6" s="1"/>
  <c r="A5" i="6" s="1"/>
  <c r="A2" i="13"/>
  <c r="A3" i="13" s="1"/>
  <c r="A4" i="13" s="1"/>
  <c r="A5" i="13" s="1"/>
  <c r="A6" i="13" s="1"/>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C101" i="4"/>
  <c r="C100" i="4"/>
  <c r="C99" i="4"/>
  <c r="C98" i="4"/>
  <c r="C97" i="4"/>
  <c r="C96" i="4"/>
  <c r="C95" i="4"/>
  <c r="C94" i="4"/>
  <c r="C93" i="4"/>
  <c r="C92" i="4"/>
  <c r="C91" i="4"/>
  <c r="C90" i="4"/>
  <c r="C89" i="4"/>
  <c r="C88" i="4"/>
  <c r="C87" i="4"/>
  <c r="C86" i="4"/>
  <c r="C85" i="4"/>
  <c r="C84" i="4"/>
  <c r="C83" i="4"/>
  <c r="C82" i="4"/>
  <c r="C81" i="4"/>
  <c r="C80" i="4"/>
  <c r="C79" i="4"/>
  <c r="C78" i="4"/>
  <c r="C77" i="4"/>
  <c r="C76" i="4"/>
  <c r="C75" i="4"/>
  <c r="C74" i="4"/>
  <c r="C73" i="4"/>
  <c r="C72" i="4"/>
  <c r="C71" i="4"/>
  <c r="C70" i="4"/>
  <c r="C69" i="4"/>
  <c r="C68" i="4"/>
  <c r="C67" i="4"/>
  <c r="C66" i="4"/>
  <c r="C65" i="4"/>
  <c r="C64" i="4"/>
  <c r="C63" i="4"/>
  <c r="D62" i="4"/>
  <c r="C62" i="4"/>
  <c r="D61" i="4"/>
  <c r="C61" i="4"/>
  <c r="D60" i="4"/>
  <c r="C60" i="4"/>
  <c r="D59" i="4"/>
  <c r="C59" i="4"/>
  <c r="D58" i="4"/>
  <c r="C58" i="4"/>
  <c r="D57" i="4"/>
  <c r="C57" i="4"/>
  <c r="D56" i="4"/>
  <c r="C56" i="4"/>
  <c r="D55" i="4"/>
  <c r="C55" i="4"/>
  <c r="D53" i="4"/>
  <c r="D52" i="4"/>
  <c r="C52" i="4"/>
  <c r="D51" i="4"/>
  <c r="C51" i="4"/>
  <c r="D50" i="4"/>
  <c r="C50" i="4"/>
  <c r="D49" i="4"/>
  <c r="D48" i="4"/>
  <c r="D47" i="4"/>
  <c r="D46" i="4"/>
  <c r="D45" i="4"/>
  <c r="D44" i="4"/>
  <c r="D43" i="4"/>
  <c r="D42" i="4"/>
  <c r="D41" i="4"/>
  <c r="D40" i="4"/>
  <c r="D39" i="4"/>
  <c r="D38" i="4"/>
  <c r="C38" i="4"/>
  <c r="D37" i="4"/>
  <c r="D36" i="4"/>
  <c r="D35" i="4"/>
  <c r="C34" i="4"/>
  <c r="D33" i="4"/>
  <c r="D32" i="4"/>
  <c r="C32" i="4"/>
  <c r="D31" i="4"/>
  <c r="C31" i="4"/>
  <c r="D30" i="4"/>
  <c r="C30" i="4"/>
  <c r="D29" i="4"/>
  <c r="C29" i="4"/>
  <c r="D28" i="4"/>
  <c r="C28" i="4"/>
  <c r="D27" i="4"/>
  <c r="D26" i="4"/>
  <c r="D25" i="4"/>
  <c r="C24" i="4"/>
  <c r="D23" i="4"/>
  <c r="D22" i="4"/>
  <c r="D21" i="4"/>
  <c r="D19" i="4"/>
  <c r="C19" i="4"/>
  <c r="D18" i="4"/>
  <c r="C17" i="4"/>
  <c r="C16" i="4"/>
  <c r="C15" i="4"/>
  <c r="C14" i="4"/>
  <c r="C13" i="4"/>
  <c r="C12" i="4"/>
  <c r="C11" i="4"/>
  <c r="C10" i="4"/>
  <c r="C9" i="4"/>
  <c r="D7" i="4"/>
  <c r="C7" i="4"/>
  <c r="D6" i="4"/>
  <c r="C5" i="4"/>
  <c r="C3" i="4"/>
  <c r="D2" i="4"/>
  <c r="D3" i="4" s="1"/>
  <c r="C2" i="4"/>
  <c r="BE15" i="1" s="1"/>
  <c r="Y39" i="7"/>
  <c r="AA39" i="7" s="1"/>
  <c r="Y36" i="7"/>
  <c r="Y35" i="7"/>
  <c r="Y34" i="7"/>
  <c r="Y33" i="7"/>
  <c r="Y32" i="7"/>
  <c r="AX8" i="7"/>
  <c r="AX7" i="7"/>
  <c r="AX6" i="7"/>
  <c r="AX5" i="7"/>
  <c r="W2" i="7"/>
  <c r="G24" i="7" s="1"/>
  <c r="Z24" i="7" s="1"/>
  <c r="AC6" i="18"/>
  <c r="AC5" i="18"/>
  <c r="AC4" i="18"/>
  <c r="AC3" i="18"/>
  <c r="AC2" i="18"/>
  <c r="A2" i="19"/>
  <c r="AI179" i="1"/>
  <c r="AI178" i="1"/>
  <c r="AI177" i="1"/>
  <c r="AI176" i="1"/>
  <c r="AI175" i="1"/>
  <c r="AI174" i="1"/>
  <c r="AI173" i="1"/>
  <c r="AI172" i="1"/>
  <c r="AI171" i="1"/>
  <c r="AI170" i="1"/>
  <c r="AI169" i="1"/>
  <c r="AI168" i="1"/>
  <c r="AI167" i="1"/>
  <c r="AI166" i="1"/>
  <c r="AI165" i="1"/>
  <c r="AI164" i="1"/>
  <c r="AI161" i="1"/>
  <c r="Q59" i="1"/>
  <c r="Q60" i="1" s="1"/>
  <c r="Q61" i="1" s="1"/>
  <c r="Q62" i="1" s="1"/>
  <c r="Q63" i="1" s="1"/>
  <c r="Q64" i="1" s="1"/>
  <c r="Q65" i="1" s="1"/>
  <c r="Q66" i="1" s="1"/>
  <c r="Q67" i="1" s="1"/>
  <c r="Q68" i="1" s="1"/>
  <c r="Q69" i="1" s="1"/>
  <c r="Q70" i="1" s="1"/>
  <c r="Q71" i="1" s="1"/>
  <c r="Q72" i="1" s="1"/>
  <c r="Q73" i="1" s="1"/>
  <c r="Q74" i="1" s="1"/>
  <c r="Q75" i="1" s="1"/>
  <c r="Q76" i="1" s="1"/>
  <c r="Q77" i="1" s="1"/>
  <c r="AI15" i="1"/>
  <c r="BF10" i="1"/>
  <c r="BH3" i="30"/>
  <c r="AS3" i="30"/>
  <c r="AD3" i="30"/>
  <c r="C3" i="30"/>
  <c r="AU138" i="23" l="1"/>
  <c r="AY138" i="23" s="1"/>
  <c r="AZ138" i="23" s="1"/>
  <c r="BD138" i="23" s="1"/>
  <c r="BE138" i="23" s="1"/>
  <c r="BI138" i="23" s="1"/>
  <c r="BJ138" i="23" s="1"/>
  <c r="B4" i="23"/>
  <c r="AN15" i="1"/>
  <c r="AM15" i="1"/>
  <c r="A6" i="6"/>
  <c r="AK165" i="1"/>
  <c r="AR183" i="1"/>
  <c r="AR182" i="1"/>
  <c r="AR181" i="1"/>
  <c r="AR180" i="1"/>
  <c r="AK169" i="1"/>
  <c r="AR199" i="1"/>
  <c r="AR198" i="1"/>
  <c r="AR197" i="1"/>
  <c r="AR196" i="1"/>
  <c r="AK173" i="1"/>
  <c r="AR215" i="1"/>
  <c r="AR214" i="1"/>
  <c r="AR213" i="1"/>
  <c r="AR212" i="1"/>
  <c r="AK177" i="1"/>
  <c r="AR231" i="1"/>
  <c r="AR230" i="1"/>
  <c r="AR229" i="1"/>
  <c r="AR228" i="1"/>
  <c r="AK166" i="1"/>
  <c r="AR187" i="1"/>
  <c r="AR186" i="1"/>
  <c r="AR185" i="1"/>
  <c r="AR184" i="1"/>
  <c r="AK170" i="1"/>
  <c r="AR203" i="1"/>
  <c r="AR202" i="1"/>
  <c r="AR201" i="1"/>
  <c r="AR200" i="1"/>
  <c r="AK174" i="1"/>
  <c r="AR219" i="1"/>
  <c r="AR218" i="1"/>
  <c r="AR217" i="1"/>
  <c r="AR216" i="1"/>
  <c r="AK178" i="1"/>
  <c r="AR235" i="1"/>
  <c r="AR234" i="1"/>
  <c r="AR233" i="1"/>
  <c r="AR232" i="1"/>
  <c r="AK161" i="1"/>
  <c r="AR167" i="1"/>
  <c r="AR166" i="1"/>
  <c r="AR165" i="1"/>
  <c r="AR164" i="1"/>
  <c r="AK167" i="1"/>
  <c r="AR191" i="1"/>
  <c r="AR190" i="1"/>
  <c r="AR189" i="1"/>
  <c r="AR188" i="1"/>
  <c r="AK171" i="1"/>
  <c r="AR207" i="1"/>
  <c r="AR206" i="1"/>
  <c r="AR205" i="1"/>
  <c r="AR204" i="1"/>
  <c r="AK175" i="1"/>
  <c r="AR223" i="1"/>
  <c r="AR222" i="1"/>
  <c r="AR221" i="1"/>
  <c r="AR220" i="1"/>
  <c r="AK179" i="1"/>
  <c r="AR239" i="1"/>
  <c r="AR238" i="1"/>
  <c r="AR237" i="1"/>
  <c r="AR236" i="1"/>
  <c r="AK164" i="1"/>
  <c r="AR179" i="1"/>
  <c r="AR178" i="1"/>
  <c r="AR177" i="1"/>
  <c r="AR176" i="1"/>
  <c r="AK168" i="1"/>
  <c r="AR195" i="1"/>
  <c r="AR194" i="1"/>
  <c r="AR193" i="1"/>
  <c r="AR192" i="1"/>
  <c r="AK172" i="1"/>
  <c r="AR211" i="1"/>
  <c r="AR210" i="1"/>
  <c r="AR209" i="1"/>
  <c r="AR208" i="1"/>
  <c r="AK176" i="1"/>
  <c r="AR227" i="1"/>
  <c r="AR226" i="1"/>
  <c r="AR225" i="1"/>
  <c r="AR224" i="1"/>
  <c r="D11" i="7"/>
  <c r="Y11" i="7" s="1"/>
  <c r="D16" i="7"/>
  <c r="Y16" i="7" s="1"/>
  <c r="AA16" i="7" s="1"/>
  <c r="D8" i="7"/>
  <c r="X8" i="7" s="1"/>
  <c r="D7" i="7"/>
  <c r="Y7" i="7" s="1"/>
  <c r="D9" i="7"/>
  <c r="Y9" i="7" s="1"/>
  <c r="D13" i="7"/>
  <c r="Y13" i="7" s="1"/>
  <c r="AA13" i="7" s="1"/>
  <c r="D18" i="7"/>
  <c r="Y18" i="7" s="1"/>
  <c r="AA18" i="7" s="1"/>
  <c r="D23" i="7"/>
  <c r="Y23" i="7" s="1"/>
  <c r="AA23" i="7" s="1"/>
  <c r="D5" i="7"/>
  <c r="Y5" i="7" s="1"/>
  <c r="AA5" i="7" s="1"/>
  <c r="G10" i="7"/>
  <c r="Z10" i="7" s="1"/>
  <c r="D15" i="7"/>
  <c r="Y15" i="7" s="1"/>
  <c r="AA15" i="7" s="1"/>
  <c r="D20" i="7"/>
  <c r="D24" i="7"/>
  <c r="Y24" i="7" s="1"/>
  <c r="AA24" i="7" s="1"/>
  <c r="D12" i="7"/>
  <c r="Y12" i="7" s="1"/>
  <c r="D17" i="7"/>
  <c r="Y17" i="7" s="1"/>
  <c r="AA17" i="7" s="1"/>
  <c r="D21" i="7"/>
  <c r="Y21" i="7" s="1"/>
  <c r="AA21" i="7" s="1"/>
  <c r="A2" i="3"/>
  <c r="A7" i="6"/>
  <c r="K7" i="7"/>
  <c r="X27" i="7" s="1"/>
  <c r="K9" i="7"/>
  <c r="Y29" i="7" s="1"/>
  <c r="AH16" i="1"/>
  <c r="AI16" i="1" s="1"/>
  <c r="D6" i="7"/>
  <c r="X6" i="7" s="1"/>
  <c r="D14" i="7"/>
  <c r="D19" i="7"/>
  <c r="Y19" i="7" s="1"/>
  <c r="AA19" i="7" s="1"/>
  <c r="D22" i="7"/>
  <c r="C4" i="4"/>
  <c r="C6" i="4" s="1"/>
  <c r="G6" i="7"/>
  <c r="Z6" i="7" s="1"/>
  <c r="X7" i="7"/>
  <c r="G8" i="7"/>
  <c r="Z8" i="7" s="1"/>
  <c r="G11" i="7"/>
  <c r="Z11" i="7" s="1"/>
  <c r="G12" i="7"/>
  <c r="Z12" i="7" s="1"/>
  <c r="G13" i="7"/>
  <c r="Z13" i="7" s="1"/>
  <c r="G15" i="7"/>
  <c r="Z15" i="7" s="1"/>
  <c r="G17" i="7"/>
  <c r="Z17" i="7" s="1"/>
  <c r="G19" i="7"/>
  <c r="Z19" i="7" s="1"/>
  <c r="G21" i="7"/>
  <c r="Z21" i="7" s="1"/>
  <c r="G23" i="7"/>
  <c r="Z23" i="7" s="1"/>
  <c r="X11" i="7"/>
  <c r="X23" i="7"/>
  <c r="G5" i="7"/>
  <c r="Z5" i="7" s="1"/>
  <c r="G7" i="7"/>
  <c r="Z7" i="7" s="1"/>
  <c r="G9" i="7"/>
  <c r="Z9" i="7" s="1"/>
  <c r="D10" i="7"/>
  <c r="G14" i="7"/>
  <c r="Z14" i="7" s="1"/>
  <c r="G16" i="7"/>
  <c r="Z16" i="7" s="1"/>
  <c r="G18" i="7"/>
  <c r="Z18" i="7" s="1"/>
  <c r="G20" i="7"/>
  <c r="Z20" i="7" s="1"/>
  <c r="G22" i="7"/>
  <c r="Z22" i="7" s="1"/>
  <c r="AF129" i="18"/>
  <c r="AF100" i="18"/>
  <c r="AF72" i="18"/>
  <c r="AF32" i="18"/>
  <c r="AF86" i="18"/>
  <c r="AF57" i="18"/>
  <c r="AF114" i="18"/>
  <c r="AF140" i="18"/>
  <c r="AF10" i="18"/>
  <c r="AF44" i="18"/>
  <c r="AF132" i="18"/>
  <c r="AF118" i="18"/>
  <c r="AF104" i="18"/>
  <c r="AF89" i="18"/>
  <c r="AF76" i="18"/>
  <c r="AF61" i="18"/>
  <c r="AF46" i="18"/>
  <c r="AF35" i="18"/>
  <c r="AF24" i="18"/>
  <c r="AF13" i="18"/>
  <c r="AF9" i="18"/>
  <c r="AF5" i="18"/>
  <c r="AF27" i="18"/>
  <c r="AF50" i="18"/>
  <c r="AF78" i="18"/>
  <c r="AF108" i="18"/>
  <c r="AF136" i="18"/>
  <c r="AF137" i="18"/>
  <c r="AF37" i="18"/>
  <c r="AF65" i="18"/>
  <c r="AF93" i="18"/>
  <c r="AF121" i="18"/>
  <c r="AF7" i="18"/>
  <c r="AF29" i="18"/>
  <c r="AF40" i="18"/>
  <c r="AF54" i="18"/>
  <c r="AF68" i="18"/>
  <c r="AF82" i="18"/>
  <c r="AF97" i="18"/>
  <c r="AF110" i="18"/>
  <c r="AF125" i="18"/>
  <c r="AF3" i="18"/>
  <c r="AF23" i="18"/>
  <c r="AF28" i="18"/>
  <c r="AF33" i="18"/>
  <c r="AF39" i="18"/>
  <c r="AF45" i="18"/>
  <c r="AF52" i="18"/>
  <c r="AF60" i="18"/>
  <c r="AF66" i="18"/>
  <c r="AF73" i="18"/>
  <c r="AF81" i="18"/>
  <c r="AF88" i="18"/>
  <c r="AF94" i="18"/>
  <c r="AF102" i="18"/>
  <c r="AF109" i="18"/>
  <c r="AF116" i="18"/>
  <c r="AF124" i="18"/>
  <c r="AF130" i="18"/>
  <c r="AF139" i="18"/>
  <c r="AF135" i="18"/>
  <c r="AF131" i="18"/>
  <c r="AF127" i="18"/>
  <c r="AF123" i="18"/>
  <c r="AF119" i="18"/>
  <c r="AF115" i="18"/>
  <c r="AF111" i="18"/>
  <c r="AF107" i="18"/>
  <c r="AF103" i="18"/>
  <c r="AF99" i="18"/>
  <c r="AF95" i="18"/>
  <c r="AF91" i="18"/>
  <c r="AF87" i="18"/>
  <c r="AF83" i="18"/>
  <c r="AF79" i="18"/>
  <c r="AF75" i="18"/>
  <c r="AF71" i="18"/>
  <c r="AF67" i="18"/>
  <c r="AF63" i="18"/>
  <c r="AF59" i="18"/>
  <c r="AF55" i="18"/>
  <c r="AF51" i="18"/>
  <c r="AF47" i="18"/>
  <c r="AF43" i="18"/>
  <c r="AF138" i="18"/>
  <c r="AF133" i="18"/>
  <c r="AF128" i="18"/>
  <c r="AF122" i="18"/>
  <c r="AF117" i="18"/>
  <c r="AF112" i="18"/>
  <c r="AF106" i="18"/>
  <c r="AF101" i="18"/>
  <c r="AF96" i="18"/>
  <c r="AF90" i="18"/>
  <c r="AF85" i="18"/>
  <c r="AF80" i="18"/>
  <c r="AF74" i="18"/>
  <c r="AF69" i="18"/>
  <c r="AF64" i="18"/>
  <c r="AF58" i="18"/>
  <c r="AF53" i="18"/>
  <c r="AF48" i="18"/>
  <c r="AF42" i="18"/>
  <c r="AF38" i="18"/>
  <c r="AF34" i="18"/>
  <c r="AF30" i="18"/>
  <c r="AF26" i="18"/>
  <c r="AF22" i="18"/>
  <c r="AF21" i="18"/>
  <c r="AF20" i="18"/>
  <c r="AF19" i="18"/>
  <c r="AF18" i="18"/>
  <c r="AF17" i="18"/>
  <c r="AF16" i="18"/>
  <c r="AF15" i="18"/>
  <c r="AF12" i="18"/>
  <c r="AF11" i="18"/>
  <c r="AF6" i="18"/>
  <c r="AF4" i="18"/>
  <c r="AF2" i="18"/>
  <c r="AF8" i="18"/>
  <c r="AF14" i="18"/>
  <c r="AF25" i="18"/>
  <c r="AF31" i="18"/>
  <c r="AF36" i="18"/>
  <c r="AF41" i="18"/>
  <c r="AF49" i="18"/>
  <c r="AF56" i="18"/>
  <c r="AF62" i="18"/>
  <c r="AF70" i="18"/>
  <c r="AF77" i="18"/>
  <c r="AF84" i="18"/>
  <c r="AF92" i="18"/>
  <c r="AF98" i="18"/>
  <c r="AF105" i="18"/>
  <c r="AF113" i="18"/>
  <c r="AF120" i="18"/>
  <c r="AF126" i="18"/>
  <c r="AF134" i="18"/>
  <c r="AF141" i="18"/>
  <c r="D4" i="4"/>
  <c r="A3" i="19"/>
  <c r="A4" i="19" s="1"/>
  <c r="A5" i="19" s="1"/>
  <c r="A6" i="19" s="1"/>
  <c r="X21" i="7" l="1"/>
  <c r="X18" i="7"/>
  <c r="X17" i="7"/>
  <c r="A8" i="6"/>
  <c r="A9" i="6" s="1"/>
  <c r="A10" i="6" s="1"/>
  <c r="A11" i="6" s="1"/>
  <c r="A12" i="6" s="1"/>
  <c r="A13" i="6" s="1"/>
  <c r="A14" i="6" s="1"/>
  <c r="A15" i="6" s="1"/>
  <c r="A16" i="6" s="1"/>
  <c r="A17" i="6" s="1"/>
  <c r="A18" i="6" s="1"/>
  <c r="A19" i="6" s="1"/>
  <c r="A20" i="6" s="1"/>
  <c r="A21" i="6" s="1"/>
  <c r="H315" i="23"/>
  <c r="J362" i="23" s="1"/>
  <c r="K362" i="23" s="1"/>
  <c r="H314" i="23"/>
  <c r="J361" i="23" s="1"/>
  <c r="K361" i="23" s="1"/>
  <c r="B24" i="1"/>
  <c r="AM65" i="30" s="1"/>
  <c r="D84" i="1"/>
  <c r="J205" i="23" s="1"/>
  <c r="D82" i="1"/>
  <c r="I207" i="23" s="1"/>
  <c r="X15" i="7"/>
  <c r="H34" i="1"/>
  <c r="V24" i="1"/>
  <c r="Y8" i="7"/>
  <c r="D34" i="1"/>
  <c r="K2" i="7"/>
  <c r="Y31" i="7" s="1"/>
  <c r="K6" i="7"/>
  <c r="Y26" i="7" s="1"/>
  <c r="Y76" i="18"/>
  <c r="BL10" i="1"/>
  <c r="K10" i="7"/>
  <c r="Y30" i="7" s="1"/>
  <c r="AA30" i="7" s="1"/>
  <c r="K5" i="7"/>
  <c r="X25" i="7" s="1"/>
  <c r="K8" i="7"/>
  <c r="X28" i="7" s="1"/>
  <c r="K28" i="7"/>
  <c r="AI42" i="18"/>
  <c r="AN50" i="18" s="1"/>
  <c r="D5" i="4"/>
  <c r="X19" i="7"/>
  <c r="AM16" i="1"/>
  <c r="AN16" i="1"/>
  <c r="A7" i="19"/>
  <c r="A8" i="19" s="1"/>
  <c r="A9" i="19" s="1"/>
  <c r="A10" i="19" s="1"/>
  <c r="A11" i="19" s="1"/>
  <c r="A12" i="19" s="1"/>
  <c r="A13" i="19" s="1"/>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65" i="19" s="1"/>
  <c r="A66" i="19" s="1"/>
  <c r="A67" i="19" s="1"/>
  <c r="A68" i="19" s="1"/>
  <c r="A69" i="19" s="1"/>
  <c r="A70" i="19" s="1"/>
  <c r="A71" i="19" s="1"/>
  <c r="A72" i="19" s="1"/>
  <c r="A73" i="19" s="1"/>
  <c r="A74" i="19" s="1"/>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29" i="19" s="1"/>
  <c r="A130" i="19" s="1"/>
  <c r="A131" i="19" s="1"/>
  <c r="A132" i="19" s="1"/>
  <c r="A133" i="19" s="1"/>
  <c r="A134" i="19" s="1"/>
  <c r="A135" i="19" s="1"/>
  <c r="A136" i="19" s="1"/>
  <c r="A137" i="19" s="1"/>
  <c r="A138" i="19" s="1"/>
  <c r="A139" i="19" s="1"/>
  <c r="A140" i="19" s="1"/>
  <c r="A141" i="19" s="1"/>
  <c r="A142" i="19" s="1"/>
  <c r="A143"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A184" i="19" s="1"/>
  <c r="A185" i="19" s="1"/>
  <c r="A186" i="19" s="1"/>
  <c r="A187" i="19" s="1"/>
  <c r="A188" i="19" s="1"/>
  <c r="A189" i="19" s="1"/>
  <c r="A190" i="19" s="1"/>
  <c r="A191" i="19" s="1"/>
  <c r="A192" i="19" s="1"/>
  <c r="A193" i="19" s="1"/>
  <c r="A194" i="19" s="1"/>
  <c r="A195" i="19" s="1"/>
  <c r="A196" i="19" s="1"/>
  <c r="A197" i="19" s="1"/>
  <c r="A198" i="19" s="1"/>
  <c r="A199" i="19" s="1"/>
  <c r="A200" i="19" s="1"/>
  <c r="A201" i="19" s="1"/>
  <c r="A202" i="19" s="1"/>
  <c r="A203" i="19" s="1"/>
  <c r="A204" i="19" s="1"/>
  <c r="A205" i="19" s="1"/>
  <c r="A206" i="19" s="1"/>
  <c r="A207" i="19" s="1"/>
  <c r="A208" i="19" s="1"/>
  <c r="A209" i="19" s="1"/>
  <c r="A210" i="19" s="1"/>
  <c r="A211" i="19" s="1"/>
  <c r="A212" i="19" s="1"/>
  <c r="A213" i="19" s="1"/>
  <c r="A214" i="19" s="1"/>
  <c r="A215" i="19" s="1"/>
  <c r="A216" i="19" s="1"/>
  <c r="A217" i="19" s="1"/>
  <c r="A218" i="19" s="1"/>
  <c r="A219" i="19" s="1"/>
  <c r="A220" i="19" s="1"/>
  <c r="A221" i="19" s="1"/>
  <c r="A222" i="19" s="1"/>
  <c r="A223" i="19" s="1"/>
  <c r="A224" i="19" s="1"/>
  <c r="A225" i="19" s="1"/>
  <c r="A226" i="19" s="1"/>
  <c r="A227" i="19" s="1"/>
  <c r="A228" i="19" s="1"/>
  <c r="A229" i="19" s="1"/>
  <c r="A230" i="19" s="1"/>
  <c r="A231" i="19" s="1"/>
  <c r="A232" i="19" s="1"/>
  <c r="A233" i="19" s="1"/>
  <c r="A234" i="19" s="1"/>
  <c r="A235" i="19" s="1"/>
  <c r="A236" i="19" s="1"/>
  <c r="A237" i="19" s="1"/>
  <c r="A238" i="19" s="1"/>
  <c r="A239" i="19" s="1"/>
  <c r="A240" i="19" s="1"/>
  <c r="A241" i="19" s="1"/>
  <c r="A242" i="19" s="1"/>
  <c r="A243" i="19" s="1"/>
  <c r="A244" i="19" s="1"/>
  <c r="A245" i="19" s="1"/>
  <c r="A246" i="19" s="1"/>
  <c r="A247" i="19" s="1"/>
  <c r="A248" i="19" s="1"/>
  <c r="A249" i="19" s="1"/>
  <c r="A250" i="19" s="1"/>
  <c r="A251" i="19" s="1"/>
  <c r="A252" i="19" s="1"/>
  <c r="A253" i="19" s="1"/>
  <c r="A254" i="19" s="1"/>
  <c r="A255" i="19" s="1"/>
  <c r="A256" i="19" s="1"/>
  <c r="A257" i="19" s="1"/>
  <c r="A258" i="19" s="1"/>
  <c r="A259" i="19" s="1"/>
  <c r="A260" i="19" s="1"/>
  <c r="A261" i="19" s="1"/>
  <c r="A262" i="19" s="1"/>
  <c r="A263" i="19" s="1"/>
  <c r="A264" i="19" s="1"/>
  <c r="A265" i="19" s="1"/>
  <c r="A266" i="19" s="1"/>
  <c r="A267" i="19" s="1"/>
  <c r="A268" i="19" s="1"/>
  <c r="A269" i="19" s="1"/>
  <c r="A270" i="19" s="1"/>
  <c r="A271" i="19" s="1"/>
  <c r="A272" i="19" s="1"/>
  <c r="A273" i="19" s="1"/>
  <c r="A274" i="19" s="1"/>
  <c r="A275" i="19" s="1"/>
  <c r="A276" i="19" s="1"/>
  <c r="A277" i="19" s="1"/>
  <c r="A278" i="19" s="1"/>
  <c r="A279" i="19" s="1"/>
  <c r="A280" i="19" s="1"/>
  <c r="A281" i="19" s="1"/>
  <c r="A282" i="19" s="1"/>
  <c r="A283" i="19" s="1"/>
  <c r="A284" i="19" s="1"/>
  <c r="A285" i="19" s="1"/>
  <c r="A286" i="19" s="1"/>
  <c r="A287" i="19" s="1"/>
  <c r="A288" i="19" s="1"/>
  <c r="A289" i="19" s="1"/>
  <c r="A290" i="19" s="1"/>
  <c r="A291" i="19" s="1"/>
  <c r="A292" i="19" s="1"/>
  <c r="A293" i="19" s="1"/>
  <c r="A294" i="19" s="1"/>
  <c r="A295" i="19" s="1"/>
  <c r="A296" i="19" s="1"/>
  <c r="A297" i="19" s="1"/>
  <c r="A298" i="19" s="1"/>
  <c r="A299" i="19" s="1"/>
  <c r="A300" i="19" s="1"/>
  <c r="A301" i="19" s="1"/>
  <c r="A302" i="19" s="1"/>
  <c r="A303" i="19" s="1"/>
  <c r="A304" i="19" s="1"/>
  <c r="A305" i="19" s="1"/>
  <c r="A306" i="19" s="1"/>
  <c r="A307" i="19" s="1"/>
  <c r="A308" i="19" s="1"/>
  <c r="A309" i="19" s="1"/>
  <c r="A310" i="19" s="1"/>
  <c r="A311" i="19" s="1"/>
  <c r="A312" i="19" s="1"/>
  <c r="A313" i="19" s="1"/>
  <c r="A314" i="19" s="1"/>
  <c r="A315" i="19" s="1"/>
  <c r="A316" i="19" s="1"/>
  <c r="A317" i="19" s="1"/>
  <c r="A318" i="19" s="1"/>
  <c r="A319" i="19" s="1"/>
  <c r="A320" i="19" s="1"/>
  <c r="A321" i="19" s="1"/>
  <c r="A322" i="19" s="1"/>
  <c r="A323" i="19" s="1"/>
  <c r="A324" i="19" s="1"/>
  <c r="A325" i="19" s="1"/>
  <c r="A326" i="19" s="1"/>
  <c r="A327" i="19" s="1"/>
  <c r="A328" i="19" s="1"/>
  <c r="A329" i="19" s="1"/>
  <c r="A330" i="19" s="1"/>
  <c r="A331" i="19" s="1"/>
  <c r="A332" i="19" s="1"/>
  <c r="A333" i="19" s="1"/>
  <c r="A334" i="19" s="1"/>
  <c r="A335" i="19" s="1"/>
  <c r="A336" i="19" s="1"/>
  <c r="A337" i="19" s="1"/>
  <c r="A338" i="19" s="1"/>
  <c r="A339" i="19" s="1"/>
  <c r="A340" i="19" s="1"/>
  <c r="A341" i="19" s="1"/>
  <c r="A342" i="19" s="1"/>
  <c r="A343" i="19" s="1"/>
  <c r="A344" i="19" s="1"/>
  <c r="A345" i="19" s="1"/>
  <c r="A346" i="19" s="1"/>
  <c r="A347" i="19" s="1"/>
  <c r="A348" i="19" s="1"/>
  <c r="A349" i="19" s="1"/>
  <c r="A350" i="19" s="1"/>
  <c r="A351" i="19" s="1"/>
  <c r="A352" i="19" s="1"/>
  <c r="A353" i="19" s="1"/>
  <c r="A354" i="19" s="1"/>
  <c r="A355" i="19" s="1"/>
  <c r="A356" i="19" s="1"/>
  <c r="A357" i="19" s="1"/>
  <c r="A358" i="19" s="1"/>
  <c r="A359" i="19" s="1"/>
  <c r="A360" i="19" s="1"/>
  <c r="A361" i="19" s="1"/>
  <c r="A362" i="19" s="1"/>
  <c r="A363" i="19" s="1"/>
  <c r="A364" i="19" s="1"/>
  <c r="A365" i="19" s="1"/>
  <c r="A366" i="19" s="1"/>
  <c r="A367" i="19" s="1"/>
  <c r="A368" i="19" s="1"/>
  <c r="A369" i="19" s="1"/>
  <c r="A370" i="19" s="1"/>
  <c r="A371" i="19" s="1"/>
  <c r="A372" i="19" s="1"/>
  <c r="A373" i="19" s="1"/>
  <c r="A374" i="19" s="1"/>
  <c r="A375" i="19" s="1"/>
  <c r="A376" i="19" s="1"/>
  <c r="A377" i="19" s="1"/>
  <c r="A378" i="19" s="1"/>
  <c r="A379" i="19" s="1"/>
  <c r="A380" i="19" s="1"/>
  <c r="A381" i="19" s="1"/>
  <c r="A382" i="19" s="1"/>
  <c r="A383" i="19" s="1"/>
  <c r="A384" i="19" s="1"/>
  <c r="A385" i="19" s="1"/>
  <c r="A386" i="19" s="1"/>
  <c r="A387" i="19" s="1"/>
  <c r="A388" i="19" s="1"/>
  <c r="A389" i="19" s="1"/>
  <c r="A390" i="19" s="1"/>
  <c r="A391" i="19" s="1"/>
  <c r="A392" i="19" s="1"/>
  <c r="A393" i="19" s="1"/>
  <c r="A394" i="19" s="1"/>
  <c r="A395" i="19" s="1"/>
  <c r="A396" i="19" s="1"/>
  <c r="A397" i="19" s="1"/>
  <c r="A398" i="19" s="1"/>
  <c r="A399" i="19" s="1"/>
  <c r="A400" i="19" s="1"/>
  <c r="A401" i="19" s="1"/>
  <c r="A402" i="19" s="1"/>
  <c r="A403" i="19" s="1"/>
  <c r="A404" i="19" s="1"/>
  <c r="A405" i="19" s="1"/>
  <c r="A406" i="19" s="1"/>
  <c r="A407" i="19" s="1"/>
  <c r="A408" i="19" s="1"/>
  <c r="A409" i="19" s="1"/>
  <c r="A410" i="19" s="1"/>
  <c r="A411" i="19" s="1"/>
  <c r="A412" i="19" s="1"/>
  <c r="A413" i="19" s="1"/>
  <c r="A414" i="19" s="1"/>
  <c r="A415" i="19" s="1"/>
  <c r="A416" i="19" s="1"/>
  <c r="A417" i="19" s="1"/>
  <c r="A418" i="19" s="1"/>
  <c r="A419" i="19" s="1"/>
  <c r="A420" i="19" s="1"/>
  <c r="A421" i="19" s="1"/>
  <c r="A422" i="19" s="1"/>
  <c r="A423" i="19" s="1"/>
  <c r="A424" i="19" s="1"/>
  <c r="A425" i="19" s="1"/>
  <c r="A426" i="19" s="1"/>
  <c r="A427" i="19" s="1"/>
  <c r="A428" i="19" s="1"/>
  <c r="A429" i="19" s="1"/>
  <c r="A430" i="19" s="1"/>
  <c r="A431" i="19" s="1"/>
  <c r="A432" i="19" s="1"/>
  <c r="A433" i="19" s="1"/>
  <c r="A434" i="19" s="1"/>
  <c r="A435" i="19" s="1"/>
  <c r="A436" i="19" s="1"/>
  <c r="A437" i="19" s="1"/>
  <c r="A438" i="19" s="1"/>
  <c r="A439" i="19" s="1"/>
  <c r="A440" i="19" s="1"/>
  <c r="A441" i="19" s="1"/>
  <c r="A442" i="19" s="1"/>
  <c r="A443" i="19" s="1"/>
  <c r="A444" i="19" s="1"/>
  <c r="A445" i="19" s="1"/>
  <c r="A446" i="19" s="1"/>
  <c r="A447" i="19" s="1"/>
  <c r="A448" i="19" s="1"/>
  <c r="A449" i="19" s="1"/>
  <c r="A450" i="19" s="1"/>
  <c r="A451" i="19" s="1"/>
  <c r="A452" i="19" s="1"/>
  <c r="A453" i="19" s="1"/>
  <c r="A454" i="19" s="1"/>
  <c r="A455" i="19" s="1"/>
  <c r="A456" i="19" s="1"/>
  <c r="A457" i="19" s="1"/>
  <c r="A458" i="19" s="1"/>
  <c r="A459" i="19" s="1"/>
  <c r="A460" i="19" s="1"/>
  <c r="A461" i="19" s="1"/>
  <c r="A462" i="19" s="1"/>
  <c r="A463" i="19" s="1"/>
  <c r="A464" i="19" s="1"/>
  <c r="A465" i="19" s="1"/>
  <c r="A466" i="19" s="1"/>
  <c r="A467" i="19" s="1"/>
  <c r="A468" i="19" s="1"/>
  <c r="A469" i="19" s="1"/>
  <c r="A470" i="19" s="1"/>
  <c r="A471" i="19" s="1"/>
  <c r="A472" i="19" s="1"/>
  <c r="A473" i="19" s="1"/>
  <c r="A474" i="19" s="1"/>
  <c r="A475" i="19" s="1"/>
  <c r="A476" i="19" s="1"/>
  <c r="A477" i="19" s="1"/>
  <c r="A478" i="19" s="1"/>
  <c r="A479" i="19" s="1"/>
  <c r="A480" i="19" s="1"/>
  <c r="A481" i="19" s="1"/>
  <c r="X12" i="7"/>
  <c r="X16" i="7"/>
  <c r="X13" i="7"/>
  <c r="X9" i="7"/>
  <c r="X5" i="7"/>
  <c r="X24" i="7"/>
  <c r="Y20" i="7"/>
  <c r="AA20" i="7" s="1"/>
  <c r="X20" i="7"/>
  <c r="AH17" i="1"/>
  <c r="AH18" i="1" s="1"/>
  <c r="Y27" i="7"/>
  <c r="Y14" i="7"/>
  <c r="AA14" i="7" s="1"/>
  <c r="X14" i="7"/>
  <c r="C8" i="4"/>
  <c r="Y22" i="7"/>
  <c r="AA22" i="7" s="1"/>
  <c r="X22" i="7"/>
  <c r="X29" i="7"/>
  <c r="Y6" i="7"/>
  <c r="AA6" i="7" s="1"/>
  <c r="AA7" i="7" s="1"/>
  <c r="D8" i="4"/>
  <c r="D9" i="4" s="1"/>
  <c r="D10" i="4" s="1"/>
  <c r="Y10" i="7"/>
  <c r="X10" i="7"/>
  <c r="G15" i="18"/>
  <c r="G14" i="18"/>
  <c r="G22" i="18"/>
  <c r="G18" i="18"/>
  <c r="G20" i="18"/>
  <c r="G16" i="18"/>
  <c r="G13" i="18"/>
  <c r="G9" i="18"/>
  <c r="G10" i="18"/>
  <c r="G6" i="18"/>
  <c r="G12" i="18"/>
  <c r="G8" i="18"/>
  <c r="G5" i="18"/>
  <c r="G7" i="18"/>
  <c r="G21" i="18"/>
  <c r="G19" i="18"/>
  <c r="G17" i="18"/>
  <c r="G11" i="18"/>
  <c r="I198" i="23" l="1"/>
  <c r="I200" i="23"/>
  <c r="I209" i="23"/>
  <c r="I193" i="23"/>
  <c r="I197" i="23"/>
  <c r="I206" i="23"/>
  <c r="I201" i="23"/>
  <c r="I196" i="23"/>
  <c r="I208" i="23"/>
  <c r="I203" i="23"/>
  <c r="J198" i="23"/>
  <c r="J203" i="23"/>
  <c r="J206" i="23"/>
  <c r="J195" i="23"/>
  <c r="X30" i="7"/>
  <c r="I204" i="23"/>
  <c r="I195" i="23"/>
  <c r="I205" i="23"/>
  <c r="Y28" i="7"/>
  <c r="I194" i="23"/>
  <c r="I202" i="23"/>
  <c r="I210" i="23"/>
  <c r="I199" i="23"/>
  <c r="X26" i="7"/>
  <c r="AA8" i="7"/>
  <c r="AA9" i="7" s="1"/>
  <c r="J194" i="23"/>
  <c r="J202" i="23"/>
  <c r="J210" i="23"/>
  <c r="J199" i="23"/>
  <c r="J207" i="23"/>
  <c r="Y25" i="7"/>
  <c r="J196" i="23"/>
  <c r="J204" i="23"/>
  <c r="J193" i="23"/>
  <c r="J201" i="23"/>
  <c r="J209" i="23"/>
  <c r="J200" i="23"/>
  <c r="J208" i="23"/>
  <c r="J197" i="23"/>
  <c r="C18" i="4"/>
  <c r="C20" i="4" s="1"/>
  <c r="C21" i="4" s="1"/>
  <c r="AI17" i="1"/>
  <c r="D11" i="4"/>
  <c r="AH19" i="1"/>
  <c r="AI18" i="1"/>
  <c r="AA10" i="7" l="1"/>
  <c r="A5" i="23"/>
  <c r="AN17" i="1"/>
  <c r="AM17" i="1"/>
  <c r="AN18" i="1"/>
  <c r="AM18" i="1"/>
  <c r="C22" i="4"/>
  <c r="D12" i="4"/>
  <c r="AI19" i="1"/>
  <c r="AH20" i="1"/>
  <c r="AA11" i="7" l="1"/>
  <c r="A6" i="23"/>
  <c r="B5" i="23"/>
  <c r="AN19" i="1"/>
  <c r="AM19" i="1"/>
  <c r="C23" i="4"/>
  <c r="C25" i="4" s="1"/>
  <c r="C26" i="4" s="1"/>
  <c r="D13" i="4"/>
  <c r="AH21" i="1"/>
  <c r="AI20" i="1"/>
  <c r="AA12" i="7" l="1"/>
  <c r="AA25" i="7" s="1"/>
  <c r="A7" i="23"/>
  <c r="B6" i="23"/>
  <c r="AM20" i="1"/>
  <c r="AN20" i="1"/>
  <c r="C27" i="4"/>
  <c r="C33" i="4" s="1"/>
  <c r="C35" i="4" s="1"/>
  <c r="D14" i="4"/>
  <c r="AH22" i="1"/>
  <c r="AI21" i="1"/>
  <c r="AA26" i="7" l="1"/>
  <c r="B7" i="23"/>
  <c r="A8" i="23"/>
  <c r="AN21" i="1"/>
  <c r="AM21" i="1"/>
  <c r="C36" i="4"/>
  <c r="C37" i="4" s="1"/>
  <c r="C39" i="4" s="1"/>
  <c r="C40" i="4" s="1"/>
  <c r="C41" i="4" s="1"/>
  <c r="C42" i="4" s="1"/>
  <c r="C43" i="4" s="1"/>
  <c r="C44" i="4" s="1"/>
  <c r="C45" i="4" s="1"/>
  <c r="D15" i="4"/>
  <c r="AH23" i="1"/>
  <c r="AI22" i="1"/>
  <c r="AA27" i="7" l="1"/>
  <c r="B8" i="23"/>
  <c r="A9" i="23"/>
  <c r="AN22" i="1"/>
  <c r="AM22" i="1"/>
  <c r="C46" i="4"/>
  <c r="C47" i="4" s="1"/>
  <c r="C48" i="4" s="1"/>
  <c r="C49" i="4" s="1"/>
  <c r="C53" i="4" s="1"/>
  <c r="D16" i="4"/>
  <c r="AH24" i="1"/>
  <c r="AI23" i="1"/>
  <c r="AA28" i="7" l="1"/>
  <c r="A10" i="23"/>
  <c r="B9" i="23"/>
  <c r="AN23" i="1"/>
  <c r="AM23" i="1"/>
  <c r="BD16" i="1"/>
  <c r="BE16" i="1" s="1"/>
  <c r="BF12" i="1"/>
  <c r="BD11" i="1"/>
  <c r="BE11" i="1" s="1"/>
  <c r="D17" i="4"/>
  <c r="AI24" i="1"/>
  <c r="AH25" i="1"/>
  <c r="AA29" i="7" l="1"/>
  <c r="AA31" i="7" s="1"/>
  <c r="A11" i="23"/>
  <c r="B10" i="23"/>
  <c r="D20" i="4"/>
  <c r="D24" i="4" s="1"/>
  <c r="D34" i="4" s="1"/>
  <c r="D63" i="4" s="1"/>
  <c r="D64" i="4" s="1"/>
  <c r="D65" i="4" s="1"/>
  <c r="D66" i="4" s="1"/>
  <c r="D67" i="4" s="1"/>
  <c r="D68" i="4" s="1"/>
  <c r="D69" i="4" s="1"/>
  <c r="D70" i="4" s="1"/>
  <c r="D71" i="4" s="1"/>
  <c r="D72" i="4" s="1"/>
  <c r="D73" i="4" s="1"/>
  <c r="D74" i="4" s="1"/>
  <c r="D75" i="4" s="1"/>
  <c r="D76" i="4" s="1"/>
  <c r="D77" i="4" s="1"/>
  <c r="D78" i="4" s="1"/>
  <c r="D79" i="4" s="1"/>
  <c r="D80" i="4" s="1"/>
  <c r="D81" i="4" s="1"/>
  <c r="D82" i="4" s="1"/>
  <c r="D83" i="4" s="1"/>
  <c r="D84" i="4" s="1"/>
  <c r="D85" i="4" s="1"/>
  <c r="D86" i="4" s="1"/>
  <c r="D87" i="4" s="1"/>
  <c r="D88" i="4" s="1"/>
  <c r="D89" i="4" s="1"/>
  <c r="D90" i="4" s="1"/>
  <c r="D91" i="4" s="1"/>
  <c r="D92" i="4" s="1"/>
  <c r="D93" i="4" s="1"/>
  <c r="D94" i="4" s="1"/>
  <c r="D95" i="4" s="1"/>
  <c r="D96" i="4" s="1"/>
  <c r="D97" i="4" s="1"/>
  <c r="D98" i="4" s="1"/>
  <c r="D99" i="4" s="1"/>
  <c r="D100" i="4" s="1"/>
  <c r="D101" i="4" s="1"/>
  <c r="AN24" i="1"/>
  <c r="AM24" i="1"/>
  <c r="BD17" i="1"/>
  <c r="BD18" i="1" s="1"/>
  <c r="AI25" i="1"/>
  <c r="AH26" i="1"/>
  <c r="AA32" i="7" l="1"/>
  <c r="AA33" i="7"/>
  <c r="AA34" i="7" s="1"/>
  <c r="AA35" i="7" s="1"/>
  <c r="AA36" i="7" s="1"/>
  <c r="AC5" i="7"/>
  <c r="D37" i="7" s="1"/>
  <c r="AD5" i="7"/>
  <c r="G37" i="7" s="1"/>
  <c r="AD6" i="7"/>
  <c r="G38" i="7" s="1"/>
  <c r="AC6" i="7"/>
  <c r="D38" i="7" s="1"/>
  <c r="B11" i="23"/>
  <c r="A12" i="23"/>
  <c r="BF16" i="1"/>
  <c r="BF17" i="1" s="1"/>
  <c r="BG15" i="1"/>
  <c r="BH15" i="1"/>
  <c r="BE17" i="1"/>
  <c r="AN25" i="1"/>
  <c r="AM25" i="1"/>
  <c r="BF11" i="1"/>
  <c r="BG11" i="1" s="1"/>
  <c r="BH10" i="1"/>
  <c r="BD19" i="1"/>
  <c r="BE18" i="1"/>
  <c r="AI26" i="1"/>
  <c r="AH27" i="1"/>
  <c r="AC7" i="7" l="1"/>
  <c r="D39" i="7" s="1"/>
  <c r="H37" i="7"/>
  <c r="J37" i="7" s="1"/>
  <c r="I37" i="7"/>
  <c r="AD7" i="7"/>
  <c r="G39" i="7" s="1"/>
  <c r="I38" i="7"/>
  <c r="H38" i="7"/>
  <c r="J38" i="7" s="1"/>
  <c r="AD8" i="7"/>
  <c r="G40" i="7" s="1"/>
  <c r="AC8" i="7"/>
  <c r="D40" i="7" s="1"/>
  <c r="B12" i="23"/>
  <c r="A13" i="23"/>
  <c r="BH16" i="1"/>
  <c r="BG16" i="1"/>
  <c r="AN26" i="1"/>
  <c r="AM26" i="1"/>
  <c r="BH11" i="1"/>
  <c r="BH17" i="1"/>
  <c r="BG17" i="1"/>
  <c r="BF18" i="1"/>
  <c r="BE19" i="1"/>
  <c r="BD20" i="1"/>
  <c r="AH28" i="1"/>
  <c r="AI27" i="1"/>
  <c r="I40" i="7" l="1"/>
  <c r="H40" i="7"/>
  <c r="J40" i="7" s="1"/>
  <c r="I39" i="7"/>
  <c r="H39" i="7"/>
  <c r="J39" i="7" s="1"/>
  <c r="A14" i="23"/>
  <c r="B13" i="23"/>
  <c r="AN27" i="1"/>
  <c r="AM27" i="1"/>
  <c r="BG18" i="1"/>
  <c r="BH18" i="1"/>
  <c r="BF19" i="1"/>
  <c r="BE20" i="1"/>
  <c r="BD21" i="1"/>
  <c r="AJ27" i="1"/>
  <c r="AK27" i="1" s="1"/>
  <c r="AL27" i="1" s="1"/>
  <c r="AU27" i="1"/>
  <c r="AV27" i="1" s="1"/>
  <c r="AH29" i="1"/>
  <c r="AI28" i="1"/>
  <c r="R315" i="23" l="1"/>
  <c r="A15" i="23"/>
  <c r="B14" i="23"/>
  <c r="AM28" i="1"/>
  <c r="AN28" i="1"/>
  <c r="BF20" i="1"/>
  <c r="BH19" i="1"/>
  <c r="BG19" i="1"/>
  <c r="BE21" i="1"/>
  <c r="BD22" i="1"/>
  <c r="AU28" i="1"/>
  <c r="AV28" i="1" s="1"/>
  <c r="AJ28" i="1"/>
  <c r="AK28" i="1" s="1"/>
  <c r="AL28" i="1" s="1"/>
  <c r="AH30" i="1"/>
  <c r="AI29" i="1"/>
  <c r="B15" i="23" l="1"/>
  <c r="A16" i="23"/>
  <c r="AN29" i="1"/>
  <c r="AM29" i="1"/>
  <c r="BH20" i="1"/>
  <c r="BF21" i="1"/>
  <c r="BG20" i="1"/>
  <c r="BD23" i="1"/>
  <c r="BE22" i="1"/>
  <c r="AU29" i="1"/>
  <c r="AV29" i="1" s="1"/>
  <c r="AJ29" i="1"/>
  <c r="AK29" i="1" s="1"/>
  <c r="AL29" i="1" s="1"/>
  <c r="AI30" i="1"/>
  <c r="AH31" i="1"/>
  <c r="B16" i="23" l="1"/>
  <c r="A17" i="23"/>
  <c r="AN30" i="1"/>
  <c r="AM30" i="1"/>
  <c r="BG21" i="1"/>
  <c r="BF22" i="1"/>
  <c r="BH21" i="1"/>
  <c r="BE23" i="1"/>
  <c r="BD24" i="1"/>
  <c r="AH32" i="1"/>
  <c r="AI31" i="1"/>
  <c r="AJ30" i="1"/>
  <c r="AK30" i="1" s="1"/>
  <c r="AL30" i="1" s="1"/>
  <c r="AU30" i="1"/>
  <c r="AV30" i="1" s="1"/>
  <c r="A18" i="23" l="1"/>
  <c r="B17" i="23"/>
  <c r="AN31" i="1"/>
  <c r="AM31" i="1"/>
  <c r="BH22" i="1"/>
  <c r="BF23" i="1"/>
  <c r="BG22" i="1"/>
  <c r="BE24" i="1"/>
  <c r="BD25" i="1"/>
  <c r="AU31" i="1"/>
  <c r="AV31" i="1" s="1"/>
  <c r="AJ31" i="1"/>
  <c r="AK31" i="1" s="1"/>
  <c r="AL31" i="1" s="1"/>
  <c r="AI32" i="1"/>
  <c r="AH33" i="1"/>
  <c r="A19" i="23" l="1"/>
  <c r="B18" i="23"/>
  <c r="AM32" i="1"/>
  <c r="AN32" i="1"/>
  <c r="BF24" i="1"/>
  <c r="BH23" i="1"/>
  <c r="BG23" i="1"/>
  <c r="BE25" i="1"/>
  <c r="BD26" i="1"/>
  <c r="AH34" i="1"/>
  <c r="AI33" i="1"/>
  <c r="AU32" i="1"/>
  <c r="AV32" i="1" s="1"/>
  <c r="AJ32" i="1"/>
  <c r="AK32" i="1" s="1"/>
  <c r="AL32" i="1" s="1"/>
  <c r="B19" i="23" l="1"/>
  <c r="A20" i="23"/>
  <c r="AN33" i="1"/>
  <c r="AM33" i="1"/>
  <c r="BG24" i="1"/>
  <c r="BH24" i="1"/>
  <c r="BF25" i="1"/>
  <c r="BE26" i="1"/>
  <c r="BD27" i="1"/>
  <c r="AU33" i="1"/>
  <c r="AV33" i="1" s="1"/>
  <c r="AJ33" i="1"/>
  <c r="AK33" i="1" s="1"/>
  <c r="AL33" i="1" s="1"/>
  <c r="AI34" i="1"/>
  <c r="AH35" i="1"/>
  <c r="B20" i="23" l="1"/>
  <c r="A21" i="23"/>
  <c r="AN34" i="1"/>
  <c r="AM34" i="1"/>
  <c r="BG25" i="1"/>
  <c r="BH25" i="1"/>
  <c r="BF26" i="1"/>
  <c r="BE27" i="1"/>
  <c r="BD28" i="1"/>
  <c r="AU34" i="1"/>
  <c r="AV34" i="1" s="1"/>
  <c r="AJ34" i="1"/>
  <c r="AK34" i="1" s="1"/>
  <c r="AL34" i="1" s="1"/>
  <c r="AH36" i="1"/>
  <c r="AI35" i="1"/>
  <c r="A22" i="23" l="1"/>
  <c r="B21" i="23"/>
  <c r="AN35" i="1"/>
  <c r="AM35" i="1"/>
  <c r="BF27" i="1"/>
  <c r="BG26" i="1"/>
  <c r="BH26" i="1"/>
  <c r="BD29" i="1"/>
  <c r="BE28" i="1"/>
  <c r="AU35" i="1"/>
  <c r="AV35" i="1" s="1"/>
  <c r="AJ35" i="1"/>
  <c r="AK35" i="1" s="1"/>
  <c r="AL35" i="1" s="1"/>
  <c r="AI36" i="1"/>
  <c r="AH37" i="1"/>
  <c r="A23" i="23" l="1"/>
  <c r="B22" i="23"/>
  <c r="AN36" i="1"/>
  <c r="AM36" i="1"/>
  <c r="BF28" i="1"/>
  <c r="BH27" i="1"/>
  <c r="BG27" i="1"/>
  <c r="BD30" i="1"/>
  <c r="BE29" i="1"/>
  <c r="AH38" i="1"/>
  <c r="AI37" i="1"/>
  <c r="AJ36" i="1"/>
  <c r="AK36" i="1" s="1"/>
  <c r="AL36" i="1" s="1"/>
  <c r="AU36" i="1"/>
  <c r="AV36" i="1" s="1"/>
  <c r="B23" i="23" l="1"/>
  <c r="A24" i="23"/>
  <c r="AN37" i="1"/>
  <c r="AM37" i="1"/>
  <c r="BH28" i="1"/>
  <c r="BG28" i="1"/>
  <c r="BF29" i="1"/>
  <c r="BE30" i="1"/>
  <c r="BD31" i="1"/>
  <c r="AU37" i="1"/>
  <c r="AV37" i="1" s="1"/>
  <c r="AJ37" i="1"/>
  <c r="AK37" i="1" s="1"/>
  <c r="AL37" i="1" s="1"/>
  <c r="AH39" i="1"/>
  <c r="AI38" i="1"/>
  <c r="B24" i="23" l="1"/>
  <c r="A25" i="23"/>
  <c r="AN38" i="1"/>
  <c r="AM38" i="1"/>
  <c r="BH29" i="1"/>
  <c r="BF30" i="1"/>
  <c r="BG29" i="1"/>
  <c r="BE31" i="1"/>
  <c r="BD32" i="1"/>
  <c r="AU38" i="1"/>
  <c r="AV38" i="1" s="1"/>
  <c r="AJ38" i="1"/>
  <c r="AK38" i="1" s="1"/>
  <c r="AL38" i="1" s="1"/>
  <c r="AH40" i="1"/>
  <c r="AI39" i="1"/>
  <c r="A26" i="23" l="1"/>
  <c r="B25" i="23"/>
  <c r="AN39" i="1"/>
  <c r="AM39" i="1"/>
  <c r="BG30" i="1"/>
  <c r="BF31" i="1"/>
  <c r="BH30" i="1"/>
  <c r="BE32" i="1"/>
  <c r="BD33" i="1"/>
  <c r="AJ39" i="1"/>
  <c r="AK39" i="1" s="1"/>
  <c r="AL39" i="1" s="1"/>
  <c r="AU39" i="1"/>
  <c r="AV39" i="1" s="1"/>
  <c r="AH41" i="1"/>
  <c r="AI40" i="1"/>
  <c r="A27" i="23" l="1"/>
  <c r="B26" i="23"/>
  <c r="AM40" i="1"/>
  <c r="AN40" i="1"/>
  <c r="BG31" i="1"/>
  <c r="BH31" i="1"/>
  <c r="BF32" i="1"/>
  <c r="BD34" i="1"/>
  <c r="BE33" i="1"/>
  <c r="AJ40" i="1"/>
  <c r="AK40" i="1" s="1"/>
  <c r="AL40" i="1" s="1"/>
  <c r="AU40" i="1"/>
  <c r="AV40" i="1" s="1"/>
  <c r="AH42" i="1"/>
  <c r="AI41" i="1"/>
  <c r="B27" i="23" l="1"/>
  <c r="A28" i="23"/>
  <c r="AN41" i="1"/>
  <c r="AM41" i="1"/>
  <c r="BH32" i="1"/>
  <c r="BF33" i="1"/>
  <c r="BG32" i="1"/>
  <c r="BD35" i="1"/>
  <c r="BE34" i="1"/>
  <c r="AU41" i="1"/>
  <c r="AV41" i="1" s="1"/>
  <c r="AJ41" i="1"/>
  <c r="AK41" i="1" s="1"/>
  <c r="AL41" i="1" s="1"/>
  <c r="AI42" i="1"/>
  <c r="AH43" i="1"/>
  <c r="B28" i="23" l="1"/>
  <c r="A29" i="23"/>
  <c r="AN42" i="1"/>
  <c r="AM42" i="1"/>
  <c r="BG33" i="1"/>
  <c r="BF34" i="1"/>
  <c r="BH33" i="1"/>
  <c r="BD36" i="1"/>
  <c r="BE35" i="1"/>
  <c r="AH44" i="1"/>
  <c r="AI43" i="1"/>
  <c r="AJ42" i="1"/>
  <c r="AK42" i="1" s="1"/>
  <c r="AL42" i="1" s="1"/>
  <c r="AU42" i="1"/>
  <c r="AV42" i="1" s="1"/>
  <c r="A30" i="23" l="1"/>
  <c r="B29" i="23"/>
  <c r="AN43" i="1"/>
  <c r="AM43" i="1"/>
  <c r="BG34" i="1"/>
  <c r="BF35" i="1"/>
  <c r="BH34" i="1"/>
  <c r="BE36" i="1"/>
  <c r="BD37" i="1"/>
  <c r="AU43" i="1"/>
  <c r="AV43" i="1" s="1"/>
  <c r="AJ43" i="1"/>
  <c r="AK43" i="1" s="1"/>
  <c r="AL43" i="1" s="1"/>
  <c r="AI44" i="1"/>
  <c r="AH45" i="1"/>
  <c r="A31" i="23" l="1"/>
  <c r="B30" i="23"/>
  <c r="AN44" i="1"/>
  <c r="AM44" i="1"/>
  <c r="BH35" i="1"/>
  <c r="BF36" i="1"/>
  <c r="BG35" i="1"/>
  <c r="BD38" i="1"/>
  <c r="BE37" i="1"/>
  <c r="AH46" i="1"/>
  <c r="AI45" i="1"/>
  <c r="AU44" i="1"/>
  <c r="AV44" i="1" s="1"/>
  <c r="AJ44" i="1"/>
  <c r="AK44" i="1" s="1"/>
  <c r="AL44" i="1" s="1"/>
  <c r="B31" i="23" l="1"/>
  <c r="A32" i="23"/>
  <c r="AN45" i="1"/>
  <c r="AM45" i="1"/>
  <c r="BG36" i="1"/>
  <c r="BF37" i="1"/>
  <c r="BH36" i="1"/>
  <c r="BD39" i="1"/>
  <c r="BE38" i="1"/>
  <c r="AJ45" i="1"/>
  <c r="AK45" i="1" s="1"/>
  <c r="AL45" i="1" s="1"/>
  <c r="AU45" i="1"/>
  <c r="AV45" i="1" s="1"/>
  <c r="AH47" i="1"/>
  <c r="AI46" i="1"/>
  <c r="B32" i="23" l="1"/>
  <c r="A33" i="23"/>
  <c r="AN46" i="1"/>
  <c r="AM46" i="1"/>
  <c r="BF38" i="1"/>
  <c r="BH37" i="1"/>
  <c r="BG37" i="1"/>
  <c r="BE39" i="1"/>
  <c r="BD40" i="1"/>
  <c r="AI47" i="1"/>
  <c r="AH48" i="1"/>
  <c r="AU46" i="1"/>
  <c r="AV46" i="1" s="1"/>
  <c r="AJ46" i="1"/>
  <c r="AK46" i="1" s="1"/>
  <c r="AL46" i="1" s="1"/>
  <c r="A34" i="23" l="1"/>
  <c r="B33" i="23"/>
  <c r="AM47" i="1"/>
  <c r="AN47" i="1"/>
  <c r="BF39" i="1"/>
  <c r="BH38" i="1"/>
  <c r="BG38" i="1"/>
  <c r="BD41" i="1"/>
  <c r="BE40" i="1"/>
  <c r="AJ47" i="1"/>
  <c r="AK47" i="1" s="1"/>
  <c r="AL47" i="1" s="1"/>
  <c r="AU47" i="1"/>
  <c r="AV47" i="1" s="1"/>
  <c r="AI48" i="1"/>
  <c r="AH49" i="1"/>
  <c r="A35" i="23" l="1"/>
  <c r="B34" i="23"/>
  <c r="AM48" i="1"/>
  <c r="AN48" i="1"/>
  <c r="BG39" i="1"/>
  <c r="BH39" i="1"/>
  <c r="BF40" i="1"/>
  <c r="BD42" i="1"/>
  <c r="BE41" i="1"/>
  <c r="AI49" i="1"/>
  <c r="AH50" i="1"/>
  <c r="AJ48" i="1"/>
  <c r="AK48" i="1" s="1"/>
  <c r="AL48" i="1" s="1"/>
  <c r="AU48" i="1"/>
  <c r="AV48" i="1" s="1"/>
  <c r="B35" i="23" l="1"/>
  <c r="A36" i="23"/>
  <c r="AN49" i="1"/>
  <c r="AM49" i="1"/>
  <c r="BH40" i="1"/>
  <c r="BF41" i="1"/>
  <c r="BG40" i="1"/>
  <c r="BE42" i="1"/>
  <c r="BD43" i="1"/>
  <c r="AI50" i="1"/>
  <c r="AH51" i="1"/>
  <c r="AU49" i="1"/>
  <c r="AV49" i="1" s="1"/>
  <c r="AJ49" i="1"/>
  <c r="AK49" i="1" s="1"/>
  <c r="AL49" i="1" s="1"/>
  <c r="B36" i="23" l="1"/>
  <c r="A37" i="23"/>
  <c r="AN50" i="1"/>
  <c r="AM50" i="1"/>
  <c r="BH41" i="1"/>
  <c r="BG41" i="1"/>
  <c r="BF42" i="1"/>
  <c r="BD44" i="1"/>
  <c r="BE43" i="1"/>
  <c r="AH52" i="1"/>
  <c r="AI51" i="1"/>
  <c r="AJ50" i="1"/>
  <c r="AK50" i="1" s="1"/>
  <c r="AL50" i="1" s="1"/>
  <c r="AU50" i="1"/>
  <c r="AV50" i="1" s="1"/>
  <c r="A38" i="23" l="1"/>
  <c r="B37" i="23"/>
  <c r="AN51" i="1"/>
  <c r="AM51" i="1"/>
  <c r="BF43" i="1"/>
  <c r="BH42" i="1"/>
  <c r="BG42" i="1"/>
  <c r="BD45" i="1"/>
  <c r="BE44" i="1"/>
  <c r="AU51" i="1"/>
  <c r="AV51" i="1" s="1"/>
  <c r="AJ51" i="1"/>
  <c r="AK51" i="1" s="1"/>
  <c r="AL51" i="1" s="1"/>
  <c r="AH53" i="1"/>
  <c r="AI52" i="1"/>
  <c r="A39" i="23" l="1"/>
  <c r="B38" i="23"/>
  <c r="AN52" i="1"/>
  <c r="AM52" i="1"/>
  <c r="BH43" i="1"/>
  <c r="BF44" i="1"/>
  <c r="BG43" i="1"/>
  <c r="BE45" i="1"/>
  <c r="BD46" i="1"/>
  <c r="AJ52" i="1"/>
  <c r="AK52" i="1" s="1"/>
  <c r="AL52" i="1" s="1"/>
  <c r="AU52" i="1"/>
  <c r="AV52" i="1" s="1"/>
  <c r="AH54" i="1"/>
  <c r="AI53" i="1"/>
  <c r="B39" i="23" l="1"/>
  <c r="A40" i="23"/>
  <c r="AN53" i="1"/>
  <c r="AM53" i="1"/>
  <c r="BG44" i="1"/>
  <c r="BH44" i="1"/>
  <c r="BF45" i="1"/>
  <c r="BD47" i="1"/>
  <c r="BE46" i="1"/>
  <c r="AU53" i="1"/>
  <c r="AV53" i="1" s="1"/>
  <c r="AJ53" i="1"/>
  <c r="AK53" i="1" s="1"/>
  <c r="AL53" i="1" s="1"/>
  <c r="AH55" i="1"/>
  <c r="AI54" i="1"/>
  <c r="B40" i="23" l="1"/>
  <c r="A41" i="23"/>
  <c r="AN54" i="1"/>
  <c r="AM54" i="1"/>
  <c r="BH45" i="1"/>
  <c r="BF46" i="1"/>
  <c r="BG45" i="1"/>
  <c r="BD48" i="1"/>
  <c r="BE47" i="1"/>
  <c r="AH56" i="1"/>
  <c r="AI55" i="1"/>
  <c r="AJ54" i="1"/>
  <c r="AK54" i="1" s="1"/>
  <c r="AL54" i="1" s="1"/>
  <c r="AU54" i="1"/>
  <c r="AV54" i="1" s="1"/>
  <c r="A42" i="23" l="1"/>
  <c r="B41" i="23"/>
  <c r="AN55" i="1"/>
  <c r="AM55" i="1"/>
  <c r="BH46" i="1"/>
  <c r="BF47" i="1"/>
  <c r="BG46" i="1"/>
  <c r="BE48" i="1"/>
  <c r="BD49" i="1"/>
  <c r="AU55" i="1"/>
  <c r="AV55" i="1" s="1"/>
  <c r="AJ55" i="1"/>
  <c r="AK55" i="1" s="1"/>
  <c r="AL55" i="1" s="1"/>
  <c r="AH57" i="1"/>
  <c r="AI56" i="1"/>
  <c r="A43" i="23" l="1"/>
  <c r="B42" i="23"/>
  <c r="AN56" i="1"/>
  <c r="AM56" i="1"/>
  <c r="BG47" i="1"/>
  <c r="BH47" i="1"/>
  <c r="BF48" i="1"/>
  <c r="BE49" i="1"/>
  <c r="BD50" i="1"/>
  <c r="AJ56" i="1"/>
  <c r="AK56" i="1" s="1"/>
  <c r="AL56" i="1" s="1"/>
  <c r="AU56" i="1"/>
  <c r="AV56" i="1" s="1"/>
  <c r="AH58" i="1"/>
  <c r="AI57" i="1"/>
  <c r="B43" i="23" l="1"/>
  <c r="A44" i="23"/>
  <c r="AM57" i="1"/>
  <c r="AN57" i="1"/>
  <c r="BF49" i="1"/>
  <c r="BG48" i="1"/>
  <c r="BH48" i="1"/>
  <c r="BD51" i="1"/>
  <c r="BE50" i="1"/>
  <c r="AU57" i="1"/>
  <c r="AV57" i="1" s="1"/>
  <c r="AJ57" i="1"/>
  <c r="AK57" i="1" s="1"/>
  <c r="AL57" i="1" s="1"/>
  <c r="AI58" i="1"/>
  <c r="AH59" i="1"/>
  <c r="B44" i="23" l="1"/>
  <c r="A45" i="23"/>
  <c r="AM58" i="1"/>
  <c r="AN58" i="1"/>
  <c r="BH49" i="1"/>
  <c r="BF50" i="1"/>
  <c r="BG49" i="1"/>
  <c r="BD52" i="1"/>
  <c r="BE51" i="1"/>
  <c r="AI59" i="1"/>
  <c r="AH60" i="1"/>
  <c r="AU58" i="1"/>
  <c r="AV58" i="1" s="1"/>
  <c r="AJ58" i="1"/>
  <c r="AK58" i="1" s="1"/>
  <c r="AL58" i="1" s="1"/>
  <c r="B45" i="23" l="1"/>
  <c r="A46" i="23"/>
  <c r="AN59" i="1"/>
  <c r="AM59" i="1"/>
  <c r="BG50" i="1"/>
  <c r="BF51" i="1"/>
  <c r="BH50" i="1"/>
  <c r="BD53" i="1"/>
  <c r="BE52" i="1"/>
  <c r="AI60" i="1"/>
  <c r="AH61" i="1"/>
  <c r="AU59" i="1"/>
  <c r="AV59" i="1" s="1"/>
  <c r="AJ59" i="1"/>
  <c r="AK59" i="1" s="1"/>
  <c r="AL59" i="1" s="1"/>
  <c r="B46" i="23" l="1"/>
  <c r="A47" i="23"/>
  <c r="AN60" i="1"/>
  <c r="AM60" i="1"/>
  <c r="BG51" i="1"/>
  <c r="BH51" i="1"/>
  <c r="BF52" i="1"/>
  <c r="BE53" i="1"/>
  <c r="BD54" i="1"/>
  <c r="AU60" i="1"/>
  <c r="AV60" i="1" s="1"/>
  <c r="AJ60" i="1"/>
  <c r="AK60" i="1" s="1"/>
  <c r="AL60" i="1" s="1"/>
  <c r="AH62" i="1"/>
  <c r="AI61" i="1"/>
  <c r="A48" i="23" l="1"/>
  <c r="A49" i="23" s="1"/>
  <c r="A50" i="23" s="1"/>
  <c r="A51" i="23" s="1"/>
  <c r="A52" i="23" s="1"/>
  <c r="B47" i="23"/>
  <c r="AM61" i="1"/>
  <c r="AN61" i="1"/>
  <c r="BG52" i="1"/>
  <c r="BH52" i="1"/>
  <c r="BF53" i="1"/>
  <c r="BE54" i="1"/>
  <c r="BD55" i="1"/>
  <c r="AH63" i="1"/>
  <c r="AI62" i="1"/>
  <c r="AJ61" i="1"/>
  <c r="AK61" i="1" s="1"/>
  <c r="AL61" i="1" s="1"/>
  <c r="AU61" i="1"/>
  <c r="AV61" i="1" s="1"/>
  <c r="A53" i="23" l="1"/>
  <c r="B52" i="23"/>
  <c r="AM62" i="1"/>
  <c r="AN62" i="1"/>
  <c r="BH53" i="1"/>
  <c r="BF54" i="1"/>
  <c r="BG53" i="1"/>
  <c r="BD56" i="1"/>
  <c r="BE55" i="1"/>
  <c r="AU62" i="1"/>
  <c r="AV62" i="1" s="1"/>
  <c r="AJ62" i="1"/>
  <c r="AK62" i="1" s="1"/>
  <c r="AL62" i="1" s="1"/>
  <c r="AH64" i="1"/>
  <c r="AI63" i="1"/>
  <c r="B53" i="23" l="1"/>
  <c r="A54" i="23"/>
  <c r="AN63" i="1"/>
  <c r="AM63" i="1"/>
  <c r="BG54" i="1"/>
  <c r="BF55" i="1"/>
  <c r="BH54" i="1"/>
  <c r="BE56" i="1"/>
  <c r="BD57" i="1"/>
  <c r="AI64" i="1"/>
  <c r="AH65" i="1"/>
  <c r="AJ63" i="1"/>
  <c r="AK63" i="1" s="1"/>
  <c r="AL63" i="1" s="1"/>
  <c r="AU63" i="1"/>
  <c r="AV63" i="1" s="1"/>
  <c r="A55" i="23" l="1"/>
  <c r="B54" i="23"/>
  <c r="AN64" i="1"/>
  <c r="AM64" i="1"/>
  <c r="BH55" i="1"/>
  <c r="BG55" i="1"/>
  <c r="BF56" i="1"/>
  <c r="BE57" i="1"/>
  <c r="BD58" i="1"/>
  <c r="AH66" i="1"/>
  <c r="AI65" i="1"/>
  <c r="AU64" i="1"/>
  <c r="AV64" i="1" s="1"/>
  <c r="AJ64" i="1"/>
  <c r="AK64" i="1" s="1"/>
  <c r="AL64" i="1" s="1"/>
  <c r="A56" i="23" l="1"/>
  <c r="B55" i="23"/>
  <c r="AN65" i="1"/>
  <c r="AM65" i="1"/>
  <c r="BF57" i="1"/>
  <c r="BG56" i="1"/>
  <c r="BH56" i="1"/>
  <c r="BE58" i="1"/>
  <c r="BD59" i="1"/>
  <c r="AJ65" i="1"/>
  <c r="AK65" i="1" s="1"/>
  <c r="AL65" i="1" s="1"/>
  <c r="AU65" i="1"/>
  <c r="AV65" i="1" s="1"/>
  <c r="AI66" i="1"/>
  <c r="AH67" i="1"/>
  <c r="B56" i="23" l="1"/>
  <c r="A57" i="23"/>
  <c r="AM66" i="1"/>
  <c r="AN66" i="1"/>
  <c r="BH57" i="1"/>
  <c r="BG57" i="1"/>
  <c r="BF58" i="1"/>
  <c r="BE59" i="1"/>
  <c r="BD60" i="1"/>
  <c r="AU66" i="1"/>
  <c r="AV66" i="1" s="1"/>
  <c r="AJ66" i="1"/>
  <c r="AK66" i="1" s="1"/>
  <c r="AL66" i="1" s="1"/>
  <c r="AH68" i="1"/>
  <c r="AI67" i="1"/>
  <c r="B57" i="23" l="1"/>
  <c r="A58" i="23"/>
  <c r="AN67" i="1"/>
  <c r="AM67" i="1"/>
  <c r="BH58" i="1"/>
  <c r="BF59" i="1"/>
  <c r="BG58" i="1"/>
  <c r="BE60" i="1"/>
  <c r="BD61" i="1"/>
  <c r="AJ67" i="1"/>
  <c r="AK67" i="1" s="1"/>
  <c r="AL67" i="1" s="1"/>
  <c r="AU67" i="1"/>
  <c r="AV67" i="1" s="1"/>
  <c r="AI68" i="1"/>
  <c r="AH69" i="1"/>
  <c r="B58" i="23" l="1"/>
  <c r="A59" i="23"/>
  <c r="AN68" i="1"/>
  <c r="AM68" i="1"/>
  <c r="BG59" i="1"/>
  <c r="BH59" i="1"/>
  <c r="BF60" i="1"/>
  <c r="BD62" i="1"/>
  <c r="BE61" i="1"/>
  <c r="AH70" i="1"/>
  <c r="AI69" i="1"/>
  <c r="AU68" i="1"/>
  <c r="AV68" i="1" s="1"/>
  <c r="AJ68" i="1"/>
  <c r="AK68" i="1" s="1"/>
  <c r="AL68" i="1" s="1"/>
  <c r="A60" i="23" l="1"/>
  <c r="B59" i="23"/>
  <c r="AN69" i="1"/>
  <c r="AM69" i="1"/>
  <c r="BH60" i="1"/>
  <c r="BG60" i="1"/>
  <c r="BF61" i="1"/>
  <c r="BD63" i="1"/>
  <c r="BE62" i="1"/>
  <c r="AJ69" i="1"/>
  <c r="AK69" i="1" s="1"/>
  <c r="AL69" i="1" s="1"/>
  <c r="AU69" i="1"/>
  <c r="AV69" i="1" s="1"/>
  <c r="AI70" i="1"/>
  <c r="AH71" i="1"/>
  <c r="B60" i="23" l="1"/>
  <c r="A61" i="23"/>
  <c r="AN70" i="1"/>
  <c r="AM70" i="1"/>
  <c r="BF62" i="1"/>
  <c r="BH61" i="1"/>
  <c r="BG61" i="1"/>
  <c r="BE63" i="1"/>
  <c r="BD64" i="1"/>
  <c r="AI71" i="1"/>
  <c r="AH72" i="1"/>
  <c r="AU70" i="1"/>
  <c r="AV70" i="1" s="1"/>
  <c r="AJ70" i="1"/>
  <c r="AK70" i="1" s="1"/>
  <c r="AL70" i="1" s="1"/>
  <c r="B61" i="23" l="1"/>
  <c r="A62" i="23"/>
  <c r="AN71" i="1"/>
  <c r="AM71" i="1"/>
  <c r="BH62" i="1"/>
  <c r="BF63" i="1"/>
  <c r="BG62" i="1"/>
  <c r="BE64" i="1"/>
  <c r="BD65" i="1"/>
  <c r="AH73" i="1"/>
  <c r="AI72" i="1"/>
  <c r="AJ71" i="1"/>
  <c r="AK71" i="1" s="1"/>
  <c r="AL71" i="1" s="1"/>
  <c r="AU71" i="1"/>
  <c r="AV71" i="1" s="1"/>
  <c r="A63" i="23" l="1"/>
  <c r="B62" i="23"/>
  <c r="AN72" i="1"/>
  <c r="AM72" i="1"/>
  <c r="BH63" i="1"/>
  <c r="BG63" i="1"/>
  <c r="BF64" i="1"/>
  <c r="BD66" i="1"/>
  <c r="BE65" i="1"/>
  <c r="AJ72" i="1"/>
  <c r="AK72" i="1" s="1"/>
  <c r="AL72" i="1" s="1"/>
  <c r="AU72" i="1"/>
  <c r="AV72" i="1" s="1"/>
  <c r="AH74" i="1"/>
  <c r="AI73" i="1"/>
  <c r="A64" i="23" l="1"/>
  <c r="B63" i="23"/>
  <c r="AM73" i="1"/>
  <c r="AN73" i="1"/>
  <c r="BF65" i="1"/>
  <c r="BH64" i="1"/>
  <c r="BG64" i="1"/>
  <c r="BE66" i="1"/>
  <c r="BD67" i="1"/>
  <c r="AU73" i="1"/>
  <c r="AV73" i="1" s="1"/>
  <c r="AJ73" i="1"/>
  <c r="AK73" i="1" s="1"/>
  <c r="AL73" i="1" s="1"/>
  <c r="AH75" i="1"/>
  <c r="AI74" i="1"/>
  <c r="A65" i="23" l="1"/>
  <c r="B64" i="23"/>
  <c r="AM74" i="1"/>
  <c r="AN74" i="1"/>
  <c r="BF66" i="1"/>
  <c r="BG65" i="1"/>
  <c r="BH65" i="1"/>
  <c r="BD68" i="1"/>
  <c r="BE67" i="1"/>
  <c r="AJ74" i="1"/>
  <c r="AK74" i="1" s="1"/>
  <c r="AL74" i="1" s="1"/>
  <c r="AU74" i="1"/>
  <c r="AV74" i="1" s="1"/>
  <c r="AH76" i="1"/>
  <c r="AI75" i="1"/>
  <c r="B65" i="23" l="1"/>
  <c r="A66" i="23"/>
  <c r="AN75" i="1"/>
  <c r="AM75" i="1"/>
  <c r="BF67" i="1"/>
  <c r="BH66" i="1"/>
  <c r="BG66" i="1"/>
  <c r="BE68" i="1"/>
  <c r="BD69" i="1"/>
  <c r="AU75" i="1"/>
  <c r="AV75" i="1" s="1"/>
  <c r="AJ75" i="1"/>
  <c r="AK75" i="1" s="1"/>
  <c r="AL75" i="1" s="1"/>
  <c r="AI76" i="1"/>
  <c r="AH77" i="1"/>
  <c r="B66" i="23" l="1"/>
  <c r="A67" i="23"/>
  <c r="AN76" i="1"/>
  <c r="AM76" i="1"/>
  <c r="BF68" i="1"/>
  <c r="BG67" i="1"/>
  <c r="BH67" i="1"/>
  <c r="BD70" i="1"/>
  <c r="BE69" i="1"/>
  <c r="AI77" i="1"/>
  <c r="AH78" i="1"/>
  <c r="AU76" i="1"/>
  <c r="AV76" i="1" s="1"/>
  <c r="AJ76" i="1"/>
  <c r="AK76" i="1" s="1"/>
  <c r="AL76" i="1" s="1"/>
  <c r="A68" i="23" l="1"/>
  <c r="B67" i="23"/>
  <c r="AM77" i="1"/>
  <c r="AN77" i="1"/>
  <c r="BF69" i="1"/>
  <c r="BG68" i="1"/>
  <c r="BH68" i="1"/>
  <c r="BD71" i="1"/>
  <c r="BE70" i="1"/>
  <c r="AI78" i="1"/>
  <c r="AH79" i="1"/>
  <c r="AU77" i="1"/>
  <c r="AV77" i="1" s="1"/>
  <c r="AJ77" i="1"/>
  <c r="AK77" i="1" s="1"/>
  <c r="AL77" i="1" s="1"/>
  <c r="A69" i="23" l="1"/>
  <c r="B68" i="23"/>
  <c r="AM78" i="1"/>
  <c r="AN78" i="1"/>
  <c r="BF70" i="1"/>
  <c r="BG69" i="1"/>
  <c r="BH69" i="1"/>
  <c r="BD72" i="1"/>
  <c r="BE71" i="1"/>
  <c r="AH80" i="1"/>
  <c r="AI79" i="1"/>
  <c r="AJ78" i="1"/>
  <c r="AK78" i="1" s="1"/>
  <c r="AL78" i="1" s="1"/>
  <c r="AU78" i="1"/>
  <c r="AV78" i="1" s="1"/>
  <c r="B69" i="23" l="1"/>
  <c r="A70" i="23"/>
  <c r="AN79" i="1"/>
  <c r="AM79" i="1"/>
  <c r="BF71" i="1"/>
  <c r="BH70" i="1"/>
  <c r="BG70" i="1"/>
  <c r="BE72" i="1"/>
  <c r="BD73" i="1"/>
  <c r="AU79" i="1"/>
  <c r="AV79" i="1" s="1"/>
  <c r="AJ79" i="1"/>
  <c r="AK79" i="1" s="1"/>
  <c r="AL79" i="1" s="1"/>
  <c r="AI80" i="1"/>
  <c r="AH81" i="1"/>
  <c r="A71" i="23" l="1"/>
  <c r="B70" i="23"/>
  <c r="AN80" i="1"/>
  <c r="AM80" i="1"/>
  <c r="BF72" i="1"/>
  <c r="BH71" i="1"/>
  <c r="BG71" i="1"/>
  <c r="BD74" i="1"/>
  <c r="BE73" i="1"/>
  <c r="AI81" i="1"/>
  <c r="AH82" i="1"/>
  <c r="AU80" i="1"/>
  <c r="AV80" i="1" s="1"/>
  <c r="AJ80" i="1"/>
  <c r="AK80" i="1" s="1"/>
  <c r="AL80" i="1" s="1"/>
  <c r="A72" i="23" l="1"/>
  <c r="B71" i="23"/>
  <c r="AN81" i="1"/>
  <c r="AM81" i="1"/>
  <c r="BG72" i="1"/>
  <c r="BF73" i="1"/>
  <c r="BH72" i="1"/>
  <c r="BD75" i="1"/>
  <c r="BE74" i="1"/>
  <c r="AH83" i="1"/>
  <c r="AI82" i="1"/>
  <c r="AJ81" i="1"/>
  <c r="AK81" i="1" s="1"/>
  <c r="AL81" i="1" s="1"/>
  <c r="AU81" i="1"/>
  <c r="AV81" i="1" s="1"/>
  <c r="B72" i="23" l="1"/>
  <c r="A73" i="23"/>
  <c r="AM82" i="1"/>
  <c r="AN82" i="1"/>
  <c r="BH73" i="1"/>
  <c r="BG73" i="1"/>
  <c r="BF74" i="1"/>
  <c r="BD76" i="1"/>
  <c r="BE75" i="1"/>
  <c r="AJ82" i="1"/>
  <c r="AK82" i="1" s="1"/>
  <c r="AL82" i="1" s="1"/>
  <c r="AU82" i="1"/>
  <c r="AV82" i="1" s="1"/>
  <c r="AH84" i="1"/>
  <c r="AI83" i="1"/>
  <c r="A74" i="23" l="1"/>
  <c r="B73" i="23"/>
  <c r="AN83" i="1"/>
  <c r="AM83" i="1"/>
  <c r="BH74" i="1"/>
  <c r="BG74" i="1"/>
  <c r="BF75" i="1"/>
  <c r="BE76" i="1"/>
  <c r="BD77" i="1"/>
  <c r="AH85" i="1"/>
  <c r="AI84" i="1"/>
  <c r="AU83" i="1"/>
  <c r="AV83" i="1" s="1"/>
  <c r="AJ83" i="1"/>
  <c r="AK83" i="1" s="1"/>
  <c r="AL83" i="1" s="1"/>
  <c r="B74" i="23" l="1"/>
  <c r="A75" i="23"/>
  <c r="AN84" i="1"/>
  <c r="AM84" i="1"/>
  <c r="BG75" i="1"/>
  <c r="BH75" i="1"/>
  <c r="BF76" i="1"/>
  <c r="BD78" i="1"/>
  <c r="BE77" i="1"/>
  <c r="AU84" i="1"/>
  <c r="AV84" i="1" s="1"/>
  <c r="AJ84" i="1"/>
  <c r="AK84" i="1" s="1"/>
  <c r="AL84" i="1" s="1"/>
  <c r="AH86" i="1"/>
  <c r="AI85" i="1"/>
  <c r="A76" i="23" l="1"/>
  <c r="B75" i="23"/>
  <c r="AN85" i="1"/>
  <c r="AM85" i="1"/>
  <c r="BG76" i="1"/>
  <c r="BF77" i="1"/>
  <c r="BH76" i="1"/>
  <c r="BD79" i="1"/>
  <c r="BE78" i="1"/>
  <c r="AH87" i="1"/>
  <c r="AI86" i="1"/>
  <c r="AU85" i="1"/>
  <c r="AV85" i="1" s="1"/>
  <c r="AJ85" i="1"/>
  <c r="AK85" i="1" s="1"/>
  <c r="AL85" i="1" s="1"/>
  <c r="B76" i="23" l="1"/>
  <c r="A77" i="23"/>
  <c r="AN86" i="1"/>
  <c r="AM86" i="1"/>
  <c r="BF78" i="1"/>
  <c r="BG77" i="1"/>
  <c r="BH77" i="1"/>
  <c r="BE79" i="1"/>
  <c r="BD80" i="1"/>
  <c r="AJ86" i="1"/>
  <c r="AK86" i="1" s="1"/>
  <c r="AL86" i="1" s="1"/>
  <c r="AU86" i="1"/>
  <c r="AV86" i="1" s="1"/>
  <c r="AI87" i="1"/>
  <c r="AH88" i="1"/>
  <c r="B77" i="23" l="1"/>
  <c r="A78" i="23"/>
  <c r="AN87" i="1"/>
  <c r="AM87" i="1"/>
  <c r="BG78" i="1"/>
  <c r="BF79" i="1"/>
  <c r="BH78" i="1"/>
  <c r="BD81" i="1"/>
  <c r="BE80" i="1"/>
  <c r="AH89" i="1"/>
  <c r="AI88" i="1"/>
  <c r="AU87" i="1"/>
  <c r="AV87" i="1" s="1"/>
  <c r="AJ87" i="1"/>
  <c r="AK87" i="1" s="1"/>
  <c r="AL87" i="1" s="1"/>
  <c r="B78" i="23" l="1"/>
  <c r="A79" i="23"/>
  <c r="AN88" i="1"/>
  <c r="AM88" i="1"/>
  <c r="BG79" i="1"/>
  <c r="BF80" i="1"/>
  <c r="BH79" i="1"/>
  <c r="BD82" i="1"/>
  <c r="BE81" i="1"/>
  <c r="AJ88" i="1"/>
  <c r="AK88" i="1" s="1"/>
  <c r="AL88" i="1" s="1"/>
  <c r="AU88" i="1"/>
  <c r="AV88" i="1" s="1"/>
  <c r="AI89" i="1"/>
  <c r="AH90" i="1"/>
  <c r="A80" i="23" l="1"/>
  <c r="B79" i="23"/>
  <c r="AM89" i="1"/>
  <c r="AN89" i="1"/>
  <c r="BF81" i="1"/>
  <c r="BH80" i="1"/>
  <c r="BG80" i="1"/>
  <c r="BE82" i="1"/>
  <c r="BD83" i="1"/>
  <c r="AH91" i="1"/>
  <c r="AI90" i="1"/>
  <c r="AJ89" i="1"/>
  <c r="AK89" i="1" s="1"/>
  <c r="AL89" i="1" s="1"/>
  <c r="AU89" i="1"/>
  <c r="AV89" i="1" s="1"/>
  <c r="B80" i="23" l="1"/>
  <c r="A81" i="23"/>
  <c r="AM90" i="1"/>
  <c r="AN90" i="1"/>
  <c r="BH81" i="1"/>
  <c r="BG81" i="1"/>
  <c r="BF82" i="1"/>
  <c r="BD84" i="1"/>
  <c r="BE83" i="1"/>
  <c r="AU90" i="1"/>
  <c r="AV90" i="1" s="1"/>
  <c r="AJ90" i="1"/>
  <c r="AK90" i="1" s="1"/>
  <c r="AL90" i="1" s="1"/>
  <c r="AH92" i="1"/>
  <c r="AI91" i="1"/>
  <c r="B81" i="23" l="1"/>
  <c r="A82" i="23"/>
  <c r="AN91" i="1"/>
  <c r="AM91" i="1"/>
  <c r="BG82" i="1"/>
  <c r="BH82" i="1"/>
  <c r="BF83" i="1"/>
  <c r="BD85" i="1"/>
  <c r="BE84" i="1"/>
  <c r="AU91" i="1"/>
  <c r="AV91" i="1" s="1"/>
  <c r="AJ91" i="1"/>
  <c r="AK91" i="1" s="1"/>
  <c r="AL91" i="1" s="1"/>
  <c r="AH93" i="1"/>
  <c r="AI92" i="1"/>
  <c r="B82" i="23" l="1"/>
  <c r="A83" i="23"/>
  <c r="AN92" i="1"/>
  <c r="AM92" i="1"/>
  <c r="BF84" i="1"/>
  <c r="BG83" i="1"/>
  <c r="BH83" i="1"/>
  <c r="BE85" i="1"/>
  <c r="BD86" i="1"/>
  <c r="AJ92" i="1"/>
  <c r="AK92" i="1" s="1"/>
  <c r="AL92" i="1" s="1"/>
  <c r="AU92" i="1"/>
  <c r="AV92" i="1" s="1"/>
  <c r="AH94" i="1"/>
  <c r="AI93" i="1"/>
  <c r="B83" i="23" l="1"/>
  <c r="A84" i="23"/>
  <c r="AM93" i="1"/>
  <c r="AN93" i="1"/>
  <c r="BG84" i="1"/>
  <c r="BH84" i="1"/>
  <c r="BF85" i="1"/>
  <c r="BD87" i="1"/>
  <c r="BE86" i="1"/>
  <c r="AJ93" i="1"/>
  <c r="AK93" i="1" s="1"/>
  <c r="AL93" i="1" s="1"/>
  <c r="AU93" i="1"/>
  <c r="AV93" i="1" s="1"/>
  <c r="AI94" i="1"/>
  <c r="AH95" i="1"/>
  <c r="A85" i="23" l="1"/>
  <c r="B84" i="23"/>
  <c r="AM94" i="1"/>
  <c r="AN94" i="1"/>
  <c r="BF86" i="1"/>
  <c r="BG85" i="1"/>
  <c r="BH85" i="1"/>
  <c r="BE87" i="1"/>
  <c r="BD88" i="1"/>
  <c r="AU94" i="1"/>
  <c r="AV94" i="1" s="1"/>
  <c r="AJ94" i="1"/>
  <c r="AK94" i="1" s="1"/>
  <c r="AL94" i="1" s="1"/>
  <c r="AH96" i="1"/>
  <c r="AI95" i="1"/>
  <c r="B85" i="23" l="1"/>
  <c r="A86" i="23"/>
  <c r="AN95" i="1"/>
  <c r="AM95" i="1"/>
  <c r="BF87" i="1"/>
  <c r="BH86" i="1"/>
  <c r="BG86" i="1"/>
  <c r="BD89" i="1"/>
  <c r="BE88" i="1"/>
  <c r="AJ95" i="1"/>
  <c r="AK95" i="1" s="1"/>
  <c r="AL95" i="1" s="1"/>
  <c r="AU95" i="1"/>
  <c r="AV95" i="1" s="1"/>
  <c r="AH97" i="1"/>
  <c r="AI96" i="1"/>
  <c r="A87" i="23" l="1"/>
  <c r="B86" i="23"/>
  <c r="AN96" i="1"/>
  <c r="AM96" i="1"/>
  <c r="BG87" i="1"/>
  <c r="BF88" i="1"/>
  <c r="BH87" i="1"/>
  <c r="BE89" i="1"/>
  <c r="BD90" i="1"/>
  <c r="AJ96" i="1"/>
  <c r="AK96" i="1" s="1"/>
  <c r="AL96" i="1" s="1"/>
  <c r="AU96" i="1"/>
  <c r="AV96" i="1" s="1"/>
  <c r="AI97" i="1"/>
  <c r="AH98" i="1"/>
  <c r="A88" i="23" l="1"/>
  <c r="B87" i="23"/>
  <c r="AN97" i="1"/>
  <c r="AM97" i="1"/>
  <c r="BG88" i="1"/>
  <c r="BF89" i="1"/>
  <c r="BH88" i="1"/>
  <c r="BD91" i="1"/>
  <c r="BE90" i="1"/>
  <c r="AH99" i="1"/>
  <c r="AI98" i="1"/>
  <c r="AU97" i="1"/>
  <c r="AV97" i="1" s="1"/>
  <c r="AJ97" i="1"/>
  <c r="AK97" i="1" s="1"/>
  <c r="AL97" i="1" s="1"/>
  <c r="B88" i="23" l="1"/>
  <c r="A89" i="23"/>
  <c r="AM98" i="1"/>
  <c r="AN98" i="1"/>
  <c r="BG89" i="1"/>
  <c r="BH89" i="1"/>
  <c r="BF90" i="1"/>
  <c r="BD92" i="1"/>
  <c r="BE91" i="1"/>
  <c r="AJ98" i="1"/>
  <c r="AK98" i="1" s="1"/>
  <c r="AL98" i="1" s="1"/>
  <c r="AU98" i="1"/>
  <c r="AV98" i="1" s="1"/>
  <c r="AH100" i="1"/>
  <c r="AI99" i="1"/>
  <c r="B89" i="23" l="1"/>
  <c r="A90" i="23"/>
  <c r="AN99" i="1"/>
  <c r="AM99" i="1"/>
  <c r="BF91" i="1"/>
  <c r="BG90" i="1"/>
  <c r="BH90" i="1"/>
  <c r="BE92" i="1"/>
  <c r="BD93" i="1"/>
  <c r="AJ99" i="1"/>
  <c r="AK99" i="1" s="1"/>
  <c r="AL99" i="1" s="1"/>
  <c r="AU99" i="1"/>
  <c r="AV99" i="1" s="1"/>
  <c r="AH101" i="1"/>
  <c r="AI100" i="1"/>
  <c r="B90" i="23" l="1"/>
  <c r="A91" i="23"/>
  <c r="AN100" i="1"/>
  <c r="AM100" i="1"/>
  <c r="BG91" i="1"/>
  <c r="BF92" i="1"/>
  <c r="BH91" i="1"/>
  <c r="BD94" i="1"/>
  <c r="BE93" i="1"/>
  <c r="AU100" i="1"/>
  <c r="AV100" i="1" s="1"/>
  <c r="AJ100" i="1"/>
  <c r="AK100" i="1" s="1"/>
  <c r="AL100" i="1" s="1"/>
  <c r="AI101" i="1"/>
  <c r="AH102" i="1"/>
  <c r="A92" i="23" l="1"/>
  <c r="B91" i="23"/>
  <c r="AN101" i="1"/>
  <c r="AM101" i="1"/>
  <c r="BG92" i="1"/>
  <c r="BH92" i="1"/>
  <c r="BF93" i="1"/>
  <c r="BE94" i="1"/>
  <c r="BD95" i="1"/>
  <c r="AH103" i="1"/>
  <c r="AI102" i="1"/>
  <c r="AU101" i="1"/>
  <c r="AV101" i="1" s="1"/>
  <c r="AJ101" i="1"/>
  <c r="AK101" i="1" s="1"/>
  <c r="AL101" i="1" s="1"/>
  <c r="A93" i="23" l="1"/>
  <c r="B92" i="23"/>
  <c r="AN102" i="1"/>
  <c r="AM102" i="1"/>
  <c r="BH93" i="1"/>
  <c r="BF94" i="1"/>
  <c r="BG93" i="1"/>
  <c r="BD96" i="1"/>
  <c r="BE95" i="1"/>
  <c r="AJ102" i="1"/>
  <c r="AK102" i="1" s="1"/>
  <c r="AL102" i="1" s="1"/>
  <c r="AU102" i="1"/>
  <c r="AV102" i="1" s="1"/>
  <c r="AH104" i="1"/>
  <c r="AI103" i="1"/>
  <c r="B93" i="23" l="1"/>
  <c r="A94" i="23"/>
  <c r="AN103" i="1"/>
  <c r="AM103" i="1"/>
  <c r="BH94" i="1"/>
  <c r="BF95" i="1"/>
  <c r="BG94" i="1"/>
  <c r="BE96" i="1"/>
  <c r="BD97" i="1"/>
  <c r="AJ103" i="1"/>
  <c r="AK103" i="1" s="1"/>
  <c r="AL103" i="1" s="1"/>
  <c r="AU103" i="1"/>
  <c r="AV103" i="1" s="1"/>
  <c r="AI104" i="1"/>
  <c r="AH105" i="1"/>
  <c r="A95" i="23" l="1"/>
  <c r="B94" i="23"/>
  <c r="AN104" i="1"/>
  <c r="AM104" i="1"/>
  <c r="BG95" i="1"/>
  <c r="BH95" i="1"/>
  <c r="BF96" i="1"/>
  <c r="BE97" i="1"/>
  <c r="BD98" i="1"/>
  <c r="AI105" i="1"/>
  <c r="AH106" i="1"/>
  <c r="AU104" i="1"/>
  <c r="AV104" i="1" s="1"/>
  <c r="AJ104" i="1"/>
  <c r="AK104" i="1" s="1"/>
  <c r="AL104" i="1" s="1"/>
  <c r="A96" i="23" l="1"/>
  <c r="B95" i="23"/>
  <c r="AM105" i="1"/>
  <c r="AN105" i="1"/>
  <c r="BF97" i="1"/>
  <c r="BH96" i="1"/>
  <c r="BG96" i="1"/>
  <c r="BD99" i="1"/>
  <c r="BE98" i="1"/>
  <c r="AJ105" i="1"/>
  <c r="AK105" i="1" s="1"/>
  <c r="AL105" i="1" s="1"/>
  <c r="AU105" i="1"/>
  <c r="AV105" i="1" s="1"/>
  <c r="AH107" i="1"/>
  <c r="AI106" i="1"/>
  <c r="A97" i="23" l="1"/>
  <c r="B96" i="23"/>
  <c r="AM106" i="1"/>
  <c r="AN106" i="1"/>
  <c r="BH97" i="1"/>
  <c r="BG97" i="1"/>
  <c r="BF98" i="1"/>
  <c r="BE99" i="1"/>
  <c r="BD100" i="1"/>
  <c r="AU106" i="1"/>
  <c r="AV106" i="1" s="1"/>
  <c r="AJ106" i="1"/>
  <c r="AK106" i="1" s="1"/>
  <c r="AL106" i="1" s="1"/>
  <c r="AH108" i="1"/>
  <c r="AI107" i="1"/>
  <c r="B97" i="23" l="1"/>
  <c r="A98" i="23"/>
  <c r="AN107" i="1"/>
  <c r="AM107" i="1"/>
  <c r="BF99" i="1"/>
  <c r="BG98" i="1"/>
  <c r="BH98" i="1"/>
  <c r="BD101" i="1"/>
  <c r="BE100" i="1"/>
  <c r="AU107" i="1"/>
  <c r="AV107" i="1" s="1"/>
  <c r="AJ107" i="1"/>
  <c r="AK107" i="1" s="1"/>
  <c r="AL107" i="1" s="1"/>
  <c r="AH109" i="1"/>
  <c r="AI108" i="1"/>
  <c r="B98" i="23" l="1"/>
  <c r="A99" i="23"/>
  <c r="AN108" i="1"/>
  <c r="AM108" i="1"/>
  <c r="BH99" i="1"/>
  <c r="BG99" i="1"/>
  <c r="BF100" i="1"/>
  <c r="BE101" i="1"/>
  <c r="BD102" i="1"/>
  <c r="AJ108" i="1"/>
  <c r="AK108" i="1" s="1"/>
  <c r="AL108" i="1" s="1"/>
  <c r="AU108" i="1"/>
  <c r="AV108" i="1" s="1"/>
  <c r="AI109" i="1"/>
  <c r="AH110" i="1"/>
  <c r="A100" i="23" l="1"/>
  <c r="B99" i="23"/>
  <c r="AM109" i="1"/>
  <c r="AN109" i="1"/>
  <c r="BF101" i="1"/>
  <c r="BG100" i="1"/>
  <c r="BH100" i="1"/>
  <c r="BD103" i="1"/>
  <c r="BE102" i="1"/>
  <c r="AU109" i="1"/>
  <c r="AV109" i="1" s="1"/>
  <c r="AJ109" i="1"/>
  <c r="AK109" i="1" s="1"/>
  <c r="AL109" i="1" s="1"/>
  <c r="AH111" i="1"/>
  <c r="AI110" i="1"/>
  <c r="A101" i="23" l="1"/>
  <c r="B100" i="23"/>
  <c r="AM110" i="1"/>
  <c r="AN110" i="1"/>
  <c r="BF102" i="1"/>
  <c r="BH101" i="1"/>
  <c r="BG101" i="1"/>
  <c r="BD104" i="1"/>
  <c r="BE103" i="1"/>
  <c r="AJ110" i="1"/>
  <c r="AK110" i="1" s="1"/>
  <c r="AL110" i="1" s="1"/>
  <c r="AU110" i="1"/>
  <c r="AV110" i="1" s="1"/>
  <c r="AH112" i="1"/>
  <c r="AI111" i="1"/>
  <c r="B101" i="23" l="1"/>
  <c r="A102" i="23"/>
  <c r="AN111" i="1"/>
  <c r="AM111" i="1"/>
  <c r="BG102" i="1"/>
  <c r="BH102" i="1"/>
  <c r="BF103" i="1"/>
  <c r="BE104" i="1"/>
  <c r="BD105" i="1"/>
  <c r="AJ111" i="1"/>
  <c r="AK111" i="1" s="1"/>
  <c r="AL111" i="1" s="1"/>
  <c r="AU111" i="1"/>
  <c r="AV111" i="1" s="1"/>
  <c r="AH113" i="1"/>
  <c r="AI112" i="1"/>
  <c r="A103" i="23" l="1"/>
  <c r="B102" i="23"/>
  <c r="AN112" i="1"/>
  <c r="AM112" i="1"/>
  <c r="BH103" i="1"/>
  <c r="BF104" i="1"/>
  <c r="BG103" i="1"/>
  <c r="BE105" i="1"/>
  <c r="BD106" i="1"/>
  <c r="AU112" i="1"/>
  <c r="AV112" i="1" s="1"/>
  <c r="AJ112" i="1"/>
  <c r="AK112" i="1" s="1"/>
  <c r="AL112" i="1" s="1"/>
  <c r="AI113" i="1"/>
  <c r="AH114" i="1"/>
  <c r="AI114" i="1" s="1"/>
  <c r="A104" i="23" l="1"/>
  <c r="B103" i="23"/>
  <c r="AM114" i="1"/>
  <c r="AN114" i="1"/>
  <c r="AN113" i="1"/>
  <c r="AM113" i="1"/>
  <c r="BH104" i="1"/>
  <c r="BG104" i="1"/>
  <c r="BF105" i="1"/>
  <c r="BD107" i="1"/>
  <c r="BE106" i="1"/>
  <c r="AU114" i="1"/>
  <c r="AV114" i="1" s="1"/>
  <c r="AJ114" i="1"/>
  <c r="AK114" i="1" s="1"/>
  <c r="AL114" i="1" s="1"/>
  <c r="AJ113" i="1"/>
  <c r="AK113" i="1" s="1"/>
  <c r="AL113" i="1" s="1"/>
  <c r="AU113" i="1"/>
  <c r="AV113" i="1" s="1"/>
  <c r="B104" i="23" l="1"/>
  <c r="A105" i="23"/>
  <c r="BH105" i="1"/>
  <c r="BF106" i="1"/>
  <c r="BG105" i="1"/>
  <c r="BD108" i="1"/>
  <c r="BE107" i="1"/>
  <c r="B105" i="23" l="1"/>
  <c r="A106" i="23"/>
  <c r="BG106" i="1"/>
  <c r="BH106" i="1"/>
  <c r="BF107" i="1"/>
  <c r="BD109" i="1"/>
  <c r="BE108" i="1"/>
  <c r="B106" i="23" l="1"/>
  <c r="A107" i="23"/>
  <c r="BF108" i="1"/>
  <c r="BH107" i="1"/>
  <c r="BG107" i="1"/>
  <c r="BE109" i="1"/>
  <c r="BD110" i="1"/>
  <c r="A108" i="23" l="1"/>
  <c r="B107" i="23"/>
  <c r="BG108" i="1"/>
  <c r="BH108" i="1"/>
  <c r="BF109" i="1"/>
  <c r="BD111" i="1"/>
  <c r="BE110" i="1"/>
  <c r="B108" i="23" l="1"/>
  <c r="A109" i="23"/>
  <c r="BF110" i="1"/>
  <c r="BG109" i="1"/>
  <c r="BH109" i="1"/>
  <c r="BE111" i="1"/>
  <c r="BD112" i="1"/>
  <c r="B109" i="23" l="1"/>
  <c r="A110" i="23"/>
  <c r="BF111" i="1"/>
  <c r="BG110" i="1"/>
  <c r="BH110" i="1"/>
  <c r="BD113" i="1"/>
  <c r="BE112" i="1"/>
  <c r="A111" i="23" l="1"/>
  <c r="B110" i="23"/>
  <c r="BF112" i="1"/>
  <c r="BG111" i="1"/>
  <c r="BH111" i="1"/>
  <c r="BE113" i="1"/>
  <c r="BD114" i="1"/>
  <c r="BE114" i="1" s="1"/>
  <c r="A112" i="23" l="1"/>
  <c r="B111" i="23"/>
  <c r="BF113" i="1"/>
  <c r="BG112" i="1"/>
  <c r="BH112" i="1"/>
  <c r="A113" i="23" l="1"/>
  <c r="B112" i="23"/>
  <c r="BH113" i="1"/>
  <c r="BG113" i="1"/>
  <c r="BF114" i="1"/>
  <c r="B113" i="23" l="1"/>
  <c r="A114" i="23"/>
  <c r="BG114" i="1"/>
  <c r="I110" i="1" s="1"/>
  <c r="BH114" i="1"/>
  <c r="BL12" i="1"/>
  <c r="R42" i="1"/>
  <c r="R45" i="1" s="1"/>
  <c r="A158" i="1"/>
  <c r="C158" i="1" s="1"/>
  <c r="E52" i="1"/>
  <c r="M52" i="1" s="1"/>
  <c r="I53" i="30" s="1"/>
  <c r="E50" i="1"/>
  <c r="M50" i="1" s="1"/>
  <c r="I48" i="30" s="1"/>
  <c r="BL25" i="1"/>
  <c r="AE286" i="23" l="1"/>
  <c r="AY286" i="23"/>
  <c r="AI287" i="23"/>
  <c r="BC287" i="23"/>
  <c r="AD287" i="23"/>
  <c r="I116" i="1"/>
  <c r="AJ286" i="23"/>
  <c r="BD286" i="23"/>
  <c r="AX287" i="23"/>
  <c r="AS287" i="23"/>
  <c r="Z286" i="23"/>
  <c r="AO286" i="23"/>
  <c r="AN287" i="23"/>
  <c r="AT286" i="23"/>
  <c r="Y287" i="23"/>
  <c r="A156" i="1"/>
  <c r="C156" i="1" s="1"/>
  <c r="J95" i="1"/>
  <c r="J98" i="1" s="1"/>
  <c r="D86" i="1"/>
  <c r="K205" i="23" s="1"/>
  <c r="AK226" i="23" s="1"/>
  <c r="E48" i="1"/>
  <c r="M48" i="1" s="1"/>
  <c r="I43" i="30" s="1"/>
  <c r="BL23" i="1"/>
  <c r="E42" i="1"/>
  <c r="M42" i="1" s="1"/>
  <c r="A154" i="1"/>
  <c r="C154" i="1" s="1"/>
  <c r="A152" i="1"/>
  <c r="C152" i="1" s="1"/>
  <c r="A150" i="1"/>
  <c r="C150" i="1" s="1"/>
  <c r="A148" i="1"/>
  <c r="C148" i="1" s="1"/>
  <c r="E46" i="1"/>
  <c r="M46" i="1" s="1"/>
  <c r="AQ73" i="1" s="1"/>
  <c r="BL21" i="1"/>
  <c r="BL24" i="1"/>
  <c r="E44" i="1"/>
  <c r="M44" i="1" s="1"/>
  <c r="I33" i="30" s="1"/>
  <c r="BL22" i="1"/>
  <c r="BL26" i="1"/>
  <c r="C114" i="1"/>
  <c r="C112" i="1"/>
  <c r="C110" i="1"/>
  <c r="J392" i="23"/>
  <c r="J391" i="23"/>
  <c r="J390" i="23"/>
  <c r="J393" i="23"/>
  <c r="J387" i="23"/>
  <c r="J389" i="23"/>
  <c r="J386" i="23"/>
  <c r="AG191" i="23"/>
  <c r="H313" i="23"/>
  <c r="J360" i="23" s="1"/>
  <c r="K360" i="23" s="1"/>
  <c r="M360" i="23" s="1"/>
  <c r="T12" i="1"/>
  <c r="T8" i="1"/>
  <c r="T10" i="1"/>
  <c r="B114" i="23"/>
  <c r="A115" i="23"/>
  <c r="Y74" i="18"/>
  <c r="K209" i="23"/>
  <c r="AK230" i="23" s="1"/>
  <c r="K193" i="23"/>
  <c r="AK214" i="23" s="1"/>
  <c r="K196" i="23"/>
  <c r="AK217" i="23" s="1"/>
  <c r="K195" i="23"/>
  <c r="AK216" i="23" s="1"/>
  <c r="AS15" i="1"/>
  <c r="AS16" i="1"/>
  <c r="AS18" i="1"/>
  <c r="AS17" i="1"/>
  <c r="AS19" i="1"/>
  <c r="AS20" i="1"/>
  <c r="AS21" i="1"/>
  <c r="AS22" i="1"/>
  <c r="AS23" i="1"/>
  <c r="AS24" i="1"/>
  <c r="AS25" i="1"/>
  <c r="AS26" i="1"/>
  <c r="AS27" i="1"/>
  <c r="AS28" i="1"/>
  <c r="AS29" i="1"/>
  <c r="AS30" i="1"/>
  <c r="AS31" i="1"/>
  <c r="AS32" i="1"/>
  <c r="AS33" i="1"/>
  <c r="AS34" i="1"/>
  <c r="AS35" i="1"/>
  <c r="AS36" i="1"/>
  <c r="AS37" i="1"/>
  <c r="AS38" i="1"/>
  <c r="AS39" i="1"/>
  <c r="AS40" i="1"/>
  <c r="AS41" i="1"/>
  <c r="AS42" i="1"/>
  <c r="AS43" i="1"/>
  <c r="AS44" i="1"/>
  <c r="AS45" i="1"/>
  <c r="AS46" i="1"/>
  <c r="AS47" i="1"/>
  <c r="AS48" i="1"/>
  <c r="AS49" i="1"/>
  <c r="AS50" i="1"/>
  <c r="AS51" i="1"/>
  <c r="AS52" i="1"/>
  <c r="AS53" i="1"/>
  <c r="AS54" i="1"/>
  <c r="AS55" i="1"/>
  <c r="AS56" i="1"/>
  <c r="AS57" i="1"/>
  <c r="AS58" i="1"/>
  <c r="AS59" i="1"/>
  <c r="AS60" i="1"/>
  <c r="AS61" i="1"/>
  <c r="AS62" i="1"/>
  <c r="AS63" i="1"/>
  <c r="AS64" i="1"/>
  <c r="AS65" i="1"/>
  <c r="AS66" i="1"/>
  <c r="AS67" i="1"/>
  <c r="AS68" i="1"/>
  <c r="AS69" i="1"/>
  <c r="AS70" i="1"/>
  <c r="AS71" i="1"/>
  <c r="AS72" i="1"/>
  <c r="AS73" i="1"/>
  <c r="AS74" i="1"/>
  <c r="AS75" i="1"/>
  <c r="AS76" i="1"/>
  <c r="AS77" i="1"/>
  <c r="AS78" i="1"/>
  <c r="AS79" i="1"/>
  <c r="AS80" i="1"/>
  <c r="AS81" i="1"/>
  <c r="AS82" i="1"/>
  <c r="AS83" i="1"/>
  <c r="AS84" i="1"/>
  <c r="AS85" i="1"/>
  <c r="AS86" i="1"/>
  <c r="AS87" i="1"/>
  <c r="AS88" i="1"/>
  <c r="AS89" i="1"/>
  <c r="AS90" i="1"/>
  <c r="AS91" i="1"/>
  <c r="AS92" i="1"/>
  <c r="AS93" i="1"/>
  <c r="AS94" i="1"/>
  <c r="AS95" i="1"/>
  <c r="AS96" i="1"/>
  <c r="AS97" i="1"/>
  <c r="AS98" i="1"/>
  <c r="AS99" i="1"/>
  <c r="AS100" i="1"/>
  <c r="AS101" i="1"/>
  <c r="AS102" i="1"/>
  <c r="AS103" i="1"/>
  <c r="AS104" i="1"/>
  <c r="AS105" i="1"/>
  <c r="AS106" i="1"/>
  <c r="AS107" i="1"/>
  <c r="AS108" i="1"/>
  <c r="AS109" i="1"/>
  <c r="AS110" i="1"/>
  <c r="AS111" i="1"/>
  <c r="AS112" i="1"/>
  <c r="AS114" i="1"/>
  <c r="AS113" i="1"/>
  <c r="AT15" i="1"/>
  <c r="AT16" i="1"/>
  <c r="AT17" i="1"/>
  <c r="AT18" i="1"/>
  <c r="AT19" i="1"/>
  <c r="AT20" i="1"/>
  <c r="AT21" i="1"/>
  <c r="AT22" i="1"/>
  <c r="AT23" i="1"/>
  <c r="AT24" i="1"/>
  <c r="AT25" i="1"/>
  <c r="AT26" i="1"/>
  <c r="AT27" i="1"/>
  <c r="AT28" i="1"/>
  <c r="AT29" i="1"/>
  <c r="AT30" i="1"/>
  <c r="AT31" i="1"/>
  <c r="AT32" i="1"/>
  <c r="AT33" i="1"/>
  <c r="AT34" i="1"/>
  <c r="AT35" i="1"/>
  <c r="AT36" i="1"/>
  <c r="AT37" i="1"/>
  <c r="AT38" i="1"/>
  <c r="AT39" i="1"/>
  <c r="AT40" i="1"/>
  <c r="AT41" i="1"/>
  <c r="AT42" i="1"/>
  <c r="AT43" i="1"/>
  <c r="AT44" i="1"/>
  <c r="AT45" i="1"/>
  <c r="AT46" i="1"/>
  <c r="AT47" i="1"/>
  <c r="AT48" i="1"/>
  <c r="AT49" i="1"/>
  <c r="AT50" i="1"/>
  <c r="AT51" i="1"/>
  <c r="AT52" i="1"/>
  <c r="AT53" i="1"/>
  <c r="AT54" i="1"/>
  <c r="AT55" i="1"/>
  <c r="AT56" i="1"/>
  <c r="AT57" i="1"/>
  <c r="AT58" i="1"/>
  <c r="AT59" i="1"/>
  <c r="AT60" i="1"/>
  <c r="AT61" i="1"/>
  <c r="AT62" i="1"/>
  <c r="AT63" i="1"/>
  <c r="AT64" i="1"/>
  <c r="AT65" i="1"/>
  <c r="AT66" i="1"/>
  <c r="AT67" i="1"/>
  <c r="AT68" i="1"/>
  <c r="AT69" i="1"/>
  <c r="AT70" i="1"/>
  <c r="AT71" i="1"/>
  <c r="AT72" i="1"/>
  <c r="AT73" i="1"/>
  <c r="AT74" i="1"/>
  <c r="AT75" i="1"/>
  <c r="AT76" i="1"/>
  <c r="AT77" i="1"/>
  <c r="AT78" i="1"/>
  <c r="AT79" i="1"/>
  <c r="AT80" i="1"/>
  <c r="AT81" i="1"/>
  <c r="AT82" i="1"/>
  <c r="AT83" i="1"/>
  <c r="AT84" i="1"/>
  <c r="AT85" i="1"/>
  <c r="AT86" i="1"/>
  <c r="AT87" i="1"/>
  <c r="AT88" i="1"/>
  <c r="AT89" i="1"/>
  <c r="AT90" i="1"/>
  <c r="AT91" i="1"/>
  <c r="AT92" i="1"/>
  <c r="AT93" i="1"/>
  <c r="AT94" i="1"/>
  <c r="AT95" i="1"/>
  <c r="AT96" i="1"/>
  <c r="AT97" i="1"/>
  <c r="AT98" i="1"/>
  <c r="AT99" i="1"/>
  <c r="AT100" i="1"/>
  <c r="AT101" i="1"/>
  <c r="AT102" i="1"/>
  <c r="AT103" i="1"/>
  <c r="AT104" i="1"/>
  <c r="AT105" i="1"/>
  <c r="AT106" i="1"/>
  <c r="AT107" i="1"/>
  <c r="AT108" i="1"/>
  <c r="AT109" i="1"/>
  <c r="AT110" i="1"/>
  <c r="AT111" i="1"/>
  <c r="AT112" i="1"/>
  <c r="AT113" i="1"/>
  <c r="AT114" i="1"/>
  <c r="AR15" i="1"/>
  <c r="AR16" i="1"/>
  <c r="AR18" i="1"/>
  <c r="AR17" i="1"/>
  <c r="AR19" i="1"/>
  <c r="AR20" i="1"/>
  <c r="AR21" i="1"/>
  <c r="AR22" i="1"/>
  <c r="AR23" i="1"/>
  <c r="AR24" i="1"/>
  <c r="AR25" i="1"/>
  <c r="AR26" i="1"/>
  <c r="AR27" i="1"/>
  <c r="AR28" i="1"/>
  <c r="AR29" i="1"/>
  <c r="AR30" i="1"/>
  <c r="AR31" i="1"/>
  <c r="AR32" i="1"/>
  <c r="AR33" i="1"/>
  <c r="AR34" i="1"/>
  <c r="AR35" i="1"/>
  <c r="AR36" i="1"/>
  <c r="AR37" i="1"/>
  <c r="AR38" i="1"/>
  <c r="AR39" i="1"/>
  <c r="AR40" i="1"/>
  <c r="AR41" i="1"/>
  <c r="AR42" i="1"/>
  <c r="AR43" i="1"/>
  <c r="AR44" i="1"/>
  <c r="AR45" i="1"/>
  <c r="AR46" i="1"/>
  <c r="AR47" i="1"/>
  <c r="AR48" i="1"/>
  <c r="AR49" i="1"/>
  <c r="AR50" i="1"/>
  <c r="AR51" i="1"/>
  <c r="AR52" i="1"/>
  <c r="AR53" i="1"/>
  <c r="AR54" i="1"/>
  <c r="AR55" i="1"/>
  <c r="AR56" i="1"/>
  <c r="AR57" i="1"/>
  <c r="AR58" i="1"/>
  <c r="AR59" i="1"/>
  <c r="AR60" i="1"/>
  <c r="AR61" i="1"/>
  <c r="AR62" i="1"/>
  <c r="AR63" i="1"/>
  <c r="AR64" i="1"/>
  <c r="AR65" i="1"/>
  <c r="AR66" i="1"/>
  <c r="AR67" i="1"/>
  <c r="AR68" i="1"/>
  <c r="AR69" i="1"/>
  <c r="AR70" i="1"/>
  <c r="AR71" i="1"/>
  <c r="AR72" i="1"/>
  <c r="AR73" i="1"/>
  <c r="AR74" i="1"/>
  <c r="AR75" i="1"/>
  <c r="AR76" i="1"/>
  <c r="AR77" i="1"/>
  <c r="AR78" i="1"/>
  <c r="AR79" i="1"/>
  <c r="AR80" i="1"/>
  <c r="AR81" i="1"/>
  <c r="AR82" i="1"/>
  <c r="AR83" i="1"/>
  <c r="AR84" i="1"/>
  <c r="AR85" i="1"/>
  <c r="AR86" i="1"/>
  <c r="AR87" i="1"/>
  <c r="AR88" i="1"/>
  <c r="AR89" i="1"/>
  <c r="AR90" i="1"/>
  <c r="AR91" i="1"/>
  <c r="AR92" i="1"/>
  <c r="AR93" i="1"/>
  <c r="AR94" i="1"/>
  <c r="AR95" i="1"/>
  <c r="AR96" i="1"/>
  <c r="AR97" i="1"/>
  <c r="AR98" i="1"/>
  <c r="AR99" i="1"/>
  <c r="AR100" i="1"/>
  <c r="AR101" i="1"/>
  <c r="AR102" i="1"/>
  <c r="AR103" i="1"/>
  <c r="AR104" i="1"/>
  <c r="AR105" i="1"/>
  <c r="AR106" i="1"/>
  <c r="AR107" i="1"/>
  <c r="AR108" i="1"/>
  <c r="AR109" i="1"/>
  <c r="AR110" i="1"/>
  <c r="AR111" i="1"/>
  <c r="AR112" i="1"/>
  <c r="AR113" i="1"/>
  <c r="AR1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Q57" i="1"/>
  <c r="AP15" i="1"/>
  <c r="AP16" i="1"/>
  <c r="AP17" i="1"/>
  <c r="AP18" i="1"/>
  <c r="AP19" i="1"/>
  <c r="AP20" i="1"/>
  <c r="AP21" i="1"/>
  <c r="AP22" i="1"/>
  <c r="AP23" i="1"/>
  <c r="AP24" i="1"/>
  <c r="AP25" i="1"/>
  <c r="AP26" i="1"/>
  <c r="AP27" i="1"/>
  <c r="AP28" i="1"/>
  <c r="AP29" i="1"/>
  <c r="AP30" i="1"/>
  <c r="AP31" i="1"/>
  <c r="AP32" i="1"/>
  <c r="AP33" i="1"/>
  <c r="AP34" i="1"/>
  <c r="AP35" i="1"/>
  <c r="AP36" i="1"/>
  <c r="AP37" i="1"/>
  <c r="AP38" i="1"/>
  <c r="AP39" i="1"/>
  <c r="AP40" i="1"/>
  <c r="AP41" i="1"/>
  <c r="AP42" i="1"/>
  <c r="AP43" i="1"/>
  <c r="AP44" i="1"/>
  <c r="AP45" i="1"/>
  <c r="AP46" i="1"/>
  <c r="AP47" i="1"/>
  <c r="AP48" i="1"/>
  <c r="AP49" i="1"/>
  <c r="AP50" i="1"/>
  <c r="AP51" i="1"/>
  <c r="AP52" i="1"/>
  <c r="AP53" i="1"/>
  <c r="AP54" i="1"/>
  <c r="AP55" i="1"/>
  <c r="AP56" i="1"/>
  <c r="AP57" i="1"/>
  <c r="AP58" i="1"/>
  <c r="AP59" i="1"/>
  <c r="AP60" i="1"/>
  <c r="AP61" i="1"/>
  <c r="AP62" i="1"/>
  <c r="AP63" i="1"/>
  <c r="AP64" i="1"/>
  <c r="AP65" i="1"/>
  <c r="AP66" i="1"/>
  <c r="AP67" i="1"/>
  <c r="AP68" i="1"/>
  <c r="AP69" i="1"/>
  <c r="AP70" i="1"/>
  <c r="AP71" i="1"/>
  <c r="AP72" i="1"/>
  <c r="AP73" i="1"/>
  <c r="AP74" i="1"/>
  <c r="AP75" i="1"/>
  <c r="AP76" i="1"/>
  <c r="AP77" i="1"/>
  <c r="AP78" i="1"/>
  <c r="AP79" i="1"/>
  <c r="AP80" i="1"/>
  <c r="AP81" i="1"/>
  <c r="AP82" i="1"/>
  <c r="AP83" i="1"/>
  <c r="AP84" i="1"/>
  <c r="AP85" i="1"/>
  <c r="AP86" i="1"/>
  <c r="AP87" i="1"/>
  <c r="AP88" i="1"/>
  <c r="AP89" i="1"/>
  <c r="AP90" i="1"/>
  <c r="AP91" i="1"/>
  <c r="AP92" i="1"/>
  <c r="AP93" i="1"/>
  <c r="AP94" i="1"/>
  <c r="AP95" i="1"/>
  <c r="AP96" i="1"/>
  <c r="AP97" i="1"/>
  <c r="AP98" i="1"/>
  <c r="AP99" i="1"/>
  <c r="AP100" i="1"/>
  <c r="AP101" i="1"/>
  <c r="AP102" i="1"/>
  <c r="AP103" i="1"/>
  <c r="AP104" i="1"/>
  <c r="AP105" i="1"/>
  <c r="AP106" i="1"/>
  <c r="AP107" i="1"/>
  <c r="AP108" i="1"/>
  <c r="AP109" i="1"/>
  <c r="AP110" i="1"/>
  <c r="AP111" i="1"/>
  <c r="AP112" i="1"/>
  <c r="AP114" i="1"/>
  <c r="AP113" i="1"/>
  <c r="V4" i="1"/>
  <c r="V10" i="1"/>
  <c r="N48" i="1"/>
  <c r="O43" i="30" s="1"/>
  <c r="P44" i="7"/>
  <c r="N42" i="1"/>
  <c r="AH1" i="7"/>
  <c r="P46" i="7"/>
  <c r="AH2" i="7"/>
  <c r="N44" i="1"/>
  <c r="O33" i="30" s="1"/>
  <c r="N50" i="1"/>
  <c r="O48" i="30" s="1"/>
  <c r="N52" i="1"/>
  <c r="O53" i="30" s="1"/>
  <c r="J388" i="23" l="1"/>
  <c r="J385" i="23"/>
  <c r="AQ105" i="1"/>
  <c r="AQ41" i="1"/>
  <c r="AQ89" i="1"/>
  <c r="AQ25" i="1"/>
  <c r="AQ18" i="1"/>
  <c r="I38" i="30"/>
  <c r="P41" i="7"/>
  <c r="P48" i="7" s="1"/>
  <c r="I28" i="30"/>
  <c r="J8" i="18"/>
  <c r="O28" i="30"/>
  <c r="AQ101" i="1"/>
  <c r="AQ85" i="1"/>
  <c r="AQ69" i="1"/>
  <c r="AQ53" i="1"/>
  <c r="AQ37" i="1"/>
  <c r="AQ21" i="1"/>
  <c r="AQ113" i="1"/>
  <c r="AQ97" i="1"/>
  <c r="AQ81" i="1"/>
  <c r="AQ65" i="1"/>
  <c r="AQ49" i="1"/>
  <c r="AQ33" i="1"/>
  <c r="AQ17" i="1"/>
  <c r="AQ109" i="1"/>
  <c r="AQ93" i="1"/>
  <c r="AQ77" i="1"/>
  <c r="AQ61" i="1"/>
  <c r="AQ45" i="1"/>
  <c r="AQ29" i="1"/>
  <c r="AQ112" i="1"/>
  <c r="AQ108" i="1"/>
  <c r="AQ104" i="1"/>
  <c r="AQ100" i="1"/>
  <c r="AQ96" i="1"/>
  <c r="AQ92" i="1"/>
  <c r="AQ88" i="1"/>
  <c r="AQ84" i="1"/>
  <c r="AQ80" i="1"/>
  <c r="AQ76" i="1"/>
  <c r="AQ72" i="1"/>
  <c r="AQ68" i="1"/>
  <c r="AQ64" i="1"/>
  <c r="AQ60" i="1"/>
  <c r="AQ56" i="1"/>
  <c r="AQ52" i="1"/>
  <c r="AQ48" i="1"/>
  <c r="AQ44" i="1"/>
  <c r="AQ40" i="1"/>
  <c r="AQ36" i="1"/>
  <c r="AQ32" i="1"/>
  <c r="AQ28" i="1"/>
  <c r="AQ24" i="1"/>
  <c r="AQ20" i="1"/>
  <c r="AU20" i="1" s="1"/>
  <c r="AQ16" i="1"/>
  <c r="AU16" i="1" s="1"/>
  <c r="AQ111" i="1"/>
  <c r="AQ107" i="1"/>
  <c r="AQ103" i="1"/>
  <c r="AQ99" i="1"/>
  <c r="AQ95" i="1"/>
  <c r="AQ91" i="1"/>
  <c r="AQ87" i="1"/>
  <c r="AQ83" i="1"/>
  <c r="AQ79" i="1"/>
  <c r="AQ75" i="1"/>
  <c r="AQ71" i="1"/>
  <c r="AQ67" i="1"/>
  <c r="AQ63" i="1"/>
  <c r="AQ59" i="1"/>
  <c r="AQ55" i="1"/>
  <c r="AQ51" i="1"/>
  <c r="AQ47" i="1"/>
  <c r="AQ43" i="1"/>
  <c r="AQ39" i="1"/>
  <c r="AQ35" i="1"/>
  <c r="AQ31" i="1"/>
  <c r="AQ27" i="1"/>
  <c r="AQ23" i="1"/>
  <c r="AU23" i="1" s="1"/>
  <c r="AQ19" i="1"/>
  <c r="AU19" i="1" s="1"/>
  <c r="AQ15" i="1"/>
  <c r="N46" i="1"/>
  <c r="AQ114" i="1"/>
  <c r="AQ110" i="1"/>
  <c r="AQ106" i="1"/>
  <c r="AQ102" i="1"/>
  <c r="AQ98" i="1"/>
  <c r="AQ94" i="1"/>
  <c r="AQ90" i="1"/>
  <c r="AQ86" i="1"/>
  <c r="AQ82" i="1"/>
  <c r="AQ78" i="1"/>
  <c r="AQ74" i="1"/>
  <c r="AQ70" i="1"/>
  <c r="AQ66" i="1"/>
  <c r="AQ62" i="1"/>
  <c r="AQ58" i="1"/>
  <c r="AQ54" i="1"/>
  <c r="AQ50" i="1"/>
  <c r="AQ46" i="1"/>
  <c r="AQ42" i="1"/>
  <c r="AQ38" i="1"/>
  <c r="AQ34" i="1"/>
  <c r="AQ30" i="1"/>
  <c r="AQ26" i="1"/>
  <c r="AQ22" i="1"/>
  <c r="AU22" i="1" s="1"/>
  <c r="K198" i="23"/>
  <c r="AK219" i="23" s="1"/>
  <c r="H248" i="23" s="1"/>
  <c r="K248" i="23" s="1"/>
  <c r="N248" i="23" s="1"/>
  <c r="K199" i="23"/>
  <c r="AK220" i="23" s="1"/>
  <c r="H249" i="23" s="1"/>
  <c r="K249" i="23" s="1"/>
  <c r="N249" i="23" s="1"/>
  <c r="K200" i="23"/>
  <c r="AK221" i="23" s="1"/>
  <c r="K197" i="23"/>
  <c r="AK218" i="23" s="1"/>
  <c r="K194" i="23"/>
  <c r="AK215" i="23" s="1"/>
  <c r="H244" i="23" s="1"/>
  <c r="K244" i="23" s="1"/>
  <c r="N244" i="23" s="1"/>
  <c r="K202" i="23"/>
  <c r="AK223" i="23" s="1"/>
  <c r="F14" i="18" s="1"/>
  <c r="K203" i="23"/>
  <c r="AK224" i="23" s="1"/>
  <c r="H253" i="23" s="1"/>
  <c r="K253" i="23" s="1"/>
  <c r="K204" i="23"/>
  <c r="AK225" i="23" s="1"/>
  <c r="H254" i="23" s="1"/>
  <c r="K254" i="23" s="1"/>
  <c r="N254" i="23" s="1"/>
  <c r="K201" i="23"/>
  <c r="AK222" i="23" s="1"/>
  <c r="H251" i="23" s="1"/>
  <c r="K251" i="23" s="1"/>
  <c r="N251" i="23" s="1"/>
  <c r="K210" i="23"/>
  <c r="AK231" i="23" s="1"/>
  <c r="H260" i="23" s="1"/>
  <c r="K260" i="23" s="1"/>
  <c r="N260" i="23" s="1"/>
  <c r="K206" i="23"/>
  <c r="AK227" i="23" s="1"/>
  <c r="H256" i="23" s="1"/>
  <c r="K256" i="23" s="1"/>
  <c r="N256" i="23" s="1"/>
  <c r="K207" i="23"/>
  <c r="AK228" i="23" s="1"/>
  <c r="H257" i="23" s="1"/>
  <c r="K257" i="23" s="1"/>
  <c r="K208" i="23"/>
  <c r="AK229" i="23" s="1"/>
  <c r="H258" i="23" s="1"/>
  <c r="K258" i="23" s="1"/>
  <c r="N258" i="23" s="1"/>
  <c r="K288" i="23"/>
  <c r="K289" i="23"/>
  <c r="K303" i="23"/>
  <c r="K308" i="23"/>
  <c r="K298" i="23"/>
  <c r="K301" i="23"/>
  <c r="K302" i="23"/>
  <c r="K309" i="23"/>
  <c r="K304" i="23"/>
  <c r="K310" i="23"/>
  <c r="K287" i="23"/>
  <c r="K297" i="23"/>
  <c r="K295" i="23"/>
  <c r="K294" i="23"/>
  <c r="K305" i="23"/>
  <c r="K296" i="23"/>
  <c r="K299" i="23"/>
  <c r="K311" i="23"/>
  <c r="K293" i="23"/>
  <c r="K306" i="23"/>
  <c r="K286" i="23"/>
  <c r="K300" i="23"/>
  <c r="K291" i="23"/>
  <c r="K290" i="23"/>
  <c r="K292" i="23"/>
  <c r="K307" i="23"/>
  <c r="L294" i="23"/>
  <c r="L300" i="23"/>
  <c r="L297" i="23"/>
  <c r="L310" i="23"/>
  <c r="L292" i="23"/>
  <c r="L287" i="23"/>
  <c r="L299" i="23"/>
  <c r="L291" i="23"/>
  <c r="L308" i="23"/>
  <c r="L290" i="23"/>
  <c r="L302" i="23"/>
  <c r="L306" i="23"/>
  <c r="L311" i="23"/>
  <c r="L295" i="23"/>
  <c r="L304" i="23"/>
  <c r="L288" i="23"/>
  <c r="L293" i="23"/>
  <c r="L305" i="23"/>
  <c r="L301" i="23"/>
  <c r="L298" i="23"/>
  <c r="L289" i="23"/>
  <c r="L303" i="23"/>
  <c r="L307" i="23"/>
  <c r="L296" i="23"/>
  <c r="L309" i="23"/>
  <c r="L286" i="23"/>
  <c r="M309" i="23"/>
  <c r="M287" i="23"/>
  <c r="M288" i="23"/>
  <c r="M304" i="23"/>
  <c r="M311" i="23"/>
  <c r="M307" i="23"/>
  <c r="M289" i="23"/>
  <c r="M293" i="23"/>
  <c r="M296" i="23"/>
  <c r="M299" i="23"/>
  <c r="M292" i="23"/>
  <c r="M291" i="23"/>
  <c r="M297" i="23"/>
  <c r="M302" i="23"/>
  <c r="M310" i="23"/>
  <c r="M294" i="23"/>
  <c r="M298" i="23"/>
  <c r="M306" i="23"/>
  <c r="M300" i="23"/>
  <c r="M305" i="23"/>
  <c r="M301" i="23"/>
  <c r="M286" i="23"/>
  <c r="M308" i="23"/>
  <c r="M303" i="23"/>
  <c r="M290" i="23"/>
  <c r="M295" i="23"/>
  <c r="M387" i="23"/>
  <c r="M393" i="23"/>
  <c r="M389" i="23"/>
  <c r="M392" i="23"/>
  <c r="M391" i="23"/>
  <c r="M390" i="23"/>
  <c r="M386" i="23"/>
  <c r="M385" i="23"/>
  <c r="M388" i="23"/>
  <c r="M361" i="23"/>
  <c r="H255" i="23"/>
  <c r="K255" i="23" s="1"/>
  <c r="N255" i="23" s="1"/>
  <c r="H245" i="23"/>
  <c r="K245" i="23" s="1"/>
  <c r="N245" i="23" s="1"/>
  <c r="H246" i="23"/>
  <c r="K246" i="23" s="1"/>
  <c r="N246" i="23" s="1"/>
  <c r="H243" i="23"/>
  <c r="K243" i="23" s="1"/>
  <c r="L243" i="23" s="1"/>
  <c r="H259" i="23"/>
  <c r="K259" i="23" s="1"/>
  <c r="N259" i="23" s="1"/>
  <c r="H250" i="23"/>
  <c r="K250" i="23" s="1"/>
  <c r="N250" i="23" s="1"/>
  <c r="H247" i="23"/>
  <c r="K247" i="23" s="1"/>
  <c r="A116" i="23"/>
  <c r="B115" i="23"/>
  <c r="DF199" i="23"/>
  <c r="DG199" i="23" s="1"/>
  <c r="DF200" i="23"/>
  <c r="DG200" i="23" s="1"/>
  <c r="DF203" i="23"/>
  <c r="DG203" i="23" s="1"/>
  <c r="DF204" i="23"/>
  <c r="DG204" i="23" s="1"/>
  <c r="DF206" i="23"/>
  <c r="DG206" i="23" s="1"/>
  <c r="DF205" i="23"/>
  <c r="DG205" i="23" s="1"/>
  <c r="DF195" i="23"/>
  <c r="DG195" i="23" s="1"/>
  <c r="DF196" i="23"/>
  <c r="DG196" i="23" s="1"/>
  <c r="DF193" i="23"/>
  <c r="DG193" i="23" s="1"/>
  <c r="DF209" i="23"/>
  <c r="DG209" i="23" s="1"/>
  <c r="AG198" i="23"/>
  <c r="AL200" i="23"/>
  <c r="AG200" i="23"/>
  <c r="AG197" i="23"/>
  <c r="AL197" i="23"/>
  <c r="AL202" i="23"/>
  <c r="AL203" i="23"/>
  <c r="AG203" i="23"/>
  <c r="AG204" i="23"/>
  <c r="AL204" i="23"/>
  <c r="AG210" i="23"/>
  <c r="AL206" i="23"/>
  <c r="AG206" i="23"/>
  <c r="AG207" i="23"/>
  <c r="AL207" i="23"/>
  <c r="AG205" i="23"/>
  <c r="AL205" i="23"/>
  <c r="AL195" i="23"/>
  <c r="AG195" i="23"/>
  <c r="AG196" i="23"/>
  <c r="AL196" i="23"/>
  <c r="AG193" i="23"/>
  <c r="AH193" i="23" s="1"/>
  <c r="AL193" i="23"/>
  <c r="AM193" i="23" s="1"/>
  <c r="AG209" i="23"/>
  <c r="AL209" i="23"/>
  <c r="W206" i="23"/>
  <c r="AB206" i="23"/>
  <c r="R206" i="23"/>
  <c r="M206" i="23"/>
  <c r="M207" i="23"/>
  <c r="R207" i="23"/>
  <c r="AB207" i="23"/>
  <c r="W207" i="23"/>
  <c r="AB205" i="23"/>
  <c r="M205" i="23"/>
  <c r="R205" i="23"/>
  <c r="W205" i="23"/>
  <c r="R195" i="23"/>
  <c r="AB195" i="23"/>
  <c r="W195" i="23"/>
  <c r="M195" i="23"/>
  <c r="AB196" i="23"/>
  <c r="W196" i="23"/>
  <c r="M196" i="23"/>
  <c r="R196" i="23"/>
  <c r="R193" i="23"/>
  <c r="S193" i="23" s="1"/>
  <c r="W193" i="23"/>
  <c r="X193" i="23" s="1"/>
  <c r="AB193" i="23"/>
  <c r="AC193" i="23" s="1"/>
  <c r="M193" i="23"/>
  <c r="N193" i="23" s="1"/>
  <c r="M209" i="23"/>
  <c r="R209" i="23"/>
  <c r="W209" i="23"/>
  <c r="AB209" i="23"/>
  <c r="R198" i="23"/>
  <c r="M198" i="23"/>
  <c r="W198" i="23"/>
  <c r="AB198" i="23"/>
  <c r="AB199" i="23"/>
  <c r="M199" i="23"/>
  <c r="R199" i="23"/>
  <c r="AB200" i="23"/>
  <c r="W200" i="23"/>
  <c r="R200" i="23"/>
  <c r="M200" i="23"/>
  <c r="M197" i="23"/>
  <c r="AB197" i="23"/>
  <c r="R197" i="23"/>
  <c r="W197" i="23"/>
  <c r="W194" i="23"/>
  <c r="X194" i="23" s="1"/>
  <c r="AB194" i="23"/>
  <c r="R194" i="23"/>
  <c r="M194" i="23"/>
  <c r="N194" i="23" s="1"/>
  <c r="AB202" i="23"/>
  <c r="M202" i="23"/>
  <c r="W202" i="23"/>
  <c r="AB203" i="23"/>
  <c r="W203" i="23"/>
  <c r="R203" i="23"/>
  <c r="M203" i="23"/>
  <c r="M204" i="23"/>
  <c r="R204" i="23"/>
  <c r="AB204" i="23"/>
  <c r="W204" i="23"/>
  <c r="AB201" i="23"/>
  <c r="M201" i="23"/>
  <c r="R201" i="23"/>
  <c r="W201" i="23"/>
  <c r="W210" i="23"/>
  <c r="AB210" i="23"/>
  <c r="R210" i="23"/>
  <c r="M210" i="23"/>
  <c r="J18" i="18"/>
  <c r="J17" i="18"/>
  <c r="J9" i="18"/>
  <c r="J12" i="18"/>
  <c r="J22" i="18"/>
  <c r="J11" i="18"/>
  <c r="J6" i="18"/>
  <c r="J16" i="18"/>
  <c r="J14" i="18"/>
  <c r="J5" i="18"/>
  <c r="J21" i="18"/>
  <c r="J20" i="18"/>
  <c r="J10" i="18"/>
  <c r="J19" i="18"/>
  <c r="J7" i="18"/>
  <c r="J15" i="18"/>
  <c r="J13" i="18"/>
  <c r="AU26" i="1"/>
  <c r="N15" i="18"/>
  <c r="AJ2" i="7"/>
  <c r="AI2" i="7"/>
  <c r="AU15" i="1"/>
  <c r="AV15" i="1" s="1"/>
  <c r="AU21" i="1"/>
  <c r="AU18" i="1"/>
  <c r="AI1" i="7"/>
  <c r="AJ1" i="7"/>
  <c r="AU24" i="1"/>
  <c r="N13" i="18"/>
  <c r="N7" i="18"/>
  <c r="AU17" i="1"/>
  <c r="AU25" i="1"/>
  <c r="N5" i="18"/>
  <c r="N11" i="18"/>
  <c r="AG199" i="23" l="1"/>
  <c r="R208" i="23"/>
  <c r="DF207" i="23"/>
  <c r="DG207" i="23" s="1"/>
  <c r="DF197" i="23"/>
  <c r="DG197" i="23" s="1"/>
  <c r="M208" i="23"/>
  <c r="AL194" i="23"/>
  <c r="W208" i="23"/>
  <c r="AL199" i="23"/>
  <c r="N9" i="18"/>
  <c r="O38" i="30"/>
  <c r="A9" i="43"/>
  <c r="AL210" i="23"/>
  <c r="AG202" i="23"/>
  <c r="R202" i="23"/>
  <c r="W199" i="23"/>
  <c r="AB208" i="23"/>
  <c r="AG208" i="23"/>
  <c r="AG201" i="23"/>
  <c r="AG194" i="23"/>
  <c r="AH194" i="23" s="1"/>
  <c r="AH195" i="23" s="1"/>
  <c r="AH196" i="23" s="1"/>
  <c r="AH197" i="23" s="1"/>
  <c r="AL198" i="23"/>
  <c r="DF202" i="23"/>
  <c r="DG202" i="23" s="1"/>
  <c r="H252" i="23"/>
  <c r="K252" i="23" s="1"/>
  <c r="N252" i="23" s="1"/>
  <c r="AL208" i="23"/>
  <c r="AL201" i="23"/>
  <c r="DF210" i="23"/>
  <c r="DG210" i="23" s="1"/>
  <c r="DF208" i="23"/>
  <c r="DG208" i="23" s="1"/>
  <c r="DF201" i="23"/>
  <c r="DG201" i="23" s="1"/>
  <c r="DF194" i="23"/>
  <c r="DG194" i="23" s="1"/>
  <c r="DF198" i="23"/>
  <c r="DG198" i="23" s="1"/>
  <c r="R286" i="23"/>
  <c r="R290" i="23"/>
  <c r="R306" i="23"/>
  <c r="R296" i="23"/>
  <c r="R297" i="23"/>
  <c r="R309" i="23"/>
  <c r="R308" i="23"/>
  <c r="R291" i="23"/>
  <c r="R293" i="23"/>
  <c r="R305" i="23"/>
  <c r="R287" i="23"/>
  <c r="R302" i="23"/>
  <c r="W286" i="23"/>
  <c r="S286" i="23"/>
  <c r="R307" i="23"/>
  <c r="R300" i="23"/>
  <c r="R311" i="23"/>
  <c r="W311" i="23" s="1"/>
  <c r="AB311" i="23" s="1"/>
  <c r="AG311" i="23" s="1"/>
  <c r="AL311" i="23" s="1"/>
  <c r="AQ311" i="23" s="1"/>
  <c r="R294" i="23"/>
  <c r="R310" i="23"/>
  <c r="W310" i="23" s="1"/>
  <c r="AB310" i="23" s="1"/>
  <c r="AG310" i="23" s="1"/>
  <c r="AL310" i="23" s="1"/>
  <c r="AQ310" i="23" s="1"/>
  <c r="R301" i="23"/>
  <c r="R289" i="23"/>
  <c r="R292" i="23"/>
  <c r="R299" i="23"/>
  <c r="R295" i="23"/>
  <c r="R298" i="23"/>
  <c r="R288" i="23"/>
  <c r="M362" i="23"/>
  <c r="M363" i="23" s="1"/>
  <c r="M364" i="23" s="1"/>
  <c r="N253" i="23"/>
  <c r="Q253" i="23" s="1"/>
  <c r="N243" i="23"/>
  <c r="Q243" i="23" s="1"/>
  <c r="N257" i="23"/>
  <c r="Q257" i="23" s="1"/>
  <c r="X195" i="23"/>
  <c r="X196" i="23" s="1"/>
  <c r="N195" i="23"/>
  <c r="N196" i="23" s="1"/>
  <c r="N197" i="23" s="1"/>
  <c r="L244" i="23"/>
  <c r="L245" i="23" s="1"/>
  <c r="L246" i="23" s="1"/>
  <c r="S194" i="23"/>
  <c r="N247" i="23"/>
  <c r="Q247" i="23" s="1"/>
  <c r="AC194" i="23"/>
  <c r="Q259" i="23"/>
  <c r="Q255" i="23"/>
  <c r="Q254" i="23"/>
  <c r="Q256" i="23"/>
  <c r="Q258" i="23"/>
  <c r="Q246" i="23"/>
  <c r="Q249" i="23"/>
  <c r="Q251" i="23"/>
  <c r="Q245" i="23"/>
  <c r="Q250" i="23"/>
  <c r="Q248" i="23"/>
  <c r="Q260" i="23"/>
  <c r="Q244" i="23"/>
  <c r="Q252" i="23"/>
  <c r="A117" i="23"/>
  <c r="B116" i="23"/>
  <c r="AJ193" i="23"/>
  <c r="AM194" i="23"/>
  <c r="AM195" i="23" s="1"/>
  <c r="AV16" i="1"/>
  <c r="AV17" i="1" s="1"/>
  <c r="W299" i="23" l="1"/>
  <c r="AR310" i="23"/>
  <c r="AV310" i="23"/>
  <c r="W307" i="23"/>
  <c r="W293" i="23"/>
  <c r="W297" i="23"/>
  <c r="W288" i="23"/>
  <c r="W292" i="23"/>
  <c r="W294" i="23"/>
  <c r="W302" i="23"/>
  <c r="W291" i="23"/>
  <c r="W296" i="23"/>
  <c r="W298" i="23"/>
  <c r="W289" i="23"/>
  <c r="AV311" i="23"/>
  <c r="AR311" i="23"/>
  <c r="W287" i="23"/>
  <c r="S287" i="23"/>
  <c r="W308" i="23"/>
  <c r="W306" i="23"/>
  <c r="W295" i="23"/>
  <c r="W301" i="23"/>
  <c r="W300" i="23"/>
  <c r="AB286" i="23"/>
  <c r="X286" i="23"/>
  <c r="W305" i="23"/>
  <c r="W309" i="23"/>
  <c r="W290" i="23"/>
  <c r="M365" i="23"/>
  <c r="M366" i="23" s="1"/>
  <c r="P360" i="23" s="1"/>
  <c r="O243" i="23"/>
  <c r="O244" i="23" s="1"/>
  <c r="O245" i="23" s="1"/>
  <c r="AC195" i="23"/>
  <c r="S195" i="23"/>
  <c r="S196" i="23" s="1"/>
  <c r="L247" i="23"/>
  <c r="N198" i="23"/>
  <c r="T252" i="23"/>
  <c r="T260" i="23"/>
  <c r="T247" i="23"/>
  <c r="T257" i="23"/>
  <c r="T255" i="23"/>
  <c r="T253" i="23"/>
  <c r="T250" i="23"/>
  <c r="T249" i="23"/>
  <c r="T258" i="23"/>
  <c r="T256" i="23"/>
  <c r="T244" i="23"/>
  <c r="T248" i="23"/>
  <c r="T245" i="23"/>
  <c r="T251" i="23"/>
  <c r="T246" i="23"/>
  <c r="T254" i="23"/>
  <c r="T243" i="23"/>
  <c r="R243" i="23"/>
  <c r="T259" i="23"/>
  <c r="B117" i="23"/>
  <c r="A118" i="23"/>
  <c r="AH198" i="23"/>
  <c r="AH199" i="23" s="1"/>
  <c r="AM196" i="23"/>
  <c r="AM197" i="23" s="1"/>
  <c r="X197" i="23"/>
  <c r="AV18" i="1"/>
  <c r="AV19" i="1" s="1"/>
  <c r="AV20" i="1" s="1"/>
  <c r="S288" i="23" l="1"/>
  <c r="S289" i="23" s="1"/>
  <c r="S290" i="23" s="1"/>
  <c r="AB309" i="23"/>
  <c r="X287" i="23"/>
  <c r="AB287" i="23"/>
  <c r="AB302" i="23"/>
  <c r="AB290" i="23"/>
  <c r="AB301" i="23"/>
  <c r="AB291" i="23"/>
  <c r="AB294" i="23"/>
  <c r="AB288" i="23"/>
  <c r="AB293" i="23"/>
  <c r="AB300" i="23"/>
  <c r="AB308" i="23"/>
  <c r="AB298" i="23"/>
  <c r="AB292" i="23"/>
  <c r="AB307" i="23"/>
  <c r="AB305" i="23"/>
  <c r="AG286" i="23"/>
  <c r="AC286" i="23"/>
  <c r="AB295" i="23"/>
  <c r="AB306" i="23"/>
  <c r="AW311" i="23"/>
  <c r="BA311" i="23"/>
  <c r="BB311" i="23" s="1"/>
  <c r="AB289" i="23"/>
  <c r="AB296" i="23"/>
  <c r="AB297" i="23"/>
  <c r="AW310" i="23"/>
  <c r="BA310" i="23"/>
  <c r="BB310" i="23" s="1"/>
  <c r="AB299" i="23"/>
  <c r="N199" i="23"/>
  <c r="N200" i="23" s="1"/>
  <c r="O361" i="23"/>
  <c r="P361" i="23" s="1"/>
  <c r="AC196" i="23"/>
  <c r="L248" i="23"/>
  <c r="S197" i="23"/>
  <c r="S198" i="23" s="1"/>
  <c r="S199" i="23" s="1"/>
  <c r="X198" i="23"/>
  <c r="X199" i="23" s="1"/>
  <c r="X200" i="23" s="1"/>
  <c r="X201" i="23" s="1"/>
  <c r="AO193" i="23"/>
  <c r="O246" i="23"/>
  <c r="O247" i="23" s="1"/>
  <c r="U243" i="23"/>
  <c r="W243" i="23"/>
  <c r="W248" i="23"/>
  <c r="W256" i="23"/>
  <c r="W255" i="23"/>
  <c r="W247" i="23"/>
  <c r="W254" i="23"/>
  <c r="W249" i="23"/>
  <c r="W260" i="23"/>
  <c r="W259" i="23"/>
  <c r="W251" i="23"/>
  <c r="W244" i="23"/>
  <c r="U244" i="23"/>
  <c r="U245" i="23" s="1"/>
  <c r="U246" i="23" s="1"/>
  <c r="W258" i="23"/>
  <c r="W250" i="23"/>
  <c r="W253" i="23"/>
  <c r="W257" i="23"/>
  <c r="W246" i="23"/>
  <c r="W245" i="23"/>
  <c r="R244" i="23"/>
  <c r="W252" i="23"/>
  <c r="A119" i="23"/>
  <c r="B118" i="23"/>
  <c r="AH200" i="23"/>
  <c r="AH201" i="23" s="1"/>
  <c r="AM198" i="23"/>
  <c r="AV21" i="1"/>
  <c r="AV22" i="1" s="1"/>
  <c r="AV23" i="1" s="1"/>
  <c r="AV24" i="1" s="1"/>
  <c r="U286" i="23" l="1"/>
  <c r="N201" i="23"/>
  <c r="S291" i="23"/>
  <c r="S292" i="23" s="1"/>
  <c r="S293" i="23" s="1"/>
  <c r="S294" i="23" s="1"/>
  <c r="S295" i="23" s="1"/>
  <c r="S296" i="23" s="1"/>
  <c r="X288" i="23"/>
  <c r="X289" i="23" s="1"/>
  <c r="X290" i="23" s="1"/>
  <c r="X291" i="23" s="1"/>
  <c r="X292" i="23" s="1"/>
  <c r="AG296" i="23"/>
  <c r="AG288" i="23"/>
  <c r="AG294" i="23"/>
  <c r="AG291" i="23"/>
  <c r="AG290" i="23"/>
  <c r="AG302" i="23"/>
  <c r="AG295" i="23"/>
  <c r="AG307" i="23"/>
  <c r="AG292" i="23"/>
  <c r="AC287" i="23"/>
  <c r="AG287" i="23"/>
  <c r="AG299" i="23"/>
  <c r="AG297" i="23"/>
  <c r="AG289" i="23"/>
  <c r="AL286" i="23"/>
  <c r="AH286" i="23"/>
  <c r="AG305" i="23"/>
  <c r="AG300" i="23"/>
  <c r="AG306" i="23"/>
  <c r="AG298" i="23"/>
  <c r="AG308" i="23"/>
  <c r="AG293" i="23"/>
  <c r="AG301" i="23"/>
  <c r="AG309" i="23"/>
  <c r="O362" i="23"/>
  <c r="O363" i="23" s="1"/>
  <c r="P363" i="23" s="1"/>
  <c r="AC197" i="23"/>
  <c r="AC198" i="23" s="1"/>
  <c r="AC199" i="23" s="1"/>
  <c r="S200" i="23"/>
  <c r="S201" i="23" s="1"/>
  <c r="L249" i="23"/>
  <c r="X202" i="23"/>
  <c r="X203" i="23" s="1"/>
  <c r="X204" i="23" s="1"/>
  <c r="X205" i="23" s="1"/>
  <c r="N202" i="23"/>
  <c r="O248" i="23"/>
  <c r="O249" i="23" s="1"/>
  <c r="O250" i="23" s="1"/>
  <c r="U247" i="23"/>
  <c r="U248" i="23" s="1"/>
  <c r="R245" i="23"/>
  <c r="Z259" i="23"/>
  <c r="Z250" i="23"/>
  <c r="Z244" i="23"/>
  <c r="Z254" i="23"/>
  <c r="Z256" i="23"/>
  <c r="Z257" i="23"/>
  <c r="Z246" i="23"/>
  <c r="Z249" i="23"/>
  <c r="Z255" i="23"/>
  <c r="Z260" i="23"/>
  <c r="Z252" i="23"/>
  <c r="Z245" i="23"/>
  <c r="Z253" i="23"/>
  <c r="Z258" i="23"/>
  <c r="Z251" i="23"/>
  <c r="Z247" i="23"/>
  <c r="Z248" i="23"/>
  <c r="X243" i="23"/>
  <c r="X244" i="23" s="1"/>
  <c r="Z243" i="23"/>
  <c r="A120" i="23"/>
  <c r="B119" i="23"/>
  <c r="AH202" i="23"/>
  <c r="AH203" i="23" s="1"/>
  <c r="AH204" i="23" s="1"/>
  <c r="AM199" i="23"/>
  <c r="AM200" i="23" s="1"/>
  <c r="AV25" i="1"/>
  <c r="AV26" i="1" s="1"/>
  <c r="AX16" i="1" s="1"/>
  <c r="AY16" i="1" s="1"/>
  <c r="X293" i="23" l="1"/>
  <c r="X294" i="23" s="1"/>
  <c r="AC288" i="23"/>
  <c r="AC289" i="23" s="1"/>
  <c r="AC290" i="23" s="1"/>
  <c r="AL309" i="23"/>
  <c r="AL298" i="23"/>
  <c r="AL300" i="23"/>
  <c r="AL295" i="23"/>
  <c r="AL290" i="23"/>
  <c r="AL294" i="23"/>
  <c r="AL288" i="23"/>
  <c r="AL296" i="23"/>
  <c r="AL308" i="23"/>
  <c r="AL289" i="23"/>
  <c r="AL299" i="23"/>
  <c r="AL302" i="23"/>
  <c r="AL293" i="23"/>
  <c r="AQ286" i="23"/>
  <c r="AM286" i="23"/>
  <c r="AL297" i="23"/>
  <c r="AL287" i="23"/>
  <c r="AH287" i="23"/>
  <c r="AL292" i="23"/>
  <c r="S297" i="23"/>
  <c r="S298" i="23" s="1"/>
  <c r="S299" i="23" s="1"/>
  <c r="S300" i="23" s="1"/>
  <c r="S301" i="23" s="1"/>
  <c r="S302" i="23" s="1"/>
  <c r="S303" i="23" s="1"/>
  <c r="S305" i="23" s="1"/>
  <c r="S306" i="23" s="1"/>
  <c r="S307" i="23" s="1"/>
  <c r="S308" i="23" s="1"/>
  <c r="S309" i="23" s="1"/>
  <c r="S310" i="23" s="1"/>
  <c r="S311" i="23" s="1"/>
  <c r="AL301" i="23"/>
  <c r="AL306" i="23"/>
  <c r="AL305" i="23"/>
  <c r="AH305" i="23"/>
  <c r="AH306" i="23" s="1"/>
  <c r="AH307" i="23" s="1"/>
  <c r="AH308" i="23" s="1"/>
  <c r="AH309" i="23" s="1"/>
  <c r="AH310" i="23" s="1"/>
  <c r="AH311" i="23" s="1"/>
  <c r="AL307" i="23"/>
  <c r="AL291" i="23"/>
  <c r="P362" i="23"/>
  <c r="O364" i="23"/>
  <c r="AC200" i="23"/>
  <c r="S202" i="23"/>
  <c r="S203" i="23" s="1"/>
  <c r="L250" i="23"/>
  <c r="N203" i="23"/>
  <c r="N204" i="23" s="1"/>
  <c r="N205" i="23" s="1"/>
  <c r="N206" i="23" s="1"/>
  <c r="N207" i="23" s="1"/>
  <c r="N208" i="23" s="1"/>
  <c r="N209" i="23" s="1"/>
  <c r="AY15" i="1"/>
  <c r="O251" i="23"/>
  <c r="R246" i="23"/>
  <c r="R247" i="23" s="1"/>
  <c r="X245" i="23"/>
  <c r="AC247" i="23"/>
  <c r="AC256" i="23"/>
  <c r="AC252" i="23"/>
  <c r="AC255" i="23"/>
  <c r="AC244" i="23"/>
  <c r="AC243" i="23"/>
  <c r="AA243" i="23"/>
  <c r="AA244" i="23" s="1"/>
  <c r="AA245" i="23" s="1"/>
  <c r="AA246" i="23" s="1"/>
  <c r="AC258" i="23"/>
  <c r="AC245" i="23"/>
  <c r="AC254" i="23"/>
  <c r="AC249" i="23"/>
  <c r="AC257" i="23"/>
  <c r="AC259" i="23"/>
  <c r="AC248" i="23"/>
  <c r="AC251" i="23"/>
  <c r="AC253" i="23"/>
  <c r="AC260" i="23"/>
  <c r="AC246" i="23"/>
  <c r="U249" i="23"/>
  <c r="U250" i="23" s="1"/>
  <c r="AC250" i="23"/>
  <c r="B120" i="23"/>
  <c r="A121" i="23"/>
  <c r="AM201" i="23"/>
  <c r="AM202" i="23" s="1"/>
  <c r="AH205" i="23"/>
  <c r="AH206" i="23" s="1"/>
  <c r="AH207" i="23" s="1"/>
  <c r="AH208" i="23" s="1"/>
  <c r="AH209" i="23" s="1"/>
  <c r="AH210" i="23" s="1"/>
  <c r="AI194" i="23" s="1"/>
  <c r="X206" i="23"/>
  <c r="AX17" i="1"/>
  <c r="AX18" i="1" s="1"/>
  <c r="T287" i="23" l="1"/>
  <c r="T288" i="23" s="1"/>
  <c r="X295" i="23"/>
  <c r="X296" i="23" s="1"/>
  <c r="X297" i="23" s="1"/>
  <c r="X298" i="23" s="1"/>
  <c r="X299" i="23" s="1"/>
  <c r="X300" i="23" s="1"/>
  <c r="X301" i="23" s="1"/>
  <c r="X302" i="23" s="1"/>
  <c r="X303" i="23" s="1"/>
  <c r="X304" i="23" s="1"/>
  <c r="X305" i="23" s="1"/>
  <c r="X306" i="23" s="1"/>
  <c r="X307" i="23" s="1"/>
  <c r="X308" i="23" s="1"/>
  <c r="X309" i="23" s="1"/>
  <c r="X310" i="23" s="1"/>
  <c r="X311" i="23" s="1"/>
  <c r="Y288" i="23" s="1"/>
  <c r="AH288" i="23"/>
  <c r="AH289" i="23" s="1"/>
  <c r="AH290" i="23" s="1"/>
  <c r="AH291" i="23" s="1"/>
  <c r="AH292" i="23" s="1"/>
  <c r="AQ297" i="23"/>
  <c r="AQ293" i="23"/>
  <c r="AQ299" i="23"/>
  <c r="AQ289" i="23"/>
  <c r="AQ288" i="23"/>
  <c r="AQ294" i="23"/>
  <c r="AQ309" i="23"/>
  <c r="AQ291" i="23"/>
  <c r="AQ306" i="23"/>
  <c r="AQ307" i="23"/>
  <c r="AQ305" i="23"/>
  <c r="AM305" i="23"/>
  <c r="AM306" i="23" s="1"/>
  <c r="AM307" i="23" s="1"/>
  <c r="AM308" i="23" s="1"/>
  <c r="AM309" i="23" s="1"/>
  <c r="AM310" i="23" s="1"/>
  <c r="AM311" i="23" s="1"/>
  <c r="AC291" i="23"/>
  <c r="AC292" i="23" s="1"/>
  <c r="AC293" i="23" s="1"/>
  <c r="AC294" i="23" s="1"/>
  <c r="AC295" i="23" s="1"/>
  <c r="AC296" i="23" s="1"/>
  <c r="AQ292" i="23"/>
  <c r="AQ302" i="23"/>
  <c r="AQ296" i="23"/>
  <c r="AQ290" i="23"/>
  <c r="AQ300" i="23"/>
  <c r="AV286" i="23"/>
  <c r="AR286" i="23"/>
  <c r="AQ295" i="23"/>
  <c r="AQ301" i="23"/>
  <c r="AM287" i="23"/>
  <c r="AM288" i="23" s="1"/>
  <c r="AQ287" i="23"/>
  <c r="AQ308" i="23"/>
  <c r="AQ298" i="23"/>
  <c r="O365" i="23"/>
  <c r="P364" i="23"/>
  <c r="S204" i="23"/>
  <c r="S205" i="23" s="1"/>
  <c r="S206" i="23" s="1"/>
  <c r="AC201" i="23"/>
  <c r="AC202" i="23" s="1"/>
  <c r="L251" i="23"/>
  <c r="L252" i="23" s="1"/>
  <c r="L253" i="23" s="1"/>
  <c r="X207" i="23"/>
  <c r="X208" i="23" s="1"/>
  <c r="O252" i="23"/>
  <c r="O253" i="23" s="1"/>
  <c r="O254" i="23" s="1"/>
  <c r="X246" i="23"/>
  <c r="X247" i="23" s="1"/>
  <c r="R248" i="23"/>
  <c r="U251" i="23"/>
  <c r="U252" i="23" s="1"/>
  <c r="AA247" i="23"/>
  <c r="AF250" i="23"/>
  <c r="AF253" i="23"/>
  <c r="AF252" i="23"/>
  <c r="AF248" i="23"/>
  <c r="AF257" i="23"/>
  <c r="AF243" i="23"/>
  <c r="AG243" i="23" s="1"/>
  <c r="AD243" i="23"/>
  <c r="AD244" i="23" s="1"/>
  <c r="AF247" i="23"/>
  <c r="AF260" i="23"/>
  <c r="AF249" i="23"/>
  <c r="AF245" i="23"/>
  <c r="AF244" i="23"/>
  <c r="AF255" i="23"/>
  <c r="AF256" i="23"/>
  <c r="AF246" i="23"/>
  <c r="AF251" i="23"/>
  <c r="AF259" i="23"/>
  <c r="AF254" i="23"/>
  <c r="AF258" i="23"/>
  <c r="B121" i="23"/>
  <c r="A122" i="23"/>
  <c r="N210" i="23"/>
  <c r="AJ194" i="23"/>
  <c r="AI195" i="23"/>
  <c r="AJ195" i="23" s="1"/>
  <c r="AM203" i="23"/>
  <c r="AM204" i="23" s="1"/>
  <c r="AM205" i="23" s="1"/>
  <c r="AY17" i="1"/>
  <c r="AX19" i="1"/>
  <c r="AY18" i="1"/>
  <c r="U287" i="23" l="1"/>
  <c r="Y289" i="23"/>
  <c r="Z288" i="23"/>
  <c r="T289" i="23"/>
  <c r="U288" i="23"/>
  <c r="Z287" i="23"/>
  <c r="AH293" i="23"/>
  <c r="AH294" i="23" s="1"/>
  <c r="AH295" i="23" s="1"/>
  <c r="AH296" i="23" s="1"/>
  <c r="AH297" i="23" s="1"/>
  <c r="AH298" i="23" s="1"/>
  <c r="AH299" i="23" s="1"/>
  <c r="AH300" i="23" s="1"/>
  <c r="AH301" i="23" s="1"/>
  <c r="AH302" i="23" s="1"/>
  <c r="AR308" i="23"/>
  <c r="AV308" i="23"/>
  <c r="AV302" i="23"/>
  <c r="AV306" i="23"/>
  <c r="AR306" i="23"/>
  <c r="AV294" i="23"/>
  <c r="AV288" i="23"/>
  <c r="BA286" i="23"/>
  <c r="AW286" i="23"/>
  <c r="AV292" i="23"/>
  <c r="AV307" i="23"/>
  <c r="AR307" i="23"/>
  <c r="AM289" i="23"/>
  <c r="AV297" i="23"/>
  <c r="AV305" i="23"/>
  <c r="AR305" i="23"/>
  <c r="AV291" i="23"/>
  <c r="AV309" i="23"/>
  <c r="AR309" i="23"/>
  <c r="AV293" i="23"/>
  <c r="AV295" i="23"/>
  <c r="AV290" i="23"/>
  <c r="AV298" i="23"/>
  <c r="AR287" i="23"/>
  <c r="AV287" i="23"/>
  <c r="AV301" i="23"/>
  <c r="AV300" i="23"/>
  <c r="AV296" i="23"/>
  <c r="AV289" i="23"/>
  <c r="AV299" i="23"/>
  <c r="AC297" i="23"/>
  <c r="O194" i="23"/>
  <c r="O195" i="23" s="1"/>
  <c r="P193" i="23"/>
  <c r="P365" i="23"/>
  <c r="O366" i="23"/>
  <c r="S207" i="23"/>
  <c r="S208" i="23" s="1"/>
  <c r="AC203" i="23"/>
  <c r="AC204" i="23" s="1"/>
  <c r="AC205" i="23" s="1"/>
  <c r="L254" i="23"/>
  <c r="X209" i="23"/>
  <c r="X210" i="23" s="1"/>
  <c r="S209" i="23"/>
  <c r="S210" i="23" s="1"/>
  <c r="AD245" i="23"/>
  <c r="AD246" i="23" s="1"/>
  <c r="U253" i="23"/>
  <c r="U254" i="23" s="1"/>
  <c r="U255" i="23" s="1"/>
  <c r="U256" i="23" s="1"/>
  <c r="AG244" i="23"/>
  <c r="AG245" i="23" s="1"/>
  <c r="R249" i="23"/>
  <c r="R250" i="23" s="1"/>
  <c r="AA248" i="23"/>
  <c r="O255" i="23"/>
  <c r="O256" i="23" s="1"/>
  <c r="X248" i="23"/>
  <c r="A123" i="23"/>
  <c r="B122" i="23"/>
  <c r="AI196" i="23"/>
  <c r="AJ196" i="23" s="1"/>
  <c r="AM206" i="23"/>
  <c r="AM207" i="23" s="1"/>
  <c r="AM208" i="23" s="1"/>
  <c r="AM209" i="23" s="1"/>
  <c r="AM210" i="23" s="1"/>
  <c r="AN194" i="23" s="1"/>
  <c r="AY19" i="1"/>
  <c r="AX20" i="1"/>
  <c r="U289" i="23" l="1"/>
  <c r="T290" i="23"/>
  <c r="Y290" i="23"/>
  <c r="Z289" i="23"/>
  <c r="AJ287" i="23"/>
  <c r="AI288" i="23"/>
  <c r="P194" i="23"/>
  <c r="BA301" i="23"/>
  <c r="BA291" i="23"/>
  <c r="BA297" i="23"/>
  <c r="BA292" i="23"/>
  <c r="BA302" i="23"/>
  <c r="BA299" i="23"/>
  <c r="BA300" i="23"/>
  <c r="BA287" i="23"/>
  <c r="AW287" i="23"/>
  <c r="BA298" i="23"/>
  <c r="BA295" i="23"/>
  <c r="BA305" i="23"/>
  <c r="AW305" i="23"/>
  <c r="BA307" i="23"/>
  <c r="AW307" i="23"/>
  <c r="BA294" i="23"/>
  <c r="AW306" i="23"/>
  <c r="BA306" i="23"/>
  <c r="AC298" i="23"/>
  <c r="AC299" i="23" s="1"/>
  <c r="BA289" i="23"/>
  <c r="BA296" i="23"/>
  <c r="BA293" i="23"/>
  <c r="AW309" i="23"/>
  <c r="BA309" i="23"/>
  <c r="BB286" i="23"/>
  <c r="BB287" i="23" s="1"/>
  <c r="AR288" i="23"/>
  <c r="AM290" i="23"/>
  <c r="BA308" i="23"/>
  <c r="AW308" i="23"/>
  <c r="BA290" i="23"/>
  <c r="BA288" i="23"/>
  <c r="Y194" i="23"/>
  <c r="Y195" i="23" s="1"/>
  <c r="Z193" i="23"/>
  <c r="T194" i="23"/>
  <c r="T195" i="23" s="1"/>
  <c r="U193" i="23"/>
  <c r="P366" i="23"/>
  <c r="O367" i="23"/>
  <c r="P367" i="23" s="1"/>
  <c r="AC206" i="23"/>
  <c r="AC207" i="23" s="1"/>
  <c r="AC208" i="23" s="1"/>
  <c r="L255" i="23"/>
  <c r="L256" i="23" s="1"/>
  <c r="L257" i="23" s="1"/>
  <c r="L258" i="23" s="1"/>
  <c r="AI197" i="23"/>
  <c r="AJ197" i="23" s="1"/>
  <c r="R251" i="23"/>
  <c r="R252" i="23" s="1"/>
  <c r="R253" i="23" s="1"/>
  <c r="AG246" i="23"/>
  <c r="AA249" i="23"/>
  <c r="AD247" i="23"/>
  <c r="AD248" i="23" s="1"/>
  <c r="O257" i="23"/>
  <c r="O258" i="23" s="1"/>
  <c r="O259" i="23" s="1"/>
  <c r="O260" i="23" s="1"/>
  <c r="X249" i="23"/>
  <c r="U257" i="23"/>
  <c r="U258" i="23" s="1"/>
  <c r="U259" i="23" s="1"/>
  <c r="U260" i="23" s="1"/>
  <c r="A124" i="23"/>
  <c r="B123" i="23"/>
  <c r="P195" i="23"/>
  <c r="O196" i="23"/>
  <c r="AO194" i="23"/>
  <c r="AN195" i="23"/>
  <c r="AX21" i="1"/>
  <c r="AY20" i="1"/>
  <c r="Y291" i="23" l="1"/>
  <c r="Z290" i="23"/>
  <c r="T291" i="23"/>
  <c r="U290" i="23"/>
  <c r="AW288" i="23"/>
  <c r="AI289" i="23"/>
  <c r="AJ288" i="23"/>
  <c r="Z194" i="23"/>
  <c r="BB288" i="23"/>
  <c r="BB308" i="23"/>
  <c r="AM291" i="23"/>
  <c r="AM292" i="23" s="1"/>
  <c r="AM293" i="23" s="1"/>
  <c r="AR289" i="23"/>
  <c r="BB309" i="23"/>
  <c r="AC300" i="23"/>
  <c r="AC301" i="23" s="1"/>
  <c r="AC302" i="23" s="1"/>
  <c r="AC305" i="23" s="1"/>
  <c r="AC306" i="23" s="1"/>
  <c r="AC307" i="23" s="1"/>
  <c r="AC308" i="23" s="1"/>
  <c r="AC309" i="23" s="1"/>
  <c r="AC310" i="23" s="1"/>
  <c r="AC311" i="23" s="1"/>
  <c r="AD288" i="23" s="1"/>
  <c r="BB306" i="23"/>
  <c r="BB307" i="23"/>
  <c r="BB305" i="23"/>
  <c r="U194" i="23"/>
  <c r="AC209" i="23"/>
  <c r="L315" i="23"/>
  <c r="M314" i="23"/>
  <c r="L259" i="23"/>
  <c r="AI198" i="23"/>
  <c r="AI199" i="23" s="1"/>
  <c r="Y196" i="23"/>
  <c r="Z195" i="23"/>
  <c r="U195" i="23"/>
  <c r="T196" i="23"/>
  <c r="U261" i="23"/>
  <c r="R254" i="23"/>
  <c r="AD249" i="23"/>
  <c r="AG247" i="23"/>
  <c r="AG248" i="23" s="1"/>
  <c r="O261" i="23"/>
  <c r="X250" i="23"/>
  <c r="AA250" i="23"/>
  <c r="B124" i="23"/>
  <c r="A125" i="23"/>
  <c r="P196" i="23"/>
  <c r="O197" i="23"/>
  <c r="AN196" i="23"/>
  <c r="AO195" i="23"/>
  <c r="AY21" i="1"/>
  <c r="AX22" i="1"/>
  <c r="T292" i="23" l="1"/>
  <c r="U291" i="23"/>
  <c r="AJ289" i="23"/>
  <c r="AI290" i="23"/>
  <c r="Z291" i="23"/>
  <c r="Y292" i="23"/>
  <c r="AE288" i="23"/>
  <c r="AD289" i="23"/>
  <c r="AE287" i="23"/>
  <c r="BB289" i="23"/>
  <c r="AW289" i="23"/>
  <c r="AW290" i="23" s="1"/>
  <c r="AC210" i="23"/>
  <c r="AE193" i="23" s="1"/>
  <c r="AR290" i="23"/>
  <c r="AM294" i="23"/>
  <c r="AM295" i="23" s="1"/>
  <c r="AM296" i="23" s="1"/>
  <c r="AM297" i="23" s="1"/>
  <c r="AM298" i="23" s="1"/>
  <c r="AM299" i="23" s="1"/>
  <c r="AM300" i="23" s="1"/>
  <c r="AM301" i="23" s="1"/>
  <c r="AM302" i="23" s="1"/>
  <c r="AN288" i="23" s="1"/>
  <c r="AJ198" i="23"/>
  <c r="L260" i="23"/>
  <c r="L261" i="23" s="1"/>
  <c r="T197" i="23"/>
  <c r="U196" i="23"/>
  <c r="Z196" i="23"/>
  <c r="Y197" i="23"/>
  <c r="AA251" i="23"/>
  <c r="AA252" i="23" s="1"/>
  <c r="R255" i="23"/>
  <c r="R256" i="23" s="1"/>
  <c r="X251" i="23"/>
  <c r="X252" i="23" s="1"/>
  <c r="AG249" i="23"/>
  <c r="AG250" i="23" s="1"/>
  <c r="AD250" i="23"/>
  <c r="B125" i="23"/>
  <c r="A126" i="23"/>
  <c r="O198" i="23"/>
  <c r="P197" i="23"/>
  <c r="AN197" i="23"/>
  <c r="AO196" i="23"/>
  <c r="AI200" i="23"/>
  <c r="AJ199" i="23"/>
  <c r="AY22" i="1"/>
  <c r="AX23" i="1"/>
  <c r="AD290" i="23" l="1"/>
  <c r="AE289" i="23"/>
  <c r="AI291" i="23"/>
  <c r="AJ290" i="23"/>
  <c r="Z292" i="23"/>
  <c r="Y293" i="23"/>
  <c r="U292" i="23"/>
  <c r="T293" i="23"/>
  <c r="AD194" i="23"/>
  <c r="AD195" i="23" s="1"/>
  <c r="AE195" i="23" s="1"/>
  <c r="AN289" i="23"/>
  <c r="AO288" i="23"/>
  <c r="BB290" i="23"/>
  <c r="AO287" i="23"/>
  <c r="AW291" i="23"/>
  <c r="AW292" i="23" s="1"/>
  <c r="AW293" i="23" s="1"/>
  <c r="AW294" i="23" s="1"/>
  <c r="AW295" i="23" s="1"/>
  <c r="AW296" i="23" s="1"/>
  <c r="AW297" i="23" s="1"/>
  <c r="AW298" i="23" s="1"/>
  <c r="AW299" i="23" s="1"/>
  <c r="AW300" i="23" s="1"/>
  <c r="AW301" i="23" s="1"/>
  <c r="AW302" i="23" s="1"/>
  <c r="AR291" i="23"/>
  <c r="AR292" i="23" s="1"/>
  <c r="AR293" i="23" s="1"/>
  <c r="AR294" i="23" s="1"/>
  <c r="AR295" i="23" s="1"/>
  <c r="AR296" i="23" s="1"/>
  <c r="AR297" i="23" s="1"/>
  <c r="AR298" i="23" s="1"/>
  <c r="AR299" i="23" s="1"/>
  <c r="AR300" i="23" s="1"/>
  <c r="AR301" i="23" s="1"/>
  <c r="AR302" i="23" s="1"/>
  <c r="AS288" i="23" s="1"/>
  <c r="Z197" i="23"/>
  <c r="Y198" i="23"/>
  <c r="T198" i="23"/>
  <c r="U197" i="23"/>
  <c r="AG251" i="23"/>
  <c r="AG252" i="23" s="1"/>
  <c r="R257" i="23"/>
  <c r="R258" i="23" s="1"/>
  <c r="R259" i="23" s="1"/>
  <c r="R260" i="23" s="1"/>
  <c r="AA253" i="23"/>
  <c r="AA254" i="23" s="1"/>
  <c r="AA255" i="23" s="1"/>
  <c r="X253" i="23"/>
  <c r="X254" i="23" s="1"/>
  <c r="X255" i="23" s="1"/>
  <c r="AD251" i="23"/>
  <c r="A127" i="23"/>
  <c r="B126" i="23"/>
  <c r="O199" i="23"/>
  <c r="P198" i="23"/>
  <c r="AO197" i="23"/>
  <c r="AN198" i="23"/>
  <c r="AI201" i="23"/>
  <c r="AJ200" i="23"/>
  <c r="AY23" i="1"/>
  <c r="AX24" i="1"/>
  <c r="AN290" i="23" l="1"/>
  <c r="AO289" i="23"/>
  <c r="U293" i="23"/>
  <c r="T294" i="23"/>
  <c r="AJ291" i="23"/>
  <c r="AI292" i="23"/>
  <c r="Y294" i="23"/>
  <c r="Z293" i="23"/>
  <c r="AE290" i="23"/>
  <c r="AD291" i="23"/>
  <c r="AD196" i="23"/>
  <c r="AD197" i="23" s="1"/>
  <c r="AE194" i="23"/>
  <c r="AS289" i="23"/>
  <c r="AT288" i="23"/>
  <c r="AY287" i="23"/>
  <c r="AX288" i="23"/>
  <c r="AT287" i="23"/>
  <c r="BB291" i="23"/>
  <c r="T199" i="23"/>
  <c r="U198" i="23"/>
  <c r="Z198" i="23"/>
  <c r="Y199" i="23"/>
  <c r="X256" i="23"/>
  <c r="X257" i="23" s="1"/>
  <c r="X258" i="23" s="1"/>
  <c r="X259" i="23" s="1"/>
  <c r="X260" i="23" s="1"/>
  <c r="AG253" i="23"/>
  <c r="AG254" i="23" s="1"/>
  <c r="AG255" i="23" s="1"/>
  <c r="AA256" i="23"/>
  <c r="AD252" i="23"/>
  <c r="R261" i="23"/>
  <c r="A128" i="23"/>
  <c r="B127" i="23"/>
  <c r="O200" i="23"/>
  <c r="P199" i="23"/>
  <c r="AN199" i="23"/>
  <c r="AO198" i="23"/>
  <c r="AI202" i="23"/>
  <c r="AJ201" i="23"/>
  <c r="AX25" i="1"/>
  <c r="AY24" i="1"/>
  <c r="AE196" i="23" l="1"/>
  <c r="T295" i="23"/>
  <c r="U294" i="23"/>
  <c r="Y295" i="23"/>
  <c r="Z294" i="23"/>
  <c r="AT289" i="23"/>
  <c r="AS290" i="23"/>
  <c r="AE291" i="23"/>
  <c r="AD292" i="23"/>
  <c r="AI293" i="23"/>
  <c r="AJ292" i="23"/>
  <c r="AO290" i="23"/>
  <c r="AN291" i="23"/>
  <c r="BB292" i="23"/>
  <c r="AX289" i="23"/>
  <c r="AY288" i="23"/>
  <c r="AD198" i="23"/>
  <c r="AE197" i="23"/>
  <c r="Z199" i="23"/>
  <c r="Y200" i="23"/>
  <c r="T200" i="23"/>
  <c r="U199" i="23"/>
  <c r="AG256" i="23"/>
  <c r="AG257" i="23" s="1"/>
  <c r="AG258" i="23" s="1"/>
  <c r="AG259" i="23" s="1"/>
  <c r="AG260" i="23" s="1"/>
  <c r="X261" i="23"/>
  <c r="AA257" i="23"/>
  <c r="AA258" i="23" s="1"/>
  <c r="AA259" i="23" s="1"/>
  <c r="AA260" i="23" s="1"/>
  <c r="AD253" i="23"/>
  <c r="B128" i="23"/>
  <c r="A129" i="23"/>
  <c r="O201" i="23"/>
  <c r="P200" i="23"/>
  <c r="AO199" i="23"/>
  <c r="AN200" i="23"/>
  <c r="AI203" i="23"/>
  <c r="AJ202" i="23"/>
  <c r="AY25" i="1"/>
  <c r="AX26" i="1"/>
  <c r="AN292" i="23" l="1"/>
  <c r="AO291" i="23"/>
  <c r="AD293" i="23"/>
  <c r="AE292" i="23"/>
  <c r="AY289" i="23"/>
  <c r="AX290" i="23"/>
  <c r="Y296" i="23"/>
  <c r="Z295" i="23"/>
  <c r="AS291" i="23"/>
  <c r="AT290" i="23"/>
  <c r="AI294" i="23"/>
  <c r="AJ293" i="23"/>
  <c r="T296" i="23"/>
  <c r="U295" i="23"/>
  <c r="BB293" i="23"/>
  <c r="BB294" i="23" s="1"/>
  <c r="BB295" i="23" s="1"/>
  <c r="BB296" i="23" s="1"/>
  <c r="BB297" i="23" s="1"/>
  <c r="BB298" i="23" s="1"/>
  <c r="BB299" i="23" s="1"/>
  <c r="BB300" i="23" s="1"/>
  <c r="BB301" i="23" s="1"/>
  <c r="BB302" i="23" s="1"/>
  <c r="BC288" i="23" s="1"/>
  <c r="AD199" i="23"/>
  <c r="AE198" i="23"/>
  <c r="U200" i="23"/>
  <c r="T201" i="23"/>
  <c r="Y201" i="23"/>
  <c r="Z200" i="23"/>
  <c r="AA261" i="23"/>
  <c r="AD254" i="23"/>
  <c r="AD255" i="23" s="1"/>
  <c r="AG261" i="23"/>
  <c r="B129" i="23"/>
  <c r="A130" i="23"/>
  <c r="O202" i="23"/>
  <c r="P201" i="23"/>
  <c r="AO200" i="23"/>
  <c r="AN201" i="23"/>
  <c r="AI204" i="23"/>
  <c r="AJ203" i="23"/>
  <c r="AX27" i="1"/>
  <c r="AY26" i="1"/>
  <c r="AJ294" i="23" l="1"/>
  <c r="AI295" i="23"/>
  <c r="Z296" i="23"/>
  <c r="Y297" i="23"/>
  <c r="AE293" i="23"/>
  <c r="AD294" i="23"/>
  <c r="AY290" i="23"/>
  <c r="AX291" i="23"/>
  <c r="T297" i="23"/>
  <c r="U296" i="23"/>
  <c r="AT291" i="23"/>
  <c r="AS292" i="23"/>
  <c r="AN293" i="23"/>
  <c r="AO292" i="23"/>
  <c r="BD288" i="23"/>
  <c r="BC289" i="23"/>
  <c r="BD287" i="23"/>
  <c r="AD200" i="23"/>
  <c r="AE199" i="23"/>
  <c r="Z201" i="23"/>
  <c r="Y202" i="23"/>
  <c r="U201" i="23"/>
  <c r="T202" i="23"/>
  <c r="AD256" i="23"/>
  <c r="A131" i="23"/>
  <c r="B130" i="23"/>
  <c r="O203" i="23"/>
  <c r="P202" i="23"/>
  <c r="AO201" i="23"/>
  <c r="AN202" i="23"/>
  <c r="AI205" i="23"/>
  <c r="AJ204" i="23"/>
  <c r="AY27" i="1"/>
  <c r="AX28" i="1"/>
  <c r="AS293" i="23" l="1"/>
  <c r="AT292" i="23"/>
  <c r="AX292" i="23"/>
  <c r="AY291" i="23"/>
  <c r="Y298" i="23"/>
  <c r="Z297" i="23"/>
  <c r="BD289" i="23"/>
  <c r="BC290" i="23"/>
  <c r="AE294" i="23"/>
  <c r="AD295" i="23"/>
  <c r="AI296" i="23"/>
  <c r="AJ295" i="23"/>
  <c r="AN294" i="23"/>
  <c r="AO293" i="23"/>
  <c r="U297" i="23"/>
  <c r="T298" i="23"/>
  <c r="AD201" i="23"/>
  <c r="AE200" i="23"/>
  <c r="U202" i="23"/>
  <c r="T203" i="23"/>
  <c r="Y203" i="23"/>
  <c r="Z202" i="23"/>
  <c r="AD257" i="23"/>
  <c r="AD258" i="23" s="1"/>
  <c r="AD259" i="23" s="1"/>
  <c r="AD260" i="23" s="1"/>
  <c r="A132" i="23"/>
  <c r="B131" i="23"/>
  <c r="P203" i="23"/>
  <c r="O204" i="23"/>
  <c r="AO202" i="23"/>
  <c r="AN203" i="23"/>
  <c r="AI206" i="23"/>
  <c r="AJ205" i="23"/>
  <c r="AX29" i="1"/>
  <c r="AY28" i="1"/>
  <c r="T299" i="23" l="1"/>
  <c r="U298" i="23"/>
  <c r="BD290" i="23"/>
  <c r="BC291" i="23"/>
  <c r="AI297" i="23"/>
  <c r="AJ296" i="23"/>
  <c r="AY292" i="23"/>
  <c r="AX293" i="23"/>
  <c r="AD296" i="23"/>
  <c r="AE295" i="23"/>
  <c r="AO294" i="23"/>
  <c r="AN295" i="23"/>
  <c r="Z298" i="23"/>
  <c r="Y299" i="23"/>
  <c r="AS294" i="23"/>
  <c r="AT293" i="23"/>
  <c r="AD202" i="23"/>
  <c r="AE201" i="23"/>
  <c r="Z203" i="23"/>
  <c r="Y204" i="23"/>
  <c r="U203" i="23"/>
  <c r="T204" i="23"/>
  <c r="AD261" i="23"/>
  <c r="B132" i="23"/>
  <c r="A133" i="23"/>
  <c r="O205" i="23"/>
  <c r="P204" i="23"/>
  <c r="AO203" i="23"/>
  <c r="AN204" i="23"/>
  <c r="AI207" i="23"/>
  <c r="AJ206" i="23"/>
  <c r="AX30" i="1"/>
  <c r="AY29" i="1"/>
  <c r="AO295" i="23" l="1"/>
  <c r="AN296" i="23"/>
  <c r="AY293" i="23"/>
  <c r="AX294" i="23"/>
  <c r="BD291" i="23"/>
  <c r="BC292" i="23"/>
  <c r="AT294" i="23"/>
  <c r="AS295" i="23"/>
  <c r="Y300" i="23"/>
  <c r="Z299" i="23"/>
  <c r="AE296" i="23"/>
  <c r="AD297" i="23"/>
  <c r="AI298" i="23"/>
  <c r="AJ297" i="23"/>
  <c r="U299" i="23"/>
  <c r="T300" i="23"/>
  <c r="AE202" i="23"/>
  <c r="AD203" i="23"/>
  <c r="T205" i="23"/>
  <c r="U204" i="23"/>
  <c r="Z204" i="23"/>
  <c r="Y205" i="23"/>
  <c r="B133" i="23"/>
  <c r="A134" i="23"/>
  <c r="O206" i="23"/>
  <c r="P205" i="23"/>
  <c r="AN205" i="23"/>
  <c r="AO204" i="23"/>
  <c r="AI208" i="23"/>
  <c r="AJ207" i="23"/>
  <c r="AX31" i="1"/>
  <c r="AY30" i="1"/>
  <c r="U300" i="23" l="1"/>
  <c r="T301" i="23"/>
  <c r="AD298" i="23"/>
  <c r="AE297" i="23"/>
  <c r="AS296" i="23"/>
  <c r="AT295" i="23"/>
  <c r="AX295" i="23"/>
  <c r="AY294" i="23"/>
  <c r="BD292" i="23"/>
  <c r="BC293" i="23"/>
  <c r="AN297" i="23"/>
  <c r="AO296" i="23"/>
  <c r="AJ298" i="23"/>
  <c r="AI299" i="23"/>
  <c r="Z300" i="23"/>
  <c r="Y301" i="23"/>
  <c r="AD204" i="23"/>
  <c r="AE203" i="23"/>
  <c r="Z205" i="23"/>
  <c r="Y206" i="23"/>
  <c r="T206" i="23"/>
  <c r="U205" i="23"/>
  <c r="A135" i="23"/>
  <c r="B134" i="23"/>
  <c r="O207" i="23"/>
  <c r="P206" i="23"/>
  <c r="AO205" i="23"/>
  <c r="AN206" i="23"/>
  <c r="AI209" i="23"/>
  <c r="AJ208" i="23"/>
  <c r="AX32" i="1"/>
  <c r="AY31" i="1"/>
  <c r="Z301" i="23" l="1"/>
  <c r="Y302" i="23"/>
  <c r="AN298" i="23"/>
  <c r="AO297" i="23"/>
  <c r="AX296" i="23"/>
  <c r="AY295" i="23"/>
  <c r="AE298" i="23"/>
  <c r="AD299" i="23"/>
  <c r="AI300" i="23"/>
  <c r="AJ299" i="23"/>
  <c r="BC294" i="23"/>
  <c r="BD293" i="23"/>
  <c r="T302" i="23"/>
  <c r="U301" i="23"/>
  <c r="AS297" i="23"/>
  <c r="AT296" i="23"/>
  <c r="AE204" i="23"/>
  <c r="AD205" i="23"/>
  <c r="T207" i="23"/>
  <c r="U206" i="23"/>
  <c r="Y207" i="23"/>
  <c r="Z206" i="23"/>
  <c r="A136" i="23"/>
  <c r="B135" i="23"/>
  <c r="O208" i="23"/>
  <c r="P207" i="23"/>
  <c r="AO206" i="23"/>
  <c r="AN207" i="23"/>
  <c r="AI210" i="23"/>
  <c r="AJ210" i="23" s="1"/>
  <c r="AJ209" i="23"/>
  <c r="AX33" i="1"/>
  <c r="AY32" i="1"/>
  <c r="AD300" i="23" l="1"/>
  <c r="AE299" i="23"/>
  <c r="AS298" i="23"/>
  <c r="AT297" i="23"/>
  <c r="BC295" i="23"/>
  <c r="BD294" i="23"/>
  <c r="AN299" i="23"/>
  <c r="AO298" i="23"/>
  <c r="Y303" i="23"/>
  <c r="Z302" i="23"/>
  <c r="U302" i="23"/>
  <c r="T303" i="23"/>
  <c r="AJ300" i="23"/>
  <c r="AI301" i="23"/>
  <c r="AY296" i="23"/>
  <c r="AX297" i="23"/>
  <c r="AD206" i="23"/>
  <c r="AE205" i="23"/>
  <c r="Z207" i="23"/>
  <c r="Y208" i="23"/>
  <c r="T208" i="23"/>
  <c r="U207" i="23"/>
  <c r="B136" i="23"/>
  <c r="A137" i="23"/>
  <c r="P208" i="23"/>
  <c r="O209" i="23"/>
  <c r="AO207" i="23"/>
  <c r="AN208" i="23"/>
  <c r="AY33" i="1"/>
  <c r="AX34" i="1"/>
  <c r="AX298" i="23" l="1"/>
  <c r="AY297" i="23"/>
  <c r="T304" i="23"/>
  <c r="U303" i="23"/>
  <c r="AO299" i="23"/>
  <c r="AN300" i="23"/>
  <c r="AS299" i="23"/>
  <c r="AT298" i="23"/>
  <c r="AI302" i="23"/>
  <c r="AJ301" i="23"/>
  <c r="Z303" i="23"/>
  <c r="Y304" i="23"/>
  <c r="BD295" i="23"/>
  <c r="BC296" i="23"/>
  <c r="AE300" i="23"/>
  <c r="AD301" i="23"/>
  <c r="AE206" i="23"/>
  <c r="AD207" i="23"/>
  <c r="T209" i="23"/>
  <c r="U208" i="23"/>
  <c r="Y209" i="23"/>
  <c r="Z208" i="23"/>
  <c r="B137" i="23"/>
  <c r="A138" i="23"/>
  <c r="O210" i="23"/>
  <c r="P210" i="23" s="1"/>
  <c r="P209" i="23"/>
  <c r="AO208" i="23"/>
  <c r="AN209" i="23"/>
  <c r="AX35" i="1"/>
  <c r="AY34" i="1"/>
  <c r="AD302" i="23" l="1"/>
  <c r="AE301" i="23"/>
  <c r="Z304" i="23"/>
  <c r="Y305" i="23"/>
  <c r="AS300" i="23"/>
  <c r="AT299" i="23"/>
  <c r="U304" i="23"/>
  <c r="T305" i="23"/>
  <c r="BD296" i="23"/>
  <c r="BC297" i="23"/>
  <c r="AO300" i="23"/>
  <c r="AN301" i="23"/>
  <c r="AI303" i="23"/>
  <c r="AJ302" i="23"/>
  <c r="AX299" i="23"/>
  <c r="AY298" i="23"/>
  <c r="AE207" i="23"/>
  <c r="AD208" i="23"/>
  <c r="Y210" i="23"/>
  <c r="Z210" i="23" s="1"/>
  <c r="Z209" i="23"/>
  <c r="T210" i="23"/>
  <c r="U210" i="23" s="1"/>
  <c r="U209" i="23"/>
  <c r="A139" i="23"/>
  <c r="B138" i="23"/>
  <c r="AO209" i="23"/>
  <c r="AN210" i="23"/>
  <c r="AO210" i="23" s="1"/>
  <c r="AX36" i="1"/>
  <c r="AY35" i="1"/>
  <c r="AN302" i="23" l="1"/>
  <c r="AO301" i="23"/>
  <c r="U305" i="23"/>
  <c r="T306" i="23"/>
  <c r="Y306" i="23"/>
  <c r="Z305" i="23"/>
  <c r="AX300" i="23"/>
  <c r="AY299" i="23"/>
  <c r="BC298" i="23"/>
  <c r="BD297" i="23"/>
  <c r="AI304" i="23"/>
  <c r="AJ303" i="23"/>
  <c r="AS301" i="23"/>
  <c r="AT300" i="23"/>
  <c r="AD303" i="23"/>
  <c r="AE302" i="23"/>
  <c r="AD209" i="23"/>
  <c r="AE208" i="23"/>
  <c r="A140" i="23"/>
  <c r="B139" i="23"/>
  <c r="AY36" i="1"/>
  <c r="AX37" i="1"/>
  <c r="T307" i="23" l="1"/>
  <c r="U306" i="23"/>
  <c r="AD304" i="23"/>
  <c r="AE303" i="23"/>
  <c r="AJ304" i="23"/>
  <c r="AI305" i="23"/>
  <c r="AY300" i="23"/>
  <c r="AX301" i="23"/>
  <c r="AT301" i="23"/>
  <c r="AS302" i="23"/>
  <c r="BD298" i="23"/>
  <c r="BC299" i="23"/>
  <c r="Y307" i="23"/>
  <c r="Z306" i="23"/>
  <c r="AO302" i="23"/>
  <c r="AN303" i="23"/>
  <c r="AD210" i="23"/>
  <c r="AE210" i="23" s="1"/>
  <c r="AE209" i="23"/>
  <c r="B140" i="23"/>
  <c r="A141" i="23"/>
  <c r="AX38" i="1"/>
  <c r="AY37" i="1"/>
  <c r="AO303" i="23" l="1"/>
  <c r="AN304" i="23"/>
  <c r="BD299" i="23"/>
  <c r="BC300" i="23"/>
  <c r="AY301" i="23"/>
  <c r="AX302" i="23"/>
  <c r="AE304" i="23"/>
  <c r="AD305" i="23"/>
  <c r="AT302" i="23"/>
  <c r="AS303" i="23"/>
  <c r="AJ305" i="23"/>
  <c r="AI306" i="23"/>
  <c r="Z307" i="23"/>
  <c r="Y308" i="23"/>
  <c r="U307" i="23"/>
  <c r="T308" i="23"/>
  <c r="B141" i="23"/>
  <c r="A142" i="23"/>
  <c r="AY38" i="1"/>
  <c r="AX39" i="1"/>
  <c r="T309" i="23" l="1"/>
  <c r="U308" i="23"/>
  <c r="AI307" i="23"/>
  <c r="AJ306" i="23"/>
  <c r="AE305" i="23"/>
  <c r="AD306" i="23"/>
  <c r="BC301" i="23"/>
  <c r="BD300" i="23"/>
  <c r="Y309" i="23"/>
  <c r="Z308" i="23"/>
  <c r="AS304" i="23"/>
  <c r="AT303" i="23"/>
  <c r="AY302" i="23"/>
  <c r="AX303" i="23"/>
  <c r="AN305" i="23"/>
  <c r="AO304" i="23"/>
  <c r="A143" i="23"/>
  <c r="B142" i="23"/>
  <c r="AY39" i="1"/>
  <c r="AX40" i="1"/>
  <c r="AO305" i="23" l="1"/>
  <c r="AN306" i="23"/>
  <c r="AS305" i="23"/>
  <c r="AT304" i="23"/>
  <c r="BD301" i="23"/>
  <c r="BC302" i="23"/>
  <c r="AI308" i="23"/>
  <c r="AJ307" i="23"/>
  <c r="AY303" i="23"/>
  <c r="AX304" i="23"/>
  <c r="AD307" i="23"/>
  <c r="AE306" i="23"/>
  <c r="Z309" i="23"/>
  <c r="Y310" i="23"/>
  <c r="U309" i="23"/>
  <c r="T310" i="23"/>
  <c r="A144" i="23"/>
  <c r="B143" i="23"/>
  <c r="AX41" i="1"/>
  <c r="AY40" i="1"/>
  <c r="T311" i="23" l="1"/>
  <c r="U311" i="23" s="1"/>
  <c r="U310" i="23"/>
  <c r="AD308" i="23"/>
  <c r="AE307" i="23"/>
  <c r="AI309" i="23"/>
  <c r="AJ308" i="23"/>
  <c r="AT305" i="23"/>
  <c r="AS306" i="23"/>
  <c r="Y311" i="23"/>
  <c r="Z311" i="23" s="1"/>
  <c r="Z310" i="23"/>
  <c r="AX305" i="23"/>
  <c r="AY304" i="23"/>
  <c r="BC303" i="23"/>
  <c r="BD302" i="23"/>
  <c r="AN307" i="23"/>
  <c r="AO306" i="23"/>
  <c r="B144" i="23"/>
  <c r="A145" i="23"/>
  <c r="AY41" i="1"/>
  <c r="AX42" i="1"/>
  <c r="AT306" i="23" l="1"/>
  <c r="AS307" i="23"/>
  <c r="AN308" i="23"/>
  <c r="AO307" i="23"/>
  <c r="AY305" i="23"/>
  <c r="AX306" i="23"/>
  <c r="AE308" i="23"/>
  <c r="AD309" i="23"/>
  <c r="BC304" i="23"/>
  <c r="BD303" i="23"/>
  <c r="AJ309" i="23"/>
  <c r="AI310" i="23"/>
  <c r="B145" i="23"/>
  <c r="A146" i="23"/>
  <c r="AX43" i="1"/>
  <c r="AY42" i="1"/>
  <c r="AI311" i="23" l="1"/>
  <c r="AJ311" i="23" s="1"/>
  <c r="AJ310" i="23"/>
  <c r="AE309" i="23"/>
  <c r="AD310" i="23"/>
  <c r="AN309" i="23"/>
  <c r="AO308" i="23"/>
  <c r="AX307" i="23"/>
  <c r="AY306" i="23"/>
  <c r="AS308" i="23"/>
  <c r="AT307" i="23"/>
  <c r="BC305" i="23"/>
  <c r="BD304" i="23"/>
  <c r="A147" i="23"/>
  <c r="B146" i="23"/>
  <c r="AX44" i="1"/>
  <c r="AY43" i="1"/>
  <c r="AE310" i="23" l="1"/>
  <c r="AD311" i="23"/>
  <c r="AE311" i="23" s="1"/>
  <c r="BD305" i="23"/>
  <c r="BC306" i="23"/>
  <c r="AY307" i="23"/>
  <c r="AX308" i="23"/>
  <c r="AT308" i="23"/>
  <c r="AS309" i="23"/>
  <c r="AO309" i="23"/>
  <c r="AN310" i="23"/>
  <c r="A148" i="23"/>
  <c r="B147" i="23"/>
  <c r="AX45" i="1"/>
  <c r="AY44" i="1"/>
  <c r="AT309" i="23" l="1"/>
  <c r="AS310" i="23"/>
  <c r="BD306" i="23"/>
  <c r="BC307" i="23"/>
  <c r="AY308" i="23"/>
  <c r="AX309" i="23"/>
  <c r="AO310" i="23"/>
  <c r="AN311" i="23"/>
  <c r="AO311" i="23" s="1"/>
  <c r="B148" i="23"/>
  <c r="A149" i="23"/>
  <c r="AX46" i="1"/>
  <c r="AY45" i="1"/>
  <c r="BC308" i="23" l="1"/>
  <c r="BD307" i="23"/>
  <c r="AX310" i="23"/>
  <c r="AY309" i="23"/>
  <c r="AS311" i="23"/>
  <c r="AT311" i="23" s="1"/>
  <c r="AT310" i="23"/>
  <c r="B149" i="23"/>
  <c r="A150" i="23"/>
  <c r="AX47" i="1"/>
  <c r="AY46" i="1"/>
  <c r="AX311" i="23" l="1"/>
  <c r="AY311" i="23" s="1"/>
  <c r="AY310" i="23"/>
  <c r="BD308" i="23"/>
  <c r="BC309" i="23"/>
  <c r="A151" i="23"/>
  <c r="B150" i="23"/>
  <c r="AX48" i="1"/>
  <c r="AY47" i="1"/>
  <c r="BD309" i="23" l="1"/>
  <c r="BC310" i="23"/>
  <c r="A152" i="23"/>
  <c r="B151" i="23"/>
  <c r="AX49" i="1"/>
  <c r="AY48" i="1"/>
  <c r="BC311" i="23" l="1"/>
  <c r="BD311" i="23" s="1"/>
  <c r="BD310" i="23"/>
  <c r="B152" i="23"/>
  <c r="A153" i="23"/>
  <c r="AY49" i="1"/>
  <c r="AX50" i="1"/>
  <c r="B153" i="23" l="1"/>
  <c r="A154" i="23"/>
  <c r="AY50" i="1"/>
  <c r="AX51" i="1"/>
  <c r="A155" i="23" l="1"/>
  <c r="B154" i="23"/>
  <c r="AX52" i="1"/>
  <c r="AY51" i="1"/>
  <c r="A156" i="23" l="1"/>
  <c r="B155" i="23"/>
  <c r="AX53" i="1"/>
  <c r="AY52" i="1"/>
  <c r="B156" i="23" l="1"/>
  <c r="A157" i="23"/>
  <c r="AX54" i="1"/>
  <c r="AY53" i="1"/>
  <c r="B157" i="23" l="1"/>
  <c r="A158" i="23"/>
  <c r="AX55" i="1"/>
  <c r="AY54" i="1"/>
  <c r="A159" i="23" l="1"/>
  <c r="B158" i="23"/>
  <c r="AX56" i="1"/>
  <c r="AY55" i="1"/>
  <c r="A160" i="23" l="1"/>
  <c r="B159" i="23"/>
  <c r="AX57" i="1"/>
  <c r="AY56" i="1"/>
  <c r="A161" i="23" l="1"/>
  <c r="B160" i="23"/>
  <c r="AY57" i="1"/>
  <c r="AX58" i="1"/>
  <c r="B161" i="23" l="1"/>
  <c r="A162" i="23"/>
  <c r="AY58" i="1"/>
  <c r="AX59" i="1"/>
  <c r="B162" i="23" l="1"/>
  <c r="A163" i="23"/>
  <c r="AY59" i="1"/>
  <c r="AX60" i="1"/>
  <c r="A164" i="23" l="1"/>
  <c r="B163" i="23"/>
  <c r="AX61" i="1"/>
  <c r="AY60" i="1"/>
  <c r="A165" i="23" l="1"/>
  <c r="B164" i="23"/>
  <c r="AX62" i="1"/>
  <c r="AY61" i="1"/>
  <c r="B165" i="23" l="1"/>
  <c r="A166" i="23"/>
  <c r="AX63" i="1"/>
  <c r="AY62" i="1"/>
  <c r="B166" i="23" l="1"/>
  <c r="A167" i="23"/>
  <c r="AY63" i="1"/>
  <c r="AX64" i="1"/>
  <c r="A168" i="23" l="1"/>
  <c r="B167" i="23"/>
  <c r="AY64" i="1"/>
  <c r="AX65" i="1"/>
  <c r="A169" i="23" l="1"/>
  <c r="B168" i="23"/>
  <c r="AY65" i="1"/>
  <c r="AX66" i="1"/>
  <c r="B169" i="23" l="1"/>
  <c r="A170" i="23"/>
  <c r="AY66" i="1"/>
  <c r="AX67" i="1"/>
  <c r="B170" i="23" l="1"/>
  <c r="A171" i="23"/>
  <c r="AY67" i="1"/>
  <c r="AX68" i="1"/>
  <c r="A172" i="23" l="1"/>
  <c r="B171" i="23"/>
  <c r="AY68" i="1"/>
  <c r="AX69" i="1"/>
  <c r="A173" i="23" l="1"/>
  <c r="B172" i="23"/>
  <c r="AY69" i="1"/>
  <c r="AX70" i="1"/>
  <c r="A174" i="23" l="1"/>
  <c r="B173" i="23"/>
  <c r="AY70" i="1"/>
  <c r="AX71" i="1"/>
  <c r="A175" i="23" l="1"/>
  <c r="B174" i="23"/>
  <c r="AX72" i="1"/>
  <c r="AY71" i="1"/>
  <c r="A176" i="23" l="1"/>
  <c r="B175" i="23"/>
  <c r="AX73" i="1"/>
  <c r="AY72" i="1"/>
  <c r="A177" i="23" l="1"/>
  <c r="B176" i="23"/>
  <c r="AX74" i="1"/>
  <c r="AY73" i="1"/>
  <c r="A178" i="23" l="1"/>
  <c r="B177" i="23"/>
  <c r="AY74" i="1"/>
  <c r="AX75" i="1"/>
  <c r="B178" i="23" l="1"/>
  <c r="A179" i="23"/>
  <c r="AX76" i="1"/>
  <c r="AY75" i="1"/>
  <c r="A180" i="23" l="1"/>
  <c r="B179" i="23"/>
  <c r="AX77" i="1"/>
  <c r="AY76" i="1"/>
  <c r="A181" i="23" l="1"/>
  <c r="B180" i="23"/>
  <c r="AX78" i="1"/>
  <c r="AY77" i="1"/>
  <c r="B181" i="23" l="1"/>
  <c r="A182" i="23"/>
  <c r="AY78" i="1"/>
  <c r="AX79" i="1"/>
  <c r="A183" i="23" l="1"/>
  <c r="B182" i="23"/>
  <c r="AX80" i="1"/>
  <c r="AY79" i="1"/>
  <c r="A184" i="23" l="1"/>
  <c r="B183" i="23"/>
  <c r="AY80" i="1"/>
  <c r="AX81" i="1"/>
  <c r="B184" i="23" l="1"/>
  <c r="A185" i="23"/>
  <c r="AY81" i="1"/>
  <c r="AX82" i="1"/>
  <c r="B185" i="23" l="1"/>
  <c r="A186" i="23"/>
  <c r="AX83" i="1"/>
  <c r="AY82" i="1"/>
  <c r="B186" i="23" l="1"/>
  <c r="A187" i="23"/>
  <c r="AX84" i="1"/>
  <c r="AY83" i="1"/>
  <c r="A188" i="23" l="1"/>
  <c r="B187" i="23"/>
  <c r="AX85" i="1"/>
  <c r="AY84" i="1"/>
  <c r="B188" i="23" l="1"/>
  <c r="A189" i="23"/>
  <c r="AX86" i="1"/>
  <c r="AY85" i="1"/>
  <c r="B189" i="23" l="1"/>
  <c r="A190" i="23"/>
  <c r="AX87" i="1"/>
  <c r="AY86" i="1"/>
  <c r="B190" i="23" l="1"/>
  <c r="A191" i="23"/>
  <c r="AX88" i="1"/>
  <c r="AY87" i="1"/>
  <c r="A192" i="23" l="1"/>
  <c r="B191" i="23"/>
  <c r="AX89" i="1"/>
  <c r="AY88" i="1"/>
  <c r="A193" i="23" l="1"/>
  <c r="B192" i="23"/>
  <c r="AY89" i="1"/>
  <c r="AX90" i="1"/>
  <c r="B193" i="23" l="1"/>
  <c r="A194" i="23"/>
  <c r="AX91" i="1"/>
  <c r="AY90" i="1"/>
  <c r="B194" i="23" l="1"/>
  <c r="A195" i="23"/>
  <c r="AY91" i="1"/>
  <c r="AX92" i="1"/>
  <c r="B195" i="23" l="1"/>
  <c r="A196" i="23"/>
  <c r="AX93" i="1"/>
  <c r="AY92" i="1"/>
  <c r="A197" i="23" l="1"/>
  <c r="B196" i="23"/>
  <c r="AX94" i="1"/>
  <c r="AY93" i="1"/>
  <c r="B197" i="23" l="1"/>
  <c r="A198" i="23"/>
  <c r="AX95" i="1"/>
  <c r="AY94" i="1"/>
  <c r="A199" i="23" l="1"/>
  <c r="B198" i="23"/>
  <c r="AX96" i="1"/>
  <c r="AY95" i="1"/>
  <c r="B199" i="23" l="1"/>
  <c r="A200" i="23"/>
  <c r="AX97" i="1"/>
  <c r="AY96" i="1"/>
  <c r="B200" i="23" l="1"/>
  <c r="A201" i="23"/>
  <c r="AY97" i="1"/>
  <c r="AX98" i="1"/>
  <c r="A202" i="23" l="1"/>
  <c r="B201" i="23"/>
  <c r="AX99" i="1"/>
  <c r="AY98" i="1"/>
  <c r="B202" i="23" l="1"/>
  <c r="A203" i="23"/>
  <c r="AX100" i="1"/>
  <c r="AY99" i="1"/>
  <c r="A204" i="23" l="1"/>
  <c r="B203" i="23"/>
  <c r="AX101" i="1"/>
  <c r="AY100" i="1"/>
  <c r="D28" i="7"/>
  <c r="AO14" i="7"/>
  <c r="AU14" i="7" s="1"/>
  <c r="AO10" i="7"/>
  <c r="AU10" i="7" s="1"/>
  <c r="AL6" i="7"/>
  <c r="AR7" i="7" s="1"/>
  <c r="AO22" i="7"/>
  <c r="AU22" i="7" s="1"/>
  <c r="AL19" i="7"/>
  <c r="AR20" i="7" s="1"/>
  <c r="AL15" i="7"/>
  <c r="AR16" i="7" s="1"/>
  <c r="AL11" i="7"/>
  <c r="AR12" i="7" s="1"/>
  <c r="AO7" i="7"/>
  <c r="AU7" i="7" s="1"/>
  <c r="AL24" i="7"/>
  <c r="AL9" i="7"/>
  <c r="AR10" i="7" s="1"/>
  <c r="AO13" i="1"/>
  <c r="AL20" i="7"/>
  <c r="AR21" i="7" s="1"/>
  <c r="AN13" i="1"/>
  <c r="G26" i="7"/>
  <c r="AO15" i="7"/>
  <c r="AU15" i="7" s="1"/>
  <c r="G27" i="7"/>
  <c r="AO16" i="7"/>
  <c r="AU16" i="7" s="1"/>
  <c r="Y2" i="18"/>
  <c r="Y1" i="18"/>
  <c r="AL21" i="7"/>
  <c r="AR22" i="7" s="1"/>
  <c r="AL10" i="7"/>
  <c r="AR11" i="7" s="1"/>
  <c r="BI49" i="1"/>
  <c r="AO19" i="7"/>
  <c r="AU19" i="7" s="1"/>
  <c r="AO12" i="7"/>
  <c r="AU12" i="7" s="1"/>
  <c r="AO23" i="7"/>
  <c r="AU23" i="7" s="1"/>
  <c r="D26" i="7"/>
  <c r="AL12" i="7"/>
  <c r="AR13" i="7" s="1"/>
  <c r="BL13" i="1"/>
  <c r="AI13" i="7"/>
  <c r="G28" i="7"/>
  <c r="AG13" i="7"/>
  <c r="AO17" i="7"/>
  <c r="AU17" i="7" s="1"/>
  <c r="AO11" i="7"/>
  <c r="AU11" i="7" s="1"/>
  <c r="AO24" i="7"/>
  <c r="AU24" i="7" s="1"/>
  <c r="AL17" i="7"/>
  <c r="AR18" i="7" s="1"/>
  <c r="AO9" i="7"/>
  <c r="AU9" i="7" s="1"/>
  <c r="AL22" i="7"/>
  <c r="AR23" i="7" s="1"/>
  <c r="AL23" i="7"/>
  <c r="AR24" i="7" s="1"/>
  <c r="AL8" i="7"/>
  <c r="AR9" i="7" s="1"/>
  <c r="AL14" i="7"/>
  <c r="AR15" i="7" s="1"/>
  <c r="AO18" i="7"/>
  <c r="AU18" i="7" s="1"/>
  <c r="AL18" i="7"/>
  <c r="AR19" i="7" s="1"/>
  <c r="AO21" i="7"/>
  <c r="AU21" i="7" s="1"/>
  <c r="D27" i="7"/>
  <c r="AO8" i="7"/>
  <c r="AU8" i="7" s="1"/>
  <c r="AL13" i="7"/>
  <c r="AR14" i="7" s="1"/>
  <c r="AO20" i="7"/>
  <c r="AU20" i="7" s="1"/>
  <c r="AL16" i="7"/>
  <c r="AR17" i="7" s="1"/>
  <c r="AL7" i="7"/>
  <c r="AR8" i="7" s="1"/>
  <c r="AO6" i="7"/>
  <c r="AU6" i="7" s="1"/>
  <c r="AO13" i="7"/>
  <c r="AU13" i="7" s="1"/>
  <c r="AI14" i="7"/>
  <c r="AH14" i="7" s="1"/>
  <c r="AG15" i="7"/>
  <c r="K23" i="7"/>
  <c r="AI15" i="7"/>
  <c r="AR5" i="7"/>
  <c r="J84" i="1"/>
  <c r="J87" i="1" s="1"/>
  <c r="AG14" i="7"/>
  <c r="AF14" i="7" s="1"/>
  <c r="AO5" i="7"/>
  <c r="AU5" i="7" s="1"/>
  <c r="AL5" i="7"/>
  <c r="AR6" i="7" s="1"/>
  <c r="AI162" i="1"/>
  <c r="AI163" i="1"/>
  <c r="BB4" i="7"/>
  <c r="AY6" i="7" s="1"/>
  <c r="AZ6" i="7" s="1"/>
  <c r="AF15" i="7" l="1"/>
  <c r="B204" i="23"/>
  <c r="A205" i="23"/>
  <c r="AF32" i="7"/>
  <c r="AF39" i="7"/>
  <c r="AF38" i="7"/>
  <c r="AF37" i="7"/>
  <c r="AF40" i="7"/>
  <c r="AF36" i="7"/>
  <c r="AK162" i="1"/>
  <c r="AR171" i="1"/>
  <c r="AR170" i="1"/>
  <c r="AR169" i="1"/>
  <c r="AR168" i="1"/>
  <c r="AK163" i="1"/>
  <c r="AR175" i="1"/>
  <c r="AR174" i="1"/>
  <c r="AR173" i="1"/>
  <c r="AR172" i="1"/>
  <c r="AX102" i="1"/>
  <c r="AY101" i="1"/>
  <c r="X12" i="23"/>
  <c r="X8" i="23"/>
  <c r="X4" i="23"/>
  <c r="X14" i="23"/>
  <c r="X6" i="23"/>
  <c r="Z6" i="23" s="1"/>
  <c r="X13" i="23"/>
  <c r="Z13" i="23" s="1"/>
  <c r="X9" i="23"/>
  <c r="X5" i="23"/>
  <c r="Z5" i="23" s="1"/>
  <c r="X15" i="23"/>
  <c r="X11" i="23"/>
  <c r="AC43" i="23" s="1"/>
  <c r="X7" i="23"/>
  <c r="AD47" i="23" s="1"/>
  <c r="X10" i="23"/>
  <c r="AH15" i="7"/>
  <c r="AY5" i="7"/>
  <c r="AZ5" i="7" s="1"/>
  <c r="AM5" i="7"/>
  <c r="P58" i="1"/>
  <c r="AJ15" i="1"/>
  <c r="AK15" i="1" s="1"/>
  <c r="AL15" i="1" s="1"/>
  <c r="AS5" i="7"/>
  <c r="AI160" i="1"/>
  <c r="AV5" i="7"/>
  <c r="K76" i="1"/>
  <c r="AJ25" i="1"/>
  <c r="AK25" i="1" s="1"/>
  <c r="AJ21" i="1"/>
  <c r="AK21" i="1" s="1"/>
  <c r="AJ17" i="1"/>
  <c r="AK17" i="1" s="1"/>
  <c r="AZ17" i="1" s="1"/>
  <c r="AJ26" i="1"/>
  <c r="AK26" i="1" s="1"/>
  <c r="AJ22" i="1"/>
  <c r="AK22" i="1" s="1"/>
  <c r="AZ22" i="1" s="1"/>
  <c r="AJ16" i="1"/>
  <c r="AK16" i="1" s="1"/>
  <c r="AJ18" i="1"/>
  <c r="AK18" i="1" s="1"/>
  <c r="AJ20" i="1"/>
  <c r="AK20" i="1" s="1"/>
  <c r="AZ20" i="1" s="1"/>
  <c r="AJ19" i="1"/>
  <c r="AK19" i="1" s="1"/>
  <c r="AZ19" i="1" s="1"/>
  <c r="AJ23" i="1"/>
  <c r="AK23" i="1" s="1"/>
  <c r="AZ23" i="1" s="1"/>
  <c r="AY8" i="7"/>
  <c r="AZ8" i="7" s="1"/>
  <c r="AY7" i="7"/>
  <c r="AZ7" i="7" s="1"/>
  <c r="AJ24" i="1"/>
  <c r="AK24" i="1" s="1"/>
  <c r="AP5" i="7"/>
  <c r="AF35" i="7"/>
  <c r="AF34" i="7"/>
  <c r="AG29" i="7"/>
  <c r="AF31" i="7"/>
  <c r="Y38" i="7"/>
  <c r="AF33" i="7"/>
  <c r="Q4" i="23" l="1"/>
  <c r="Z14" i="23"/>
  <c r="N85" i="23"/>
  <c r="B205" i="23"/>
  <c r="A206" i="23"/>
  <c r="W41" i="23"/>
  <c r="W51" i="23"/>
  <c r="M173" i="23"/>
  <c r="N173" i="23" s="1"/>
  <c r="S172" i="23"/>
  <c r="X172" i="23"/>
  <c r="R173" i="23"/>
  <c r="R174" i="23" s="1"/>
  <c r="N172" i="23"/>
  <c r="W173" i="23"/>
  <c r="X173" i="23" s="1"/>
  <c r="E197" i="1"/>
  <c r="D197" i="1" s="1"/>
  <c r="AC47" i="23"/>
  <c r="Z10" i="23"/>
  <c r="AC44" i="23"/>
  <c r="Z8" i="23"/>
  <c r="AC46" i="23"/>
  <c r="AC45" i="23"/>
  <c r="AG38" i="7"/>
  <c r="AG35" i="7"/>
  <c r="AG37" i="7"/>
  <c r="AG33" i="7"/>
  <c r="AG40" i="7"/>
  <c r="AG36" i="7"/>
  <c r="AG32" i="7"/>
  <c r="AG39" i="7"/>
  <c r="AG31" i="7"/>
  <c r="AG34" i="7"/>
  <c r="R4" i="23"/>
  <c r="L16" i="23" s="1"/>
  <c r="AK160" i="1"/>
  <c r="AR163" i="1"/>
  <c r="AR162" i="1"/>
  <c r="AR161" i="1"/>
  <c r="AR160" i="1"/>
  <c r="Z12" i="23"/>
  <c r="Z7" i="23"/>
  <c r="Z4" i="23"/>
  <c r="AC41" i="23"/>
  <c r="AX103" i="1"/>
  <c r="AY102" i="1"/>
  <c r="Z9" i="23"/>
  <c r="AC40" i="23"/>
  <c r="AC37" i="23"/>
  <c r="AC39" i="23"/>
  <c r="AC38" i="23"/>
  <c r="AC21" i="23"/>
  <c r="AD21" i="23" s="1"/>
  <c r="Z11" i="23"/>
  <c r="AC33" i="23"/>
  <c r="AD33" i="23" s="1"/>
  <c r="Z15" i="23"/>
  <c r="AJ163" i="1"/>
  <c r="AL163" i="1" s="1"/>
  <c r="AJ171" i="1"/>
  <c r="AL171" i="1" s="1"/>
  <c r="AJ169" i="1"/>
  <c r="AL169" i="1" s="1"/>
  <c r="AJ160" i="1"/>
  <c r="AC32" i="23"/>
  <c r="AD32" i="23" s="1"/>
  <c r="AC28" i="23"/>
  <c r="AD28" i="23" s="1"/>
  <c r="AC29" i="23"/>
  <c r="AD29" i="23" s="1"/>
  <c r="AC31" i="23"/>
  <c r="AD31" i="23" s="1"/>
  <c r="AC30" i="23"/>
  <c r="AD30" i="23" s="1"/>
  <c r="AJ162" i="1"/>
  <c r="AL162" i="1" s="1"/>
  <c r="AC16" i="23"/>
  <c r="AD16" i="23" s="1"/>
  <c r="AC18" i="23"/>
  <c r="AD18" i="23" s="1"/>
  <c r="AC17" i="23"/>
  <c r="AD17" i="23" s="1"/>
  <c r="AJ168" i="1"/>
  <c r="AL168" i="1" s="1"/>
  <c r="AC26" i="23"/>
  <c r="AD26" i="23" s="1"/>
  <c r="AC25" i="23"/>
  <c r="AD25" i="23" s="1"/>
  <c r="AC27" i="23"/>
  <c r="AD27" i="23" s="1"/>
  <c r="AC15" i="23"/>
  <c r="AD15" i="23" s="1"/>
  <c r="AC14" i="23"/>
  <c r="AD14" i="23" s="1"/>
  <c r="AC20" i="23"/>
  <c r="AD20" i="23" s="1"/>
  <c r="AC19" i="23"/>
  <c r="AD19" i="23" s="1"/>
  <c r="AC8" i="23"/>
  <c r="AD8" i="23" s="1"/>
  <c r="AC4" i="23"/>
  <c r="AD4" i="23" s="1"/>
  <c r="AC5" i="23"/>
  <c r="AD5" i="23" s="1"/>
  <c r="AC7" i="23"/>
  <c r="AD7" i="23" s="1"/>
  <c r="AC6" i="23"/>
  <c r="AD6" i="23" s="1"/>
  <c r="AJ166" i="1"/>
  <c r="AL166" i="1" s="1"/>
  <c r="AJ177" i="1"/>
  <c r="AL177" i="1" s="1"/>
  <c r="AC12" i="23"/>
  <c r="AD12" i="23" s="1"/>
  <c r="AC13" i="23"/>
  <c r="AD13" i="23" s="1"/>
  <c r="AC11" i="23"/>
  <c r="AD11" i="23" s="1"/>
  <c r="AC36" i="23"/>
  <c r="AD36" i="23" s="1"/>
  <c r="AC34" i="23"/>
  <c r="AD34" i="23" s="1"/>
  <c r="AC35" i="23"/>
  <c r="AD35" i="23" s="1"/>
  <c r="AJ173" i="1"/>
  <c r="AL173" i="1" s="1"/>
  <c r="AJ165" i="1"/>
  <c r="AL165" i="1" s="1"/>
  <c r="AJ164" i="1"/>
  <c r="AL164" i="1" s="1"/>
  <c r="AJ161" i="1"/>
  <c r="AL161" i="1" s="1"/>
  <c r="AC10" i="23"/>
  <c r="AD10" i="23" s="1"/>
  <c r="AC9" i="23"/>
  <c r="AD9" i="23" s="1"/>
  <c r="AC24" i="23"/>
  <c r="AD24" i="23" s="1"/>
  <c r="AC23" i="23"/>
  <c r="AD23" i="23" s="1"/>
  <c r="AC22" i="23"/>
  <c r="AD22" i="23" s="1"/>
  <c r="AZ15" i="1"/>
  <c r="BA15" i="1" s="1"/>
  <c r="AZ9" i="7"/>
  <c r="Q20" i="7" s="1"/>
  <c r="AG17" i="7" s="1"/>
  <c r="AH17" i="7" s="1"/>
  <c r="AZ25" i="1"/>
  <c r="AZ26" i="1"/>
  <c r="AL16" i="1"/>
  <c r="AL17" i="1" s="1"/>
  <c r="AL18" i="1" s="1"/>
  <c r="AZ16" i="1"/>
  <c r="AJ179" i="1"/>
  <c r="AL179" i="1" s="1"/>
  <c r="AJ172" i="1"/>
  <c r="AL172" i="1" s="1"/>
  <c r="AJ167" i="1"/>
  <c r="AL167" i="1" s="1"/>
  <c r="AJ175" i="1"/>
  <c r="AL175" i="1" s="1"/>
  <c r="AJ174" i="1"/>
  <c r="AL174" i="1" s="1"/>
  <c r="AJ170" i="1"/>
  <c r="AL170" i="1" s="1"/>
  <c r="AJ176" i="1"/>
  <c r="AL176" i="1" s="1"/>
  <c r="AJ178" i="1"/>
  <c r="AL178" i="1" s="1"/>
  <c r="AZ21" i="1"/>
  <c r="AZ24" i="1"/>
  <c r="AZ18" i="1"/>
  <c r="N76" i="1"/>
  <c r="F22" i="18" l="1"/>
  <c r="F15" i="18"/>
  <c r="F17" i="18"/>
  <c r="F11" i="18"/>
  <c r="F18" i="18"/>
  <c r="F20" i="18"/>
  <c r="F19" i="18"/>
  <c r="H19" i="18" s="1"/>
  <c r="F13" i="18"/>
  <c r="F10" i="18"/>
  <c r="F12" i="18"/>
  <c r="F21" i="18"/>
  <c r="F9" i="18"/>
  <c r="H9" i="18" s="1"/>
  <c r="F16" i="18"/>
  <c r="F5" i="18"/>
  <c r="F6" i="18"/>
  <c r="H6" i="18" s="1"/>
  <c r="F7" i="18"/>
  <c r="F8" i="18"/>
  <c r="E164" i="1"/>
  <c r="D164" i="1" s="1"/>
  <c r="M103" i="23"/>
  <c r="M86" i="23"/>
  <c r="M114" i="23"/>
  <c r="M110" i="23"/>
  <c r="M106" i="23"/>
  <c r="M102" i="23"/>
  <c r="M98" i="23"/>
  <c r="M94" i="23"/>
  <c r="M89" i="23"/>
  <c r="M117" i="23"/>
  <c r="M109" i="23"/>
  <c r="M105" i="23"/>
  <c r="M97" i="23"/>
  <c r="M88" i="23"/>
  <c r="M116" i="23"/>
  <c r="M112" i="23"/>
  <c r="M108" i="23"/>
  <c r="M104" i="23"/>
  <c r="M100" i="23"/>
  <c r="M96" i="23"/>
  <c r="M91" i="23"/>
  <c r="M87" i="23"/>
  <c r="M111" i="23"/>
  <c r="M107" i="23"/>
  <c r="M99" i="23"/>
  <c r="M95" i="23"/>
  <c r="M90" i="23"/>
  <c r="B206" i="23"/>
  <c r="A207" i="23"/>
  <c r="W174" i="23"/>
  <c r="M174" i="23"/>
  <c r="M175" i="23" s="1"/>
  <c r="M176" i="23" s="1"/>
  <c r="M177" i="23" s="1"/>
  <c r="M178" i="23" s="1"/>
  <c r="M179" i="23" s="1"/>
  <c r="N179" i="23" s="1"/>
  <c r="R175" i="23"/>
  <c r="S174" i="23"/>
  <c r="S173" i="23"/>
  <c r="N174" i="23"/>
  <c r="H14" i="18"/>
  <c r="L19" i="23"/>
  <c r="I6" i="18"/>
  <c r="I22" i="18"/>
  <c r="I19" i="18"/>
  <c r="I20" i="18"/>
  <c r="I17" i="18"/>
  <c r="I10" i="18"/>
  <c r="I7" i="18"/>
  <c r="I8" i="18"/>
  <c r="I5" i="18"/>
  <c r="I21" i="18"/>
  <c r="I14" i="18"/>
  <c r="I11" i="18"/>
  <c r="I12" i="18"/>
  <c r="I9" i="18"/>
  <c r="I18" i="18"/>
  <c r="I15" i="18"/>
  <c r="I16" i="18"/>
  <c r="I13" i="18"/>
  <c r="L22" i="23"/>
  <c r="L23" i="23"/>
  <c r="L17" i="23"/>
  <c r="L21" i="23"/>
  <c r="L20" i="23"/>
  <c r="L25" i="23"/>
  <c r="L24" i="23"/>
  <c r="L18" i="23"/>
  <c r="P15" i="18"/>
  <c r="T15" i="18" s="1"/>
  <c r="U53" i="30" s="1"/>
  <c r="AP162" i="1"/>
  <c r="AT171" i="1" s="1"/>
  <c r="AU171" i="1" s="1"/>
  <c r="AO162" i="1"/>
  <c r="AT170" i="1" s="1"/>
  <c r="AN162" i="1"/>
  <c r="AT169" i="1" s="1"/>
  <c r="AM162" i="1"/>
  <c r="AT168" i="1" s="1"/>
  <c r="AU168" i="1" s="1"/>
  <c r="AP178" i="1"/>
  <c r="AM178" i="1"/>
  <c r="AT232" i="1" s="1"/>
  <c r="AU232" i="1" s="1"/>
  <c r="AN178" i="1"/>
  <c r="AT233" i="1" s="1"/>
  <c r="AO178" i="1"/>
  <c r="AT234" i="1" s="1"/>
  <c r="AP175" i="1"/>
  <c r="AM175" i="1"/>
  <c r="AT220" i="1" s="1"/>
  <c r="AU220" i="1" s="1"/>
  <c r="AN175" i="1"/>
  <c r="AT221" i="1" s="1"/>
  <c r="AO175" i="1"/>
  <c r="AT222" i="1" s="1"/>
  <c r="AN161" i="1"/>
  <c r="AT165" i="1" s="1"/>
  <c r="AM161" i="1"/>
  <c r="AT164" i="1" s="1"/>
  <c r="AO161" i="1"/>
  <c r="AT166" i="1" s="1"/>
  <c r="AP161" i="1"/>
  <c r="AT167" i="1" s="1"/>
  <c r="AU167" i="1" s="1"/>
  <c r="AP168" i="1"/>
  <c r="AM168" i="1"/>
  <c r="AT192" i="1" s="1"/>
  <c r="AU192" i="1" s="1"/>
  <c r="AN168" i="1"/>
  <c r="AT193" i="1" s="1"/>
  <c r="AO168" i="1"/>
  <c r="AT194" i="1" s="1"/>
  <c r="AP171" i="1"/>
  <c r="AM171" i="1"/>
  <c r="AT204" i="1" s="1"/>
  <c r="AU204" i="1" s="1"/>
  <c r="AN171" i="1"/>
  <c r="AT205" i="1" s="1"/>
  <c r="AO171" i="1"/>
  <c r="AT206" i="1" s="1"/>
  <c r="AM164" i="1"/>
  <c r="AT176" i="1" s="1"/>
  <c r="AN164" i="1"/>
  <c r="AT177" i="1" s="1"/>
  <c r="AO164" i="1"/>
  <c r="AT178" i="1" s="1"/>
  <c r="AP164" i="1"/>
  <c r="AT179" i="1" s="1"/>
  <c r="AU179" i="1" s="1"/>
  <c r="AM163" i="1"/>
  <c r="AT172" i="1" s="1"/>
  <c r="AU172" i="1" s="1"/>
  <c r="AN163" i="1"/>
  <c r="AT173" i="1" s="1"/>
  <c r="AO163" i="1"/>
  <c r="AT174" i="1" s="1"/>
  <c r="AP163" i="1"/>
  <c r="AT175" i="1" s="1"/>
  <c r="AU175" i="1" s="1"/>
  <c r="AP167" i="1"/>
  <c r="AM167" i="1"/>
  <c r="AT188" i="1" s="1"/>
  <c r="AU188" i="1" s="1"/>
  <c r="AN167" i="1"/>
  <c r="AT189" i="1" s="1"/>
  <c r="AO167" i="1"/>
  <c r="AT190" i="1" s="1"/>
  <c r="AP170" i="1"/>
  <c r="AM170" i="1"/>
  <c r="AT200" i="1" s="1"/>
  <c r="AN170" i="1"/>
  <c r="AT201" i="1" s="1"/>
  <c r="AO170" i="1"/>
  <c r="AT202" i="1" s="1"/>
  <c r="AP172" i="1"/>
  <c r="AM172" i="1"/>
  <c r="AT208" i="1" s="1"/>
  <c r="AU208" i="1" s="1"/>
  <c r="AN172" i="1"/>
  <c r="AT209" i="1" s="1"/>
  <c r="AO172" i="1"/>
  <c r="AT210" i="1" s="1"/>
  <c r="AM165" i="1"/>
  <c r="AT180" i="1" s="1"/>
  <c r="AN165" i="1"/>
  <c r="AT181" i="1" s="1"/>
  <c r="AO165" i="1"/>
  <c r="AT182" i="1" s="1"/>
  <c r="AP165" i="1"/>
  <c r="AT183" i="1" s="1"/>
  <c r="AU183" i="1" s="1"/>
  <c r="AP177" i="1"/>
  <c r="AM177" i="1"/>
  <c r="AT228" i="1" s="1"/>
  <c r="AN177" i="1"/>
  <c r="AT229" i="1" s="1"/>
  <c r="AO177" i="1"/>
  <c r="AT230" i="1" s="1"/>
  <c r="AL160" i="1"/>
  <c r="AP176" i="1"/>
  <c r="AM176" i="1"/>
  <c r="AT224" i="1" s="1"/>
  <c r="AU224" i="1" s="1"/>
  <c r="AN176" i="1"/>
  <c r="AT225" i="1" s="1"/>
  <c r="AO176" i="1"/>
  <c r="AT226" i="1" s="1"/>
  <c r="AP174" i="1"/>
  <c r="AM174" i="1"/>
  <c r="AT216" i="1" s="1"/>
  <c r="AN174" i="1"/>
  <c r="AT217" i="1" s="1"/>
  <c r="AO174" i="1"/>
  <c r="AT218" i="1" s="1"/>
  <c r="AP179" i="1"/>
  <c r="AM179" i="1"/>
  <c r="AT236" i="1" s="1"/>
  <c r="AU236" i="1" s="1"/>
  <c r="AN179" i="1"/>
  <c r="AT237" i="1" s="1"/>
  <c r="AO179" i="1"/>
  <c r="AT238" i="1" s="1"/>
  <c r="AP173" i="1"/>
  <c r="AM173" i="1"/>
  <c r="AT212" i="1" s="1"/>
  <c r="AN173" i="1"/>
  <c r="AT213" i="1" s="1"/>
  <c r="AO173" i="1"/>
  <c r="AT214" i="1" s="1"/>
  <c r="AM166" i="1"/>
  <c r="AT184" i="1" s="1"/>
  <c r="AU184" i="1" s="1"/>
  <c r="AN166" i="1"/>
  <c r="AT185" i="1" s="1"/>
  <c r="AO166" i="1"/>
  <c r="AT186" i="1" s="1"/>
  <c r="AP166" i="1"/>
  <c r="AP169" i="1"/>
  <c r="AM169" i="1"/>
  <c r="AT196" i="1" s="1"/>
  <c r="AU196" i="1" s="1"/>
  <c r="AN169" i="1"/>
  <c r="AT197" i="1" s="1"/>
  <c r="AO169" i="1"/>
  <c r="AT198" i="1" s="1"/>
  <c r="P13" i="18"/>
  <c r="T13" i="18" s="1"/>
  <c r="U48" i="30" s="1"/>
  <c r="P5" i="18"/>
  <c r="T5" i="18" s="1"/>
  <c r="U28" i="30" s="1"/>
  <c r="P9" i="18"/>
  <c r="T9" i="18" s="1"/>
  <c r="U38" i="30" s="1"/>
  <c r="AX104" i="1"/>
  <c r="AY103" i="1"/>
  <c r="AG20" i="7"/>
  <c r="AI20" i="7" s="1"/>
  <c r="AG22" i="7"/>
  <c r="AI22" i="7" s="1"/>
  <c r="Y37" i="7"/>
  <c r="AA37" i="7" s="1"/>
  <c r="AG21" i="7"/>
  <c r="AI21" i="7" s="1"/>
  <c r="BA16" i="1"/>
  <c r="BA17" i="1" s="1"/>
  <c r="AG18" i="7"/>
  <c r="AH18" i="7" s="1"/>
  <c r="K16" i="7" s="1"/>
  <c r="AG24" i="7"/>
  <c r="AJ24" i="7" s="1"/>
  <c r="K18" i="7" s="1"/>
  <c r="AL19" i="1"/>
  <c r="P7" i="18"/>
  <c r="T7" i="18" s="1"/>
  <c r="U33" i="30" s="1"/>
  <c r="P11" i="18"/>
  <c r="T11" i="18" s="1"/>
  <c r="U43" i="30" s="1"/>
  <c r="AN90" i="23" l="1"/>
  <c r="AX90" i="23"/>
  <c r="AS90" i="23"/>
  <c r="AI90" i="23"/>
  <c r="AD90" i="23"/>
  <c r="AX111" i="23"/>
  <c r="AI111" i="23"/>
  <c r="AD111" i="23"/>
  <c r="AN111" i="23"/>
  <c r="AS111" i="23"/>
  <c r="AI100" i="23"/>
  <c r="AD100" i="23"/>
  <c r="AX100" i="23"/>
  <c r="AN100" i="23"/>
  <c r="AS100" i="23"/>
  <c r="AI116" i="23"/>
  <c r="AJ116" i="23" s="1"/>
  <c r="AD116" i="23"/>
  <c r="AE116" i="23" s="1"/>
  <c r="AX116" i="23"/>
  <c r="AY116" i="23" s="1"/>
  <c r="AN116" i="23"/>
  <c r="AO116" i="23" s="1"/>
  <c r="AS116" i="23"/>
  <c r="AT116" i="23" s="1"/>
  <c r="AN109" i="23"/>
  <c r="AI109" i="23"/>
  <c r="AD109" i="23"/>
  <c r="AX109" i="23"/>
  <c r="AS109" i="23"/>
  <c r="AS98" i="23"/>
  <c r="AX98" i="23"/>
  <c r="AN98" i="23"/>
  <c r="AI98" i="23"/>
  <c r="AD98" i="23"/>
  <c r="AX114" i="23"/>
  <c r="AY114" i="23" s="1"/>
  <c r="AS114" i="23"/>
  <c r="AT114" i="23" s="1"/>
  <c r="AN114" i="23"/>
  <c r="AO114" i="23" s="1"/>
  <c r="AI114" i="23"/>
  <c r="AJ114" i="23" s="1"/>
  <c r="AD114" i="23"/>
  <c r="AE114" i="23" s="1"/>
  <c r="AX95" i="23"/>
  <c r="AI95" i="23"/>
  <c r="AD95" i="23"/>
  <c r="AN95" i="23"/>
  <c r="AS95" i="23"/>
  <c r="AX87" i="23"/>
  <c r="AN87" i="23"/>
  <c r="AI87" i="23"/>
  <c r="AD87" i="23"/>
  <c r="AS87" i="23"/>
  <c r="AI104" i="23"/>
  <c r="AJ104" i="23" s="1"/>
  <c r="AD104" i="23"/>
  <c r="AE104" i="23" s="1"/>
  <c r="AX104" i="23"/>
  <c r="AY104" i="23" s="1"/>
  <c r="AN104" i="23"/>
  <c r="AO104" i="23" s="1"/>
  <c r="AS104" i="23"/>
  <c r="AT104" i="23" s="1"/>
  <c r="AI88" i="23"/>
  <c r="AJ88" i="23" s="1"/>
  <c r="AD88" i="23"/>
  <c r="AE88" i="23" s="1"/>
  <c r="AX88" i="23"/>
  <c r="AY88" i="23" s="1"/>
  <c r="AS88" i="23"/>
  <c r="AT88" i="23" s="1"/>
  <c r="AN88" i="23"/>
  <c r="AI117" i="23"/>
  <c r="AJ117" i="23" s="1"/>
  <c r="AD117" i="23"/>
  <c r="AE117" i="23" s="1"/>
  <c r="AX117" i="23"/>
  <c r="AY117" i="23" s="1"/>
  <c r="AS117" i="23"/>
  <c r="AT117" i="23" s="1"/>
  <c r="AN117" i="23"/>
  <c r="AO117" i="23" s="1"/>
  <c r="AX102" i="23"/>
  <c r="AN102" i="23"/>
  <c r="AS102" i="23"/>
  <c r="AI102" i="23"/>
  <c r="AD102" i="23"/>
  <c r="AN86" i="23"/>
  <c r="AI86" i="23"/>
  <c r="AD86" i="23"/>
  <c r="AX86" i="23"/>
  <c r="AS86" i="23"/>
  <c r="AX99" i="23"/>
  <c r="AN99" i="23"/>
  <c r="AI99" i="23"/>
  <c r="AD99" i="23"/>
  <c r="AS99" i="23"/>
  <c r="AX91" i="23"/>
  <c r="AI91" i="23"/>
  <c r="AD91" i="23"/>
  <c r="AN91" i="23"/>
  <c r="AS91" i="23"/>
  <c r="AS108" i="23"/>
  <c r="AT108" i="23" s="1"/>
  <c r="AI108" i="23"/>
  <c r="AJ108" i="23" s="1"/>
  <c r="AD108" i="23"/>
  <c r="AE108" i="23" s="1"/>
  <c r="AX108" i="23"/>
  <c r="AY108" i="23" s="1"/>
  <c r="AN108" i="23"/>
  <c r="AO108" i="23" s="1"/>
  <c r="AN97" i="23"/>
  <c r="AI97" i="23"/>
  <c r="AD97" i="23"/>
  <c r="AX97" i="23"/>
  <c r="AS97" i="23"/>
  <c r="AI89" i="23"/>
  <c r="AJ89" i="23" s="1"/>
  <c r="AD89" i="23"/>
  <c r="AE89" i="23" s="1"/>
  <c r="AN89" i="23"/>
  <c r="AX89" i="23"/>
  <c r="AS89" i="23"/>
  <c r="AX106" i="23"/>
  <c r="AS106" i="23"/>
  <c r="AN106" i="23"/>
  <c r="AI106" i="23"/>
  <c r="AD106" i="23"/>
  <c r="AX103" i="23"/>
  <c r="AY103" i="23" s="1"/>
  <c r="AN103" i="23"/>
  <c r="AO103" i="23" s="1"/>
  <c r="AS103" i="23"/>
  <c r="AT103" i="23" s="1"/>
  <c r="AI103" i="23"/>
  <c r="AJ103" i="23" s="1"/>
  <c r="AD103" i="23"/>
  <c r="AE103" i="23" s="1"/>
  <c r="AX107" i="23"/>
  <c r="AN107" i="23"/>
  <c r="AI107" i="23"/>
  <c r="AD107" i="23"/>
  <c r="AS107" i="23"/>
  <c r="AI96" i="23"/>
  <c r="AD96" i="23"/>
  <c r="AX96" i="23"/>
  <c r="AN96" i="23"/>
  <c r="AS96" i="23"/>
  <c r="AI112" i="23"/>
  <c r="AD112" i="23"/>
  <c r="AS112" i="23"/>
  <c r="AX112" i="23"/>
  <c r="AN112" i="23"/>
  <c r="AI105" i="23"/>
  <c r="AD105" i="23"/>
  <c r="AX105" i="23"/>
  <c r="AN105" i="23"/>
  <c r="AS105" i="23"/>
  <c r="AX94" i="23"/>
  <c r="AS94" i="23"/>
  <c r="AN94" i="23"/>
  <c r="AI94" i="23"/>
  <c r="AD94" i="23"/>
  <c r="AX110" i="23"/>
  <c r="AS110" i="23"/>
  <c r="AN110" i="23"/>
  <c r="AI110" i="23"/>
  <c r="AD110" i="23"/>
  <c r="O90" i="23"/>
  <c r="Y90" i="23"/>
  <c r="T90" i="23"/>
  <c r="O111" i="23"/>
  <c r="Y111" i="23"/>
  <c r="T111" i="23"/>
  <c r="O100" i="23"/>
  <c r="Y100" i="23"/>
  <c r="T100" i="23"/>
  <c r="O116" i="23"/>
  <c r="P116" i="23" s="1"/>
  <c r="Y116" i="23"/>
  <c r="Z116" i="23" s="1"/>
  <c r="T116" i="23"/>
  <c r="U116" i="23" s="1"/>
  <c r="O109" i="23"/>
  <c r="Y109" i="23"/>
  <c r="T109" i="23"/>
  <c r="O98" i="23"/>
  <c r="Y98" i="23"/>
  <c r="T98" i="23"/>
  <c r="O114" i="23"/>
  <c r="P114" i="23" s="1"/>
  <c r="Y114" i="23"/>
  <c r="Z114" i="23" s="1"/>
  <c r="T114" i="23"/>
  <c r="U114" i="23" s="1"/>
  <c r="O95" i="23"/>
  <c r="Y95" i="23"/>
  <c r="T95" i="23"/>
  <c r="O87" i="23"/>
  <c r="Y87" i="23"/>
  <c r="T87" i="23"/>
  <c r="O104" i="23"/>
  <c r="P104" i="23" s="1"/>
  <c r="Y104" i="23"/>
  <c r="Z104" i="23" s="1"/>
  <c r="T104" i="23"/>
  <c r="U104" i="23" s="1"/>
  <c r="O88" i="23"/>
  <c r="P88" i="23" s="1"/>
  <c r="Y88" i="23"/>
  <c r="T88" i="23"/>
  <c r="U88" i="23" s="1"/>
  <c r="O117" i="23"/>
  <c r="P117" i="23" s="1"/>
  <c r="Y117" i="23"/>
  <c r="Z117" i="23" s="1"/>
  <c r="T117" i="23"/>
  <c r="U117" i="23" s="1"/>
  <c r="O102" i="23"/>
  <c r="Y102" i="23"/>
  <c r="T102" i="23"/>
  <c r="O86" i="23"/>
  <c r="Y86" i="23"/>
  <c r="T86" i="23"/>
  <c r="O99" i="23"/>
  <c r="Y99" i="23"/>
  <c r="T99" i="23"/>
  <c r="O91" i="23"/>
  <c r="Y91" i="23"/>
  <c r="T91" i="23"/>
  <c r="O108" i="23"/>
  <c r="P108" i="23" s="1"/>
  <c r="T108" i="23"/>
  <c r="U108" i="23" s="1"/>
  <c r="Y108" i="23"/>
  <c r="Z108" i="23" s="1"/>
  <c r="O97" i="23"/>
  <c r="Y97" i="23"/>
  <c r="T97" i="23"/>
  <c r="O89" i="23"/>
  <c r="Y89" i="23"/>
  <c r="T89" i="23"/>
  <c r="O106" i="23"/>
  <c r="Y106" i="23"/>
  <c r="T106" i="23"/>
  <c r="O103" i="23"/>
  <c r="P103" i="23" s="1"/>
  <c r="Y103" i="23"/>
  <c r="Z103" i="23" s="1"/>
  <c r="T103" i="23"/>
  <c r="U103" i="23" s="1"/>
  <c r="O107" i="23"/>
  <c r="Y107" i="23"/>
  <c r="T107" i="23"/>
  <c r="O96" i="23"/>
  <c r="Y96" i="23"/>
  <c r="T96" i="23"/>
  <c r="O112" i="23"/>
  <c r="Y112" i="23"/>
  <c r="T112" i="23"/>
  <c r="O105" i="23"/>
  <c r="Y105" i="23"/>
  <c r="T105" i="23"/>
  <c r="O94" i="23"/>
  <c r="Y94" i="23"/>
  <c r="T94" i="23"/>
  <c r="O110" i="23"/>
  <c r="Y110" i="23"/>
  <c r="T110" i="23"/>
  <c r="A208" i="23"/>
  <c r="B207" i="23"/>
  <c r="K19" i="18"/>
  <c r="K6" i="18"/>
  <c r="N176" i="23"/>
  <c r="N175" i="23"/>
  <c r="X174" i="23"/>
  <c r="W175" i="23"/>
  <c r="N178" i="23"/>
  <c r="N177" i="23"/>
  <c r="R176" i="23"/>
  <c r="S175" i="23"/>
  <c r="BA18" i="1"/>
  <c r="K14" i="18"/>
  <c r="AL20" i="1"/>
  <c r="AL21" i="1" s="1"/>
  <c r="K9" i="18"/>
  <c r="H10" i="18"/>
  <c r="K10" i="18" s="1"/>
  <c r="H5" i="18"/>
  <c r="K5" i="18" s="1"/>
  <c r="H15" i="18"/>
  <c r="K15" i="18" s="1"/>
  <c r="H7" i="18"/>
  <c r="K7" i="18" s="1"/>
  <c r="H21" i="18"/>
  <c r="K21" i="18" s="1"/>
  <c r="L15" i="23"/>
  <c r="AT187" i="1"/>
  <c r="AU187" i="1" s="1"/>
  <c r="AT231" i="1"/>
  <c r="AU231" i="1" s="1"/>
  <c r="AT211" i="1"/>
  <c r="AU211" i="1" s="1"/>
  <c r="AT203" i="1"/>
  <c r="AU203" i="1" s="1"/>
  <c r="AT191" i="1"/>
  <c r="AU191" i="1" s="1"/>
  <c r="AT207" i="1"/>
  <c r="AU207" i="1" s="1"/>
  <c r="AT195" i="1"/>
  <c r="AU195" i="1" s="1"/>
  <c r="AT223" i="1"/>
  <c r="AU223" i="1" s="1"/>
  <c r="AT235" i="1"/>
  <c r="AU235" i="1" s="1"/>
  <c r="AT199" i="1"/>
  <c r="AU199" i="1" s="1"/>
  <c r="AT215" i="1"/>
  <c r="AU215" i="1" s="1"/>
  <c r="AT239" i="1"/>
  <c r="AT219" i="1"/>
  <c r="AU219" i="1" s="1"/>
  <c r="AT227" i="1"/>
  <c r="AU227" i="1" s="1"/>
  <c r="AM160" i="1"/>
  <c r="AT160" i="1" s="1"/>
  <c r="AU160" i="1" s="1"/>
  <c r="AV160" i="1" s="1"/>
  <c r="AP160" i="1"/>
  <c r="AN160" i="1"/>
  <c r="AT161" i="1" s="1"/>
  <c r="AU161" i="1" s="1"/>
  <c r="AO160" i="1"/>
  <c r="AT162" i="1" s="1"/>
  <c r="AU237" i="1"/>
  <c r="AA38" i="7"/>
  <c r="AD12" i="7" s="1"/>
  <c r="G44" i="7" s="1"/>
  <c r="AU180" i="1"/>
  <c r="AU176" i="1"/>
  <c r="AU216" i="1"/>
  <c r="AU185" i="1"/>
  <c r="AU212" i="1"/>
  <c r="AU164" i="1"/>
  <c r="AU228" i="1"/>
  <c r="AU200" i="1"/>
  <c r="AU186" i="1"/>
  <c r="AU221" i="1"/>
  <c r="AU209" i="1"/>
  <c r="AX105" i="1"/>
  <c r="AY104" i="1"/>
  <c r="H20" i="18"/>
  <c r="K20" i="18" s="1"/>
  <c r="H17" i="18"/>
  <c r="K17" i="18" s="1"/>
  <c r="H8" i="18"/>
  <c r="K8" i="18" s="1"/>
  <c r="H12" i="18"/>
  <c r="K12" i="18" s="1"/>
  <c r="H11" i="18"/>
  <c r="K11" i="18" s="1"/>
  <c r="H18" i="18"/>
  <c r="K18" i="18" s="1"/>
  <c r="H22" i="18"/>
  <c r="K22" i="18" s="1"/>
  <c r="H16" i="18"/>
  <c r="K16" i="18" s="1"/>
  <c r="H13" i="18"/>
  <c r="K13" i="18" s="1"/>
  <c r="BA19" i="1"/>
  <c r="K14" i="7"/>
  <c r="AD11" i="7" l="1"/>
  <c r="G43" i="7" s="1"/>
  <c r="AC9" i="7"/>
  <c r="D41" i="7" s="1"/>
  <c r="AD9" i="7"/>
  <c r="G41" i="7" s="1"/>
  <c r="AC11" i="7"/>
  <c r="D43" i="7" s="1"/>
  <c r="AD10" i="7"/>
  <c r="G42" i="7" s="1"/>
  <c r="AC10" i="7"/>
  <c r="D42" i="7" s="1"/>
  <c r="AC25" i="7"/>
  <c r="AC12" i="7"/>
  <c r="D44" i="7" s="1"/>
  <c r="AT89" i="23"/>
  <c r="AY89" i="23"/>
  <c r="AY109" i="23"/>
  <c r="Z89" i="23"/>
  <c r="U109" i="23"/>
  <c r="AJ109" i="23"/>
  <c r="AE109" i="23"/>
  <c r="Z109" i="23"/>
  <c r="AO89" i="23"/>
  <c r="AT109" i="23"/>
  <c r="AO109" i="23"/>
  <c r="AE96" i="23"/>
  <c r="AT110" i="23"/>
  <c r="AO94" i="23"/>
  <c r="AJ112" i="23"/>
  <c r="AJ107" i="23"/>
  <c r="AY106" i="23"/>
  <c r="AT91" i="23"/>
  <c r="AY91" i="23"/>
  <c r="AT87" i="23"/>
  <c r="AJ102" i="23"/>
  <c r="AJ90" i="23"/>
  <c r="AD15" i="7"/>
  <c r="G47" i="7" s="1"/>
  <c r="AC15" i="7"/>
  <c r="D47" i="7" s="1"/>
  <c r="AC13" i="7"/>
  <c r="D45" i="7" s="1"/>
  <c r="AC14" i="7"/>
  <c r="D46" i="7" s="1"/>
  <c r="AD13" i="7"/>
  <c r="G45" i="7" s="1"/>
  <c r="AD14" i="7"/>
  <c r="G46" i="7" s="1"/>
  <c r="P110" i="23"/>
  <c r="U105" i="23"/>
  <c r="P89" i="23"/>
  <c r="AO112" i="23"/>
  <c r="AE97" i="23"/>
  <c r="AO99" i="23"/>
  <c r="AE86" i="23"/>
  <c r="AG86" i="23" s="1"/>
  <c r="AF87" i="23"/>
  <c r="AY95" i="23"/>
  <c r="U94" i="23"/>
  <c r="P91" i="23"/>
  <c r="AY110" i="23"/>
  <c r="AT94" i="23"/>
  <c r="AY105" i="23"/>
  <c r="AY112" i="23"/>
  <c r="AT96" i="23"/>
  <c r="AJ96" i="23"/>
  <c r="AO107" i="23"/>
  <c r="AJ106" i="23"/>
  <c r="AJ97" i="23"/>
  <c r="AO91" i="23"/>
  <c r="AT99" i="23"/>
  <c r="AY99" i="23"/>
  <c r="AJ100" i="23"/>
  <c r="AJ86" i="23"/>
  <c r="AL86" i="23" s="1"/>
  <c r="AK87" i="23"/>
  <c r="AT102" i="23"/>
  <c r="AO90" i="23"/>
  <c r="AO88" i="23"/>
  <c r="AJ98" i="23"/>
  <c r="AJ87" i="23"/>
  <c r="AO95" i="23"/>
  <c r="AY98" i="23"/>
  <c r="AT100" i="23"/>
  <c r="AJ111" i="23"/>
  <c r="AT90" i="23"/>
  <c r="AO105" i="23"/>
  <c r="AE106" i="23"/>
  <c r="AT95" i="23"/>
  <c r="AO98" i="23"/>
  <c r="AE100" i="23"/>
  <c r="AE111" i="23"/>
  <c r="U110" i="23"/>
  <c r="Z94" i="23"/>
  <c r="U89" i="23"/>
  <c r="AJ110" i="23"/>
  <c r="AE94" i="23"/>
  <c r="AY94" i="23"/>
  <c r="AE105" i="23"/>
  <c r="AT112" i="23"/>
  <c r="AO96" i="23"/>
  <c r="AT107" i="23"/>
  <c r="AY107" i="23"/>
  <c r="AO106" i="23"/>
  <c r="AT97" i="23"/>
  <c r="AO97" i="23"/>
  <c r="AE91" i="23"/>
  <c r="AE99" i="23"/>
  <c r="AT86" i="23"/>
  <c r="AV86" i="23" s="1"/>
  <c r="AU87" i="23"/>
  <c r="AO86" i="23"/>
  <c r="AQ86" i="23" s="1"/>
  <c r="AP87" i="23"/>
  <c r="AO102" i="23"/>
  <c r="AO87" i="23"/>
  <c r="AE95" i="23"/>
  <c r="AE98" i="23"/>
  <c r="AT98" i="23"/>
  <c r="AO100" i="23"/>
  <c r="AT111" i="23"/>
  <c r="AY111" i="23"/>
  <c r="AE110" i="23"/>
  <c r="AE87" i="23"/>
  <c r="P94" i="23"/>
  <c r="U91" i="23"/>
  <c r="AO110" i="23"/>
  <c r="AJ94" i="23"/>
  <c r="AT105" i="23"/>
  <c r="AJ105" i="23"/>
  <c r="AE112" i="23"/>
  <c r="AY96" i="23"/>
  <c r="AE107" i="23"/>
  <c r="AT106" i="23"/>
  <c r="AY97" i="23"/>
  <c r="AJ91" i="23"/>
  <c r="AJ99" i="23"/>
  <c r="AY90" i="23"/>
  <c r="AY86" i="23"/>
  <c r="BA86" i="23" s="1"/>
  <c r="AZ87" i="23"/>
  <c r="AE102" i="23"/>
  <c r="AY102" i="23"/>
  <c r="AY87" i="23"/>
  <c r="AJ95" i="23"/>
  <c r="AY100" i="23"/>
  <c r="AO111" i="23"/>
  <c r="AE90" i="23"/>
  <c r="Z110" i="23"/>
  <c r="Z112" i="23"/>
  <c r="Z91" i="23"/>
  <c r="U95" i="23"/>
  <c r="P96" i="23"/>
  <c r="Z95" i="23"/>
  <c r="P95" i="23"/>
  <c r="Z105" i="23"/>
  <c r="P107" i="23"/>
  <c r="U111" i="23"/>
  <c r="Z111" i="23"/>
  <c r="U107" i="23"/>
  <c r="P111" i="23"/>
  <c r="P105" i="23"/>
  <c r="Z107" i="23"/>
  <c r="Z86" i="23"/>
  <c r="AB86" i="23" s="1"/>
  <c r="AA87" i="23"/>
  <c r="P112" i="23"/>
  <c r="U106" i="23"/>
  <c r="P97" i="23"/>
  <c r="Z99" i="23"/>
  <c r="U86" i="23"/>
  <c r="W86" i="23" s="1"/>
  <c r="V87" i="23"/>
  <c r="Z106" i="23"/>
  <c r="Z87" i="23"/>
  <c r="P98" i="23"/>
  <c r="Z100" i="23"/>
  <c r="U96" i="23"/>
  <c r="P99" i="23"/>
  <c r="P102" i="23"/>
  <c r="P87" i="23"/>
  <c r="P100" i="23"/>
  <c r="U90" i="23"/>
  <c r="U112" i="23"/>
  <c r="Z96" i="23"/>
  <c r="P106" i="23"/>
  <c r="U97" i="23"/>
  <c r="Q86" i="23"/>
  <c r="P86" i="23"/>
  <c r="Z102" i="23"/>
  <c r="Z88" i="23"/>
  <c r="U98" i="23"/>
  <c r="Z90" i="23"/>
  <c r="Z97" i="23"/>
  <c r="U99" i="23"/>
  <c r="U102" i="23"/>
  <c r="U87" i="23"/>
  <c r="Z98" i="23"/>
  <c r="P109" i="23"/>
  <c r="U100" i="23"/>
  <c r="P90" i="23"/>
  <c r="B208" i="23"/>
  <c r="A209" i="23"/>
  <c r="X175" i="23"/>
  <c r="W176" i="23"/>
  <c r="R177" i="23"/>
  <c r="S176" i="23"/>
  <c r="BA20" i="1"/>
  <c r="BA21" i="1" s="1"/>
  <c r="AL22" i="1"/>
  <c r="AL23" i="1" s="1"/>
  <c r="AL24" i="1" s="1"/>
  <c r="AD18" i="7"/>
  <c r="G50" i="7" s="1"/>
  <c r="AC19" i="7"/>
  <c r="D51" i="7" s="1"/>
  <c r="I51" i="7" s="1"/>
  <c r="AD16" i="7"/>
  <c r="G48" i="7" s="1"/>
  <c r="AC16" i="7"/>
  <c r="D48" i="7" s="1"/>
  <c r="AC20" i="7"/>
  <c r="D52" i="7" s="1"/>
  <c r="I52" i="7" s="1"/>
  <c r="AD19" i="7"/>
  <c r="G51" i="7" s="1"/>
  <c r="AD17" i="7"/>
  <c r="G49" i="7" s="1"/>
  <c r="AC17" i="7"/>
  <c r="D49" i="7" s="1"/>
  <c r="I49" i="7" s="1"/>
  <c r="AC18" i="7"/>
  <c r="D50" i="7" s="1"/>
  <c r="I50" i="7" s="1"/>
  <c r="AU239" i="1"/>
  <c r="AT163" i="1"/>
  <c r="AU163" i="1" s="1"/>
  <c r="AC32" i="7"/>
  <c r="AC26" i="7"/>
  <c r="AD26" i="7"/>
  <c r="AD36" i="7"/>
  <c r="AD23" i="7"/>
  <c r="G55" i="7" s="1"/>
  <c r="AD37" i="7"/>
  <c r="AD33" i="7"/>
  <c r="AC37" i="7"/>
  <c r="AC28" i="7"/>
  <c r="AC38" i="7"/>
  <c r="AD28" i="7"/>
  <c r="AD39" i="7"/>
  <c r="AU162" i="1"/>
  <c r="AD38" i="7"/>
  <c r="AD25" i="7"/>
  <c r="AC39" i="7"/>
  <c r="AC30" i="7"/>
  <c r="AC21" i="7"/>
  <c r="D53" i="7" s="1"/>
  <c r="H53" i="7" s="1"/>
  <c r="AC31" i="7"/>
  <c r="AU238" i="1"/>
  <c r="AV161" i="1"/>
  <c r="AU234" i="1"/>
  <c r="AU233" i="1"/>
  <c r="AU170" i="1"/>
  <c r="AU169" i="1"/>
  <c r="AU226" i="1"/>
  <c r="AU225" i="1"/>
  <c r="AU166" i="1"/>
  <c r="AU165" i="1"/>
  <c r="AU182" i="1"/>
  <c r="AU181" i="1"/>
  <c r="AD29" i="7"/>
  <c r="AC29" i="7"/>
  <c r="AC22" i="7"/>
  <c r="D54" i="7" s="1"/>
  <c r="I54" i="7" s="1"/>
  <c r="AC33" i="7"/>
  <c r="AC36" i="7"/>
  <c r="AD21" i="7"/>
  <c r="G53" i="7" s="1"/>
  <c r="AD30" i="7"/>
  <c r="AD35" i="7"/>
  <c r="AD31" i="7"/>
  <c r="AD24" i="7"/>
  <c r="G56" i="7" s="1"/>
  <c r="AD32" i="7"/>
  <c r="AU194" i="1"/>
  <c r="AU193" i="1"/>
  <c r="AU210" i="1"/>
  <c r="AU202" i="1"/>
  <c r="AU201" i="1"/>
  <c r="AU230" i="1"/>
  <c r="AU229" i="1"/>
  <c r="AU214" i="1"/>
  <c r="AU213" i="1"/>
  <c r="AU218" i="1"/>
  <c r="AU217" i="1"/>
  <c r="AU178" i="1"/>
  <c r="AU177" i="1"/>
  <c r="AD27" i="7"/>
  <c r="AD34" i="7"/>
  <c r="AD20" i="7"/>
  <c r="G52" i="7" s="1"/>
  <c r="AD22" i="7"/>
  <c r="G54" i="7" s="1"/>
  <c r="AC27" i="7"/>
  <c r="AC24" i="7"/>
  <c r="D56" i="7" s="1"/>
  <c r="I56" i="7" s="1"/>
  <c r="AC35" i="7"/>
  <c r="AC34" i="7"/>
  <c r="AC23" i="7"/>
  <c r="D55" i="7" s="1"/>
  <c r="I55" i="7" s="1"/>
  <c r="AU206" i="1"/>
  <c r="AU205" i="1"/>
  <c r="AU190" i="1"/>
  <c r="AU189" i="1"/>
  <c r="AU174" i="1"/>
  <c r="AU173" i="1"/>
  <c r="AU222" i="1"/>
  <c r="AU198" i="1"/>
  <c r="AU197" i="1"/>
  <c r="AY105" i="1"/>
  <c r="AX106" i="1"/>
  <c r="H43" i="7" l="1"/>
  <c r="J43" i="7" s="1"/>
  <c r="I43" i="7"/>
  <c r="H42" i="7"/>
  <c r="J42" i="7" s="1"/>
  <c r="I42" i="7"/>
  <c r="H41" i="7"/>
  <c r="J41" i="7" s="1"/>
  <c r="I41" i="7"/>
  <c r="I44" i="7"/>
  <c r="H44" i="7"/>
  <c r="J44" i="7" s="1"/>
  <c r="I46" i="7"/>
  <c r="H46" i="7"/>
  <c r="J46" i="7" s="1"/>
  <c r="H45" i="7"/>
  <c r="J45" i="7" s="1"/>
  <c r="I45" i="7"/>
  <c r="H47" i="7"/>
  <c r="J47" i="7" s="1"/>
  <c r="I47" i="7"/>
  <c r="AQ87" i="23"/>
  <c r="AP88" i="23"/>
  <c r="AL87" i="23"/>
  <c r="AK88" i="23"/>
  <c r="BA87" i="23"/>
  <c r="AZ88" i="23"/>
  <c r="AV87" i="23"/>
  <c r="AU88" i="23"/>
  <c r="AG87" i="23"/>
  <c r="AF88" i="23"/>
  <c r="AA88" i="23"/>
  <c r="AB87" i="23"/>
  <c r="Q87" i="23"/>
  <c r="R86" i="23"/>
  <c r="W87" i="23"/>
  <c r="V88" i="23"/>
  <c r="BA22" i="1"/>
  <c r="BA23" i="1" s="1"/>
  <c r="A210" i="23"/>
  <c r="B209" i="23"/>
  <c r="AL25" i="1"/>
  <c r="AL26" i="1" s="1"/>
  <c r="X176" i="23"/>
  <c r="W177" i="23"/>
  <c r="S177" i="23"/>
  <c r="R178" i="23"/>
  <c r="H52" i="7"/>
  <c r="J52" i="7" s="1"/>
  <c r="H51" i="7"/>
  <c r="J51" i="7" s="1"/>
  <c r="BA24" i="1"/>
  <c r="BA26" i="1" s="1"/>
  <c r="H48" i="7"/>
  <c r="J48" i="7" s="1"/>
  <c r="I48" i="7"/>
  <c r="H54" i="7"/>
  <c r="J54" i="7" s="1"/>
  <c r="H50" i="7"/>
  <c r="J50" i="7" s="1"/>
  <c r="H49" i="7"/>
  <c r="J49" i="7" s="1"/>
  <c r="I53" i="7"/>
  <c r="J53" i="7"/>
  <c r="AV162" i="1"/>
  <c r="H55" i="7"/>
  <c r="J55" i="7" s="1"/>
  <c r="AV166" i="1"/>
  <c r="H56" i="7"/>
  <c r="J56" i="7" s="1"/>
  <c r="AX107" i="1"/>
  <c r="AY106" i="1"/>
  <c r="P36" i="7" l="1"/>
  <c r="AU89" i="23"/>
  <c r="AV88" i="23"/>
  <c r="AL88" i="23"/>
  <c r="AK89" i="23"/>
  <c r="AF89" i="23"/>
  <c r="AG88" i="23"/>
  <c r="AZ89" i="23"/>
  <c r="BA88" i="23"/>
  <c r="AQ88" i="23"/>
  <c r="AP89" i="23"/>
  <c r="AA89" i="23"/>
  <c r="AB88" i="23"/>
  <c r="W88" i="23"/>
  <c r="V89" i="23"/>
  <c r="Q88" i="23"/>
  <c r="R87" i="23"/>
  <c r="A211" i="23"/>
  <c r="B210" i="23"/>
  <c r="BA25" i="1"/>
  <c r="BB16" i="1" s="1"/>
  <c r="BC16" i="1" s="1"/>
  <c r="D64" i="1" s="1"/>
  <c r="X177" i="23"/>
  <c r="W178" i="23"/>
  <c r="R179" i="23"/>
  <c r="S179" i="23" s="1"/>
  <c r="S178" i="23"/>
  <c r="P51" i="7"/>
  <c r="P54" i="7"/>
  <c r="AV163" i="1"/>
  <c r="AX108" i="1"/>
  <c r="AY107" i="1"/>
  <c r="BC15" i="1" l="1"/>
  <c r="D61" i="1" s="1"/>
  <c r="AK90" i="23"/>
  <c r="AL89" i="23"/>
  <c r="AZ90" i="23"/>
  <c r="BA89" i="23"/>
  <c r="AP90" i="23"/>
  <c r="AQ89" i="23"/>
  <c r="AG89" i="23"/>
  <c r="AF90" i="23"/>
  <c r="AU90" i="23"/>
  <c r="AV89" i="23"/>
  <c r="AA90" i="23"/>
  <c r="AB89" i="23"/>
  <c r="Q89" i="23"/>
  <c r="R88" i="23"/>
  <c r="V90" i="23"/>
  <c r="W89" i="23"/>
  <c r="B211" i="23"/>
  <c r="A212" i="23"/>
  <c r="X178" i="23"/>
  <c r="W179" i="23"/>
  <c r="X179" i="23" s="1"/>
  <c r="BB17" i="1"/>
  <c r="BB18" i="1" s="1"/>
  <c r="BB19" i="1" s="1"/>
  <c r="M6" i="23"/>
  <c r="X80" i="18"/>
  <c r="Y80" i="18" s="1"/>
  <c r="P64" i="1"/>
  <c r="Q6" i="23" s="1"/>
  <c r="AV164" i="1"/>
  <c r="AV167" i="1"/>
  <c r="AX109" i="1"/>
  <c r="AY108" i="1"/>
  <c r="P61" i="1" l="1"/>
  <c r="M5" i="23"/>
  <c r="X79" i="18"/>
  <c r="Y79" i="18" s="1"/>
  <c r="AG90" i="23"/>
  <c r="AF91" i="23"/>
  <c r="AZ91" i="23"/>
  <c r="BA90" i="23"/>
  <c r="AV90" i="23"/>
  <c r="AU91" i="23"/>
  <c r="AP91" i="23"/>
  <c r="AQ90" i="23"/>
  <c r="AL90" i="23"/>
  <c r="AK91" i="23"/>
  <c r="AA91" i="23"/>
  <c r="AB90" i="23"/>
  <c r="W90" i="23"/>
  <c r="V91" i="23"/>
  <c r="Q90" i="23"/>
  <c r="R89" i="23"/>
  <c r="A213" i="23"/>
  <c r="B212" i="23"/>
  <c r="W29" i="23"/>
  <c r="W36" i="23"/>
  <c r="W31" i="23"/>
  <c r="W26" i="23"/>
  <c r="W48" i="23"/>
  <c r="W28" i="23"/>
  <c r="W40" i="23"/>
  <c r="W47" i="23"/>
  <c r="W39" i="23"/>
  <c r="BC17" i="1"/>
  <c r="D67" i="1" s="1"/>
  <c r="C9" i="30" s="1"/>
  <c r="BC18" i="1"/>
  <c r="D70" i="1" s="1"/>
  <c r="M8" i="23" s="1"/>
  <c r="M13" i="23"/>
  <c r="P5" i="23"/>
  <c r="N5" i="23"/>
  <c r="BB20" i="1"/>
  <c r="BC19" i="1"/>
  <c r="D73" i="1" s="1"/>
  <c r="N13" i="23"/>
  <c r="N6" i="23"/>
  <c r="P6" i="23"/>
  <c r="R6" i="23" s="1"/>
  <c r="AV165" i="1"/>
  <c r="AY109" i="1"/>
  <c r="AX110" i="1"/>
  <c r="Q5" i="23" l="1"/>
  <c r="W42" i="23" s="1"/>
  <c r="P67" i="1"/>
  <c r="Q7" i="23" s="1"/>
  <c r="AQ91" i="23"/>
  <c r="AP92" i="23"/>
  <c r="BA91" i="23"/>
  <c r="AZ92" i="23"/>
  <c r="AL91" i="23"/>
  <c r="AK92" i="23"/>
  <c r="AU92" i="23"/>
  <c r="AV91" i="23"/>
  <c r="AF92" i="23"/>
  <c r="AG91" i="23"/>
  <c r="AA92" i="23"/>
  <c r="AB91" i="23"/>
  <c r="W91" i="23"/>
  <c r="V92" i="23"/>
  <c r="Q91" i="23"/>
  <c r="R90" i="23"/>
  <c r="B213" i="23"/>
  <c r="A214" i="23"/>
  <c r="W38" i="23"/>
  <c r="W37" i="23"/>
  <c r="W56" i="23"/>
  <c r="N14" i="23"/>
  <c r="H64" i="1"/>
  <c r="M14" i="23"/>
  <c r="H61" i="1"/>
  <c r="X81" i="18"/>
  <c r="Y81" i="18" s="1"/>
  <c r="M7" i="23"/>
  <c r="P13" i="23"/>
  <c r="P8" i="23"/>
  <c r="N8" i="23"/>
  <c r="P70" i="1"/>
  <c r="Q8" i="23" s="1"/>
  <c r="X82" i="18"/>
  <c r="Y82" i="18" s="1"/>
  <c r="M9" i="23"/>
  <c r="P73" i="1"/>
  <c r="Q9" i="23" s="1"/>
  <c r="W52" i="23" s="1"/>
  <c r="X83" i="18"/>
  <c r="Y83" i="18" s="1"/>
  <c r="BB21" i="1"/>
  <c r="BC20" i="1"/>
  <c r="N16" i="23"/>
  <c r="N23" i="23"/>
  <c r="N25" i="23"/>
  <c r="N17" i="23"/>
  <c r="N19" i="23"/>
  <c r="N21" i="23"/>
  <c r="N24" i="23"/>
  <c r="N22" i="23"/>
  <c r="N20" i="23"/>
  <c r="N18" i="23"/>
  <c r="AV168" i="1"/>
  <c r="AX111" i="1"/>
  <c r="AY110" i="1"/>
  <c r="AD9" i="30" l="1"/>
  <c r="R5" i="23"/>
  <c r="A3" i="43"/>
  <c r="L387" i="23"/>
  <c r="L385" i="23"/>
  <c r="L390" i="23"/>
  <c r="L393" i="23"/>
  <c r="L388" i="23"/>
  <c r="L389" i="23"/>
  <c r="L391" i="23"/>
  <c r="L392" i="23"/>
  <c r="L386" i="23"/>
  <c r="W53" i="23"/>
  <c r="BA92" i="23"/>
  <c r="AZ93" i="23"/>
  <c r="AV92" i="23"/>
  <c r="AU93" i="23"/>
  <c r="AL92" i="23"/>
  <c r="AK93" i="23"/>
  <c r="AP93" i="23"/>
  <c r="AQ92" i="23"/>
  <c r="AF93" i="23"/>
  <c r="AG92" i="23"/>
  <c r="AA93" i="23"/>
  <c r="AB92" i="23"/>
  <c r="W92" i="23"/>
  <c r="V93" i="23"/>
  <c r="Q92" i="23"/>
  <c r="R91" i="23"/>
  <c r="A215" i="23"/>
  <c r="B214" i="23"/>
  <c r="W49" i="23"/>
  <c r="AG10" i="23"/>
  <c r="W18" i="23"/>
  <c r="W24" i="23"/>
  <c r="W50" i="23"/>
  <c r="W59" i="23"/>
  <c r="P14" i="23"/>
  <c r="H70" i="1"/>
  <c r="Y68" i="18"/>
  <c r="Z120" i="18" s="1"/>
  <c r="O13" i="23"/>
  <c r="P7" i="23"/>
  <c r="R7" i="23" s="1"/>
  <c r="N7" i="23"/>
  <c r="R8" i="23"/>
  <c r="BB22" i="1"/>
  <c r="BC21" i="1"/>
  <c r="Q13" i="23"/>
  <c r="P9" i="23"/>
  <c r="R9" i="23" s="1"/>
  <c r="N9" i="23"/>
  <c r="N15" i="23"/>
  <c r="AV169" i="1"/>
  <c r="AX112" i="1"/>
  <c r="AY111" i="1"/>
  <c r="M21" i="23" l="1"/>
  <c r="M25" i="23"/>
  <c r="M22" i="23"/>
  <c r="M23" i="23"/>
  <c r="M20" i="23"/>
  <c r="M17" i="23"/>
  <c r="M18" i="23"/>
  <c r="M19" i="23"/>
  <c r="M24" i="23"/>
  <c r="M16" i="23"/>
  <c r="P387" i="23"/>
  <c r="R387" i="23"/>
  <c r="Q387" i="23"/>
  <c r="N387" i="23"/>
  <c r="O390" i="23"/>
  <c r="Q390" i="23"/>
  <c r="R390" i="23"/>
  <c r="N390" i="23"/>
  <c r="Q385" i="23"/>
  <c r="P385" i="23"/>
  <c r="N385" i="23"/>
  <c r="R385" i="23"/>
  <c r="Q391" i="23"/>
  <c r="R391" i="23"/>
  <c r="N391" i="23"/>
  <c r="O391" i="23"/>
  <c r="R389" i="23"/>
  <c r="N389" i="23"/>
  <c r="Q389" i="23"/>
  <c r="P389" i="23"/>
  <c r="R386" i="23"/>
  <c r="N386" i="23"/>
  <c r="Q386" i="23"/>
  <c r="P386" i="23"/>
  <c r="R388" i="23"/>
  <c r="O388" i="23"/>
  <c r="N388" i="23"/>
  <c r="Q388" i="23"/>
  <c r="N392" i="23"/>
  <c r="R392" i="23"/>
  <c r="R393" i="23"/>
  <c r="O393" i="23"/>
  <c r="P392" i="23"/>
  <c r="N393" i="23"/>
  <c r="AQ93" i="23"/>
  <c r="AP94" i="23"/>
  <c r="AL93" i="23"/>
  <c r="AK94" i="23"/>
  <c r="AZ94" i="23"/>
  <c r="BA93" i="23"/>
  <c r="AV93" i="23"/>
  <c r="AU94" i="23"/>
  <c r="AG93" i="23"/>
  <c r="AF94" i="23"/>
  <c r="AA94" i="23"/>
  <c r="AB93" i="23"/>
  <c r="W93" i="23"/>
  <c r="V94" i="23"/>
  <c r="Q93" i="23"/>
  <c r="R92" i="23"/>
  <c r="B215" i="23"/>
  <c r="A216" i="23"/>
  <c r="N123" i="23"/>
  <c r="AC123" i="23"/>
  <c r="AW123" i="23"/>
  <c r="W124" i="23"/>
  <c r="X124" i="23" s="1"/>
  <c r="AQ124" i="23"/>
  <c r="AQ125" i="23" s="1"/>
  <c r="AQ126" i="23" s="1"/>
  <c r="BK124" i="23"/>
  <c r="S123" i="23"/>
  <c r="AH123" i="23"/>
  <c r="BB123" i="23"/>
  <c r="AB124" i="23"/>
  <c r="AC124" i="23" s="1"/>
  <c r="AV124" i="23"/>
  <c r="AV125" i="23" s="1"/>
  <c r="AV126" i="23" s="1"/>
  <c r="K164" i="1"/>
  <c r="J164" i="1" s="1"/>
  <c r="M124" i="23"/>
  <c r="M125" i="23" s="1"/>
  <c r="N125" i="23" s="1"/>
  <c r="AM123" i="23"/>
  <c r="BG123" i="23"/>
  <c r="AG124" i="23"/>
  <c r="AG125" i="23" s="1"/>
  <c r="AG126" i="23" s="1"/>
  <c r="AG127" i="23" s="1"/>
  <c r="BA124" i="23"/>
  <c r="BA125" i="23" s="1"/>
  <c r="BA126" i="23" s="1"/>
  <c r="R124" i="23"/>
  <c r="R125" i="23" s="1"/>
  <c r="S125" i="23" s="1"/>
  <c r="X123" i="23"/>
  <c r="AR123" i="23"/>
  <c r="BL123" i="23"/>
  <c r="AL124" i="23"/>
  <c r="AL125" i="23" s="1"/>
  <c r="AL126" i="23" s="1"/>
  <c r="BF124" i="23"/>
  <c r="BF125" i="23" s="1"/>
  <c r="BG125" i="23" s="1"/>
  <c r="W125" i="23"/>
  <c r="W126" i="23" s="1"/>
  <c r="X126" i="23" s="1"/>
  <c r="AR125" i="23"/>
  <c r="V11" i="23"/>
  <c r="V7" i="23"/>
  <c r="V9" i="23"/>
  <c r="V14" i="23"/>
  <c r="V8" i="23"/>
  <c r="V5" i="23"/>
  <c r="V6" i="23"/>
  <c r="V4" i="23"/>
  <c r="V10" i="23"/>
  <c r="V13" i="23"/>
  <c r="V12" i="23"/>
  <c r="V15" i="23"/>
  <c r="Z93" i="18"/>
  <c r="O14" i="23"/>
  <c r="H67" i="1"/>
  <c r="H73" i="1"/>
  <c r="Z121" i="18"/>
  <c r="Z105" i="18"/>
  <c r="Z113" i="18"/>
  <c r="Z94" i="18"/>
  <c r="Z110" i="18"/>
  <c r="AY3" i="18"/>
  <c r="D31" i="18" s="1"/>
  <c r="Z109" i="18"/>
  <c r="Z87" i="18"/>
  <c r="Z111" i="18"/>
  <c r="Z102" i="18"/>
  <c r="Z118" i="18"/>
  <c r="Z114" i="18"/>
  <c r="Z108" i="18"/>
  <c r="Z99" i="18"/>
  <c r="Z98" i="18"/>
  <c r="Z86" i="18"/>
  <c r="Z92" i="18"/>
  <c r="Z85" i="18"/>
  <c r="Z116" i="18"/>
  <c r="Z97" i="18"/>
  <c r="Z115" i="18"/>
  <c r="AY4" i="18"/>
  <c r="D33" i="18" s="1"/>
  <c r="Z89" i="18"/>
  <c r="Z91" i="18"/>
  <c r="Z119" i="18"/>
  <c r="Z103" i="18"/>
  <c r="AY2" i="18"/>
  <c r="D29" i="18" s="1"/>
  <c r="Z106" i="18"/>
  <c r="Z107" i="18"/>
  <c r="Z104" i="18"/>
  <c r="AY7" i="18"/>
  <c r="Y116" i="18" s="1"/>
  <c r="AB116" i="18" s="1"/>
  <c r="Z90" i="18"/>
  <c r="Z100" i="18"/>
  <c r="Z112" i="18"/>
  <c r="Z96" i="18"/>
  <c r="AY5" i="18"/>
  <c r="D35" i="18" s="1"/>
  <c r="Z122" i="18"/>
  <c r="Z46" i="18"/>
  <c r="O23" i="23"/>
  <c r="O21" i="23"/>
  <c r="O18" i="23"/>
  <c r="O22" i="23"/>
  <c r="O25" i="23"/>
  <c r="O24" i="23"/>
  <c r="O17" i="23"/>
  <c r="O19" i="23"/>
  <c r="O16" i="23"/>
  <c r="O20" i="23"/>
  <c r="Z95" i="18"/>
  <c r="Z101" i="18"/>
  <c r="AY6" i="18"/>
  <c r="X105" i="18" s="1"/>
  <c r="Z88" i="18"/>
  <c r="Z117" i="18"/>
  <c r="P16" i="23"/>
  <c r="P17" i="23"/>
  <c r="P21" i="23"/>
  <c r="P19" i="23"/>
  <c r="P20" i="23"/>
  <c r="P22" i="23"/>
  <c r="P24" i="23"/>
  <c r="P25" i="23"/>
  <c r="P23" i="23"/>
  <c r="P18" i="23"/>
  <c r="AV170" i="1"/>
  <c r="AV171" i="1" s="1"/>
  <c r="Q14" i="23"/>
  <c r="BB23" i="1"/>
  <c r="BC22" i="1"/>
  <c r="Q17" i="23"/>
  <c r="Q18" i="23"/>
  <c r="Q21" i="23"/>
  <c r="Q19" i="23"/>
  <c r="Q25" i="23"/>
  <c r="Q23" i="23"/>
  <c r="Q22" i="23"/>
  <c r="Q24" i="23"/>
  <c r="Q16" i="23"/>
  <c r="Q20" i="23"/>
  <c r="AY112" i="1"/>
  <c r="AX113" i="1"/>
  <c r="M15" i="23" l="1"/>
  <c r="X125" i="23"/>
  <c r="AD40" i="23"/>
  <c r="Q182" i="1" s="1"/>
  <c r="P182" i="1" s="1"/>
  <c r="Z157" i="23"/>
  <c r="AA157" i="23" s="1"/>
  <c r="AB157" i="23" s="1"/>
  <c r="Z143" i="23"/>
  <c r="AA143" i="23" s="1"/>
  <c r="AB143" i="23" s="1"/>
  <c r="Z142" i="23"/>
  <c r="AA142" i="23" s="1"/>
  <c r="AB142" i="23" s="1"/>
  <c r="Z156" i="23"/>
  <c r="AA156" i="23" s="1"/>
  <c r="Z155" i="23"/>
  <c r="AA155" i="23" s="1"/>
  <c r="AB155" i="23" s="1"/>
  <c r="Z154" i="23"/>
  <c r="AA154" i="23" s="1"/>
  <c r="Z153" i="23"/>
  <c r="AA153" i="23" s="1"/>
  <c r="Z152" i="23"/>
  <c r="AA152" i="23" s="1"/>
  <c r="AB152" i="23" s="1"/>
  <c r="Z151" i="23"/>
  <c r="AA151" i="23" s="1"/>
  <c r="AB151" i="23" s="1"/>
  <c r="Z150" i="23"/>
  <c r="AA150" i="23" s="1"/>
  <c r="AB150" i="23" s="1"/>
  <c r="Z149" i="23"/>
  <c r="AA149" i="23" s="1"/>
  <c r="AB149" i="23" s="1"/>
  <c r="Z148" i="23"/>
  <c r="AA148" i="23" s="1"/>
  <c r="AB148" i="23" s="1"/>
  <c r="Z147" i="23"/>
  <c r="AA147" i="23" s="1"/>
  <c r="AB147" i="23" s="1"/>
  <c r="Z146" i="23"/>
  <c r="AA146" i="23" s="1"/>
  <c r="AB146" i="23" s="1"/>
  <c r="Z145" i="23"/>
  <c r="AA145" i="23" s="1"/>
  <c r="AB145" i="23" s="1"/>
  <c r="Z144" i="23"/>
  <c r="AA144" i="23" s="1"/>
  <c r="AB144" i="23" s="1"/>
  <c r="I395" i="23"/>
  <c r="AU95" i="23"/>
  <c r="AV94" i="23"/>
  <c r="AL94" i="23"/>
  <c r="AK95" i="23"/>
  <c r="AG94" i="23"/>
  <c r="AF95" i="23"/>
  <c r="AQ94" i="23"/>
  <c r="AP95" i="23"/>
  <c r="AZ95" i="23"/>
  <c r="BA94" i="23"/>
  <c r="AA95" i="23"/>
  <c r="AB94" i="23"/>
  <c r="Q94" i="23"/>
  <c r="R93" i="23"/>
  <c r="W94" i="23"/>
  <c r="V95" i="23"/>
  <c r="A217" i="23"/>
  <c r="B216" i="23"/>
  <c r="N124" i="23"/>
  <c r="AW124" i="23"/>
  <c r="R126" i="23"/>
  <c r="R127" i="23" s="1"/>
  <c r="S127" i="23" s="1"/>
  <c r="BF126" i="23"/>
  <c r="BG126" i="23" s="1"/>
  <c r="W127" i="23"/>
  <c r="AH127" i="23"/>
  <c r="AG128" i="23"/>
  <c r="AH128" i="23" s="1"/>
  <c r="AV127" i="23"/>
  <c r="AW126" i="23"/>
  <c r="AM126" i="23"/>
  <c r="AL127" i="23"/>
  <c r="BA127" i="23"/>
  <c r="BB126" i="23"/>
  <c r="AQ127" i="23"/>
  <c r="AQ128" i="23" s="1"/>
  <c r="AR126" i="23"/>
  <c r="R128" i="23"/>
  <c r="S128" i="23" s="1"/>
  <c r="BB125" i="23"/>
  <c r="AH126" i="23"/>
  <c r="AR124" i="23"/>
  <c r="AW125" i="23"/>
  <c r="AH125" i="23"/>
  <c r="BL124" i="23"/>
  <c r="BK125" i="23"/>
  <c r="BB124" i="23"/>
  <c r="AM125" i="23"/>
  <c r="AM124" i="23"/>
  <c r="S124" i="23"/>
  <c r="BG124" i="23"/>
  <c r="AH124" i="23"/>
  <c r="AB125" i="23"/>
  <c r="M126" i="23"/>
  <c r="R129" i="23"/>
  <c r="AG129" i="23"/>
  <c r="AG130" i="23" s="1"/>
  <c r="AL4" i="23"/>
  <c r="AL12" i="23" s="1"/>
  <c r="AR127" i="23"/>
  <c r="X127" i="23"/>
  <c r="W128" i="23"/>
  <c r="AV128" i="23"/>
  <c r="AW127" i="23"/>
  <c r="AM127" i="23"/>
  <c r="AL128" i="23"/>
  <c r="AV172" i="1"/>
  <c r="AV173" i="1" s="1"/>
  <c r="AV174" i="1" s="1"/>
  <c r="Y106" i="18"/>
  <c r="AB106" i="18" s="1"/>
  <c r="Y109" i="18"/>
  <c r="AB109" i="18" s="1"/>
  <c r="Y122" i="18"/>
  <c r="AB122" i="18" s="1"/>
  <c r="Y112" i="18"/>
  <c r="AB112" i="18" s="1"/>
  <c r="Y104" i="18"/>
  <c r="AB104" i="18" s="1"/>
  <c r="Y89" i="18"/>
  <c r="AB89" i="18" s="1"/>
  <c r="Y93" i="18"/>
  <c r="AB93" i="18" s="1"/>
  <c r="Y111" i="18"/>
  <c r="AB111" i="18" s="1"/>
  <c r="Y105" i="18"/>
  <c r="AB105" i="18" s="1"/>
  <c r="X118" i="18"/>
  <c r="Y86" i="18"/>
  <c r="AB86" i="18" s="1"/>
  <c r="Y121" i="18"/>
  <c r="AB121" i="18" s="1"/>
  <c r="Y99" i="18"/>
  <c r="AB99" i="18" s="1"/>
  <c r="X90" i="18"/>
  <c r="Y91" i="18"/>
  <c r="AB91" i="18" s="1"/>
  <c r="Y102" i="18"/>
  <c r="AB102" i="18" s="1"/>
  <c r="Y103" i="18"/>
  <c r="AB103" i="18" s="1"/>
  <c r="Y101" i="18"/>
  <c r="AB101" i="18" s="1"/>
  <c r="Y97" i="18"/>
  <c r="AB97" i="18" s="1"/>
  <c r="Y117" i="18"/>
  <c r="AB117" i="18" s="1"/>
  <c r="Y119" i="18"/>
  <c r="AB119" i="18" s="1"/>
  <c r="X92" i="18"/>
  <c r="X103" i="18"/>
  <c r="Y120" i="18"/>
  <c r="AB120" i="18" s="1"/>
  <c r="Y92" i="18"/>
  <c r="AB92" i="18" s="1"/>
  <c r="Y85" i="18"/>
  <c r="AB85" i="18" s="1"/>
  <c r="Y118" i="18"/>
  <c r="AB118" i="18" s="1"/>
  <c r="Y107" i="18"/>
  <c r="AB107" i="18" s="1"/>
  <c r="Y114" i="18"/>
  <c r="AB114" i="18" s="1"/>
  <c r="Y108" i="18"/>
  <c r="AB108" i="18" s="1"/>
  <c r="Y115" i="18"/>
  <c r="AB115" i="18" s="1"/>
  <c r="Y113" i="18"/>
  <c r="AB113" i="18" s="1"/>
  <c r="Y88" i="18"/>
  <c r="AB88" i="18" s="1"/>
  <c r="Y94" i="18"/>
  <c r="AB94" i="18" s="1"/>
  <c r="Y95" i="18"/>
  <c r="AB95" i="18" s="1"/>
  <c r="J31" i="18"/>
  <c r="Y90" i="18"/>
  <c r="AB90" i="18" s="1"/>
  <c r="Y96" i="18"/>
  <c r="AB96" i="18" s="1"/>
  <c r="Y110" i="18"/>
  <c r="AB110" i="18" s="1"/>
  <c r="X93" i="18"/>
  <c r="X87" i="18"/>
  <c r="X109" i="18"/>
  <c r="AA109" i="18" s="1"/>
  <c r="X99" i="18"/>
  <c r="X120" i="18"/>
  <c r="X106" i="18"/>
  <c r="X96" i="18"/>
  <c r="J29" i="18"/>
  <c r="X98" i="18"/>
  <c r="X121" i="18"/>
  <c r="Y98" i="18"/>
  <c r="AB98" i="18" s="1"/>
  <c r="Y100" i="18"/>
  <c r="AB100" i="18" s="1"/>
  <c r="X119" i="18"/>
  <c r="X86" i="18"/>
  <c r="X100" i="18"/>
  <c r="X97" i="18"/>
  <c r="X122" i="18"/>
  <c r="X85" i="18"/>
  <c r="X115" i="18"/>
  <c r="X114" i="18"/>
  <c r="X88" i="18"/>
  <c r="X94" i="18"/>
  <c r="Y87" i="18"/>
  <c r="AB87" i="18" s="1"/>
  <c r="X91" i="18"/>
  <c r="X112" i="18"/>
  <c r="X102" i="18"/>
  <c r="X95" i="18"/>
  <c r="X113" i="18"/>
  <c r="X108" i="18"/>
  <c r="X117" i="18"/>
  <c r="X111" i="18"/>
  <c r="X104" i="18"/>
  <c r="W47" i="18"/>
  <c r="Z47" i="18" s="1"/>
  <c r="X101" i="18"/>
  <c r="X107" i="18"/>
  <c r="X89" i="18"/>
  <c r="X110" i="18"/>
  <c r="X116" i="18"/>
  <c r="AA116" i="18" s="1"/>
  <c r="AV33" i="18" s="1"/>
  <c r="O15" i="23"/>
  <c r="P15" i="23"/>
  <c r="Q15" i="23"/>
  <c r="AA106" i="18"/>
  <c r="BC23" i="1"/>
  <c r="BB24" i="1"/>
  <c r="AV179" i="1"/>
  <c r="AY113" i="1"/>
  <c r="AX114" i="1"/>
  <c r="AY114" i="1" s="1"/>
  <c r="AB156" i="23" l="1"/>
  <c r="AB153" i="23"/>
  <c r="AB154" i="23" s="1"/>
  <c r="AD142" i="23" s="1"/>
  <c r="AH142" i="23" s="1"/>
  <c r="AI142" i="23" s="1"/>
  <c r="AJ142" i="23" s="1"/>
  <c r="AK142" i="23" s="1"/>
  <c r="AV176" i="1"/>
  <c r="AV177" i="1" s="1"/>
  <c r="AV178" i="1" s="1"/>
  <c r="AV175" i="1"/>
  <c r="AP96" i="23"/>
  <c r="AQ95" i="23"/>
  <c r="AK96" i="23"/>
  <c r="AL95" i="23"/>
  <c r="AG95" i="23"/>
  <c r="AF96" i="23"/>
  <c r="AZ96" i="23"/>
  <c r="BA95" i="23"/>
  <c r="AU96" i="23"/>
  <c r="AV95" i="23"/>
  <c r="AA96" i="23"/>
  <c r="AB95" i="23"/>
  <c r="Q95" i="23"/>
  <c r="R94" i="23"/>
  <c r="W95" i="23"/>
  <c r="V96" i="23"/>
  <c r="B217" i="23"/>
  <c r="A218" i="23"/>
  <c r="AL10" i="23"/>
  <c r="S126" i="23"/>
  <c r="BF127" i="23"/>
  <c r="BB127" i="23"/>
  <c r="BA128" i="23"/>
  <c r="M127" i="23"/>
  <c r="N126" i="23"/>
  <c r="BL125" i="23"/>
  <c r="BK126" i="23"/>
  <c r="AB126" i="23"/>
  <c r="AC125" i="23"/>
  <c r="AL9" i="23"/>
  <c r="AL11" i="23"/>
  <c r="AL6" i="23"/>
  <c r="AL8" i="23"/>
  <c r="AL7" i="23"/>
  <c r="AL13" i="23"/>
  <c r="AH129" i="23"/>
  <c r="R130" i="23"/>
  <c r="S129" i="23"/>
  <c r="AL14" i="23"/>
  <c r="W129" i="23"/>
  <c r="X128" i="23"/>
  <c r="AQ129" i="23"/>
  <c r="AR128" i="23"/>
  <c r="AM128" i="23"/>
  <c r="AL129" i="23"/>
  <c r="AV129" i="23"/>
  <c r="AW128" i="23"/>
  <c r="AG131" i="23"/>
  <c r="AH130" i="23"/>
  <c r="AA95" i="18"/>
  <c r="AV12" i="18" s="1"/>
  <c r="AA115" i="18"/>
  <c r="AV32" i="18" s="1"/>
  <c r="AA101" i="18"/>
  <c r="AV18" i="18" s="1"/>
  <c r="AA104" i="18"/>
  <c r="AV21" i="18" s="1"/>
  <c r="AA114" i="18"/>
  <c r="AV31" i="18" s="1"/>
  <c r="AA99" i="18"/>
  <c r="AV16" i="18" s="1"/>
  <c r="AA96" i="18"/>
  <c r="AV13" i="18" s="1"/>
  <c r="AA89" i="18"/>
  <c r="AV6" i="18" s="1"/>
  <c r="AA110" i="18"/>
  <c r="AV27" i="18" s="1"/>
  <c r="AA91" i="18"/>
  <c r="BB5" i="18" s="1"/>
  <c r="BC5" i="18" s="1"/>
  <c r="AA97" i="18"/>
  <c r="AV14" i="18" s="1"/>
  <c r="AA93" i="18"/>
  <c r="AV10" i="18" s="1"/>
  <c r="AA86" i="18"/>
  <c r="BB3" i="18" s="1"/>
  <c r="BC3" i="18" s="1"/>
  <c r="AA111" i="18"/>
  <c r="BB18" i="18" s="1"/>
  <c r="AA108" i="18"/>
  <c r="AV25" i="18" s="1"/>
  <c r="AA122" i="18"/>
  <c r="BB24" i="18" s="1"/>
  <c r="BC24" i="18" s="1"/>
  <c r="AA103" i="18"/>
  <c r="BB12" i="18" s="1"/>
  <c r="AA105" i="18"/>
  <c r="AV22" i="18" s="1"/>
  <c r="AA112" i="18"/>
  <c r="AV29" i="18" s="1"/>
  <c r="AA92" i="18"/>
  <c r="AV9" i="18" s="1"/>
  <c r="AA118" i="18"/>
  <c r="AV35" i="18" s="1"/>
  <c r="AA85" i="18"/>
  <c r="BB2" i="18" s="1"/>
  <c r="BC2" i="18" s="1"/>
  <c r="AA94" i="18"/>
  <c r="AV11" i="18" s="1"/>
  <c r="AA121" i="18"/>
  <c r="AV38" i="18" s="1"/>
  <c r="AA102" i="18"/>
  <c r="AV19" i="18" s="1"/>
  <c r="AA113" i="18"/>
  <c r="AV30" i="18" s="1"/>
  <c r="AA117" i="18"/>
  <c r="AV34" i="18" s="1"/>
  <c r="AA107" i="18"/>
  <c r="BB15" i="18" s="1"/>
  <c r="BC15" i="18" s="1"/>
  <c r="AA120" i="18"/>
  <c r="AV37" i="18" s="1"/>
  <c r="AA90" i="18"/>
  <c r="AV7" i="18" s="1"/>
  <c r="AA88" i="18"/>
  <c r="AV5" i="18" s="1"/>
  <c r="AA119" i="18"/>
  <c r="AV36" i="18" s="1"/>
  <c r="AA87" i="18"/>
  <c r="AV4" i="18" s="1"/>
  <c r="AA100" i="18"/>
  <c r="BB11" i="18" s="1"/>
  <c r="BC11" i="18" s="1"/>
  <c r="AA98" i="18"/>
  <c r="BB10" i="18" s="1"/>
  <c r="BC10" i="18" s="1"/>
  <c r="X47" i="18"/>
  <c r="Y47" i="18"/>
  <c r="AA47" i="18" s="1"/>
  <c r="AB47" i="18" s="1"/>
  <c r="W48" i="18"/>
  <c r="Z48" i="18" s="1"/>
  <c r="BB25" i="1"/>
  <c r="BC24" i="1"/>
  <c r="BB17" i="18"/>
  <c r="BC17" i="18" s="1"/>
  <c r="AV26" i="18"/>
  <c r="BB14" i="18"/>
  <c r="BC14" i="18" s="1"/>
  <c r="AV23" i="18"/>
  <c r="AV180" i="1"/>
  <c r="AC143" i="23" l="1"/>
  <c r="BA96" i="23"/>
  <c r="AZ97" i="23"/>
  <c r="AK97" i="23"/>
  <c r="AL96" i="23"/>
  <c r="AG96" i="23"/>
  <c r="AF97" i="23"/>
  <c r="AU97" i="23"/>
  <c r="AV96" i="23"/>
  <c r="AQ96" i="23"/>
  <c r="AP97" i="23"/>
  <c r="AA97" i="23"/>
  <c r="AB96" i="23"/>
  <c r="V97" i="23"/>
  <c r="W96" i="23"/>
  <c r="Q96" i="23"/>
  <c r="R95" i="23"/>
  <c r="A219" i="23"/>
  <c r="B218" i="23"/>
  <c r="BF128" i="23"/>
  <c r="BG127" i="23"/>
  <c r="AC126" i="23"/>
  <c r="AB127" i="23"/>
  <c r="M128" i="23"/>
  <c r="N127" i="23"/>
  <c r="BL126" i="23"/>
  <c r="BK127" i="23"/>
  <c r="BA129" i="23"/>
  <c r="BB128" i="23"/>
  <c r="BB8" i="18"/>
  <c r="BC8" i="18" s="1"/>
  <c r="S130" i="23"/>
  <c r="R131" i="23"/>
  <c r="AQ130" i="23"/>
  <c r="AR129" i="23"/>
  <c r="X129" i="23"/>
  <c r="W130" i="23"/>
  <c r="AM129" i="23"/>
  <c r="AL130" i="23"/>
  <c r="AV130" i="23"/>
  <c r="AW129" i="23"/>
  <c r="AH131" i="23"/>
  <c r="AG132" i="23"/>
  <c r="BB13" i="18"/>
  <c r="BB6" i="18"/>
  <c r="BC6" i="18" s="1"/>
  <c r="AV15" i="18"/>
  <c r="AV3" i="18"/>
  <c r="BB20" i="18"/>
  <c r="BB7" i="18"/>
  <c r="BC7" i="18" s="1"/>
  <c r="BB4" i="18"/>
  <c r="BC4" i="18" s="1"/>
  <c r="AV28" i="18"/>
  <c r="BB23" i="18"/>
  <c r="BB9" i="18"/>
  <c r="AV20" i="18"/>
  <c r="AV17" i="18"/>
  <c r="AV8" i="18"/>
  <c r="BB16" i="18"/>
  <c r="BC16" i="18" s="1"/>
  <c r="AV2" i="18"/>
  <c r="BB22" i="18"/>
  <c r="BC22" i="18" s="1"/>
  <c r="BB21" i="18"/>
  <c r="BC21" i="18" s="1"/>
  <c r="AV24" i="18"/>
  <c r="AV39" i="18"/>
  <c r="BB19" i="18"/>
  <c r="Y48" i="18"/>
  <c r="AA48" i="18" s="1"/>
  <c r="AB48" i="18" s="1"/>
  <c r="X48" i="18"/>
  <c r="W49" i="18"/>
  <c r="X49" i="18" s="1"/>
  <c r="BB26" i="1"/>
  <c r="BC26" i="1" s="1"/>
  <c r="BC25" i="1"/>
  <c r="AV181" i="1"/>
  <c r="AV182" i="1" s="1"/>
  <c r="AV183" i="1"/>
  <c r="AD143" i="23" l="1"/>
  <c r="AH143" i="23" s="1"/>
  <c r="AI143" i="23" s="1"/>
  <c r="AJ143" i="23" s="1"/>
  <c r="AK143" i="23" s="1"/>
  <c r="AC144" i="23"/>
  <c r="BC9" i="18"/>
  <c r="BC12" i="18"/>
  <c r="BC13" i="18" s="1"/>
  <c r="AV97" i="23"/>
  <c r="AU98" i="23"/>
  <c r="AL97" i="23"/>
  <c r="AK98" i="23"/>
  <c r="AQ97" i="23"/>
  <c r="AP98" i="23"/>
  <c r="AG97" i="23"/>
  <c r="AF98" i="23"/>
  <c r="AZ98" i="23"/>
  <c r="BA97" i="23"/>
  <c r="AA98" i="23"/>
  <c r="AB97" i="23"/>
  <c r="W97" i="23"/>
  <c r="V98" i="23"/>
  <c r="Q97" i="23"/>
  <c r="R96" i="23"/>
  <c r="B219" i="23"/>
  <c r="A220" i="23"/>
  <c r="BF129" i="23"/>
  <c r="BG128" i="23"/>
  <c r="BA130" i="23"/>
  <c r="BB129" i="23"/>
  <c r="N128" i="23"/>
  <c r="M129" i="23"/>
  <c r="BK128" i="23"/>
  <c r="BL127" i="23"/>
  <c r="AC127" i="23"/>
  <c r="AB128" i="23"/>
  <c r="S131" i="23"/>
  <c r="R132" i="23"/>
  <c r="AR130" i="23"/>
  <c r="AQ131" i="23"/>
  <c r="W131" i="23"/>
  <c r="X130" i="23"/>
  <c r="AW130" i="23"/>
  <c r="AV131" i="23"/>
  <c r="AG133" i="23"/>
  <c r="AH132" i="23"/>
  <c r="AM130" i="23"/>
  <c r="AL131" i="23"/>
  <c r="Z49" i="18"/>
  <c r="W50" i="18" s="1"/>
  <c r="Y49" i="18"/>
  <c r="AA49" i="18" s="1"/>
  <c r="AB49" i="18" s="1"/>
  <c r="AV184" i="1"/>
  <c r="AV185" i="1" s="1"/>
  <c r="AV186" i="1" s="1"/>
  <c r="AC145" i="23" l="1"/>
  <c r="AD144" i="23"/>
  <c r="AH144" i="23" s="1"/>
  <c r="AI144" i="23" s="1"/>
  <c r="AJ144" i="23" s="1"/>
  <c r="AK144" i="23" s="1"/>
  <c r="AG98" i="23"/>
  <c r="AF99" i="23"/>
  <c r="AQ98" i="23"/>
  <c r="AP99" i="23"/>
  <c r="AU99" i="23"/>
  <c r="AV98" i="23"/>
  <c r="AL98" i="23"/>
  <c r="AK99" i="23"/>
  <c r="AZ99" i="23"/>
  <c r="BA98" i="23"/>
  <c r="AA99" i="23"/>
  <c r="AB98" i="23"/>
  <c r="Q98" i="23"/>
  <c r="R97" i="23"/>
  <c r="W98" i="23"/>
  <c r="V99" i="23"/>
  <c r="A221" i="23"/>
  <c r="B220" i="23"/>
  <c r="BF130" i="23"/>
  <c r="BG129" i="23"/>
  <c r="AB129" i="23"/>
  <c r="AC128" i="23"/>
  <c r="M130" i="23"/>
  <c r="N129" i="23"/>
  <c r="BK129" i="23"/>
  <c r="BL128" i="23"/>
  <c r="BA131" i="23"/>
  <c r="BB130" i="23"/>
  <c r="S132" i="23"/>
  <c r="R133" i="23"/>
  <c r="AQ132" i="23"/>
  <c r="AR131" i="23"/>
  <c r="X131" i="23"/>
  <c r="W132" i="23"/>
  <c r="AM131" i="23"/>
  <c r="AL132" i="23"/>
  <c r="AV132" i="23"/>
  <c r="AW131" i="23"/>
  <c r="AG134" i="23"/>
  <c r="AH133" i="23"/>
  <c r="AV187" i="1"/>
  <c r="AV188" i="1" s="1"/>
  <c r="AV189" i="1" s="1"/>
  <c r="AV190" i="1" s="1"/>
  <c r="X50" i="18"/>
  <c r="Y50" i="18"/>
  <c r="AA50" i="18" s="1"/>
  <c r="AB50" i="18" s="1"/>
  <c r="Z50" i="18"/>
  <c r="BC18" i="18"/>
  <c r="AV195" i="1"/>
  <c r="AC146" i="23" l="1"/>
  <c r="AD145" i="23"/>
  <c r="AH145" i="23" s="1"/>
  <c r="AI145" i="23" s="1"/>
  <c r="AJ145" i="23" s="1"/>
  <c r="AK145" i="23" s="1"/>
  <c r="BC19" i="18"/>
  <c r="BC20" i="18" s="1"/>
  <c r="BC23" i="18"/>
  <c r="AL99" i="23"/>
  <c r="AK100" i="23"/>
  <c r="AQ99" i="23"/>
  <c r="AP100" i="23"/>
  <c r="AF100" i="23"/>
  <c r="AG99" i="23"/>
  <c r="AZ100" i="23"/>
  <c r="BA99" i="23"/>
  <c r="AU100" i="23"/>
  <c r="AV99" i="23"/>
  <c r="AA100" i="23"/>
  <c r="AB99" i="23"/>
  <c r="Q99" i="23"/>
  <c r="R98" i="23"/>
  <c r="W99" i="23"/>
  <c r="V100" i="23"/>
  <c r="B221" i="23"/>
  <c r="A222" i="23"/>
  <c r="BG130" i="23"/>
  <c r="BF131" i="23"/>
  <c r="BB131" i="23"/>
  <c r="BA132" i="23"/>
  <c r="M131" i="23"/>
  <c r="N130" i="23"/>
  <c r="BK130" i="23"/>
  <c r="BL129" i="23"/>
  <c r="AC129" i="23"/>
  <c r="AB130" i="23"/>
  <c r="R134" i="23"/>
  <c r="S133" i="23"/>
  <c r="W133" i="23"/>
  <c r="X132" i="23"/>
  <c r="AQ133" i="23"/>
  <c r="AR132" i="23"/>
  <c r="AM132" i="23"/>
  <c r="AL133" i="23"/>
  <c r="AG135" i="23"/>
  <c r="AH134" i="23"/>
  <c r="AW132" i="23"/>
  <c r="AV133" i="23"/>
  <c r="AV191" i="1"/>
  <c r="W51" i="18"/>
  <c r="X51" i="18" s="1"/>
  <c r="AV192" i="1"/>
  <c r="AV193" i="1" s="1"/>
  <c r="AV194" i="1" s="1"/>
  <c r="AC147" i="23" l="1"/>
  <c r="AD146" i="23"/>
  <c r="AH146" i="23" s="1"/>
  <c r="AI146" i="23" s="1"/>
  <c r="AJ146" i="23" s="1"/>
  <c r="AK146" i="23" s="1"/>
  <c r="BE2" i="18"/>
  <c r="P29" i="18" s="1"/>
  <c r="BD3" i="18"/>
  <c r="BD4" i="18" s="1"/>
  <c r="AZ101" i="23"/>
  <c r="BA100" i="23"/>
  <c r="AQ100" i="23"/>
  <c r="AP101" i="23"/>
  <c r="AL100" i="23"/>
  <c r="AK101" i="23"/>
  <c r="AU101" i="23"/>
  <c r="AV100" i="23"/>
  <c r="AG100" i="23"/>
  <c r="AF101" i="23"/>
  <c r="AA101" i="23"/>
  <c r="AB100" i="23"/>
  <c r="V101" i="23"/>
  <c r="W100" i="23"/>
  <c r="Q100" i="23"/>
  <c r="R99" i="23"/>
  <c r="A223" i="23"/>
  <c r="B222" i="23"/>
  <c r="BG131" i="23"/>
  <c r="BF132" i="23"/>
  <c r="AB131" i="23"/>
  <c r="AC130" i="23"/>
  <c r="M132" i="23"/>
  <c r="N131" i="23"/>
  <c r="BB132" i="23"/>
  <c r="BA133" i="23"/>
  <c r="BL130" i="23"/>
  <c r="BK131" i="23"/>
  <c r="R135" i="23"/>
  <c r="S134" i="23"/>
  <c r="AR133" i="23"/>
  <c r="AQ134" i="23"/>
  <c r="W134" i="23"/>
  <c r="X133" i="23"/>
  <c r="AL134" i="23"/>
  <c r="AM133" i="23"/>
  <c r="AV134" i="23"/>
  <c r="AW133" i="23"/>
  <c r="AG136" i="23"/>
  <c r="AH135" i="23"/>
  <c r="Z51" i="18"/>
  <c r="Y51" i="18"/>
  <c r="AA51" i="18" s="1"/>
  <c r="AB51" i="18" s="1"/>
  <c r="AV196" i="1"/>
  <c r="AC148" i="23" l="1"/>
  <c r="AD147" i="23"/>
  <c r="AH147" i="23" s="1"/>
  <c r="AI147" i="23" s="1"/>
  <c r="AJ147" i="23" s="1"/>
  <c r="AK147" i="23" s="1"/>
  <c r="BE3" i="18"/>
  <c r="P31" i="18" s="1"/>
  <c r="AQ101" i="23"/>
  <c r="AP102" i="23"/>
  <c r="AV101" i="23"/>
  <c r="AU102" i="23"/>
  <c r="AG101" i="23"/>
  <c r="AF102" i="23"/>
  <c r="AK102" i="23"/>
  <c r="AL101" i="23"/>
  <c r="AZ102" i="23"/>
  <c r="BA101" i="23"/>
  <c r="AA102" i="23"/>
  <c r="AB101" i="23"/>
  <c r="W101" i="23"/>
  <c r="V102" i="23"/>
  <c r="Q101" i="23"/>
  <c r="R100" i="23"/>
  <c r="B223" i="23"/>
  <c r="A224" i="23"/>
  <c r="BF133" i="23"/>
  <c r="BG132" i="23"/>
  <c r="N132" i="23"/>
  <c r="M133" i="23"/>
  <c r="BA134" i="23"/>
  <c r="BB133" i="23"/>
  <c r="BK132" i="23"/>
  <c r="BL131" i="23"/>
  <c r="AC131" i="23"/>
  <c r="AB132" i="23"/>
  <c r="S135" i="23"/>
  <c r="R136" i="23"/>
  <c r="AR134" i="23"/>
  <c r="AQ135" i="23"/>
  <c r="W135" i="23"/>
  <c r="X134" i="23"/>
  <c r="AH136" i="23"/>
  <c r="AG137" i="23"/>
  <c r="AW134" i="23"/>
  <c r="AV135" i="23"/>
  <c r="AL135" i="23"/>
  <c r="AM134" i="23"/>
  <c r="W52" i="18"/>
  <c r="X52" i="18" s="1"/>
  <c r="BD5" i="18"/>
  <c r="BE4" i="18"/>
  <c r="P33" i="18" s="1"/>
  <c r="AV199" i="1"/>
  <c r="AV197" i="1"/>
  <c r="AV198" i="1" s="1"/>
  <c r="AC149" i="23" l="1"/>
  <c r="AD148" i="23"/>
  <c r="AH148" i="23" s="1"/>
  <c r="AI148" i="23" s="1"/>
  <c r="AJ148" i="23" s="1"/>
  <c r="AK148" i="23" s="1"/>
  <c r="AL102" i="23"/>
  <c r="AK103" i="23"/>
  <c r="AU103" i="23"/>
  <c r="AV102" i="23"/>
  <c r="AF103" i="23"/>
  <c r="AG102" i="23"/>
  <c r="AQ102" i="23"/>
  <c r="AP103" i="23"/>
  <c r="AZ103" i="23"/>
  <c r="BA102" i="23"/>
  <c r="AA103" i="23"/>
  <c r="AB102" i="23"/>
  <c r="W102" i="23"/>
  <c r="V103" i="23"/>
  <c r="Q102" i="23"/>
  <c r="R101" i="23"/>
  <c r="A225" i="23"/>
  <c r="B224" i="23"/>
  <c r="BG133" i="23"/>
  <c r="BF134" i="23"/>
  <c r="BA135" i="23"/>
  <c r="BB134" i="23"/>
  <c r="AC132" i="23"/>
  <c r="AB133" i="23"/>
  <c r="N133" i="23"/>
  <c r="M134" i="23"/>
  <c r="BL132" i="23"/>
  <c r="BK133" i="23"/>
  <c r="S136" i="23"/>
  <c r="R137" i="23"/>
  <c r="X135" i="23"/>
  <c r="W136" i="23"/>
  <c r="AR135" i="23"/>
  <c r="AQ136" i="23"/>
  <c r="AW135" i="23"/>
  <c r="AV136" i="23"/>
  <c r="AM135" i="23"/>
  <c r="AL136" i="23"/>
  <c r="AH137" i="23"/>
  <c r="AG138" i="23"/>
  <c r="AH138" i="23" s="1"/>
  <c r="Y52" i="18"/>
  <c r="AA52" i="18" s="1"/>
  <c r="AB52" i="18" s="1"/>
  <c r="Z52" i="18"/>
  <c r="BD6" i="18"/>
  <c r="BE5" i="18"/>
  <c r="P35" i="18" s="1"/>
  <c r="AV200" i="1"/>
  <c r="AC150" i="23" l="1"/>
  <c r="AD149" i="23"/>
  <c r="AH149" i="23" s="1"/>
  <c r="AI149" i="23" s="1"/>
  <c r="AJ149" i="23" s="1"/>
  <c r="AK149" i="23" s="1"/>
  <c r="AP104" i="23"/>
  <c r="AQ103" i="23"/>
  <c r="AV103" i="23"/>
  <c r="AU104" i="23"/>
  <c r="AK104" i="23"/>
  <c r="AL103" i="23"/>
  <c r="AZ104" i="23"/>
  <c r="BA103" i="23"/>
  <c r="AG103" i="23"/>
  <c r="AF104" i="23"/>
  <c r="AA104" i="23"/>
  <c r="AB103" i="23"/>
  <c r="W103" i="23"/>
  <c r="V104" i="23"/>
  <c r="Q103" i="23"/>
  <c r="R102" i="23"/>
  <c r="B225" i="23"/>
  <c r="A226" i="23"/>
  <c r="BF135" i="23"/>
  <c r="BG134" i="23"/>
  <c r="AB134" i="23"/>
  <c r="AC133" i="23"/>
  <c r="BK134" i="23"/>
  <c r="BL133" i="23"/>
  <c r="M135" i="23"/>
  <c r="N134" i="23"/>
  <c r="BA136" i="23"/>
  <c r="BB135" i="23"/>
  <c r="R138" i="23"/>
  <c r="S138" i="23" s="1"/>
  <c r="S137" i="23"/>
  <c r="AQ137" i="23"/>
  <c r="AR136" i="23"/>
  <c r="X136" i="23"/>
  <c r="W137" i="23"/>
  <c r="AM136" i="23"/>
  <c r="AL137" i="23"/>
  <c r="AV137" i="23"/>
  <c r="AW136" i="23"/>
  <c r="AV201" i="1"/>
  <c r="AV202" i="1" s="1"/>
  <c r="AV203" i="1" s="1"/>
  <c r="AV204" i="1" s="1"/>
  <c r="AV205" i="1" s="1"/>
  <c r="AV206" i="1" s="1"/>
  <c r="W53" i="18"/>
  <c r="X53" i="18" s="1"/>
  <c r="BE6" i="18"/>
  <c r="P37" i="18" s="1"/>
  <c r="BD7" i="18"/>
  <c r="AV211" i="1"/>
  <c r="AC151" i="23" l="1"/>
  <c r="AD150" i="23"/>
  <c r="AH150" i="23" s="1"/>
  <c r="AI150" i="23" s="1"/>
  <c r="AJ150" i="23" s="1"/>
  <c r="AK150" i="23" s="1"/>
  <c r="AU105" i="23"/>
  <c r="AV104" i="23"/>
  <c r="BA104" i="23"/>
  <c r="AZ105" i="23"/>
  <c r="AG104" i="23"/>
  <c r="AF105" i="23"/>
  <c r="AK105" i="23"/>
  <c r="AL104" i="23"/>
  <c r="AP105" i="23"/>
  <c r="AQ104" i="23"/>
  <c r="AA105" i="23"/>
  <c r="AB104" i="23"/>
  <c r="Q104" i="23"/>
  <c r="R103" i="23"/>
  <c r="V105" i="23"/>
  <c r="W104" i="23"/>
  <c r="A227" i="23"/>
  <c r="B226" i="23"/>
  <c r="BF136" i="23"/>
  <c r="BG135" i="23"/>
  <c r="BB136" i="23"/>
  <c r="BA137" i="23"/>
  <c r="BK135" i="23"/>
  <c r="BL134" i="23"/>
  <c r="N135" i="23"/>
  <c r="M136" i="23"/>
  <c r="AB135" i="23"/>
  <c r="AC134" i="23"/>
  <c r="AV207" i="1"/>
  <c r="AV208" i="1" s="1"/>
  <c r="AV209" i="1" s="1"/>
  <c r="W138" i="23"/>
  <c r="X138" i="23" s="1"/>
  <c r="X137" i="23"/>
  <c r="AQ138" i="23"/>
  <c r="AR138" i="23" s="1"/>
  <c r="AR137" i="23"/>
  <c r="AV138" i="23"/>
  <c r="AW138" i="23" s="1"/>
  <c r="AW137" i="23"/>
  <c r="AL138" i="23"/>
  <c r="AM138" i="23" s="1"/>
  <c r="AM137" i="23"/>
  <c r="Z53" i="18"/>
  <c r="W54" i="18" s="1"/>
  <c r="X54" i="18" s="1"/>
  <c r="Y53" i="18"/>
  <c r="AA53" i="18" s="1"/>
  <c r="AB53" i="18" s="1"/>
  <c r="BD8" i="18"/>
  <c r="BE7" i="18"/>
  <c r="P39" i="18" s="1"/>
  <c r="AV215" i="1"/>
  <c r="AC152" i="23" l="1"/>
  <c r="AD151" i="23"/>
  <c r="AH151" i="23" s="1"/>
  <c r="AI151" i="23" s="1"/>
  <c r="AJ151" i="23" s="1"/>
  <c r="AK151" i="23" s="1"/>
  <c r="AK106" i="23"/>
  <c r="AL105" i="23"/>
  <c r="BA105" i="23"/>
  <c r="AZ106" i="23"/>
  <c r="AF106" i="23"/>
  <c r="AG105" i="23"/>
  <c r="AP106" i="23"/>
  <c r="AQ105" i="23"/>
  <c r="AV105" i="23"/>
  <c r="AU106" i="23"/>
  <c r="AA106" i="23"/>
  <c r="AB105" i="23"/>
  <c r="V106" i="23"/>
  <c r="W105" i="23"/>
  <c r="Q105" i="23"/>
  <c r="R104" i="23"/>
  <c r="B227" i="23"/>
  <c r="A228" i="23"/>
  <c r="BG136" i="23"/>
  <c r="BF137" i="23"/>
  <c r="AB136" i="23"/>
  <c r="AC135" i="23"/>
  <c r="BK136" i="23"/>
  <c r="BL135" i="23"/>
  <c r="M137" i="23"/>
  <c r="N136" i="23"/>
  <c r="BA138" i="23"/>
  <c r="BB138" i="23" s="1"/>
  <c r="BB137" i="23"/>
  <c r="Z54" i="18"/>
  <c r="W55" i="18" s="1"/>
  <c r="X55" i="18" s="1"/>
  <c r="AV210" i="1"/>
  <c r="AV212" i="1" s="1"/>
  <c r="Y54" i="18"/>
  <c r="AA54" i="18" s="1"/>
  <c r="AB54" i="18" s="1"/>
  <c r="BE8" i="18"/>
  <c r="P41" i="18" s="1"/>
  <c r="BD9" i="18"/>
  <c r="AV235" i="1"/>
  <c r="AC153" i="23" l="1"/>
  <c r="AD152" i="23"/>
  <c r="AH152" i="23" s="1"/>
  <c r="AI152" i="23" s="1"/>
  <c r="AJ152" i="23" s="1"/>
  <c r="AK152" i="23" s="1"/>
  <c r="AZ107" i="23"/>
  <c r="BA106" i="23"/>
  <c r="AQ106" i="23"/>
  <c r="AP107" i="23"/>
  <c r="AU107" i="23"/>
  <c r="AV106" i="23"/>
  <c r="AF107" i="23"/>
  <c r="AG106" i="23"/>
  <c r="AL106" i="23"/>
  <c r="AK107" i="23"/>
  <c r="AA107" i="23"/>
  <c r="AB106" i="23"/>
  <c r="W106" i="23"/>
  <c r="V107" i="23"/>
  <c r="Q106" i="23"/>
  <c r="R105" i="23"/>
  <c r="A229" i="23"/>
  <c r="B228" i="23"/>
  <c r="BG137" i="23"/>
  <c r="BF138" i="23"/>
  <c r="BG138" i="23" s="1"/>
  <c r="BK137" i="23"/>
  <c r="BL136" i="23"/>
  <c r="N137" i="23"/>
  <c r="M138" i="23"/>
  <c r="N138" i="23" s="1"/>
  <c r="AB137" i="23"/>
  <c r="AC136" i="23"/>
  <c r="AV213" i="1"/>
  <c r="AV214" i="1" s="1"/>
  <c r="Z55" i="18"/>
  <c r="Y55" i="18"/>
  <c r="AA55" i="18" s="1"/>
  <c r="AB55" i="18" s="1"/>
  <c r="BE9" i="18"/>
  <c r="P43" i="18" s="1"/>
  <c r="BD10" i="18"/>
  <c r="AV223" i="1"/>
  <c r="AC154" i="23" l="1"/>
  <c r="AD153" i="23"/>
  <c r="AH153" i="23" s="1"/>
  <c r="AI153" i="23" s="1"/>
  <c r="AJ153" i="23" s="1"/>
  <c r="AK153" i="23" s="1"/>
  <c r="AF108" i="23"/>
  <c r="AG107" i="23"/>
  <c r="AK108" i="23"/>
  <c r="AL107" i="23"/>
  <c r="AQ107" i="23"/>
  <c r="AP108" i="23"/>
  <c r="AV107" i="23"/>
  <c r="AU108" i="23"/>
  <c r="AZ108" i="23"/>
  <c r="BA107" i="23"/>
  <c r="AA108" i="23"/>
  <c r="AB107" i="23"/>
  <c r="V108" i="23"/>
  <c r="W107" i="23"/>
  <c r="Q107" i="23"/>
  <c r="R106" i="23"/>
  <c r="B229" i="23"/>
  <c r="A230" i="23"/>
  <c r="AB138" i="23"/>
  <c r="AC138" i="23" s="1"/>
  <c r="AC137" i="23"/>
  <c r="BL137" i="23"/>
  <c r="BK138" i="23"/>
  <c r="BL138" i="23" s="1"/>
  <c r="AV216" i="1"/>
  <c r="W56" i="18"/>
  <c r="Z56" i="18" s="1"/>
  <c r="BE10" i="18"/>
  <c r="P45" i="18" s="1"/>
  <c r="BD11" i="18"/>
  <c r="AV227" i="1"/>
  <c r="AC155" i="23" l="1"/>
  <c r="AD154" i="23"/>
  <c r="AH154" i="23" s="1"/>
  <c r="AI154" i="23" s="1"/>
  <c r="AJ154" i="23" s="1"/>
  <c r="AK154" i="23" s="1"/>
  <c r="AL108" i="23"/>
  <c r="AK109" i="23"/>
  <c r="AQ108" i="23"/>
  <c r="AP109" i="23"/>
  <c r="AU109" i="23"/>
  <c r="AV108" i="23"/>
  <c r="AZ109" i="23"/>
  <c r="BA108" i="23"/>
  <c r="AG108" i="23"/>
  <c r="AF109" i="23"/>
  <c r="AA109" i="23"/>
  <c r="AB108" i="23"/>
  <c r="Q108" i="23"/>
  <c r="R107" i="23"/>
  <c r="V109" i="23"/>
  <c r="W108" i="23"/>
  <c r="A231" i="23"/>
  <c r="B230" i="23"/>
  <c r="AV217" i="1"/>
  <c r="Y56" i="18"/>
  <c r="AA56" i="18" s="1"/>
  <c r="AB56" i="18" s="1"/>
  <c r="X56" i="18"/>
  <c r="W57" i="18"/>
  <c r="X57" i="18" s="1"/>
  <c r="BD12" i="18"/>
  <c r="BE11" i="18"/>
  <c r="P47" i="18" s="1"/>
  <c r="AV231" i="1"/>
  <c r="AC156" i="23" l="1"/>
  <c r="AD155" i="23"/>
  <c r="AH155" i="23" s="1"/>
  <c r="AI155" i="23" s="1"/>
  <c r="AJ155" i="23" s="1"/>
  <c r="AK155" i="23" s="1"/>
  <c r="AP110" i="23"/>
  <c r="AQ109" i="23"/>
  <c r="BA109" i="23"/>
  <c r="AZ110" i="23"/>
  <c r="AG109" i="23"/>
  <c r="AF110" i="23"/>
  <c r="AK110" i="23"/>
  <c r="AL109" i="23"/>
  <c r="AU110" i="23"/>
  <c r="AV109" i="23"/>
  <c r="AA110" i="23"/>
  <c r="AB109" i="23"/>
  <c r="V110" i="23"/>
  <c r="W109" i="23"/>
  <c r="Q109" i="23"/>
  <c r="R108" i="23"/>
  <c r="B231" i="23"/>
  <c r="A232" i="23"/>
  <c r="AV218" i="1"/>
  <c r="AV219" i="1"/>
  <c r="Y57" i="18"/>
  <c r="AA57" i="18" s="1"/>
  <c r="AB57" i="18" s="1"/>
  <c r="Z57" i="18"/>
  <c r="BD13" i="18"/>
  <c r="BE12" i="18"/>
  <c r="AC157" i="23" l="1"/>
  <c r="AD157" i="23" s="1"/>
  <c r="AH157" i="23" s="1"/>
  <c r="AI157" i="23" s="1"/>
  <c r="AJ157" i="23" s="1"/>
  <c r="AK157" i="23" s="1"/>
  <c r="AD156" i="23"/>
  <c r="AH156" i="23" s="1"/>
  <c r="AI156" i="23" s="1"/>
  <c r="AJ156" i="23" s="1"/>
  <c r="AK156" i="23" s="1"/>
  <c r="AK111" i="23"/>
  <c r="AL110" i="23"/>
  <c r="AF111" i="23"/>
  <c r="AG110" i="23"/>
  <c r="AZ111" i="23"/>
  <c r="BA110" i="23"/>
  <c r="AU111" i="23"/>
  <c r="AV110" i="23"/>
  <c r="AQ110" i="23"/>
  <c r="AP111" i="23"/>
  <c r="AA111" i="23"/>
  <c r="AB110" i="23"/>
  <c r="W110" i="23"/>
  <c r="V111" i="23"/>
  <c r="Q110" i="23"/>
  <c r="R109" i="23"/>
  <c r="A233" i="23"/>
  <c r="B232" i="23"/>
  <c r="AV220" i="1"/>
  <c r="W58" i="18"/>
  <c r="Z58" i="18" s="1"/>
  <c r="BD14" i="18"/>
  <c r="BE13" i="18"/>
  <c r="AM142" i="23" l="1"/>
  <c r="AL143" i="23"/>
  <c r="AM143" i="23" s="1"/>
  <c r="AU112" i="23"/>
  <c r="AV111" i="23"/>
  <c r="AG111" i="23"/>
  <c r="AF112" i="23"/>
  <c r="AP112" i="23"/>
  <c r="AQ111" i="23"/>
  <c r="BA111" i="23"/>
  <c r="AZ112" i="23"/>
  <c r="AK112" i="23"/>
  <c r="AL111" i="23"/>
  <c r="AA112" i="23"/>
  <c r="AB111" i="23"/>
  <c r="Q111" i="23"/>
  <c r="R110" i="23"/>
  <c r="V112" i="23"/>
  <c r="W111" i="23"/>
  <c r="A234" i="23"/>
  <c r="B233" i="23"/>
  <c r="AV221" i="1"/>
  <c r="Y58" i="18"/>
  <c r="AA58" i="18" s="1"/>
  <c r="AB58" i="18" s="1"/>
  <c r="X58" i="18"/>
  <c r="W59" i="18"/>
  <c r="X59" i="18" s="1"/>
  <c r="BD15" i="18"/>
  <c r="BE14" i="18"/>
  <c r="AL144" i="23" l="1"/>
  <c r="AL145" i="23" s="1"/>
  <c r="BA112" i="23"/>
  <c r="AZ113" i="23"/>
  <c r="AG112" i="23"/>
  <c r="AF113" i="23"/>
  <c r="AK113" i="23"/>
  <c r="AL112" i="23"/>
  <c r="AQ112" i="23"/>
  <c r="AP113" i="23"/>
  <c r="AV112" i="23"/>
  <c r="AU113" i="23"/>
  <c r="AA113" i="23"/>
  <c r="AB112" i="23"/>
  <c r="W112" i="23"/>
  <c r="V113" i="23"/>
  <c r="Q112" i="23"/>
  <c r="R111" i="23"/>
  <c r="A235" i="23"/>
  <c r="B234" i="23"/>
  <c r="AV222" i="1"/>
  <c r="Z59" i="18"/>
  <c r="Y59" i="18"/>
  <c r="AA59" i="18" s="1"/>
  <c r="AB59" i="18" s="1"/>
  <c r="BD16" i="18"/>
  <c r="BE15" i="18"/>
  <c r="AM144" i="23" l="1"/>
  <c r="AL146" i="23"/>
  <c r="AM145" i="23"/>
  <c r="AG113" i="23"/>
  <c r="AF114" i="23"/>
  <c r="AV113" i="23"/>
  <c r="AU114" i="23"/>
  <c r="AZ114" i="23"/>
  <c r="BA113" i="23"/>
  <c r="AP114" i="23"/>
  <c r="AQ113" i="23"/>
  <c r="AL113" i="23"/>
  <c r="AK114" i="23"/>
  <c r="AA114" i="23"/>
  <c r="AB113" i="23"/>
  <c r="Q113" i="23"/>
  <c r="R112" i="23"/>
  <c r="W113" i="23"/>
  <c r="V114" i="23"/>
  <c r="A236" i="23"/>
  <c r="B235" i="23"/>
  <c r="AV224" i="1"/>
  <c r="W60" i="18"/>
  <c r="Z60" i="18" s="1"/>
  <c r="BE16" i="18"/>
  <c r="BD17" i="18"/>
  <c r="AL147" i="23" l="1"/>
  <c r="AM146" i="23"/>
  <c r="AP115" i="23"/>
  <c r="AQ114" i="23"/>
  <c r="AL114" i="23"/>
  <c r="AK115" i="23"/>
  <c r="AG114" i="23"/>
  <c r="AF115" i="23"/>
  <c r="AU115" i="23"/>
  <c r="AV114" i="23"/>
  <c r="BA114" i="23"/>
  <c r="AZ115" i="23"/>
  <c r="AA115" i="23"/>
  <c r="AB114" i="23"/>
  <c r="W114" i="23"/>
  <c r="V115" i="23"/>
  <c r="Q114" i="23"/>
  <c r="R113" i="23"/>
  <c r="B236" i="23"/>
  <c r="A237" i="23"/>
  <c r="AV225" i="1"/>
  <c r="AV226" i="1"/>
  <c r="X60" i="18"/>
  <c r="Y60" i="18"/>
  <c r="AA60" i="18" s="1"/>
  <c r="AB60" i="18" s="1"/>
  <c r="BD18" i="18"/>
  <c r="BE17" i="18"/>
  <c r="AL148" i="23" l="1"/>
  <c r="AM147" i="23"/>
  <c r="AK116" i="23"/>
  <c r="AL115" i="23"/>
  <c r="AU116" i="23"/>
  <c r="AV115" i="23"/>
  <c r="AZ116" i="23"/>
  <c r="BA115" i="23"/>
  <c r="AG115" i="23"/>
  <c r="AF116" i="23"/>
  <c r="AP116" i="23"/>
  <c r="AQ115" i="23"/>
  <c r="AA116" i="23"/>
  <c r="AB115" i="23"/>
  <c r="Q115" i="23"/>
  <c r="R114" i="23"/>
  <c r="V116" i="23"/>
  <c r="W115" i="23"/>
  <c r="B237" i="23"/>
  <c r="A238" i="23"/>
  <c r="AV228" i="1"/>
  <c r="BD19" i="18"/>
  <c r="BE18" i="18"/>
  <c r="AL149" i="23" l="1"/>
  <c r="AM148" i="23"/>
  <c r="AV116" i="23"/>
  <c r="AU117" i="23"/>
  <c r="AV117" i="23" s="1"/>
  <c r="AG116" i="23"/>
  <c r="AF117" i="23"/>
  <c r="AG117" i="23" s="1"/>
  <c r="AQ116" i="23"/>
  <c r="AP117" i="23"/>
  <c r="AQ117" i="23" s="1"/>
  <c r="AZ117" i="23"/>
  <c r="BA117" i="23" s="1"/>
  <c r="BA116" i="23"/>
  <c r="AL116" i="23"/>
  <c r="AK117" i="23"/>
  <c r="AL117" i="23" s="1"/>
  <c r="AA117" i="23"/>
  <c r="AB117" i="23" s="1"/>
  <c r="AB116" i="23"/>
  <c r="V117" i="23"/>
  <c r="W117" i="23" s="1"/>
  <c r="W116" i="23"/>
  <c r="Q116" i="23"/>
  <c r="R115" i="23"/>
  <c r="A239" i="23"/>
  <c r="B238" i="23"/>
  <c r="AV229" i="1"/>
  <c r="AV230" i="1" s="1"/>
  <c r="BD20" i="18"/>
  <c r="BE19" i="18"/>
  <c r="AG6" i="23"/>
  <c r="AL150" i="23" l="1"/>
  <c r="AM149" i="23"/>
  <c r="Q117" i="23"/>
  <c r="R117" i="23" s="1"/>
  <c r="R116" i="23"/>
  <c r="B239" i="23"/>
  <c r="A240" i="23"/>
  <c r="AV232" i="1"/>
  <c r="AV233" i="1" s="1"/>
  <c r="AV234" i="1" s="1"/>
  <c r="BE20" i="18"/>
  <c r="BD21" i="18"/>
  <c r="AH4" i="23"/>
  <c r="AL151" i="23" l="1"/>
  <c r="AM150" i="23"/>
  <c r="A241" i="23"/>
  <c r="B240" i="23"/>
  <c r="AV236" i="1"/>
  <c r="BD22" i="18"/>
  <c r="BE21" i="18"/>
  <c r="AL152" i="23" l="1"/>
  <c r="AM151" i="23"/>
  <c r="B241" i="23"/>
  <c r="A242" i="23"/>
  <c r="AV237" i="1"/>
  <c r="BE22" i="18"/>
  <c r="BD23" i="18"/>
  <c r="AL153" i="23" l="1"/>
  <c r="AM152" i="23"/>
  <c r="A243" i="23"/>
  <c r="B242" i="23"/>
  <c r="AV238" i="1"/>
  <c r="BD24" i="18"/>
  <c r="BE24" i="18" s="1"/>
  <c r="BE23" i="18"/>
  <c r="AL154" i="23" l="1"/>
  <c r="AM153" i="23"/>
  <c r="AV239" i="1"/>
  <c r="AX160" i="1" s="1"/>
  <c r="AW161" i="1"/>
  <c r="A244" i="23"/>
  <c r="B243" i="23"/>
  <c r="AX183" i="1"/>
  <c r="AX182" i="1"/>
  <c r="AX188" i="1"/>
  <c r="AX233" i="1"/>
  <c r="AX200" i="1"/>
  <c r="AX204" i="1"/>
  <c r="AX207" i="1"/>
  <c r="AX208" i="1"/>
  <c r="AX199" i="1"/>
  <c r="AX217" i="1"/>
  <c r="AX190" i="1"/>
  <c r="AX213" i="1"/>
  <c r="AX201" i="1"/>
  <c r="AX220" i="1"/>
  <c r="AX210" i="1"/>
  <c r="AX176" i="1"/>
  <c r="AW167" i="1"/>
  <c r="AW164" i="1"/>
  <c r="AW187" i="1"/>
  <c r="AX170" i="1"/>
  <c r="AW174" i="1"/>
  <c r="AX169" i="1"/>
  <c r="AX178" i="1"/>
  <c r="AX179" i="1"/>
  <c r="AW170" i="1"/>
  <c r="AX181" i="1"/>
  <c r="AW201" i="1"/>
  <c r="AY201" i="1" s="1"/>
  <c r="AW189" i="1"/>
  <c r="AZ189" i="1" s="1"/>
  <c r="BA189" i="1" s="1"/>
  <c r="AW213" i="1"/>
  <c r="BB213" i="1" s="1" a="1"/>
  <c r="BB213" i="1" s="1"/>
  <c r="AW231" i="1"/>
  <c r="BB231" i="1" s="1" a="1"/>
  <c r="BB231" i="1" s="1"/>
  <c r="AW206" i="1"/>
  <c r="AW195" i="1"/>
  <c r="AW202" i="1"/>
  <c r="AW235" i="1"/>
  <c r="AW222" i="1"/>
  <c r="AW239" i="1"/>
  <c r="AW198" i="1"/>
  <c r="AW225" i="1"/>
  <c r="AW209" i="1"/>
  <c r="AW211" i="1"/>
  <c r="AW219" i="1"/>
  <c r="AW203" i="1"/>
  <c r="AW223" i="1" l="1"/>
  <c r="AY223" i="1" s="1"/>
  <c r="AW196" i="1"/>
  <c r="AW193" i="1"/>
  <c r="AZ193" i="1" s="1"/>
  <c r="BA193" i="1" s="1"/>
  <c r="AW212" i="1"/>
  <c r="AY212" i="1" s="1"/>
  <c r="AW227" i="1"/>
  <c r="AW208" i="1"/>
  <c r="AW204" i="1"/>
  <c r="AY204" i="1" s="1"/>
  <c r="AW214" i="1"/>
  <c r="BB214" i="1" s="1" a="1"/>
  <c r="BB214" i="1" s="1"/>
  <c r="AW224" i="1"/>
  <c r="AW233" i="1"/>
  <c r="AW226" i="1"/>
  <c r="AW192" i="1"/>
  <c r="AY192" i="1" s="1"/>
  <c r="AW221" i="1"/>
  <c r="AY221" i="1" s="1"/>
  <c r="AX164" i="1"/>
  <c r="AW181" i="1"/>
  <c r="AZ181" i="1" s="1"/>
  <c r="BA181" i="1" s="1"/>
  <c r="AW171" i="1"/>
  <c r="BB171" i="1" s="1" a="1"/>
  <c r="BB171" i="1" s="1"/>
  <c r="AX165" i="1"/>
  <c r="AW172" i="1"/>
  <c r="AX166" i="1"/>
  <c r="AX180" i="1"/>
  <c r="AX163" i="1"/>
  <c r="AW191" i="1"/>
  <c r="AZ191" i="1" s="1"/>
  <c r="BA191" i="1" s="1"/>
  <c r="AW177" i="1"/>
  <c r="BB177" i="1" s="1" a="1"/>
  <c r="BB177" i="1" s="1"/>
  <c r="AW168" i="1"/>
  <c r="BB168" i="1" s="1" a="1"/>
  <c r="BB168" i="1" s="1"/>
  <c r="AX215" i="1"/>
  <c r="AX219" i="1"/>
  <c r="AX191" i="1"/>
  <c r="AX198" i="1"/>
  <c r="AX222" i="1"/>
  <c r="AX192" i="1"/>
  <c r="AX224" i="1"/>
  <c r="AX231" i="1"/>
  <c r="AX232" i="1"/>
  <c r="AX195" i="1"/>
  <c r="AX221" i="1"/>
  <c r="AX237" i="1"/>
  <c r="AX203" i="1"/>
  <c r="AX185" i="1"/>
  <c r="AX184" i="1"/>
  <c r="AX161" i="1"/>
  <c r="AW179" i="1"/>
  <c r="AW199" i="1"/>
  <c r="AW234" i="1"/>
  <c r="BB234" i="1" s="1" a="1"/>
  <c r="BB234" i="1" s="1"/>
  <c r="AW220" i="1"/>
  <c r="BB220" i="1" s="1" a="1"/>
  <c r="BB220" i="1" s="1"/>
  <c r="AW238" i="1"/>
  <c r="AW216" i="1"/>
  <c r="AW194" i="1"/>
  <c r="AY194" i="1" s="1"/>
  <c r="AW200" i="1"/>
  <c r="AY200" i="1" s="1"/>
  <c r="AW197" i="1"/>
  <c r="AW210" i="1"/>
  <c r="AW190" i="1"/>
  <c r="AZ190" i="1" s="1"/>
  <c r="BA190" i="1" s="1"/>
  <c r="AW236" i="1"/>
  <c r="AY236" i="1" s="1"/>
  <c r="AW229" i="1"/>
  <c r="BB229" i="1" s="1" a="1"/>
  <c r="BB229" i="1" s="1"/>
  <c r="AW162" i="1"/>
  <c r="AW173" i="1"/>
  <c r="BB173" i="1" s="1" a="1"/>
  <c r="BB173" i="1" s="1"/>
  <c r="AW185" i="1"/>
  <c r="AY185" i="1" s="1"/>
  <c r="AX162" i="1"/>
  <c r="AX173" i="1"/>
  <c r="AW186" i="1"/>
  <c r="AZ186" i="1" s="1"/>
  <c r="BA186" i="1" s="1"/>
  <c r="AW176" i="1"/>
  <c r="BB176" i="1" s="1" a="1"/>
  <c r="BB176" i="1" s="1"/>
  <c r="AW183" i="1"/>
  <c r="AZ183" i="1" s="1"/>
  <c r="BA183" i="1" s="1"/>
  <c r="AX171" i="1"/>
  <c r="AX177" i="1"/>
  <c r="AX167" i="1"/>
  <c r="AW182" i="1"/>
  <c r="AZ182" i="1" s="1"/>
  <c r="BA182" i="1" s="1"/>
  <c r="AW205" i="1"/>
  <c r="BB205" i="1" s="1" a="1"/>
  <c r="BB205" i="1" s="1"/>
  <c r="AX227" i="1"/>
  <c r="AX202" i="1"/>
  <c r="AX196" i="1"/>
  <c r="AX238" i="1"/>
  <c r="AX226" i="1"/>
  <c r="AX214" i="1"/>
  <c r="AX228" i="1"/>
  <c r="AX229" i="1"/>
  <c r="AX189" i="1"/>
  <c r="AX223" i="1"/>
  <c r="AX212" i="1"/>
  <c r="AX236" i="1"/>
  <c r="AX239" i="1"/>
  <c r="AX187" i="1"/>
  <c r="AW160" i="1"/>
  <c r="AY160" i="1" s="1"/>
  <c r="AW237" i="1"/>
  <c r="AW230" i="1"/>
  <c r="AZ230" i="1" s="1"/>
  <c r="BA230" i="1" s="1"/>
  <c r="BC230" i="1" s="1"/>
  <c r="BF230" i="1" s="1"/>
  <c r="AW217" i="1"/>
  <c r="AY217" i="1" s="1"/>
  <c r="AW215" i="1"/>
  <c r="AW228" i="1"/>
  <c r="AW207" i="1"/>
  <c r="AY207" i="1" s="1"/>
  <c r="AW232" i="1"/>
  <c r="AZ232" i="1" s="1"/>
  <c r="BA232" i="1" s="1"/>
  <c r="BC232" i="1" s="1"/>
  <c r="BF232" i="1" s="1"/>
  <c r="AW218" i="1"/>
  <c r="BB218" i="1" s="1" a="1"/>
  <c r="BB218" i="1" s="1"/>
  <c r="AW188" i="1"/>
  <c r="AY188" i="1" s="1"/>
  <c r="AX172" i="1"/>
  <c r="AW175" i="1"/>
  <c r="BB175" i="1" s="1" a="1"/>
  <c r="BB175" i="1" s="1"/>
  <c r="AW165" i="1"/>
  <c r="AZ165" i="1" s="1"/>
  <c r="BA165" i="1" s="1"/>
  <c r="AW180" i="1"/>
  <c r="AW184" i="1"/>
  <c r="AZ184" i="1" s="1"/>
  <c r="BA184" i="1" s="1"/>
  <c r="AW166" i="1"/>
  <c r="BB166" i="1" s="1" a="1"/>
  <c r="BB166" i="1" s="1"/>
  <c r="AX175" i="1"/>
  <c r="AX168" i="1"/>
  <c r="AX174" i="1"/>
  <c r="AW163" i="1"/>
  <c r="AW178" i="1"/>
  <c r="AY178" i="1" s="1"/>
  <c r="AX211" i="1"/>
  <c r="AX209" i="1"/>
  <c r="AX218" i="1"/>
  <c r="AX234" i="1"/>
  <c r="AX225" i="1"/>
  <c r="AX194" i="1"/>
  <c r="AX193" i="1"/>
  <c r="AX205" i="1"/>
  <c r="AX206" i="1"/>
  <c r="AX235" i="1"/>
  <c r="AX197" i="1"/>
  <c r="AX230" i="1"/>
  <c r="AX216" i="1"/>
  <c r="AW169" i="1"/>
  <c r="BB169" i="1" s="1" a="1"/>
  <c r="BB169" i="1" s="1"/>
  <c r="AX186" i="1"/>
  <c r="AL155" i="23"/>
  <c r="AM154" i="23"/>
  <c r="AY161" i="1"/>
  <c r="BB161" i="1" a="1"/>
  <c r="BB161" i="1" s="1"/>
  <c r="AZ161" i="1"/>
  <c r="BA161" i="1" s="1"/>
  <c r="BC161" i="1" s="1"/>
  <c r="AZ160" i="1"/>
  <c r="BA160" i="1" s="1"/>
  <c r="BC160" i="1" s="1"/>
  <c r="BB160" i="1" a="1"/>
  <c r="BB160" i="1" s="1"/>
  <c r="BB155" i="1"/>
  <c r="AY205" i="1"/>
  <c r="AY169" i="1"/>
  <c r="BB221" i="1" a="1"/>
  <c r="BB221" i="1" s="1"/>
  <c r="A245" i="23"/>
  <c r="B244" i="23"/>
  <c r="AZ205" i="1"/>
  <c r="BA205" i="1" s="1"/>
  <c r="BC205" i="1" s="1"/>
  <c r="AY191" i="1"/>
  <c r="AZ221" i="1"/>
  <c r="BA221" i="1" s="1"/>
  <c r="BC221" i="1" s="1"/>
  <c r="BB191" i="1" a="1"/>
  <c r="BB191" i="1" s="1"/>
  <c r="BC191" i="1" s="1"/>
  <c r="BB201" i="1" a="1"/>
  <c r="BB201" i="1" s="1"/>
  <c r="AZ201" i="1"/>
  <c r="BA201" i="1" s="1"/>
  <c r="BC201" i="1" s="1"/>
  <c r="AZ218" i="1"/>
  <c r="BA218" i="1" s="1"/>
  <c r="BC218" i="1" s="1"/>
  <c r="BB172" i="1" a="1"/>
  <c r="BB172" i="1" s="1"/>
  <c r="AZ172" i="1"/>
  <c r="BA172" i="1" s="1"/>
  <c r="BC172" i="1" s="1"/>
  <c r="BF172" i="1" s="1"/>
  <c r="AY172" i="1"/>
  <c r="AZ177" i="1"/>
  <c r="BA177" i="1" s="1"/>
  <c r="AZ162" i="1"/>
  <c r="BA162" i="1" s="1"/>
  <c r="BC162" i="1" s="1"/>
  <c r="BB162" i="1" a="1"/>
  <c r="BB162" i="1" s="1"/>
  <c r="AY162" i="1"/>
  <c r="BB183" i="1" a="1"/>
  <c r="BB183" i="1" s="1"/>
  <c r="AY183" i="1"/>
  <c r="AY182" i="1"/>
  <c r="BB182" i="1" a="1"/>
  <c r="BB182" i="1" s="1"/>
  <c r="BB165" i="1" a="1"/>
  <c r="BB165" i="1" s="1"/>
  <c r="AY165" i="1"/>
  <c r="BB180" i="1" a="1"/>
  <c r="BB180" i="1" s="1"/>
  <c r="AZ180" i="1"/>
  <c r="BA180" i="1" s="1"/>
  <c r="AY180" i="1"/>
  <c r="AZ178" i="1"/>
  <c r="BA178" i="1" s="1"/>
  <c r="BC178" i="1" s="1"/>
  <c r="BF178" i="1" s="1"/>
  <c r="BB178" i="1" a="1"/>
  <c r="BB178" i="1" s="1"/>
  <c r="BB170" i="1" a="1"/>
  <c r="BB170" i="1" s="1"/>
  <c r="AY170" i="1"/>
  <c r="AZ170" i="1"/>
  <c r="BA170" i="1" s="1"/>
  <c r="AY174" i="1"/>
  <c r="BB174" i="1" a="1"/>
  <c r="BB174" i="1" s="1"/>
  <c r="AZ174" i="1"/>
  <c r="BA174" i="1" s="1"/>
  <c r="AZ187" i="1"/>
  <c r="BA187" i="1" s="1"/>
  <c r="AY187" i="1"/>
  <c r="BB187" i="1" a="1"/>
  <c r="BB187" i="1" s="1"/>
  <c r="AY164" i="1"/>
  <c r="BB164" i="1" a="1"/>
  <c r="BB164" i="1" s="1"/>
  <c r="AZ164" i="1"/>
  <c r="BA164" i="1" s="1"/>
  <c r="AY167" i="1"/>
  <c r="BB167" i="1" a="1"/>
  <c r="BB167" i="1" s="1"/>
  <c r="AZ167" i="1"/>
  <c r="BA167" i="1" s="1"/>
  <c r="BB223" i="1" a="1"/>
  <c r="BB223" i="1" s="1"/>
  <c r="AZ233" i="1"/>
  <c r="BA233" i="1" s="1"/>
  <c r="BC233" i="1" s="1"/>
  <c r="AZ223" i="1"/>
  <c r="BA223" i="1" s="1"/>
  <c r="BC223" i="1" s="1"/>
  <c r="BB226" i="1" a="1"/>
  <c r="BB226" i="1" s="1"/>
  <c r="AY226" i="1"/>
  <c r="BB188" i="1" a="1"/>
  <c r="BB188" i="1" s="1"/>
  <c r="AZ188" i="1"/>
  <c r="BA188" i="1" s="1"/>
  <c r="BB189" i="1" a="1"/>
  <c r="BB189" i="1" s="1"/>
  <c r="BC189" i="1" s="1"/>
  <c r="BF189" i="1" s="1"/>
  <c r="AY189" i="1"/>
  <c r="AY229" i="1"/>
  <c r="AZ229" i="1"/>
  <c r="BA229" i="1" s="1"/>
  <c r="BC229" i="1" s="1"/>
  <c r="AZ213" i="1"/>
  <c r="BA213" i="1" s="1"/>
  <c r="BC213" i="1" s="1"/>
  <c r="BB233" i="1" a="1"/>
  <c r="BB233" i="1" s="1"/>
  <c r="AZ226" i="1"/>
  <c r="BA226" i="1" s="1"/>
  <c r="BC226" i="1" s="1"/>
  <c r="AZ231" i="1"/>
  <c r="BA231" i="1" s="1"/>
  <c r="BC231" i="1" s="1"/>
  <c r="AY233" i="1"/>
  <c r="AY213" i="1"/>
  <c r="AY231" i="1"/>
  <c r="BB190" i="1" a="1"/>
  <c r="BB190" i="1" s="1"/>
  <c r="AZ203" i="1"/>
  <c r="BA203" i="1" s="1"/>
  <c r="BC203" i="1" s="1"/>
  <c r="BF203" i="1" s="1"/>
  <c r="BB203" i="1" a="1"/>
  <c r="BB203" i="1" s="1"/>
  <c r="AY203" i="1"/>
  <c r="AY211" i="1"/>
  <c r="BB211" i="1" a="1"/>
  <c r="BB211" i="1" s="1"/>
  <c r="AZ211" i="1"/>
  <c r="BA211" i="1" s="1"/>
  <c r="BC211" i="1" s="1"/>
  <c r="BF211" i="1" s="1"/>
  <c r="AZ225" i="1"/>
  <c r="BA225" i="1" s="1"/>
  <c r="BC225" i="1" s="1"/>
  <c r="BF225" i="1" s="1"/>
  <c r="BB225" i="1" a="1"/>
  <c r="BB225" i="1" s="1"/>
  <c r="AY225" i="1"/>
  <c r="AZ239" i="1"/>
  <c r="BA239" i="1" s="1"/>
  <c r="BC239" i="1" s="1"/>
  <c r="BF239" i="1" s="1"/>
  <c r="AY239" i="1"/>
  <c r="BB239" i="1" a="1"/>
  <c r="BB239" i="1" s="1"/>
  <c r="AZ222" i="1"/>
  <c r="BA222" i="1" s="1"/>
  <c r="BC222" i="1" s="1"/>
  <c r="BF222" i="1" s="1"/>
  <c r="BB222" i="1" a="1"/>
  <c r="BB222" i="1" s="1"/>
  <c r="AY222" i="1"/>
  <c r="AZ235" i="1"/>
  <c r="BA235" i="1" s="1"/>
  <c r="BC235" i="1" s="1"/>
  <c r="BF235" i="1" s="1"/>
  <c r="AY235" i="1"/>
  <c r="BB235" i="1" a="1"/>
  <c r="BB235" i="1" s="1"/>
  <c r="BB202" i="1" a="1"/>
  <c r="BB202" i="1" s="1"/>
  <c r="AZ202" i="1"/>
  <c r="BA202" i="1" s="1"/>
  <c r="BC202" i="1" s="1"/>
  <c r="BF202" i="1" s="1"/>
  <c r="AY202" i="1"/>
  <c r="AZ195" i="1"/>
  <c r="BA195" i="1" s="1"/>
  <c r="BB195" i="1" a="1"/>
  <c r="BB195" i="1" s="1"/>
  <c r="AY195" i="1"/>
  <c r="BB206" i="1" a="1"/>
  <c r="BB206" i="1" s="1"/>
  <c r="AZ206" i="1"/>
  <c r="BA206" i="1" s="1"/>
  <c r="BC206" i="1" s="1"/>
  <c r="BF206" i="1" s="1"/>
  <c r="AY206" i="1"/>
  <c r="AY196" i="1"/>
  <c r="BB196" i="1" a="1"/>
  <c r="BB196" i="1" s="1"/>
  <c r="AZ196" i="1"/>
  <c r="BA196" i="1" s="1"/>
  <c r="BB193" i="1" a="1"/>
  <c r="BB193" i="1" s="1"/>
  <c r="AY227" i="1"/>
  <c r="BB227" i="1" a="1"/>
  <c r="BB227" i="1" s="1"/>
  <c r="AZ227" i="1"/>
  <c r="BA227" i="1" s="1"/>
  <c r="BC227" i="1" s="1"/>
  <c r="BF227" i="1" s="1"/>
  <c r="AZ208" i="1"/>
  <c r="BA208" i="1" s="1"/>
  <c r="BC208" i="1" s="1"/>
  <c r="BF208" i="1" s="1"/>
  <c r="BB208" i="1" a="1"/>
  <c r="BB208" i="1" s="1"/>
  <c r="AY208" i="1"/>
  <c r="AZ204" i="1"/>
  <c r="BA204" i="1" s="1"/>
  <c r="BC204" i="1" s="1"/>
  <c r="BF204" i="1" s="1"/>
  <c r="AY224" i="1"/>
  <c r="AZ224" i="1"/>
  <c r="BA224" i="1" s="1"/>
  <c r="BC224" i="1" s="1"/>
  <c r="BF224" i="1" s="1"/>
  <c r="BB224" i="1" a="1"/>
  <c r="BB224" i="1" s="1"/>
  <c r="AZ219" i="1"/>
  <c r="BA219" i="1" s="1"/>
  <c r="BC219" i="1" s="1"/>
  <c r="BF219" i="1" s="1"/>
  <c r="BB219" i="1" a="1"/>
  <c r="BB219" i="1" s="1"/>
  <c r="AY219" i="1"/>
  <c r="AY209" i="1"/>
  <c r="AZ209" i="1"/>
  <c r="BA209" i="1" s="1"/>
  <c r="BC209" i="1" s="1"/>
  <c r="BF209" i="1" s="1"/>
  <c r="BB209" i="1" a="1"/>
  <c r="BB209" i="1" s="1"/>
  <c r="AZ198" i="1"/>
  <c r="BA198" i="1" s="1"/>
  <c r="BC198" i="1" s="1"/>
  <c r="BF198" i="1" s="1"/>
  <c r="AY198" i="1"/>
  <c r="BB198" i="1" a="1"/>
  <c r="BB198" i="1" s="1"/>
  <c r="AY237" i="1"/>
  <c r="BB237" i="1" a="1"/>
  <c r="BB237" i="1" s="1"/>
  <c r="AZ237" i="1"/>
  <c r="BA237" i="1" s="1"/>
  <c r="BC237" i="1" s="1"/>
  <c r="BF237" i="1" s="1"/>
  <c r="BB230" i="1" a="1"/>
  <c r="BB230" i="1" s="1"/>
  <c r="AY230" i="1"/>
  <c r="AY215" i="1"/>
  <c r="AZ215" i="1"/>
  <c r="BA215" i="1" s="1"/>
  <c r="BC215" i="1" s="1"/>
  <c r="BF215" i="1" s="1"/>
  <c r="BB215" i="1" a="1"/>
  <c r="BB215" i="1" s="1"/>
  <c r="AZ228" i="1"/>
  <c r="BA228" i="1" s="1"/>
  <c r="BC228" i="1" s="1"/>
  <c r="BF228" i="1" s="1"/>
  <c r="AY228" i="1"/>
  <c r="BB228" i="1" a="1"/>
  <c r="BB228" i="1" s="1"/>
  <c r="AZ199" i="1"/>
  <c r="BA199" i="1" s="1"/>
  <c r="BC199" i="1" s="1"/>
  <c r="BF199" i="1" s="1"/>
  <c r="AY199" i="1"/>
  <c r="BB199" i="1" a="1"/>
  <c r="BB199" i="1" s="1"/>
  <c r="AZ234" i="1"/>
  <c r="BA234" i="1" s="1"/>
  <c r="BC234" i="1" s="1"/>
  <c r="BF234" i="1" s="1"/>
  <c r="AZ238" i="1"/>
  <c r="BA238" i="1" s="1"/>
  <c r="BC238" i="1" s="1"/>
  <c r="BF238" i="1" s="1"/>
  <c r="AY238" i="1"/>
  <c r="BB238" i="1" a="1"/>
  <c r="BB238" i="1" s="1"/>
  <c r="BB216" i="1" a="1"/>
  <c r="BB216" i="1" s="1"/>
  <c r="AY216" i="1"/>
  <c r="AZ216" i="1"/>
  <c r="BA216" i="1" s="1"/>
  <c r="BC216" i="1" s="1"/>
  <c r="BF216" i="1" s="1"/>
  <c r="AZ194" i="1"/>
  <c r="BA194" i="1" s="1"/>
  <c r="BB200" i="1" a="1"/>
  <c r="BB200" i="1" s="1"/>
  <c r="AZ197" i="1"/>
  <c r="BA197" i="1" s="1"/>
  <c r="AY197" i="1"/>
  <c r="BB197" i="1" a="1"/>
  <c r="BB197" i="1" s="1"/>
  <c r="AY210" i="1"/>
  <c r="AZ210" i="1"/>
  <c r="BA210" i="1" s="1"/>
  <c r="BC210" i="1" s="1"/>
  <c r="BF210" i="1" s="1"/>
  <c r="BB210" i="1" a="1"/>
  <c r="BB210" i="1" s="1"/>
  <c r="AY218" i="1" l="1"/>
  <c r="BB217" i="1" a="1"/>
  <c r="BB217" i="1" s="1"/>
  <c r="AY184" i="1"/>
  <c r="BB184" i="1" a="1"/>
  <c r="BB184" i="1" s="1"/>
  <c r="BB186" i="1" a="1"/>
  <c r="BB186" i="1" s="1"/>
  <c r="AY186" i="1"/>
  <c r="AZ173" i="1"/>
  <c r="BA173" i="1" s="1"/>
  <c r="BC173" i="1" s="1"/>
  <c r="BF173" i="1" s="1"/>
  <c r="AY177" i="1"/>
  <c r="BB181" i="1" a="1"/>
  <c r="BB181" i="1" s="1"/>
  <c r="AZ169" i="1"/>
  <c r="BA169" i="1" s="1"/>
  <c r="BC169" i="1" s="1"/>
  <c r="AD44" i="23"/>
  <c r="AY234" i="1"/>
  <c r="BB204" i="1" a="1"/>
  <c r="BB204" i="1" s="1"/>
  <c r="AY193" i="1"/>
  <c r="AZ207" i="1"/>
  <c r="BA207" i="1" s="1"/>
  <c r="BC207" i="1" s="1"/>
  <c r="BB207" i="1" a="1"/>
  <c r="BB207" i="1" s="1"/>
  <c r="AY173" i="1"/>
  <c r="AY181" i="1"/>
  <c r="BB194" i="1" a="1"/>
  <c r="BB194" i="1" s="1"/>
  <c r="AY190" i="1"/>
  <c r="AZ212" i="1"/>
  <c r="BA212" i="1" s="1"/>
  <c r="BC212" i="1" s="1"/>
  <c r="BF212" i="1" s="1"/>
  <c r="AD45" i="23"/>
  <c r="BB163" i="1" a="1"/>
  <c r="BB163" i="1" s="1"/>
  <c r="AZ171" i="1"/>
  <c r="BA171" i="1" s="1"/>
  <c r="BC171" i="1" s="1"/>
  <c r="BE171" i="1" s="1"/>
  <c r="BE232" i="1"/>
  <c r="AZ200" i="1"/>
  <c r="BA200" i="1" s="1"/>
  <c r="BC200" i="1" s="1"/>
  <c r="BF200" i="1" s="1"/>
  <c r="AY220" i="1"/>
  <c r="AY168" i="1"/>
  <c r="BD232" i="1"/>
  <c r="BH232" i="1" s="1"/>
  <c r="BI232" i="1" s="1"/>
  <c r="AZ220" i="1"/>
  <c r="BA220" i="1" s="1"/>
  <c r="BC220" i="1" s="1"/>
  <c r="BF220" i="1" s="1"/>
  <c r="AY214" i="1"/>
  <c r="AY166" i="1"/>
  <c r="BB232" i="1" a="1"/>
  <c r="BB232" i="1" s="1"/>
  <c r="AY176" i="1"/>
  <c r="BB185" i="1" a="1"/>
  <c r="BB185" i="1" s="1"/>
  <c r="AZ175" i="1"/>
  <c r="BA175" i="1" s="1"/>
  <c r="BC175" i="1" s="1"/>
  <c r="BF175" i="1" s="1"/>
  <c r="AZ214" i="1"/>
  <c r="BA214" i="1" s="1"/>
  <c r="BC214" i="1" s="1"/>
  <c r="BF214" i="1" s="1"/>
  <c r="BB212" i="1" a="1"/>
  <c r="BB212" i="1" s="1"/>
  <c r="AD43" i="23"/>
  <c r="AZ163" i="1"/>
  <c r="BA163" i="1" s="1"/>
  <c r="BC163" i="1" s="1"/>
  <c r="BF163" i="1" s="1"/>
  <c r="AZ166" i="1"/>
  <c r="BA166" i="1" s="1"/>
  <c r="BC166" i="1" s="1"/>
  <c r="BF166" i="1" s="1"/>
  <c r="AY175" i="1"/>
  <c r="AZ176" i="1"/>
  <c r="BA176" i="1" s="1"/>
  <c r="BC176" i="1" s="1"/>
  <c r="AZ168" i="1"/>
  <c r="BA168" i="1" s="1"/>
  <c r="AY171" i="1"/>
  <c r="AZ217" i="1"/>
  <c r="BA217" i="1" s="1"/>
  <c r="BC217" i="1" s="1"/>
  <c r="BF217" i="1" s="1"/>
  <c r="AD39" i="23"/>
  <c r="AY232" i="1"/>
  <c r="AY163" i="1"/>
  <c r="AZ185" i="1"/>
  <c r="BA185" i="1" s="1"/>
  <c r="AZ236" i="1"/>
  <c r="BA236" i="1" s="1"/>
  <c r="BC236" i="1" s="1"/>
  <c r="BF236" i="1" s="1"/>
  <c r="BB236" i="1" a="1"/>
  <c r="BB236" i="1" s="1"/>
  <c r="AZ192" i="1"/>
  <c r="BA192" i="1" s="1"/>
  <c r="BC192" i="1" s="1"/>
  <c r="BB192" i="1" a="1"/>
  <c r="BB192" i="1" s="1"/>
  <c r="BB179" i="1" a="1"/>
  <c r="BB179" i="1" s="1"/>
  <c r="AY179" i="1"/>
  <c r="AZ179" i="1"/>
  <c r="BA179" i="1" s="1"/>
  <c r="BC179" i="1" s="1"/>
  <c r="BD179" i="1" s="1"/>
  <c r="BH179" i="1" s="1"/>
  <c r="AL156" i="23"/>
  <c r="AM155" i="23"/>
  <c r="BC168" i="1"/>
  <c r="BF168" i="1" s="1"/>
  <c r="BD161" i="1"/>
  <c r="BH161" i="1" s="1"/>
  <c r="BE161" i="1"/>
  <c r="BF161" i="1"/>
  <c r="BF160" i="1"/>
  <c r="BG160" i="1"/>
  <c r="BD160" i="1"/>
  <c r="BE160" i="1"/>
  <c r="BF162" i="1"/>
  <c r="BC182" i="1"/>
  <c r="BF182" i="1" s="1"/>
  <c r="BC197" i="1"/>
  <c r="BF197" i="1" s="1"/>
  <c r="BD231" i="1"/>
  <c r="BH231" i="1" s="1"/>
  <c r="BI231" i="1" s="1"/>
  <c r="BF231" i="1"/>
  <c r="BE229" i="1"/>
  <c r="BF229" i="1"/>
  <c r="BD233" i="1"/>
  <c r="BH233" i="1" s="1"/>
  <c r="BI233" i="1" s="1"/>
  <c r="BF233" i="1"/>
  <c r="BF179" i="1"/>
  <c r="BD221" i="1"/>
  <c r="BH221" i="1" s="1"/>
  <c r="BI221" i="1" s="1"/>
  <c r="BF221" i="1"/>
  <c r="BD169" i="1"/>
  <c r="BH169" i="1" s="1"/>
  <c r="BF169" i="1"/>
  <c r="BD226" i="1"/>
  <c r="BH226" i="1" s="1"/>
  <c r="BI226" i="1" s="1"/>
  <c r="BF226" i="1"/>
  <c r="BD218" i="1"/>
  <c r="BH218" i="1" s="1"/>
  <c r="BI218" i="1" s="1"/>
  <c r="BF218" i="1"/>
  <c r="BE201" i="1"/>
  <c r="BF201" i="1"/>
  <c r="BD205" i="1"/>
  <c r="BH205" i="1" s="1"/>
  <c r="BI205" i="1" s="1"/>
  <c r="BF205" i="1"/>
  <c r="BD207" i="1"/>
  <c r="BH207" i="1" s="1"/>
  <c r="BI207" i="1" s="1"/>
  <c r="BF207" i="1"/>
  <c r="BE213" i="1"/>
  <c r="BF213" i="1"/>
  <c r="BD223" i="1"/>
  <c r="BH223" i="1" s="1"/>
  <c r="BI223" i="1" s="1"/>
  <c r="BF223" i="1"/>
  <c r="BE191" i="1"/>
  <c r="BF191" i="1"/>
  <c r="BE205" i="1"/>
  <c r="BC177" i="1"/>
  <c r="BC170" i="1"/>
  <c r="BE221" i="1"/>
  <c r="BE218" i="1"/>
  <c r="BE169" i="1"/>
  <c r="BC188" i="1"/>
  <c r="BC186" i="1"/>
  <c r="B245" i="23"/>
  <c r="A246" i="23"/>
  <c r="BC174" i="1"/>
  <c r="BC164" i="1"/>
  <c r="R45" i="23"/>
  <c r="R41" i="23"/>
  <c r="R44" i="23"/>
  <c r="R40" i="23"/>
  <c r="R47" i="23"/>
  <c r="R43" i="23"/>
  <c r="R39" i="23"/>
  <c r="R46" i="23"/>
  <c r="R42" i="23"/>
  <c r="R38" i="23"/>
  <c r="Q46" i="23"/>
  <c r="Q42" i="23"/>
  <c r="Q45" i="23"/>
  <c r="Q41" i="23"/>
  <c r="Q38" i="23"/>
  <c r="Q44" i="23"/>
  <c r="Q40" i="23"/>
  <c r="Q47" i="23"/>
  <c r="Q43" i="23"/>
  <c r="Q39" i="23"/>
  <c r="BC194" i="1"/>
  <c r="BC195" i="1"/>
  <c r="BD201" i="1"/>
  <c r="BH201" i="1" s="1"/>
  <c r="BI201" i="1" s="1"/>
  <c r="BC196" i="1"/>
  <c r="BF196" i="1" s="1"/>
  <c r="BD191" i="1"/>
  <c r="BH191" i="1" s="1"/>
  <c r="BE223" i="1"/>
  <c r="BC190" i="1"/>
  <c r="P46" i="23"/>
  <c r="BE233" i="1"/>
  <c r="BC193" i="1"/>
  <c r="BC183" i="1"/>
  <c r="BE189" i="1"/>
  <c r="BD189" i="1"/>
  <c r="BH189" i="1" s="1"/>
  <c r="BC187" i="1"/>
  <c r="BC184" i="1"/>
  <c r="BC185" i="1"/>
  <c r="BC180" i="1"/>
  <c r="BC167" i="1"/>
  <c r="BF167" i="1" s="1"/>
  <c r="BC181" i="1"/>
  <c r="BF181" i="1" s="1"/>
  <c r="BC165" i="1"/>
  <c r="BF165" i="1" s="1"/>
  <c r="BE163" i="1"/>
  <c r="BD172" i="1"/>
  <c r="BH172" i="1" s="1"/>
  <c r="BE172" i="1"/>
  <c r="BE178" i="1"/>
  <c r="BD178" i="1"/>
  <c r="BH178" i="1" s="1"/>
  <c r="BD162" i="1"/>
  <c r="BE162" i="1"/>
  <c r="BD173" i="1"/>
  <c r="BH173" i="1" s="1"/>
  <c r="BE173" i="1"/>
  <c r="BE207" i="1"/>
  <c r="BD229" i="1"/>
  <c r="BH229" i="1" s="1"/>
  <c r="BI229" i="1" s="1"/>
  <c r="BD213" i="1"/>
  <c r="BH213" i="1" s="1"/>
  <c r="BI213" i="1" s="1"/>
  <c r="BE231" i="1"/>
  <c r="BE226" i="1"/>
  <c r="P40" i="23"/>
  <c r="P42" i="23"/>
  <c r="P38" i="23"/>
  <c r="P43" i="23"/>
  <c r="P47" i="23"/>
  <c r="P44" i="23"/>
  <c r="BE238" i="1"/>
  <c r="BD238" i="1"/>
  <c r="BH238" i="1" s="1"/>
  <c r="BI238" i="1" s="1"/>
  <c r="BD220" i="1"/>
  <c r="BH220" i="1" s="1"/>
  <c r="BI220" i="1" s="1"/>
  <c r="BE220" i="1"/>
  <c r="BD234" i="1"/>
  <c r="BH234" i="1" s="1"/>
  <c r="BI234" i="1" s="1"/>
  <c r="BE234" i="1"/>
  <c r="BE199" i="1"/>
  <c r="BD199" i="1"/>
  <c r="BH199" i="1" s="1"/>
  <c r="BD204" i="1"/>
  <c r="BH204" i="1" s="1"/>
  <c r="BI204" i="1" s="1"/>
  <c r="BE204" i="1"/>
  <c r="BD200" i="1"/>
  <c r="BH200" i="1" s="1"/>
  <c r="BI200" i="1" s="1"/>
  <c r="BE200" i="1"/>
  <c r="BD216" i="1"/>
  <c r="BH216" i="1" s="1"/>
  <c r="BI216" i="1" s="1"/>
  <c r="BE216" i="1"/>
  <c r="BD198" i="1"/>
  <c r="BH198" i="1" s="1"/>
  <c r="BI198" i="1" s="1"/>
  <c r="BE198" i="1"/>
  <c r="BE224" i="1"/>
  <c r="BD224" i="1"/>
  <c r="BH224" i="1" s="1"/>
  <c r="BI224" i="1" s="1"/>
  <c r="P45" i="23"/>
  <c r="BE217" i="1"/>
  <c r="BD217" i="1"/>
  <c r="BH217" i="1" s="1"/>
  <c r="BI217" i="1" s="1"/>
  <c r="BD230" i="1"/>
  <c r="BH230" i="1" s="1"/>
  <c r="BI230" i="1" s="1"/>
  <c r="BE230" i="1"/>
  <c r="BD237" i="1"/>
  <c r="BH237" i="1" s="1"/>
  <c r="BI237" i="1" s="1"/>
  <c r="BE237" i="1"/>
  <c r="BE208" i="1"/>
  <c r="BD208" i="1"/>
  <c r="BH208" i="1" s="1"/>
  <c r="BI208" i="1" s="1"/>
  <c r="BE206" i="1"/>
  <c r="BD206" i="1"/>
  <c r="BH206" i="1" s="1"/>
  <c r="BI206" i="1" s="1"/>
  <c r="BD235" i="1"/>
  <c r="BH235" i="1" s="1"/>
  <c r="BI235" i="1" s="1"/>
  <c r="BE235" i="1"/>
  <c r="BD209" i="1"/>
  <c r="BH209" i="1" s="1"/>
  <c r="BI209" i="1" s="1"/>
  <c r="BE209" i="1"/>
  <c r="BD211" i="1"/>
  <c r="BH211" i="1" s="1"/>
  <c r="BI211" i="1" s="1"/>
  <c r="BE211" i="1"/>
  <c r="BD228" i="1"/>
  <c r="BH228" i="1" s="1"/>
  <c r="BI228" i="1" s="1"/>
  <c r="BE228" i="1"/>
  <c r="BE219" i="1"/>
  <c r="BD219" i="1"/>
  <c r="BH219" i="1" s="1"/>
  <c r="BI219" i="1" s="1"/>
  <c r="BD214" i="1"/>
  <c r="BH214" i="1" s="1"/>
  <c r="BI214" i="1" s="1"/>
  <c r="BD202" i="1"/>
  <c r="BH202" i="1" s="1"/>
  <c r="BI202" i="1" s="1"/>
  <c r="BE202" i="1"/>
  <c r="P41" i="23"/>
  <c r="P39" i="23"/>
  <c r="BE210" i="1"/>
  <c r="BD210" i="1"/>
  <c r="BH210" i="1" s="1"/>
  <c r="BI210" i="1" s="1"/>
  <c r="BD215" i="1"/>
  <c r="BH215" i="1" s="1"/>
  <c r="BI215" i="1" s="1"/>
  <c r="BE215" i="1"/>
  <c r="BE227" i="1"/>
  <c r="BD227" i="1"/>
  <c r="BH227" i="1" s="1"/>
  <c r="BI227" i="1" s="1"/>
  <c r="N31" i="23"/>
  <c r="O32" i="23"/>
  <c r="L30" i="23"/>
  <c r="L32" i="23"/>
  <c r="N32" i="23"/>
  <c r="K189" i="1"/>
  <c r="J189" i="1" s="1"/>
  <c r="M32" i="23"/>
  <c r="N30" i="23"/>
  <c r="M31" i="23"/>
  <c r="L31" i="23"/>
  <c r="M30" i="23"/>
  <c r="O31" i="23"/>
  <c r="O30" i="23"/>
  <c r="BD222" i="1"/>
  <c r="BH222" i="1" s="1"/>
  <c r="BI222" i="1" s="1"/>
  <c r="BE222" i="1"/>
  <c r="BE239" i="1"/>
  <c r="BD239" i="1"/>
  <c r="BH239" i="1" s="1"/>
  <c r="BI239" i="1" s="1"/>
  <c r="BD225" i="1"/>
  <c r="BH225" i="1" s="1"/>
  <c r="BI225" i="1" s="1"/>
  <c r="BE225" i="1"/>
  <c r="BE203" i="1"/>
  <c r="BD203" i="1"/>
  <c r="BH203" i="1" s="1"/>
  <c r="BI203" i="1" s="1"/>
  <c r="BE212" i="1" l="1"/>
  <c r="BD212" i="1"/>
  <c r="BH212" i="1" s="1"/>
  <c r="BI212" i="1" s="1"/>
  <c r="BE179" i="1"/>
  <c r="BE214" i="1"/>
  <c r="BE182" i="1"/>
  <c r="BE236" i="1"/>
  <c r="BD236" i="1"/>
  <c r="BH236" i="1" s="1"/>
  <c r="BI236" i="1" s="1"/>
  <c r="BE168" i="1"/>
  <c r="BF171" i="1"/>
  <c r="BD171" i="1"/>
  <c r="BH171" i="1" s="1"/>
  <c r="BI171" i="1" s="1"/>
  <c r="BD163" i="1"/>
  <c r="BH163" i="1" s="1"/>
  <c r="BI163" i="1" s="1"/>
  <c r="BD168" i="1"/>
  <c r="BH168" i="1" s="1"/>
  <c r="BI168" i="1" s="1"/>
  <c r="BD182" i="1"/>
  <c r="BH182" i="1" s="1"/>
  <c r="AL157" i="23"/>
  <c r="AM157" i="23" s="1"/>
  <c r="AM156" i="23"/>
  <c r="BI191" i="1"/>
  <c r="BI189" i="1"/>
  <c r="BE175" i="1"/>
  <c r="BD175" i="1"/>
  <c r="BH175" i="1" s="1"/>
  <c r="BD197" i="1"/>
  <c r="BH197" i="1" s="1"/>
  <c r="BI197" i="1" s="1"/>
  <c r="BE197" i="1"/>
  <c r="H387" i="23"/>
  <c r="BI161" i="1"/>
  <c r="BJ160" i="1"/>
  <c r="BH160" i="1"/>
  <c r="BI160" i="1" s="1"/>
  <c r="H391" i="23"/>
  <c r="H390" i="23"/>
  <c r="H386" i="23"/>
  <c r="H385" i="23"/>
  <c r="H389" i="23"/>
  <c r="H393" i="23"/>
  <c r="H388" i="23"/>
  <c r="H392" i="23"/>
  <c r="BI199" i="1"/>
  <c r="BI169" i="1"/>
  <c r="BI173" i="1"/>
  <c r="BI182" i="1"/>
  <c r="BI172" i="1"/>
  <c r="BD174" i="1"/>
  <c r="BH174" i="1" s="1"/>
  <c r="BF174" i="1"/>
  <c r="BD192" i="1"/>
  <c r="BH192" i="1" s="1"/>
  <c r="BF192" i="1"/>
  <c r="BH162" i="1"/>
  <c r="BI162" i="1" s="1"/>
  <c r="BE185" i="1"/>
  <c r="BF185" i="1"/>
  <c r="BE195" i="1"/>
  <c r="BF195" i="1"/>
  <c r="BE188" i="1"/>
  <c r="BF188" i="1"/>
  <c r="BE170" i="1"/>
  <c r="BF170" i="1"/>
  <c r="BI178" i="1"/>
  <c r="BE184" i="1"/>
  <c r="BF184" i="1"/>
  <c r="BE183" i="1"/>
  <c r="BF183" i="1"/>
  <c r="BE190" i="1"/>
  <c r="BF190" i="1"/>
  <c r="BE194" i="1"/>
  <c r="BF194" i="1"/>
  <c r="BE176" i="1"/>
  <c r="BF176" i="1"/>
  <c r="BD180" i="1"/>
  <c r="BH180" i="1" s="1"/>
  <c r="BF180" i="1"/>
  <c r="BD187" i="1"/>
  <c r="BH187" i="1" s="1"/>
  <c r="BF187" i="1"/>
  <c r="BE193" i="1"/>
  <c r="BF193" i="1"/>
  <c r="BE164" i="1"/>
  <c r="BF164" i="1"/>
  <c r="BD186" i="1"/>
  <c r="BH186" i="1" s="1"/>
  <c r="BF186" i="1"/>
  <c r="BD177" i="1"/>
  <c r="BH177" i="1" s="1"/>
  <c r="BF177" i="1"/>
  <c r="BI179" i="1"/>
  <c r="BE177" i="1"/>
  <c r="BD176" i="1"/>
  <c r="BH176" i="1" s="1"/>
  <c r="BI176" i="1" s="1"/>
  <c r="BE192" i="1"/>
  <c r="BD188" i="1"/>
  <c r="BH188" i="1" s="1"/>
  <c r="BD170" i="1"/>
  <c r="BH170" i="1" s="1"/>
  <c r="C135" i="23"/>
  <c r="C66" i="23"/>
  <c r="BD184" i="1"/>
  <c r="BH184" i="1" s="1"/>
  <c r="C80" i="23"/>
  <c r="C5" i="23"/>
  <c r="BE174" i="1"/>
  <c r="BD194" i="1"/>
  <c r="BH194" i="1" s="1"/>
  <c r="BI194" i="1" s="1"/>
  <c r="BD195" i="1"/>
  <c r="BH195" i="1" s="1"/>
  <c r="BE186" i="1"/>
  <c r="C65" i="23"/>
  <c r="BD196" i="1"/>
  <c r="BH196" i="1" s="1"/>
  <c r="BE196" i="1"/>
  <c r="BD164" i="1"/>
  <c r="A247" i="23"/>
  <c r="B246" i="23"/>
  <c r="C246" i="23" s="1"/>
  <c r="C204" i="23"/>
  <c r="C140" i="23"/>
  <c r="C76" i="23"/>
  <c r="C8" i="23"/>
  <c r="C203" i="23"/>
  <c r="C139" i="23"/>
  <c r="C75" i="23"/>
  <c r="C6" i="23"/>
  <c r="C178" i="23"/>
  <c r="C114" i="23"/>
  <c r="C42" i="23"/>
  <c r="C208" i="23"/>
  <c r="C189" i="23"/>
  <c r="C125" i="23"/>
  <c r="C61" i="23"/>
  <c r="C236" i="23"/>
  <c r="C120" i="23"/>
  <c r="C56" i="23"/>
  <c r="C232" i="23"/>
  <c r="C183" i="23"/>
  <c r="C103" i="23"/>
  <c r="C35" i="23"/>
  <c r="C218" i="23"/>
  <c r="C142" i="23"/>
  <c r="C78" i="23"/>
  <c r="C226" i="23"/>
  <c r="C217" i="23"/>
  <c r="C153" i="23"/>
  <c r="C89" i="23"/>
  <c r="C21" i="23"/>
  <c r="C168" i="23"/>
  <c r="C196" i="23"/>
  <c r="C132" i="23"/>
  <c r="C68" i="23"/>
  <c r="C50" i="23"/>
  <c r="C195" i="23"/>
  <c r="C131" i="23"/>
  <c r="C67" i="23"/>
  <c r="C170" i="23"/>
  <c r="C106" i="23"/>
  <c r="C34" i="23"/>
  <c r="C245" i="23"/>
  <c r="C181" i="23"/>
  <c r="C117" i="23"/>
  <c r="C53" i="23"/>
  <c r="C192" i="23"/>
  <c r="C128" i="23"/>
  <c r="C64" i="23"/>
  <c r="C191" i="23"/>
  <c r="C127" i="23"/>
  <c r="C63" i="23"/>
  <c r="C243" i="23"/>
  <c r="C166" i="23"/>
  <c r="C102" i="23"/>
  <c r="C30" i="23"/>
  <c r="C239" i="23"/>
  <c r="C241" i="23"/>
  <c r="C177" i="23"/>
  <c r="C113" i="23"/>
  <c r="C45" i="23"/>
  <c r="C188" i="23"/>
  <c r="C124" i="23"/>
  <c r="C60" i="23"/>
  <c r="C244" i="23"/>
  <c r="C187" i="23"/>
  <c r="C123" i="23"/>
  <c r="C59" i="23"/>
  <c r="C231" i="23"/>
  <c r="C162" i="23"/>
  <c r="C98" i="23"/>
  <c r="C26" i="23"/>
  <c r="C237" i="23"/>
  <c r="C173" i="23"/>
  <c r="C109" i="23"/>
  <c r="C41" i="23"/>
  <c r="C184" i="23"/>
  <c r="C104" i="23"/>
  <c r="C36" i="23"/>
  <c r="C235" i="23"/>
  <c r="C167" i="23"/>
  <c r="C87" i="23"/>
  <c r="C19" i="23"/>
  <c r="C190" i="23"/>
  <c r="C126" i="23"/>
  <c r="C58" i="23"/>
  <c r="C240" i="23"/>
  <c r="C198" i="23"/>
  <c r="C201" i="23"/>
  <c r="C137" i="23"/>
  <c r="C73" i="23"/>
  <c r="C7" i="23"/>
  <c r="C180" i="23"/>
  <c r="C116" i="23"/>
  <c r="C52" i="23"/>
  <c r="C216" i="23"/>
  <c r="C179" i="23"/>
  <c r="C115" i="23"/>
  <c r="C47" i="23"/>
  <c r="C154" i="23"/>
  <c r="C90" i="23"/>
  <c r="C18" i="23"/>
  <c r="C229" i="23"/>
  <c r="C165" i="23"/>
  <c r="C101" i="23"/>
  <c r="C33" i="23"/>
  <c r="C176" i="23"/>
  <c r="C112" i="23"/>
  <c r="C44" i="23"/>
  <c r="C175" i="23"/>
  <c r="C111" i="23"/>
  <c r="C43" i="23"/>
  <c r="C238" i="23"/>
  <c r="C150" i="23"/>
  <c r="C86" i="23"/>
  <c r="C14" i="23"/>
  <c r="C242" i="23"/>
  <c r="C225" i="23"/>
  <c r="C161" i="23"/>
  <c r="C97" i="23"/>
  <c r="C29" i="23"/>
  <c r="C172" i="23"/>
  <c r="C108" i="23"/>
  <c r="C40" i="23"/>
  <c r="C171" i="23"/>
  <c r="C107" i="23"/>
  <c r="C39" i="23"/>
  <c r="C230" i="23"/>
  <c r="C146" i="23"/>
  <c r="C82" i="23"/>
  <c r="C10" i="23"/>
  <c r="C234" i="23"/>
  <c r="C221" i="23"/>
  <c r="C157" i="23"/>
  <c r="C93" i="23"/>
  <c r="C25" i="23"/>
  <c r="C152" i="23"/>
  <c r="C88" i="23"/>
  <c r="C20" i="23"/>
  <c r="C215" i="23"/>
  <c r="C151" i="23"/>
  <c r="C71" i="23"/>
  <c r="C51" i="23"/>
  <c r="C174" i="23"/>
  <c r="C110" i="23"/>
  <c r="C38" i="23"/>
  <c r="C185" i="23"/>
  <c r="C121" i="23"/>
  <c r="C57" i="23"/>
  <c r="C164" i="23"/>
  <c r="C100" i="23"/>
  <c r="C32" i="23"/>
  <c r="C227" i="23"/>
  <c r="C163" i="23"/>
  <c r="C99" i="23"/>
  <c r="C31" i="23"/>
  <c r="C210" i="23"/>
  <c r="C138" i="23"/>
  <c r="C74" i="23"/>
  <c r="C48" i="23"/>
  <c r="C222" i="23"/>
  <c r="C213" i="23"/>
  <c r="C149" i="23"/>
  <c r="C85" i="23"/>
  <c r="C17" i="23"/>
  <c r="C160" i="23"/>
  <c r="C96" i="23"/>
  <c r="C28" i="23"/>
  <c r="C223" i="23"/>
  <c r="C159" i="23"/>
  <c r="C95" i="23"/>
  <c r="C27" i="23"/>
  <c r="C202" i="23"/>
  <c r="C134" i="23"/>
  <c r="C70" i="23"/>
  <c r="C214" i="23"/>
  <c r="C209" i="23"/>
  <c r="C145" i="23"/>
  <c r="C81" i="23"/>
  <c r="C13" i="23"/>
  <c r="C156" i="23"/>
  <c r="C92" i="23"/>
  <c r="C24" i="23"/>
  <c r="C219" i="23"/>
  <c r="C155" i="23"/>
  <c r="C91" i="23"/>
  <c r="C23" i="23"/>
  <c r="C194" i="23"/>
  <c r="C130" i="23"/>
  <c r="C62" i="23"/>
  <c r="C206" i="23"/>
  <c r="C205" i="23"/>
  <c r="C141" i="23"/>
  <c r="C77" i="23"/>
  <c r="C9" i="23"/>
  <c r="C136" i="23"/>
  <c r="C72" i="23"/>
  <c r="C4" i="23"/>
  <c r="C199" i="23"/>
  <c r="C119" i="23"/>
  <c r="C55" i="23"/>
  <c r="C158" i="23"/>
  <c r="C94" i="23"/>
  <c r="C22" i="23"/>
  <c r="C233" i="23"/>
  <c r="C169" i="23"/>
  <c r="C105" i="23"/>
  <c r="C37" i="23"/>
  <c r="C200" i="23"/>
  <c r="C224" i="23"/>
  <c r="C148" i="23"/>
  <c r="C84" i="23"/>
  <c r="C16" i="23"/>
  <c r="C211" i="23"/>
  <c r="C147" i="23"/>
  <c r="C83" i="23"/>
  <c r="C15" i="23"/>
  <c r="C186" i="23"/>
  <c r="C122" i="23"/>
  <c r="C54" i="23"/>
  <c r="C228" i="23"/>
  <c r="C197" i="23"/>
  <c r="C133" i="23"/>
  <c r="C69" i="23"/>
  <c r="C49" i="23"/>
  <c r="C212" i="23"/>
  <c r="C144" i="23"/>
  <c r="C12" i="23"/>
  <c r="C207" i="23"/>
  <c r="C143" i="23"/>
  <c r="C79" i="23"/>
  <c r="C11" i="23"/>
  <c r="C182" i="23"/>
  <c r="C118" i="23"/>
  <c r="C46" i="23"/>
  <c r="C220" i="23"/>
  <c r="C193" i="23"/>
  <c r="C129" i="23"/>
  <c r="K214" i="23"/>
  <c r="K220" i="23"/>
  <c r="K221" i="23" s="1"/>
  <c r="K222" i="23" s="1"/>
  <c r="K216" i="23"/>
  <c r="K215" i="23"/>
  <c r="R36" i="23"/>
  <c r="BD190" i="1"/>
  <c r="BH190" i="1" s="1"/>
  <c r="BD193" i="1"/>
  <c r="BH193" i="1" s="1"/>
  <c r="BD183" i="1"/>
  <c r="BH183" i="1" s="1"/>
  <c r="BI183" i="1" s="1"/>
  <c r="BD185" i="1"/>
  <c r="BH185" i="1" s="1"/>
  <c r="BI185" i="1" s="1"/>
  <c r="BE180" i="1"/>
  <c r="BE187" i="1"/>
  <c r="BE165" i="1"/>
  <c r="AL24" i="23"/>
  <c r="AL32" i="23" s="1"/>
  <c r="AL22" i="23"/>
  <c r="AL33" i="23" s="1"/>
  <c r="BE181" i="1"/>
  <c r="AD41" i="23"/>
  <c r="H32" i="23" s="1"/>
  <c r="AL18" i="23"/>
  <c r="AL28" i="23" s="1"/>
  <c r="BD181" i="1"/>
  <c r="BH181" i="1" s="1"/>
  <c r="P36" i="23"/>
  <c r="BD166" i="1"/>
  <c r="BE166" i="1"/>
  <c r="AD46" i="23"/>
  <c r="S36" i="23"/>
  <c r="AL21" i="23"/>
  <c r="AL31" i="23" s="1"/>
  <c r="AL19" i="23"/>
  <c r="AL29" i="23" s="1"/>
  <c r="BD165" i="1"/>
  <c r="AL23" i="23"/>
  <c r="AL34" i="23" s="1"/>
  <c r="AL16" i="23"/>
  <c r="AL26" i="23" s="1"/>
  <c r="Q36" i="23"/>
  <c r="AL20" i="23"/>
  <c r="AL30" i="23" s="1"/>
  <c r="AL17" i="23"/>
  <c r="AL27" i="23" s="1"/>
  <c r="BE167" i="1"/>
  <c r="BD167" i="1"/>
  <c r="O29" i="23"/>
  <c r="N29" i="23"/>
  <c r="M29" i="23"/>
  <c r="L29" i="23"/>
  <c r="BI175" i="1" l="1"/>
  <c r="K217" i="23"/>
  <c r="T361" i="23" s="1"/>
  <c r="C306" i="1"/>
  <c r="BJ161" i="1"/>
  <c r="A310" i="1" s="1"/>
  <c r="F306" i="1"/>
  <c r="A306" i="1"/>
  <c r="BI193" i="1"/>
  <c r="BI195" i="1"/>
  <c r="BI190" i="1"/>
  <c r="BI184" i="1"/>
  <c r="BI188" i="1"/>
  <c r="BI181" i="1"/>
  <c r="BI177" i="1"/>
  <c r="BI196" i="1"/>
  <c r="BI192" i="1"/>
  <c r="BI170" i="1"/>
  <c r="BH165" i="1"/>
  <c r="BI165" i="1" s="1"/>
  <c r="BI186" i="1"/>
  <c r="BI180" i="1"/>
  <c r="BH167" i="1"/>
  <c r="BI167" i="1" s="1"/>
  <c r="BH166" i="1"/>
  <c r="BI166" i="1" s="1"/>
  <c r="BH164" i="1"/>
  <c r="BI164" i="1" s="1"/>
  <c r="BI187" i="1"/>
  <c r="BI174" i="1"/>
  <c r="AG13" i="23"/>
  <c r="C116" i="1" s="1"/>
  <c r="AG14" i="23"/>
  <c r="C118" i="1" s="1"/>
  <c r="B247" i="23"/>
  <c r="C247" i="23" s="1"/>
  <c r="A248" i="23"/>
  <c r="S44" i="23"/>
  <c r="S47" i="23"/>
  <c r="S43" i="23"/>
  <c r="S39" i="23"/>
  <c r="S46" i="23"/>
  <c r="S42" i="23"/>
  <c r="S38" i="23"/>
  <c r="S45" i="23"/>
  <c r="S41" i="23"/>
  <c r="S40" i="23"/>
  <c r="G33" i="23"/>
  <c r="F31" i="23"/>
  <c r="O37" i="23"/>
  <c r="O72" i="23" s="1"/>
  <c r="L37" i="23"/>
  <c r="L38" i="23" s="1"/>
  <c r="G32" i="23"/>
  <c r="M37" i="23"/>
  <c r="M41" i="23" s="1"/>
  <c r="N37" i="23"/>
  <c r="N43" i="23" s="1"/>
  <c r="AG7" i="23"/>
  <c r="L264" i="23" s="1"/>
  <c r="G31" i="23"/>
  <c r="F33" i="23"/>
  <c r="F32" i="23"/>
  <c r="H33" i="23"/>
  <c r="AG11" i="23"/>
  <c r="E183" i="1" s="1"/>
  <c r="D183" i="1" s="1"/>
  <c r="Q195" i="1"/>
  <c r="P195" i="1" s="1"/>
  <c r="H31" i="23"/>
  <c r="AD38" i="23"/>
  <c r="AD37" i="23"/>
  <c r="Q164" i="1" s="1"/>
  <c r="P164" i="1" s="1"/>
  <c r="C310" i="1" l="1"/>
  <c r="BJ162" i="1"/>
  <c r="BJ163" i="1" s="1"/>
  <c r="BJ164" i="1" s="1"/>
  <c r="BJ165" i="1" s="1"/>
  <c r="F310" i="1"/>
  <c r="N47" i="23"/>
  <c r="L45" i="23"/>
  <c r="K218" i="23"/>
  <c r="T360" i="23" s="1"/>
  <c r="K219" i="23"/>
  <c r="T362" i="23" s="1"/>
  <c r="V263" i="23"/>
  <c r="AH264" i="23"/>
  <c r="S263" i="23"/>
  <c r="AE263" i="23"/>
  <c r="O264" i="23"/>
  <c r="P264" i="23" s="1"/>
  <c r="U264" i="23"/>
  <c r="V264" i="23" s="1"/>
  <c r="AA264" i="23"/>
  <c r="AA265" i="23" s="1"/>
  <c r="AA266" i="23" s="1"/>
  <c r="AG264" i="23"/>
  <c r="AE265" i="23"/>
  <c r="AE266" i="23"/>
  <c r="AE267" i="23"/>
  <c r="AE268" i="23"/>
  <c r="AE269" i="23"/>
  <c r="AE270" i="23"/>
  <c r="AE271" i="23"/>
  <c r="AE272" i="23"/>
  <c r="AE273" i="23"/>
  <c r="AE274" i="23"/>
  <c r="AE275" i="23"/>
  <c r="AE276" i="23"/>
  <c r="AE277" i="23"/>
  <c r="AE278" i="23"/>
  <c r="AE279" i="23"/>
  <c r="AE280" i="23"/>
  <c r="AE281" i="23"/>
  <c r="AH263" i="23"/>
  <c r="AG277" i="23"/>
  <c r="AG280" i="23"/>
  <c r="M264" i="23"/>
  <c r="X264" i="23"/>
  <c r="X265" i="23" s="1"/>
  <c r="Y265" i="23" s="1"/>
  <c r="H265" i="23"/>
  <c r="AH265" i="23"/>
  <c r="AH266" i="23"/>
  <c r="AH267" i="23"/>
  <c r="AH270" i="23"/>
  <c r="AH271" i="23"/>
  <c r="AH272" i="23"/>
  <c r="AH274" i="23"/>
  <c r="AH275" i="23"/>
  <c r="AH276" i="23"/>
  <c r="AH279" i="23"/>
  <c r="M263" i="23"/>
  <c r="AH268" i="23"/>
  <c r="AH269" i="23"/>
  <c r="AH273" i="23"/>
  <c r="AH277" i="23"/>
  <c r="AH278" i="23"/>
  <c r="AH280" i="23"/>
  <c r="AH281" i="23"/>
  <c r="P263" i="23"/>
  <c r="Y263" i="23"/>
  <c r="R264" i="23"/>
  <c r="R265" i="23" s="1"/>
  <c r="AD264" i="23"/>
  <c r="AD265" i="23"/>
  <c r="AD266" i="23"/>
  <c r="AD267" i="23"/>
  <c r="AD268" i="23"/>
  <c r="AD269" i="23"/>
  <c r="AD270" i="23"/>
  <c r="AD271" i="23"/>
  <c r="AD272" i="23"/>
  <c r="AD273" i="23"/>
  <c r="AD274" i="23"/>
  <c r="AD275" i="23"/>
  <c r="AD276" i="23"/>
  <c r="AD277" i="23"/>
  <c r="AD278" i="23"/>
  <c r="AD279" i="23"/>
  <c r="AD280" i="23"/>
  <c r="AD281" i="23"/>
  <c r="AB263" i="23"/>
  <c r="AE264" i="23"/>
  <c r="AG265" i="23"/>
  <c r="AG266" i="23"/>
  <c r="AG267" i="23"/>
  <c r="AG268" i="23"/>
  <c r="AG269" i="23"/>
  <c r="AG270" i="23"/>
  <c r="AG271" i="23"/>
  <c r="AG272" i="23"/>
  <c r="AG273" i="23"/>
  <c r="AG274" i="23"/>
  <c r="AG275" i="23"/>
  <c r="AG276" i="23"/>
  <c r="AG278" i="23"/>
  <c r="AG279" i="23"/>
  <c r="AG281" i="23"/>
  <c r="A249" i="23"/>
  <c r="B248" i="23"/>
  <c r="C248" i="23" s="1"/>
  <c r="M44" i="23"/>
  <c r="O45" i="23"/>
  <c r="O80" i="23" s="1"/>
  <c r="O36" i="23"/>
  <c r="A191" i="1" s="1"/>
  <c r="O39" i="23"/>
  <c r="O74" i="23" s="1"/>
  <c r="L46" i="23"/>
  <c r="O46" i="23"/>
  <c r="L40" i="23"/>
  <c r="L36" i="23"/>
  <c r="A185" i="1" s="1"/>
  <c r="M46" i="23"/>
  <c r="O44" i="23"/>
  <c r="O79" i="23" s="1"/>
  <c r="L39" i="23"/>
  <c r="L41" i="23"/>
  <c r="N45" i="23"/>
  <c r="O38" i="23"/>
  <c r="O73" i="23" s="1"/>
  <c r="O41" i="23"/>
  <c r="O76" i="23" s="1"/>
  <c r="L47" i="23"/>
  <c r="L43" i="23"/>
  <c r="O43" i="23"/>
  <c r="O78" i="23" s="1"/>
  <c r="O47" i="23"/>
  <c r="L44" i="23"/>
  <c r="O40" i="23"/>
  <c r="O75" i="23" s="1"/>
  <c r="O42" i="23"/>
  <c r="O77" i="23" s="1"/>
  <c r="M36" i="23"/>
  <c r="A187" i="1" s="1"/>
  <c r="M43" i="23"/>
  <c r="M45" i="23"/>
  <c r="M47" i="23"/>
  <c r="M38" i="23"/>
  <c r="M42" i="23"/>
  <c r="M39" i="23"/>
  <c r="L42" i="23"/>
  <c r="N40" i="23"/>
  <c r="N46" i="23"/>
  <c r="N42" i="23"/>
  <c r="M40" i="23"/>
  <c r="N44" i="23"/>
  <c r="N38" i="23"/>
  <c r="AH5" i="23"/>
  <c r="N36" i="23"/>
  <c r="A189" i="1" s="1"/>
  <c r="N39" i="23"/>
  <c r="N41" i="23"/>
  <c r="R145" i="23"/>
  <c r="R146" i="23" s="1"/>
  <c r="R147" i="23" s="1"/>
  <c r="R148" i="23" s="1"/>
  <c r="R149" i="23" s="1"/>
  <c r="R150" i="23" s="1"/>
  <c r="R151" i="23" s="1"/>
  <c r="M145" i="23"/>
  <c r="M146" i="23" s="1"/>
  <c r="M147" i="23" s="1"/>
  <c r="M148" i="23" s="1"/>
  <c r="M149" i="23" s="1"/>
  <c r="M150" i="23" s="1"/>
  <c r="M151" i="23" s="1"/>
  <c r="S147" i="23"/>
  <c r="N147" i="23"/>
  <c r="S148" i="23"/>
  <c r="N144" i="23"/>
  <c r="S150" i="23"/>
  <c r="N151" i="23"/>
  <c r="N148" i="23"/>
  <c r="N145" i="23"/>
  <c r="S151" i="23"/>
  <c r="Q173" i="1"/>
  <c r="P173" i="1" s="1"/>
  <c r="S145" i="23"/>
  <c r="N149" i="23"/>
  <c r="N150" i="23"/>
  <c r="N146" i="23"/>
  <c r="S149" i="23"/>
  <c r="S146" i="23"/>
  <c r="S144" i="23"/>
  <c r="C318" i="1" l="1"/>
  <c r="F322" i="1"/>
  <c r="A314" i="1"/>
  <c r="F314" i="1"/>
  <c r="F326" i="1"/>
  <c r="BJ166" i="1"/>
  <c r="BJ167" i="1" s="1"/>
  <c r="F318" i="1"/>
  <c r="A318" i="1"/>
  <c r="A322" i="1"/>
  <c r="C314" i="1"/>
  <c r="C322" i="1"/>
  <c r="A326" i="1"/>
  <c r="C326" i="1"/>
  <c r="Y370" i="23"/>
  <c r="Z370" i="23" s="1"/>
  <c r="Y366" i="23"/>
  <c r="Y362" i="23"/>
  <c r="Y368" i="23"/>
  <c r="Y373" i="23"/>
  <c r="Z373" i="23" s="1"/>
  <c r="Y369" i="23"/>
  <c r="Y365" i="23"/>
  <c r="Y361" i="23"/>
  <c r="Y360" i="23"/>
  <c r="Y372" i="23"/>
  <c r="Z372" i="23" s="1"/>
  <c r="Y371" i="23"/>
  <c r="Y367" i="23"/>
  <c r="Y363" i="23"/>
  <c r="Y364" i="23"/>
  <c r="AB264" i="23"/>
  <c r="N222" i="23"/>
  <c r="N224" i="23"/>
  <c r="N219" i="23"/>
  <c r="N217" i="23"/>
  <c r="N220" i="23"/>
  <c r="N215" i="23"/>
  <c r="N225" i="23"/>
  <c r="N216" i="23"/>
  <c r="N218" i="23"/>
  <c r="N221" i="23"/>
  <c r="N223" i="23"/>
  <c r="N214" i="23"/>
  <c r="P214" i="23" s="1"/>
  <c r="Y264" i="23"/>
  <c r="O265" i="23"/>
  <c r="P265" i="23" s="1"/>
  <c r="AB265" i="23"/>
  <c r="AB266" i="23"/>
  <c r="AA267" i="23"/>
  <c r="X266" i="23"/>
  <c r="P49" i="23"/>
  <c r="P60" i="23" s="1"/>
  <c r="S264" i="23"/>
  <c r="U265" i="23"/>
  <c r="S265" i="23"/>
  <c r="R266" i="23"/>
  <c r="L265" i="23"/>
  <c r="B249" i="23"/>
  <c r="C249" i="23" s="1"/>
  <c r="A250" i="23"/>
  <c r="S60" i="23"/>
  <c r="O71" i="23"/>
  <c r="S51" i="23"/>
  <c r="O62" i="23" s="1"/>
  <c r="S62" i="23" s="1"/>
  <c r="P58" i="23"/>
  <c r="P69" i="23" s="1"/>
  <c r="Q55" i="23"/>
  <c r="M66" i="23" s="1"/>
  <c r="Q66" i="23" s="1"/>
  <c r="S49" i="23"/>
  <c r="O60" i="23" s="1"/>
  <c r="S56" i="23"/>
  <c r="O67" i="23" s="1"/>
  <c r="S67" i="23" s="1"/>
  <c r="S54" i="23"/>
  <c r="O65" i="23" s="1"/>
  <c r="S65" i="23" s="1"/>
  <c r="S50" i="23"/>
  <c r="O61" i="23" s="1"/>
  <c r="S61" i="23" s="1"/>
  <c r="S52" i="23"/>
  <c r="O63" i="23" s="1"/>
  <c r="S63" i="23" s="1"/>
  <c r="S55" i="23"/>
  <c r="O66" i="23" s="1"/>
  <c r="S66" i="23" s="1"/>
  <c r="S58" i="23"/>
  <c r="O69" i="23" s="1"/>
  <c r="S69" i="23" s="1"/>
  <c r="S53" i="23"/>
  <c r="O64" i="23" s="1"/>
  <c r="S64" i="23" s="1"/>
  <c r="S57" i="23"/>
  <c r="O68" i="23" s="1"/>
  <c r="S68" i="23" s="1"/>
  <c r="P50" i="23"/>
  <c r="R49" i="23"/>
  <c r="N60" i="23" s="1"/>
  <c r="R60" i="23" s="1"/>
  <c r="N71" i="23" s="1"/>
  <c r="R57" i="23"/>
  <c r="N68" i="23" s="1"/>
  <c r="R68" i="23" s="1"/>
  <c r="Q51" i="23"/>
  <c r="M62" i="23" s="1"/>
  <c r="Q53" i="23"/>
  <c r="M64" i="23" s="1"/>
  <c r="P54" i="23"/>
  <c r="P52" i="23"/>
  <c r="R55" i="23"/>
  <c r="N66" i="23" s="1"/>
  <c r="R66" i="23" s="1"/>
  <c r="P53" i="23"/>
  <c r="P57" i="23"/>
  <c r="P68" i="23" s="1"/>
  <c r="P56" i="23"/>
  <c r="P67" i="23" s="1"/>
  <c r="P51" i="23"/>
  <c r="P55" i="23"/>
  <c r="P66" i="23" s="1"/>
  <c r="R53" i="23"/>
  <c r="N64" i="23" s="1"/>
  <c r="R64" i="23" s="1"/>
  <c r="Q58" i="23"/>
  <c r="M69" i="23" s="1"/>
  <c r="Q69" i="23" s="1"/>
  <c r="Q49" i="23"/>
  <c r="M60" i="23" s="1"/>
  <c r="Q60" i="23" s="1"/>
  <c r="Q52" i="23"/>
  <c r="M63" i="23" s="1"/>
  <c r="R54" i="23"/>
  <c r="N65" i="23" s="1"/>
  <c r="Q54" i="23"/>
  <c r="M65" i="23" s="1"/>
  <c r="Q57" i="23"/>
  <c r="M68" i="23" s="1"/>
  <c r="Q68" i="23" s="1"/>
  <c r="Q56" i="23"/>
  <c r="M67" i="23" s="1"/>
  <c r="Q67" i="23" s="1"/>
  <c r="Q50" i="23"/>
  <c r="M61" i="23" s="1"/>
  <c r="R52" i="23"/>
  <c r="N63" i="23" s="1"/>
  <c r="R63" i="23" s="1"/>
  <c r="R50" i="23"/>
  <c r="N61" i="23" s="1"/>
  <c r="R56" i="23"/>
  <c r="N67" i="23" s="1"/>
  <c r="R67" i="23" s="1"/>
  <c r="R58" i="23"/>
  <c r="N69" i="23" s="1"/>
  <c r="R69" i="23" s="1"/>
  <c r="R51" i="23"/>
  <c r="N62" i="23" s="1"/>
  <c r="F330" i="1" l="1"/>
  <c r="A330" i="1"/>
  <c r="C330" i="1"/>
  <c r="A334" i="1"/>
  <c r="BJ168" i="1"/>
  <c r="BJ169" i="1" s="1"/>
  <c r="F334" i="1"/>
  <c r="C334" i="1"/>
  <c r="R61" i="23"/>
  <c r="R62" i="23" s="1"/>
  <c r="R65" i="23" s="1"/>
  <c r="P61" i="23"/>
  <c r="P62" i="23" s="1"/>
  <c r="Z367" i="23"/>
  <c r="Z361" i="23"/>
  <c r="Z368" i="23"/>
  <c r="Z371" i="23"/>
  <c r="Z365" i="23"/>
  <c r="Z362" i="23"/>
  <c r="Z364" i="23"/>
  <c r="Z369" i="23"/>
  <c r="Z366" i="23"/>
  <c r="Z363" i="23"/>
  <c r="Z360" i="23"/>
  <c r="AA360" i="23"/>
  <c r="AB360" i="23" s="1"/>
  <c r="O225" i="23"/>
  <c r="P225" i="23"/>
  <c r="O266" i="23"/>
  <c r="P266" i="23" s="1"/>
  <c r="X267" i="23"/>
  <c r="Y266" i="23"/>
  <c r="AA268" i="23"/>
  <c r="AB267" i="23"/>
  <c r="U266" i="23"/>
  <c r="V265" i="23"/>
  <c r="S266" i="23"/>
  <c r="R267" i="23"/>
  <c r="M265" i="23"/>
  <c r="L266" i="23"/>
  <c r="A251" i="23"/>
  <c r="B250" i="23"/>
  <c r="C250" i="23" s="1"/>
  <c r="O219" i="23"/>
  <c r="P219" i="23"/>
  <c r="O217" i="23"/>
  <c r="P217" i="23"/>
  <c r="O215" i="23"/>
  <c r="P215" i="23"/>
  <c r="O224" i="23"/>
  <c r="P224" i="23"/>
  <c r="O222" i="23"/>
  <c r="P222" i="23"/>
  <c r="O220" i="23"/>
  <c r="P220" i="23"/>
  <c r="O218" i="23"/>
  <c r="P218" i="23"/>
  <c r="O216" i="23"/>
  <c r="P216" i="23"/>
  <c r="O223" i="23"/>
  <c r="P223" i="23"/>
  <c r="O221" i="23"/>
  <c r="P221" i="23"/>
  <c r="O214" i="23"/>
  <c r="Q214" i="23"/>
  <c r="Q61" i="23"/>
  <c r="C342" i="1" l="1"/>
  <c r="A338" i="1"/>
  <c r="F342" i="1"/>
  <c r="A342" i="1"/>
  <c r="F338" i="1"/>
  <c r="BJ170" i="1"/>
  <c r="F346" i="1" s="1"/>
  <c r="C338" i="1"/>
  <c r="N72" i="23"/>
  <c r="AA361" i="23"/>
  <c r="O267" i="23"/>
  <c r="P267" i="23" s="1"/>
  <c r="AA269" i="23"/>
  <c r="AB268" i="23"/>
  <c r="Y267" i="23"/>
  <c r="X268" i="23"/>
  <c r="U267" i="23"/>
  <c r="V266" i="23"/>
  <c r="R268" i="23"/>
  <c r="S267" i="23"/>
  <c r="M266" i="23"/>
  <c r="L267" i="23"/>
  <c r="B251" i="23"/>
  <c r="C251" i="23" s="1"/>
  <c r="A252" i="23"/>
  <c r="Q62" i="23"/>
  <c r="Q63" i="23" s="1"/>
  <c r="M71" i="23"/>
  <c r="Q215" i="23"/>
  <c r="Q216" i="23" s="1"/>
  <c r="P63" i="23"/>
  <c r="P64" i="23" s="1"/>
  <c r="P65" i="23" s="1"/>
  <c r="N73" i="23"/>
  <c r="N76" i="23"/>
  <c r="N74" i="23"/>
  <c r="N78" i="23"/>
  <c r="N80" i="23"/>
  <c r="N79" i="23"/>
  <c r="N75" i="23"/>
  <c r="N77" i="23"/>
  <c r="A346" i="1" l="1"/>
  <c r="C346" i="1"/>
  <c r="BJ171" i="1"/>
  <c r="BJ172" i="1" s="1"/>
  <c r="BJ173" i="1" s="1"/>
  <c r="BJ174" i="1" s="1"/>
  <c r="BJ175" i="1" s="1"/>
  <c r="BJ176" i="1" s="1"/>
  <c r="BJ177" i="1" s="1"/>
  <c r="BJ178" i="1" s="1"/>
  <c r="BJ179" i="1" s="1"/>
  <c r="BJ180" i="1" s="1"/>
  <c r="BJ181" i="1" s="1"/>
  <c r="BJ182" i="1" s="1"/>
  <c r="BJ183" i="1" s="1"/>
  <c r="BJ184" i="1" s="1"/>
  <c r="BJ185" i="1" s="1"/>
  <c r="BJ186" i="1" s="1"/>
  <c r="BJ187" i="1" s="1"/>
  <c r="BJ188" i="1" s="1"/>
  <c r="BJ189" i="1" s="1"/>
  <c r="BJ190" i="1" s="1"/>
  <c r="BJ191" i="1" s="1"/>
  <c r="BJ192" i="1" s="1"/>
  <c r="BJ193" i="1" s="1"/>
  <c r="BJ194" i="1" s="1"/>
  <c r="BJ195" i="1" s="1"/>
  <c r="BJ196" i="1" s="1"/>
  <c r="BJ197" i="1" s="1"/>
  <c r="BJ198" i="1" s="1"/>
  <c r="BJ199" i="1" s="1"/>
  <c r="BJ200" i="1" s="1"/>
  <c r="BJ201" i="1" s="1"/>
  <c r="BJ202" i="1" s="1"/>
  <c r="BJ203" i="1" s="1"/>
  <c r="BJ204" i="1" s="1"/>
  <c r="BJ205" i="1" s="1"/>
  <c r="BJ206" i="1" s="1"/>
  <c r="BJ207" i="1" s="1"/>
  <c r="BJ208" i="1" s="1"/>
  <c r="BJ209" i="1" s="1"/>
  <c r="BJ210" i="1" s="1"/>
  <c r="BJ211" i="1" s="1"/>
  <c r="BJ212" i="1" s="1"/>
  <c r="BJ213" i="1" s="1"/>
  <c r="BJ214" i="1" s="1"/>
  <c r="BJ215" i="1" s="1"/>
  <c r="BJ216" i="1" s="1"/>
  <c r="BJ217" i="1" s="1"/>
  <c r="BJ218" i="1" s="1"/>
  <c r="BJ219" i="1" s="1"/>
  <c r="BJ220" i="1" s="1"/>
  <c r="BJ221" i="1" s="1"/>
  <c r="BJ222" i="1" s="1"/>
  <c r="BJ223" i="1" s="1"/>
  <c r="BJ224" i="1" s="1"/>
  <c r="BJ225" i="1" s="1"/>
  <c r="BJ226" i="1" s="1"/>
  <c r="BJ227" i="1" s="1"/>
  <c r="BJ228" i="1" s="1"/>
  <c r="BJ229" i="1" s="1"/>
  <c r="BJ230" i="1" s="1"/>
  <c r="BJ231" i="1" s="1"/>
  <c r="BJ232" i="1" s="1"/>
  <c r="BJ233" i="1" s="1"/>
  <c r="BJ234" i="1" s="1"/>
  <c r="BJ235" i="1" s="1"/>
  <c r="BJ236" i="1" s="1"/>
  <c r="BJ237" i="1" s="1"/>
  <c r="BJ238" i="1" s="1"/>
  <c r="BJ239" i="1" s="1"/>
  <c r="Q64" i="23"/>
  <c r="Q65" i="23" s="1"/>
  <c r="AB361" i="23"/>
  <c r="AA362" i="23"/>
  <c r="O268" i="23"/>
  <c r="P268" i="23" s="1"/>
  <c r="X269" i="23"/>
  <c r="Y268" i="23"/>
  <c r="AA270" i="23"/>
  <c r="AB269" i="23"/>
  <c r="U268" i="23"/>
  <c r="V267" i="23"/>
  <c r="R269" i="23"/>
  <c r="S268" i="23"/>
  <c r="M267" i="23"/>
  <c r="L268" i="23"/>
  <c r="A253" i="23"/>
  <c r="B252" i="23"/>
  <c r="C252" i="23" s="1"/>
  <c r="L73" i="23"/>
  <c r="M72" i="23"/>
  <c r="Q217" i="23"/>
  <c r="L72" i="23"/>
  <c r="L74" i="23"/>
  <c r="L75" i="23"/>
  <c r="A430" i="1" l="1"/>
  <c r="A406" i="1"/>
  <c r="F410" i="1"/>
  <c r="C378" i="1"/>
  <c r="F366" i="1"/>
  <c r="A350" i="1"/>
  <c r="C402" i="1"/>
  <c r="A382" i="1"/>
  <c r="C438" i="1"/>
  <c r="A506" i="1"/>
  <c r="F350" i="1"/>
  <c r="F354" i="1"/>
  <c r="C450" i="1"/>
  <c r="F498" i="1"/>
  <c r="A358" i="1"/>
  <c r="A474" i="1"/>
  <c r="C350" i="1"/>
  <c r="A378" i="1"/>
  <c r="A394" i="1"/>
  <c r="F422" i="1"/>
  <c r="F470" i="1"/>
  <c r="A414" i="1"/>
  <c r="F430" i="1"/>
  <c r="A458" i="1"/>
  <c r="A442" i="1"/>
  <c r="C394" i="1"/>
  <c r="A386" i="1"/>
  <c r="A354" i="1"/>
  <c r="A390" i="1"/>
  <c r="A370" i="1"/>
  <c r="A450" i="1"/>
  <c r="C390" i="1"/>
  <c r="C434" i="1"/>
  <c r="A366" i="1"/>
  <c r="C374" i="1"/>
  <c r="F362" i="1"/>
  <c r="C466" i="1"/>
  <c r="F418" i="1"/>
  <c r="A398" i="1"/>
  <c r="F402" i="1"/>
  <c r="F438" i="1"/>
  <c r="A410" i="1"/>
  <c r="A418" i="1"/>
  <c r="C366" i="1"/>
  <c r="F390" i="1"/>
  <c r="A362" i="1"/>
  <c r="C414" i="1"/>
  <c r="F386" i="1"/>
  <c r="C410" i="1"/>
  <c r="A542" i="1"/>
  <c r="F590" i="1"/>
  <c r="C554" i="1"/>
  <c r="F538" i="1"/>
  <c r="C486" i="1"/>
  <c r="F442" i="1"/>
  <c r="A426" i="1"/>
  <c r="F458" i="1"/>
  <c r="F466" i="1"/>
  <c r="A526" i="1"/>
  <c r="A434" i="1"/>
  <c r="F450" i="1"/>
  <c r="A438" i="1"/>
  <c r="C530" i="1"/>
  <c r="A466" i="1"/>
  <c r="C550" i="1"/>
  <c r="F534" i="1"/>
  <c r="C426" i="1"/>
  <c r="F414" i="1"/>
  <c r="A558" i="1"/>
  <c r="F546" i="1"/>
  <c r="C362" i="1"/>
  <c r="C526" i="1"/>
  <c r="C358" i="1"/>
  <c r="C506" i="1"/>
  <c r="A546" i="1"/>
  <c r="C494" i="1"/>
  <c r="F482" i="1"/>
  <c r="C458" i="1"/>
  <c r="C462" i="1"/>
  <c r="A522" i="1"/>
  <c r="C442" i="1"/>
  <c r="C430" i="1"/>
  <c r="C422" i="1"/>
  <c r="F514" i="1"/>
  <c r="C566" i="1"/>
  <c r="A502" i="1"/>
  <c r="C574" i="1"/>
  <c r="A554" i="1"/>
  <c r="A478" i="1"/>
  <c r="F490" i="1"/>
  <c r="F426" i="1"/>
  <c r="C398" i="1"/>
  <c r="F398" i="1"/>
  <c r="F382" i="1"/>
  <c r="C382" i="1"/>
  <c r="C354" i="1"/>
  <c r="A586" i="1"/>
  <c r="F374" i="1"/>
  <c r="F558" i="1"/>
  <c r="A538" i="1"/>
  <c r="A534" i="1"/>
  <c r="F586" i="1"/>
  <c r="A454" i="1"/>
  <c r="C470" i="1"/>
  <c r="A574" i="1"/>
  <c r="C446" i="1"/>
  <c r="F550" i="1"/>
  <c r="A566" i="1"/>
  <c r="F478" i="1"/>
  <c r="A470" i="1"/>
  <c r="F394" i="1"/>
  <c r="F462" i="1"/>
  <c r="F574" i="1"/>
  <c r="F406" i="1"/>
  <c r="A446" i="1"/>
  <c r="C546" i="1"/>
  <c r="C386" i="1"/>
  <c r="C370" i="1"/>
  <c r="A498" i="1"/>
  <c r="A510" i="1"/>
  <c r="A518" i="1"/>
  <c r="F518" i="1"/>
  <c r="C594" i="1"/>
  <c r="A590" i="1"/>
  <c r="A530" i="1"/>
  <c r="F542" i="1"/>
  <c r="C562" i="1"/>
  <c r="C558" i="1"/>
  <c r="A550" i="1"/>
  <c r="F486" i="1"/>
  <c r="A582" i="1"/>
  <c r="F570" i="1"/>
  <c r="A598" i="1"/>
  <c r="C598" i="1"/>
  <c r="C474" i="1"/>
  <c r="F494" i="1"/>
  <c r="C518" i="1"/>
  <c r="A462" i="1"/>
  <c r="F562" i="1"/>
  <c r="C578" i="1"/>
  <c r="C454" i="1"/>
  <c r="F526" i="1"/>
  <c r="C490" i="1"/>
  <c r="F522" i="1"/>
  <c r="A578" i="1"/>
  <c r="C586" i="1"/>
  <c r="A594" i="1"/>
  <c r="F434" i="1"/>
  <c r="C482" i="1"/>
  <c r="A514" i="1"/>
  <c r="F510" i="1"/>
  <c r="F446" i="1"/>
  <c r="A402" i="1"/>
  <c r="C534" i="1"/>
  <c r="F378" i="1"/>
  <c r="F454" i="1"/>
  <c r="F358" i="1"/>
  <c r="F502" i="1"/>
  <c r="C582" i="1"/>
  <c r="A490" i="1"/>
  <c r="A374" i="1"/>
  <c r="A482" i="1"/>
  <c r="C418" i="1"/>
  <c r="A486" i="1"/>
  <c r="F582" i="1"/>
  <c r="F370" i="1"/>
  <c r="F578" i="1"/>
  <c r="F566" i="1"/>
  <c r="C522" i="1"/>
  <c r="A570" i="1"/>
  <c r="F554" i="1"/>
  <c r="C590" i="1"/>
  <c r="C542" i="1"/>
  <c r="F506" i="1"/>
  <c r="C498" i="1"/>
  <c r="A562" i="1"/>
  <c r="A494" i="1"/>
  <c r="C478" i="1"/>
  <c r="C570" i="1"/>
  <c r="F474" i="1"/>
  <c r="F530" i="1"/>
  <c r="C510" i="1"/>
  <c r="C514" i="1"/>
  <c r="F594" i="1"/>
  <c r="A422" i="1"/>
  <c r="F598" i="1"/>
  <c r="C502" i="1"/>
  <c r="C538" i="1"/>
  <c r="C406" i="1"/>
  <c r="AB362" i="23"/>
  <c r="AA363" i="23"/>
  <c r="O269" i="23"/>
  <c r="O270" i="23" s="1"/>
  <c r="AA271" i="23"/>
  <c r="AB270" i="23"/>
  <c r="Y269" i="23"/>
  <c r="X270" i="23"/>
  <c r="U269" i="23"/>
  <c r="V268" i="23"/>
  <c r="S269" i="23"/>
  <c r="R270" i="23"/>
  <c r="M268" i="23"/>
  <c r="L269" i="23"/>
  <c r="B253" i="23"/>
  <c r="C253" i="23" s="1"/>
  <c r="A254" i="23"/>
  <c r="Q218" i="23"/>
  <c r="L77" i="23"/>
  <c r="L80" i="23"/>
  <c r="L79" i="23"/>
  <c r="L76" i="23"/>
  <c r="L78" i="23"/>
  <c r="L71" i="23"/>
  <c r="M77" i="23"/>
  <c r="M73" i="23"/>
  <c r="M74" i="23"/>
  <c r="M78" i="23"/>
  <c r="M79" i="23"/>
  <c r="M75" i="23"/>
  <c r="M76" i="23"/>
  <c r="M80" i="23"/>
  <c r="G240" i="1" l="1"/>
  <c r="AB363" i="23"/>
  <c r="AA364" i="23"/>
  <c r="AA365" i="23" s="1"/>
  <c r="AB365" i="23" s="1"/>
  <c r="P269" i="23"/>
  <c r="Y270" i="23"/>
  <c r="X271" i="23"/>
  <c r="AB271" i="23"/>
  <c r="AA272" i="23"/>
  <c r="U270" i="23"/>
  <c r="V269" i="23"/>
  <c r="S270" i="23"/>
  <c r="R271" i="23"/>
  <c r="L270" i="23"/>
  <c r="M269" i="23"/>
  <c r="P270" i="23"/>
  <c r="O271" i="23"/>
  <c r="A255" i="23"/>
  <c r="B254" i="23"/>
  <c r="C254" i="23" s="1"/>
  <c r="Q219" i="23"/>
  <c r="F240" i="1" l="1"/>
  <c r="J240" i="1"/>
  <c r="AB364" i="23"/>
  <c r="AA366" i="23"/>
  <c r="AB366" i="23" s="1"/>
  <c r="AA273" i="23"/>
  <c r="AB272" i="23"/>
  <c r="Y271" i="23"/>
  <c r="X272" i="23"/>
  <c r="U271" i="23"/>
  <c r="V270" i="23"/>
  <c r="R272" i="23"/>
  <c r="S271" i="23"/>
  <c r="O272" i="23"/>
  <c r="P271" i="23"/>
  <c r="M270" i="23"/>
  <c r="L271" i="23"/>
  <c r="A256" i="23"/>
  <c r="B255" i="23"/>
  <c r="C255" i="23" s="1"/>
  <c r="Q220" i="23"/>
  <c r="AA367" i="23" l="1"/>
  <c r="Y272" i="23"/>
  <c r="X273" i="23"/>
  <c r="AA274" i="23"/>
  <c r="AB273" i="23"/>
  <c r="U272" i="23"/>
  <c r="V271" i="23"/>
  <c r="S272" i="23"/>
  <c r="R273" i="23"/>
  <c r="M271" i="23"/>
  <c r="L272" i="23"/>
  <c r="P272" i="23"/>
  <c r="O273" i="23"/>
  <c r="A257" i="23"/>
  <c r="B256" i="23"/>
  <c r="C256" i="23" s="1"/>
  <c r="Q221" i="23"/>
  <c r="Q222" i="23" s="1"/>
  <c r="Q223" i="23" s="1"/>
  <c r="AB367" i="23" l="1"/>
  <c r="AA368" i="23"/>
  <c r="AA275" i="23"/>
  <c r="AB274" i="23"/>
  <c r="Y273" i="23"/>
  <c r="X274" i="23"/>
  <c r="U273" i="23"/>
  <c r="V272" i="23"/>
  <c r="S273" i="23"/>
  <c r="R274" i="23"/>
  <c r="P273" i="23"/>
  <c r="O274" i="23"/>
  <c r="M272" i="23"/>
  <c r="L273" i="23"/>
  <c r="B257" i="23"/>
  <c r="C257" i="23" s="1"/>
  <c r="A258" i="23"/>
  <c r="Q224" i="23"/>
  <c r="Q225" i="23" s="1"/>
  <c r="AB368" i="23" l="1"/>
  <c r="AA369" i="23"/>
  <c r="AR191" i="23"/>
  <c r="T214" i="23"/>
  <c r="Y274" i="23"/>
  <c r="X275" i="23"/>
  <c r="AB275" i="23"/>
  <c r="AA276" i="23"/>
  <c r="U274" i="23"/>
  <c r="V273" i="23"/>
  <c r="S274" i="23"/>
  <c r="R275" i="23"/>
  <c r="L274" i="23"/>
  <c r="M273" i="23"/>
  <c r="P274" i="23"/>
  <c r="O275" i="23"/>
  <c r="A259" i="23"/>
  <c r="B258" i="23"/>
  <c r="C258" i="23" s="1"/>
  <c r="AA370" i="23" l="1"/>
  <c r="AB369" i="23"/>
  <c r="T215" i="23"/>
  <c r="U214" i="23"/>
  <c r="V214" i="23" s="1"/>
  <c r="Y227" i="23" s="1"/>
  <c r="AQ206" i="23" s="1"/>
  <c r="AR206" i="23" s="1"/>
  <c r="DH209" i="23"/>
  <c r="DH207" i="23"/>
  <c r="DH205" i="23"/>
  <c r="DH203" i="23"/>
  <c r="DH201" i="23"/>
  <c r="DH199" i="23"/>
  <c r="DH197" i="23"/>
  <c r="DH195" i="23"/>
  <c r="DC210" i="23"/>
  <c r="DC208" i="23"/>
  <c r="DC206" i="23"/>
  <c r="DC204" i="23"/>
  <c r="DC202" i="23"/>
  <c r="DC200" i="23"/>
  <c r="DC198" i="23"/>
  <c r="DC196" i="23"/>
  <c r="DC194" i="23"/>
  <c r="CV210" i="23"/>
  <c r="CV208" i="23"/>
  <c r="CV206" i="23"/>
  <c r="CV204" i="23"/>
  <c r="CV202" i="23"/>
  <c r="CV200" i="23"/>
  <c r="CV198" i="23"/>
  <c r="CV196" i="23"/>
  <c r="CV194" i="23"/>
  <c r="DI210" i="23"/>
  <c r="DI208" i="23"/>
  <c r="DI206" i="23"/>
  <c r="DI204" i="23"/>
  <c r="DI202" i="23"/>
  <c r="DI200" i="23"/>
  <c r="DI198" i="23"/>
  <c r="DI196" i="23"/>
  <c r="DI194" i="23"/>
  <c r="DB210" i="23"/>
  <c r="DB208" i="23"/>
  <c r="DB206" i="23"/>
  <c r="DB204" i="23"/>
  <c r="DB202" i="23"/>
  <c r="DB200" i="23"/>
  <c r="DB198" i="23"/>
  <c r="DB196" i="23"/>
  <c r="DB194" i="23"/>
  <c r="CW209" i="23"/>
  <c r="CW207" i="23"/>
  <c r="CW205" i="23"/>
  <c r="CW203" i="23"/>
  <c r="CW201" i="23"/>
  <c r="CW199" i="23"/>
  <c r="CW197" i="23"/>
  <c r="CW195" i="23"/>
  <c r="CW193" i="23"/>
  <c r="DH208" i="23"/>
  <c r="DH204" i="23"/>
  <c r="DH200" i="23"/>
  <c r="DH196" i="23"/>
  <c r="DC209" i="23"/>
  <c r="DC205" i="23"/>
  <c r="DC201" i="23"/>
  <c r="DC197" i="23"/>
  <c r="DC193" i="23"/>
  <c r="CV207" i="23"/>
  <c r="CV203" i="23"/>
  <c r="CV199" i="23"/>
  <c r="CV195" i="23"/>
  <c r="CV201" i="23"/>
  <c r="DI209" i="23"/>
  <c r="DI201" i="23"/>
  <c r="DB207" i="23"/>
  <c r="DB199" i="23"/>
  <c r="CW208" i="23"/>
  <c r="CW200" i="23"/>
  <c r="DI207" i="23"/>
  <c r="DI203" i="23"/>
  <c r="DI199" i="23"/>
  <c r="DI195" i="23"/>
  <c r="DB209" i="23"/>
  <c r="DB205" i="23"/>
  <c r="DB201" i="23"/>
  <c r="DB197" i="23"/>
  <c r="CW210" i="23"/>
  <c r="CW206" i="23"/>
  <c r="CW202" i="23"/>
  <c r="CW198" i="23"/>
  <c r="CW194" i="23"/>
  <c r="DH210" i="23"/>
  <c r="DH206" i="23"/>
  <c r="DH202" i="23"/>
  <c r="DH198" i="23"/>
  <c r="DH194" i="23"/>
  <c r="DC207" i="23"/>
  <c r="DC203" i="23"/>
  <c r="DC199" i="23"/>
  <c r="DC195" i="23"/>
  <c r="CV209" i="23"/>
  <c r="CV205" i="23"/>
  <c r="CV197" i="23"/>
  <c r="DI205" i="23"/>
  <c r="DI197" i="23"/>
  <c r="DI193" i="23"/>
  <c r="DB203" i="23"/>
  <c r="DB195" i="23"/>
  <c r="CW204" i="23"/>
  <c r="CW196" i="23"/>
  <c r="AA277" i="23"/>
  <c r="AB276" i="23"/>
  <c r="Y275" i="23"/>
  <c r="X276" i="23"/>
  <c r="U275" i="23"/>
  <c r="V274" i="23"/>
  <c r="R276" i="23"/>
  <c r="S275" i="23"/>
  <c r="P275" i="23"/>
  <c r="O276" i="23"/>
  <c r="M274" i="23"/>
  <c r="L275" i="23"/>
  <c r="B259" i="23"/>
  <c r="C259" i="23" s="1"/>
  <c r="A260" i="23"/>
  <c r="AB370" i="23" l="1"/>
  <c r="AA371" i="23"/>
  <c r="U215" i="23"/>
  <c r="V215" i="23" s="1"/>
  <c r="Z216" i="23" s="1"/>
  <c r="AW195" i="23" s="1"/>
  <c r="AX195" i="23" s="1"/>
  <c r="T216" i="23"/>
  <c r="Y222" i="23"/>
  <c r="AQ201" i="23" s="1"/>
  <c r="AR201" i="23" s="1"/>
  <c r="Y213" i="23"/>
  <c r="Y228" i="23"/>
  <c r="AQ207" i="23" s="1"/>
  <c r="AR207" i="23" s="1"/>
  <c r="Y223" i="23"/>
  <c r="AQ202" i="23" s="1"/>
  <c r="AR202" i="23" s="1"/>
  <c r="Y217" i="23"/>
  <c r="AQ196" i="23" s="1"/>
  <c r="AR196" i="23" s="1"/>
  <c r="Y224" i="23"/>
  <c r="AQ203" i="23" s="1"/>
  <c r="AR203" i="23" s="1"/>
  <c r="Y214" i="23"/>
  <c r="AQ193" i="23" s="1"/>
  <c r="AR193" i="23" s="1"/>
  <c r="AS193" i="23" s="1"/>
  <c r="Y219" i="23"/>
  <c r="AQ198" i="23" s="1"/>
  <c r="AR198" i="23" s="1"/>
  <c r="Y229" i="23"/>
  <c r="AQ208" i="23" s="1"/>
  <c r="AR208" i="23" s="1"/>
  <c r="Y218" i="23"/>
  <c r="AQ197" i="23" s="1"/>
  <c r="AR197" i="23" s="1"/>
  <c r="Y220" i="23"/>
  <c r="AQ199" i="23" s="1"/>
  <c r="AR199" i="23" s="1"/>
  <c r="Y225" i="23"/>
  <c r="AQ204" i="23" s="1"/>
  <c r="AR204" i="23" s="1"/>
  <c r="Y230" i="23"/>
  <c r="AQ209" i="23" s="1"/>
  <c r="AR209" i="23" s="1"/>
  <c r="Y231" i="23"/>
  <c r="AQ210" i="23" s="1"/>
  <c r="AR210" i="23" s="1"/>
  <c r="Y215" i="23"/>
  <c r="AQ194" i="23" s="1"/>
  <c r="AR194" i="23" s="1"/>
  <c r="AS194" i="23" s="1"/>
  <c r="Y216" i="23"/>
  <c r="AQ195" i="23" s="1"/>
  <c r="AR195" i="23" s="1"/>
  <c r="Y221" i="23"/>
  <c r="AQ200" i="23" s="1"/>
  <c r="AR200" i="23" s="1"/>
  <c r="Y226" i="23"/>
  <c r="AQ205" i="23" s="1"/>
  <c r="AR205" i="23" s="1"/>
  <c r="Y276" i="23"/>
  <c r="X277" i="23"/>
  <c r="AA278" i="23"/>
  <c r="AB277" i="23"/>
  <c r="U276" i="23"/>
  <c r="V275" i="23"/>
  <c r="S276" i="23"/>
  <c r="R277" i="23"/>
  <c r="M275" i="23"/>
  <c r="L276" i="23"/>
  <c r="P276" i="23"/>
  <c r="O277" i="23"/>
  <c r="A261" i="23"/>
  <c r="B260" i="23"/>
  <c r="C260" i="23" s="1"/>
  <c r="Z221" i="23" l="1"/>
  <c r="AW200" i="23" s="1"/>
  <c r="AX200" i="23" s="1"/>
  <c r="Z218" i="23"/>
  <c r="AW197" i="23" s="1"/>
  <c r="AX197" i="23" s="1"/>
  <c r="Z224" i="23"/>
  <c r="AW203" i="23" s="1"/>
  <c r="AX203" i="23" s="1"/>
  <c r="Z217" i="23"/>
  <c r="AW196" i="23" s="1"/>
  <c r="AX196" i="23" s="1"/>
  <c r="Z214" i="23"/>
  <c r="AW193" i="23" s="1"/>
  <c r="AX193" i="23" s="1"/>
  <c r="AY193" i="23" s="1"/>
  <c r="Z223" i="23"/>
  <c r="AW202" i="23" s="1"/>
  <c r="AX202" i="23" s="1"/>
  <c r="Z222" i="23"/>
  <c r="AW201" i="23" s="1"/>
  <c r="AX201" i="23" s="1"/>
  <c r="Z227" i="23"/>
  <c r="AW206" i="23" s="1"/>
  <c r="AX206" i="23" s="1"/>
  <c r="Z228" i="23"/>
  <c r="AW207" i="23" s="1"/>
  <c r="AX207" i="23" s="1"/>
  <c r="Z229" i="23"/>
  <c r="AW208" i="23" s="1"/>
  <c r="AX208" i="23" s="1"/>
  <c r="Z220" i="23"/>
  <c r="AW199" i="23" s="1"/>
  <c r="AX199" i="23" s="1"/>
  <c r="Z230" i="23"/>
  <c r="AW209" i="23" s="1"/>
  <c r="AX209" i="23" s="1"/>
  <c r="Z213" i="23"/>
  <c r="Z219" i="23"/>
  <c r="AW198" i="23" s="1"/>
  <c r="AX198" i="23" s="1"/>
  <c r="Z225" i="23"/>
  <c r="AW204" i="23" s="1"/>
  <c r="AX204" i="23" s="1"/>
  <c r="Z226" i="23"/>
  <c r="AW205" i="23" s="1"/>
  <c r="AX205" i="23" s="1"/>
  <c r="Z231" i="23"/>
  <c r="AW210" i="23" s="1"/>
  <c r="AX210" i="23" s="1"/>
  <c r="Z215" i="23"/>
  <c r="AW194" i="23" s="1"/>
  <c r="AX194" i="23" s="1"/>
  <c r="AA372" i="23"/>
  <c r="AB371" i="23"/>
  <c r="U216" i="23"/>
  <c r="V216" i="23" s="1"/>
  <c r="AA217" i="23" s="1"/>
  <c r="BC196" i="23" s="1"/>
  <c r="BD196" i="23" s="1"/>
  <c r="T217" i="23"/>
  <c r="AB278" i="23"/>
  <c r="AA279" i="23"/>
  <c r="Y277" i="23"/>
  <c r="X278" i="23"/>
  <c r="U277" i="23"/>
  <c r="V276" i="23"/>
  <c r="R278" i="23"/>
  <c r="S277" i="23"/>
  <c r="P277" i="23"/>
  <c r="O278" i="23"/>
  <c r="M276" i="23"/>
  <c r="L277" i="23"/>
  <c r="B261" i="23"/>
  <c r="C261" i="23" s="1"/>
  <c r="A262" i="23"/>
  <c r="AS195" i="23"/>
  <c r="AY194" i="23" l="1"/>
  <c r="AY195" i="23" s="1"/>
  <c r="AA222" i="23"/>
  <c r="BC201" i="23" s="1"/>
  <c r="BD201" i="23" s="1"/>
  <c r="AA230" i="23"/>
  <c r="BC209" i="23" s="1"/>
  <c r="BD209" i="23" s="1"/>
  <c r="AA226" i="23"/>
  <c r="BC205" i="23" s="1"/>
  <c r="BD205" i="23" s="1"/>
  <c r="AA227" i="23"/>
  <c r="BC206" i="23" s="1"/>
  <c r="BD206" i="23" s="1"/>
  <c r="AA219" i="23"/>
  <c r="BC198" i="23" s="1"/>
  <c r="BD198" i="23" s="1"/>
  <c r="AA223" i="23"/>
  <c r="BC202" i="23" s="1"/>
  <c r="BD202" i="23" s="1"/>
  <c r="AA214" i="23"/>
  <c r="BC193" i="23" s="1"/>
  <c r="BD193" i="23" s="1"/>
  <c r="BE193" i="23" s="1"/>
  <c r="AA218" i="23"/>
  <c r="BC197" i="23" s="1"/>
  <c r="BD197" i="23" s="1"/>
  <c r="AA228" i="23"/>
  <c r="BC207" i="23" s="1"/>
  <c r="BD207" i="23" s="1"/>
  <c r="AA224" i="23"/>
  <c r="BC203" i="23" s="1"/>
  <c r="BD203" i="23" s="1"/>
  <c r="AA220" i="23"/>
  <c r="BC199" i="23" s="1"/>
  <c r="BD199" i="23" s="1"/>
  <c r="AA225" i="23"/>
  <c r="BC204" i="23" s="1"/>
  <c r="BD204" i="23" s="1"/>
  <c r="AA229" i="23"/>
  <c r="BC208" i="23" s="1"/>
  <c r="BD208" i="23" s="1"/>
  <c r="AA231" i="23"/>
  <c r="BC210" i="23" s="1"/>
  <c r="BD210" i="23" s="1"/>
  <c r="AA215" i="23"/>
  <c r="BC194" i="23" s="1"/>
  <c r="BD194" i="23" s="1"/>
  <c r="BE194" i="23" s="1"/>
  <c r="AA216" i="23"/>
  <c r="BC195" i="23" s="1"/>
  <c r="BD195" i="23" s="1"/>
  <c r="AA221" i="23"/>
  <c r="BC200" i="23" s="1"/>
  <c r="BD200" i="23" s="1"/>
  <c r="AA213" i="23"/>
  <c r="AA373" i="23"/>
  <c r="AB373" i="23" s="1"/>
  <c r="AB372" i="23"/>
  <c r="T218" i="23"/>
  <c r="U217" i="23"/>
  <c r="V217" i="23" s="1"/>
  <c r="AB213" i="23" s="1"/>
  <c r="Y278" i="23"/>
  <c r="X279" i="23"/>
  <c r="AA280" i="23"/>
  <c r="AB279" i="23"/>
  <c r="U278" i="23"/>
  <c r="V277" i="23"/>
  <c r="S278" i="23"/>
  <c r="R279" i="23"/>
  <c r="L278" i="23"/>
  <c r="M277" i="23"/>
  <c r="P278" i="23"/>
  <c r="O279" i="23"/>
  <c r="A263" i="23"/>
  <c r="B262" i="23"/>
  <c r="C262" i="23" s="1"/>
  <c r="AS196" i="23"/>
  <c r="AS197" i="23" s="1"/>
  <c r="AY196" i="23"/>
  <c r="BE195" i="23" l="1"/>
  <c r="BE196" i="23" s="1"/>
  <c r="AB227" i="23"/>
  <c r="BI206" i="23" s="1"/>
  <c r="BJ206" i="23" s="1"/>
  <c r="AB216" i="23"/>
  <c r="BI195" i="23" s="1"/>
  <c r="BJ195" i="23" s="1"/>
  <c r="AB229" i="23"/>
  <c r="BI208" i="23" s="1"/>
  <c r="BJ208" i="23" s="1"/>
  <c r="AB215" i="23"/>
  <c r="BI194" i="23" s="1"/>
  <c r="BJ194" i="23" s="1"/>
  <c r="AB226" i="23"/>
  <c r="BI205" i="23" s="1"/>
  <c r="BJ205" i="23" s="1"/>
  <c r="AB228" i="23"/>
  <c r="BI207" i="23" s="1"/>
  <c r="BJ207" i="23" s="1"/>
  <c r="AB222" i="23"/>
  <c r="BI201" i="23" s="1"/>
  <c r="BJ201" i="23" s="1"/>
  <c r="AB223" i="23"/>
  <c r="BI202" i="23" s="1"/>
  <c r="BJ202" i="23" s="1"/>
  <c r="AB231" i="23"/>
  <c r="BI210" i="23" s="1"/>
  <c r="BJ210" i="23" s="1"/>
  <c r="AB214" i="23"/>
  <c r="BI193" i="23" s="1"/>
  <c r="BJ193" i="23" s="1"/>
  <c r="BK193" i="23" s="1"/>
  <c r="AB225" i="23"/>
  <c r="BI204" i="23" s="1"/>
  <c r="BJ204" i="23" s="1"/>
  <c r="AB219" i="23"/>
  <c r="BI198" i="23" s="1"/>
  <c r="BJ198" i="23" s="1"/>
  <c r="AB224" i="23"/>
  <c r="BI203" i="23" s="1"/>
  <c r="BJ203" i="23" s="1"/>
  <c r="AB217" i="23"/>
  <c r="BI196" i="23" s="1"/>
  <c r="BJ196" i="23" s="1"/>
  <c r="AB220" i="23"/>
  <c r="BI199" i="23" s="1"/>
  <c r="BJ199" i="23" s="1"/>
  <c r="AB221" i="23"/>
  <c r="BI200" i="23" s="1"/>
  <c r="BJ200" i="23" s="1"/>
  <c r="AB218" i="23"/>
  <c r="BI197" i="23" s="1"/>
  <c r="BJ197" i="23" s="1"/>
  <c r="AB230" i="23"/>
  <c r="BI209" i="23" s="1"/>
  <c r="BJ209" i="23" s="1"/>
  <c r="AE360" i="23"/>
  <c r="N313" i="23" s="1"/>
  <c r="AD361" i="23"/>
  <c r="T219" i="23"/>
  <c r="U218" i="23"/>
  <c r="V218" i="23" s="1"/>
  <c r="AC227" i="23" s="1"/>
  <c r="BO206" i="23" s="1"/>
  <c r="AS198" i="23"/>
  <c r="AS199" i="23" s="1"/>
  <c r="AA281" i="23"/>
  <c r="AB281" i="23" s="1"/>
  <c r="AB280" i="23"/>
  <c r="Y279" i="23"/>
  <c r="X280" i="23"/>
  <c r="U279" i="23"/>
  <c r="V278" i="23"/>
  <c r="S279" i="23"/>
  <c r="R280" i="23"/>
  <c r="O280" i="23"/>
  <c r="P279" i="23"/>
  <c r="M278" i="23"/>
  <c r="L279" i="23"/>
  <c r="BE197" i="23"/>
  <c r="B263" i="23"/>
  <c r="C263" i="23" s="1"/>
  <c r="A264" i="23"/>
  <c r="AY197" i="23"/>
  <c r="AY198" i="23" s="1"/>
  <c r="BK194" i="23"/>
  <c r="BK195" i="23" l="1"/>
  <c r="BK196" i="23" s="1"/>
  <c r="BK197" i="23" s="1"/>
  <c r="AC224" i="23"/>
  <c r="BO203" i="23" s="1"/>
  <c r="BP203" i="23" s="1"/>
  <c r="AC217" i="23"/>
  <c r="BO196" i="23" s="1"/>
  <c r="BP196" i="23" s="1"/>
  <c r="AC218" i="23"/>
  <c r="BO197" i="23" s="1"/>
  <c r="BP197" i="23" s="1"/>
  <c r="AC213" i="23"/>
  <c r="AC231" i="23"/>
  <c r="BO210" i="23" s="1"/>
  <c r="BP210" i="23" s="1"/>
  <c r="AC228" i="23"/>
  <c r="BO207" i="23" s="1"/>
  <c r="BP207" i="23" s="1"/>
  <c r="AC229" i="23"/>
  <c r="BO208" i="23" s="1"/>
  <c r="BP208" i="23" s="1"/>
  <c r="AC220" i="23"/>
  <c r="BO199" i="23" s="1"/>
  <c r="BP199" i="23" s="1"/>
  <c r="AC221" i="23"/>
  <c r="BO200" i="23" s="1"/>
  <c r="BP200" i="23" s="1"/>
  <c r="AC223" i="23"/>
  <c r="BO202" i="23" s="1"/>
  <c r="BP202" i="23" s="1"/>
  <c r="BQ202" i="23" s="1"/>
  <c r="AC226" i="23"/>
  <c r="BO205" i="23" s="1"/>
  <c r="BP205" i="23" s="1"/>
  <c r="AC214" i="23"/>
  <c r="BO193" i="23" s="1"/>
  <c r="BP193" i="23" s="1"/>
  <c r="BQ193" i="23" s="1"/>
  <c r="AC219" i="23"/>
  <c r="BO198" i="23" s="1"/>
  <c r="AC222" i="23"/>
  <c r="BO201" i="23" s="1"/>
  <c r="BP201" i="23" s="1"/>
  <c r="AC215" i="23"/>
  <c r="BO194" i="23" s="1"/>
  <c r="BP194" i="23" s="1"/>
  <c r="BQ194" i="23" s="1"/>
  <c r="AE361" i="23"/>
  <c r="T313" i="23" s="1"/>
  <c r="AD362" i="23"/>
  <c r="I323" i="23"/>
  <c r="I340" i="23"/>
  <c r="I332" i="23"/>
  <c r="I327" i="23"/>
  <c r="I322" i="23"/>
  <c r="I339" i="23"/>
  <c r="I317" i="23"/>
  <c r="I346" i="23"/>
  <c r="I316" i="23"/>
  <c r="I320" i="23"/>
  <c r="I337" i="23"/>
  <c r="I315" i="23"/>
  <c r="I321" i="23"/>
  <c r="I341" i="23"/>
  <c r="I336" i="23"/>
  <c r="I314" i="23"/>
  <c r="I331" i="23"/>
  <c r="I349" i="23"/>
  <c r="I330" i="23"/>
  <c r="I334" i="23"/>
  <c r="I351" i="23"/>
  <c r="I329" i="23"/>
  <c r="I335" i="23"/>
  <c r="I344" i="23"/>
  <c r="I350" i="23"/>
  <c r="I328" i="23"/>
  <c r="I345" i="23"/>
  <c r="I338" i="23"/>
  <c r="I319" i="23"/>
  <c r="I348" i="23"/>
  <c r="I326" i="23"/>
  <c r="I318" i="23"/>
  <c r="I324" i="23"/>
  <c r="I333" i="23"/>
  <c r="I325" i="23"/>
  <c r="I342" i="23"/>
  <c r="I343" i="23"/>
  <c r="I352" i="23"/>
  <c r="I347" i="23"/>
  <c r="AC216" i="23"/>
  <c r="BO195" i="23" s="1"/>
  <c r="BP195" i="23" s="1"/>
  <c r="BQ195" i="23" s="1"/>
  <c r="AC225" i="23"/>
  <c r="BO204" i="23" s="1"/>
  <c r="BP204" i="23" s="1"/>
  <c r="AC230" i="23"/>
  <c r="BO209" i="23" s="1"/>
  <c r="BP209" i="23" s="1"/>
  <c r="T220" i="23"/>
  <c r="U219" i="23"/>
  <c r="V219" i="23" s="1"/>
  <c r="AD216" i="23" s="1"/>
  <c r="BU195" i="23" s="1"/>
  <c r="BV195" i="23" s="1"/>
  <c r="BE198" i="23"/>
  <c r="AS200" i="23"/>
  <c r="AS201" i="23" s="1"/>
  <c r="AS202" i="23" s="1"/>
  <c r="AS203" i="23" s="1"/>
  <c r="Y280" i="23"/>
  <c r="X281" i="23"/>
  <c r="Y281" i="23" s="1"/>
  <c r="U280" i="23"/>
  <c r="V279" i="23"/>
  <c r="R281" i="23"/>
  <c r="S281" i="23" s="1"/>
  <c r="S280" i="23"/>
  <c r="AY199" i="23"/>
  <c r="M279" i="23"/>
  <c r="L280" i="23"/>
  <c r="O281" i="23"/>
  <c r="P281" i="23" s="1"/>
  <c r="P280" i="23"/>
  <c r="A265" i="23"/>
  <c r="B264" i="23"/>
  <c r="C264" i="23" s="1"/>
  <c r="BP198" i="23"/>
  <c r="BP206" i="23"/>
  <c r="AD229" i="23" l="1"/>
  <c r="BU208" i="23" s="1"/>
  <c r="BV208" i="23" s="1"/>
  <c r="AD218" i="23"/>
  <c r="BU197" i="23" s="1"/>
  <c r="BV197" i="23" s="1"/>
  <c r="AD217" i="23"/>
  <c r="BU196" i="23" s="1"/>
  <c r="BV196" i="23" s="1"/>
  <c r="AD214" i="23"/>
  <c r="BU193" i="23" s="1"/>
  <c r="BV193" i="23" s="1"/>
  <c r="BW193" i="23" s="1"/>
  <c r="AD223" i="23"/>
  <c r="BU202" i="23" s="1"/>
  <c r="AD222" i="23"/>
  <c r="BU201" i="23" s="1"/>
  <c r="BV201" i="23" s="1"/>
  <c r="AD228" i="23"/>
  <c r="BU207" i="23" s="1"/>
  <c r="BV207" i="23" s="1"/>
  <c r="AD227" i="23"/>
  <c r="BU206" i="23" s="1"/>
  <c r="BV206" i="23" s="1"/>
  <c r="O316" i="23"/>
  <c r="O334" i="23"/>
  <c r="O348" i="23"/>
  <c r="O341" i="23"/>
  <c r="O347" i="23"/>
  <c r="O324" i="23"/>
  <c r="O342" i="23"/>
  <c r="O352" i="23"/>
  <c r="P352" i="23" s="1"/>
  <c r="Q352" i="23" s="1"/>
  <c r="O349" i="23"/>
  <c r="O344" i="23"/>
  <c r="O314" i="23"/>
  <c r="O333" i="23"/>
  <c r="O321" i="23"/>
  <c r="O350" i="23"/>
  <c r="O320" i="23"/>
  <c r="O322" i="23"/>
  <c r="O336" i="23"/>
  <c r="O329" i="23"/>
  <c r="O335" i="23"/>
  <c r="O330" i="23"/>
  <c r="O323" i="23"/>
  <c r="O318" i="23"/>
  <c r="O332" i="23"/>
  <c r="O325" i="23"/>
  <c r="O331" i="23"/>
  <c r="O326" i="23"/>
  <c r="O340" i="23"/>
  <c r="O327" i="23"/>
  <c r="O337" i="23"/>
  <c r="O343" i="23"/>
  <c r="O319" i="23"/>
  <c r="O338" i="23"/>
  <c r="O328" i="23"/>
  <c r="O345" i="23"/>
  <c r="O351" i="23"/>
  <c r="P351" i="23" s="1"/>
  <c r="O317" i="23"/>
  <c r="O346" i="23"/>
  <c r="O315" i="23"/>
  <c r="O339" i="23"/>
  <c r="J347" i="23"/>
  <c r="J325" i="23"/>
  <c r="J326" i="23"/>
  <c r="J345" i="23"/>
  <c r="J335" i="23"/>
  <c r="J330" i="23"/>
  <c r="J336" i="23"/>
  <c r="J337" i="23"/>
  <c r="J317" i="23"/>
  <c r="J332" i="23"/>
  <c r="K332" i="23"/>
  <c r="J352" i="23"/>
  <c r="K352" i="23"/>
  <c r="J333" i="23"/>
  <c r="K348" i="23"/>
  <c r="J348" i="23"/>
  <c r="J328" i="23"/>
  <c r="J329" i="23"/>
  <c r="K349" i="23"/>
  <c r="J349" i="23"/>
  <c r="J341" i="23"/>
  <c r="J320" i="23"/>
  <c r="J339" i="23"/>
  <c r="J340" i="23"/>
  <c r="J343" i="23"/>
  <c r="J324" i="23"/>
  <c r="J319" i="23"/>
  <c r="J350" i="23"/>
  <c r="K350" i="23"/>
  <c r="J351" i="23"/>
  <c r="K351" i="23"/>
  <c r="J331" i="23"/>
  <c r="J321" i="23"/>
  <c r="J316" i="23"/>
  <c r="J322" i="23"/>
  <c r="J323" i="23"/>
  <c r="J342" i="23"/>
  <c r="J318" i="23"/>
  <c r="J338" i="23"/>
  <c r="J344" i="23"/>
  <c r="J334" i="23"/>
  <c r="J314" i="23"/>
  <c r="K314" i="23" s="1"/>
  <c r="K315" i="23" s="1"/>
  <c r="K316" i="23" s="1"/>
  <c r="J315" i="23"/>
  <c r="J346" i="23"/>
  <c r="J327" i="23"/>
  <c r="AE362" i="23"/>
  <c r="Z313" i="23" s="1"/>
  <c r="AD363" i="23"/>
  <c r="AD224" i="23"/>
  <c r="BU203" i="23" s="1"/>
  <c r="BV203" i="23" s="1"/>
  <c r="AD225" i="23"/>
  <c r="BU204" i="23" s="1"/>
  <c r="BV204" i="23" s="1"/>
  <c r="AD230" i="23"/>
  <c r="BU209" i="23" s="1"/>
  <c r="BV209" i="23" s="1"/>
  <c r="AD213" i="23"/>
  <c r="AD219" i="23"/>
  <c r="BU198" i="23" s="1"/>
  <c r="BV198" i="23" s="1"/>
  <c r="AD220" i="23"/>
  <c r="BU199" i="23" s="1"/>
  <c r="BV199" i="23" s="1"/>
  <c r="AD221" i="23"/>
  <c r="BU200" i="23" s="1"/>
  <c r="BV200" i="23" s="1"/>
  <c r="BW200" i="23" s="1"/>
  <c r="AD226" i="23"/>
  <c r="BU205" i="23" s="1"/>
  <c r="BV205" i="23" s="1"/>
  <c r="AD231" i="23"/>
  <c r="BU210" i="23" s="1"/>
  <c r="BV210" i="23" s="1"/>
  <c r="AD215" i="23"/>
  <c r="BU194" i="23" s="1"/>
  <c r="BV194" i="23" s="1"/>
  <c r="BW194" i="23" s="1"/>
  <c r="T221" i="23"/>
  <c r="U220" i="23"/>
  <c r="V220" i="23" s="1"/>
  <c r="AE229" i="23" s="1"/>
  <c r="CA208" i="23" s="1"/>
  <c r="CB208" i="23" s="1"/>
  <c r="CC208" i="23" s="1"/>
  <c r="BK198" i="23"/>
  <c r="BK199" i="23" s="1"/>
  <c r="BE199" i="23"/>
  <c r="U281" i="23"/>
  <c r="V281" i="23" s="1"/>
  <c r="V280" i="23"/>
  <c r="AS204" i="23"/>
  <c r="AS205" i="23" s="1"/>
  <c r="AS206" i="23" s="1"/>
  <c r="AS207" i="23" s="1"/>
  <c r="AY200" i="23"/>
  <c r="M280" i="23"/>
  <c r="L281" i="23"/>
  <c r="M281" i="23" s="1"/>
  <c r="A266" i="23"/>
  <c r="B265" i="23"/>
  <c r="C265" i="23" s="1"/>
  <c r="BQ196" i="23"/>
  <c r="BV202" i="23"/>
  <c r="BW202" i="23" s="1"/>
  <c r="K317" i="23" l="1"/>
  <c r="AE230" i="23"/>
  <c r="CA209" i="23" s="1"/>
  <c r="CB209" i="23" s="1"/>
  <c r="AE231" i="23"/>
  <c r="CA210" i="23" s="1"/>
  <c r="CB210" i="23" s="1"/>
  <c r="AE216" i="23"/>
  <c r="CA195" i="23" s="1"/>
  <c r="CB195" i="23" s="1"/>
  <c r="AE221" i="23"/>
  <c r="CA200" i="23" s="1"/>
  <c r="CB200" i="23" s="1"/>
  <c r="CC200" i="23" s="1"/>
  <c r="AE215" i="23"/>
  <c r="CA194" i="23" s="1"/>
  <c r="CB194" i="23" s="1"/>
  <c r="CC194" i="23" s="1"/>
  <c r="AE222" i="23"/>
  <c r="CA201" i="23" s="1"/>
  <c r="CB201" i="23" s="1"/>
  <c r="AE224" i="23"/>
  <c r="CA203" i="23" s="1"/>
  <c r="CB203" i="23" s="1"/>
  <c r="AE214" i="23"/>
  <c r="CA193" i="23" s="1"/>
  <c r="CB193" i="23" s="1"/>
  <c r="CC193" i="23" s="1"/>
  <c r="AE218" i="23"/>
  <c r="CA197" i="23" s="1"/>
  <c r="CB197" i="23" s="1"/>
  <c r="AE219" i="23"/>
  <c r="CA198" i="23" s="1"/>
  <c r="AE220" i="23"/>
  <c r="CA199" i="23" s="1"/>
  <c r="CB199" i="23" s="1"/>
  <c r="AE225" i="23"/>
  <c r="CA204" i="23" s="1"/>
  <c r="CB204" i="23" s="1"/>
  <c r="AE226" i="23"/>
  <c r="CA205" i="23" s="1"/>
  <c r="CB205" i="23" s="1"/>
  <c r="AE227" i="23"/>
  <c r="CA206" i="23" s="1"/>
  <c r="CB206" i="23" s="1"/>
  <c r="AE228" i="23"/>
  <c r="CA207" i="23" s="1"/>
  <c r="CB207" i="23" s="1"/>
  <c r="AE213" i="23"/>
  <c r="AE217" i="23"/>
  <c r="CA196" i="23" s="1"/>
  <c r="CB196" i="23" s="1"/>
  <c r="AE223" i="23"/>
  <c r="CA202" i="23" s="1"/>
  <c r="CB202" i="23" s="1"/>
  <c r="CC202" i="23" s="1"/>
  <c r="BW195" i="23"/>
  <c r="U321" i="23"/>
  <c r="U329" i="23"/>
  <c r="U337" i="23"/>
  <c r="U345" i="23"/>
  <c r="U316" i="23"/>
  <c r="U324" i="23"/>
  <c r="U332" i="23"/>
  <c r="U340" i="23"/>
  <c r="U348" i="23"/>
  <c r="U326" i="23"/>
  <c r="U350" i="23"/>
  <c r="U338" i="23"/>
  <c r="U352" i="23"/>
  <c r="V352" i="23" s="1"/>
  <c r="U315" i="23"/>
  <c r="U323" i="23"/>
  <c r="U331" i="23"/>
  <c r="U339" i="23"/>
  <c r="U347" i="23"/>
  <c r="U318" i="23"/>
  <c r="U334" i="23"/>
  <c r="U342" i="23"/>
  <c r="U346" i="23"/>
  <c r="U314" i="23"/>
  <c r="U317" i="23"/>
  <c r="U325" i="23"/>
  <c r="U333" i="23"/>
  <c r="U341" i="23"/>
  <c r="U349" i="23"/>
  <c r="U320" i="23"/>
  <c r="U328" i="23"/>
  <c r="U336" i="23"/>
  <c r="U344" i="23"/>
  <c r="U351" i="23"/>
  <c r="V351" i="23" s="1"/>
  <c r="W351" i="23" s="1"/>
  <c r="U330" i="23"/>
  <c r="U319" i="23"/>
  <c r="U327" i="23"/>
  <c r="U335" i="23"/>
  <c r="U343" i="23"/>
  <c r="U322" i="23"/>
  <c r="AD364" i="23"/>
  <c r="AE363" i="23"/>
  <c r="AF313" i="23" s="1"/>
  <c r="P339" i="23"/>
  <c r="P319" i="23"/>
  <c r="P340" i="23"/>
  <c r="P332" i="23"/>
  <c r="P335" i="23"/>
  <c r="P320" i="23"/>
  <c r="P314" i="23"/>
  <c r="Q314" i="23" s="1"/>
  <c r="P342" i="23"/>
  <c r="P348" i="23"/>
  <c r="Q348" i="23" s="1"/>
  <c r="P315" i="23"/>
  <c r="P345" i="23"/>
  <c r="P343" i="23"/>
  <c r="P326" i="23"/>
  <c r="P318" i="23"/>
  <c r="P329" i="23"/>
  <c r="P350" i="23"/>
  <c r="P344" i="23"/>
  <c r="P324" i="23"/>
  <c r="P334" i="23"/>
  <c r="P346" i="23"/>
  <c r="P328" i="23"/>
  <c r="P337" i="23"/>
  <c r="P331" i="23"/>
  <c r="Q331" i="23" s="1"/>
  <c r="P323" i="23"/>
  <c r="P336" i="23"/>
  <c r="P321" i="23"/>
  <c r="P349" i="23"/>
  <c r="Q349" i="23" s="1"/>
  <c r="P347" i="23"/>
  <c r="P316" i="23"/>
  <c r="P317" i="23"/>
  <c r="P338" i="23"/>
  <c r="P327" i="23"/>
  <c r="P325" i="23"/>
  <c r="P330" i="23"/>
  <c r="P322" i="23"/>
  <c r="P333" i="23"/>
  <c r="P341" i="23"/>
  <c r="CB198" i="23"/>
  <c r="T222" i="23"/>
  <c r="U221" i="23"/>
  <c r="V221" i="23" s="1"/>
  <c r="AF213" i="23" s="1"/>
  <c r="BE200" i="23"/>
  <c r="BE201" i="23" s="1"/>
  <c r="AY201" i="23"/>
  <c r="B266" i="23"/>
  <c r="C266" i="23" s="1"/>
  <c r="A267" i="23"/>
  <c r="AS208" i="23"/>
  <c r="AS209" i="23" s="1"/>
  <c r="AS210" i="23" s="1"/>
  <c r="BW196" i="23"/>
  <c r="BW197" i="23" s="1"/>
  <c r="BQ197" i="23"/>
  <c r="BK200" i="23"/>
  <c r="K318" i="23" l="1"/>
  <c r="K319" i="23" s="1"/>
  <c r="Q315" i="23"/>
  <c r="Q316" i="23" s="1"/>
  <c r="Q317" i="23" s="1"/>
  <c r="Q318" i="23" s="1"/>
  <c r="Q319" i="23" s="1"/>
  <c r="Q320" i="23" s="1"/>
  <c r="CC196" i="23"/>
  <c r="AF231" i="23"/>
  <c r="CG210" i="23" s="1"/>
  <c r="CH210" i="23" s="1"/>
  <c r="AA319" i="23"/>
  <c r="AA323" i="23"/>
  <c r="AA333" i="23"/>
  <c r="AA345" i="23"/>
  <c r="AA318" i="23"/>
  <c r="AA328" i="23"/>
  <c r="AA340" i="23"/>
  <c r="AA350" i="23"/>
  <c r="AA315" i="23"/>
  <c r="AA325" i="23"/>
  <c r="AA337" i="23"/>
  <c r="AA347" i="23"/>
  <c r="AA320" i="23"/>
  <c r="AA332" i="23"/>
  <c r="AA342" i="23"/>
  <c r="AA317" i="23"/>
  <c r="AA329" i="23"/>
  <c r="AA339" i="23"/>
  <c r="AA349" i="23"/>
  <c r="AA324" i="23"/>
  <c r="AA334" i="23"/>
  <c r="AA344" i="23"/>
  <c r="AA321" i="23"/>
  <c r="AA331" i="23"/>
  <c r="AA341" i="23"/>
  <c r="AA316" i="23"/>
  <c r="AA326" i="23"/>
  <c r="AA336" i="23"/>
  <c r="AA348" i="23"/>
  <c r="AA330" i="23"/>
  <c r="AA335" i="23"/>
  <c r="AA352" i="23"/>
  <c r="AB352" i="23" s="1"/>
  <c r="AC352" i="23" s="1"/>
  <c r="AA346" i="23"/>
  <c r="AA322" i="23"/>
  <c r="AA327" i="23"/>
  <c r="AA351" i="23"/>
  <c r="AB351" i="23" s="1"/>
  <c r="AC351" i="23" s="1"/>
  <c r="AA338" i="23"/>
  <c r="AA343" i="23"/>
  <c r="AA314" i="23"/>
  <c r="AD365" i="23"/>
  <c r="AE364" i="23"/>
  <c r="AL313" i="23" s="1"/>
  <c r="V327" i="23"/>
  <c r="V344" i="23"/>
  <c r="V349" i="23"/>
  <c r="W349" i="23" s="1"/>
  <c r="V317" i="23"/>
  <c r="V334" i="23"/>
  <c r="W334" i="23" s="1"/>
  <c r="V331" i="23"/>
  <c r="W331" i="23" s="1"/>
  <c r="V338" i="23"/>
  <c r="V340" i="23"/>
  <c r="V345" i="23"/>
  <c r="V322" i="23"/>
  <c r="V319" i="23"/>
  <c r="V336" i="23"/>
  <c r="W336" i="23" s="1"/>
  <c r="V341" i="23"/>
  <c r="V314" i="23"/>
  <c r="W314" i="23" s="1"/>
  <c r="V318" i="23"/>
  <c r="V323" i="23"/>
  <c r="V350" i="23"/>
  <c r="V332" i="23"/>
  <c r="W332" i="23" s="1"/>
  <c r="V337" i="23"/>
  <c r="W337" i="23" s="1"/>
  <c r="V343" i="23"/>
  <c r="V330" i="23"/>
  <c r="V328" i="23"/>
  <c r="V333" i="23"/>
  <c r="W333" i="23" s="1"/>
  <c r="V346" i="23"/>
  <c r="V347" i="23"/>
  <c r="V315" i="23"/>
  <c r="W315" i="23" s="1"/>
  <c r="V326" i="23"/>
  <c r="V324" i="23"/>
  <c r="V329" i="23"/>
  <c r="V335" i="23"/>
  <c r="W335" i="23" s="1"/>
  <c r="V320" i="23"/>
  <c r="V325" i="23"/>
  <c r="V342" i="23"/>
  <c r="V339" i="23"/>
  <c r="V348" i="23"/>
  <c r="W348" i="23" s="1"/>
  <c r="V316" i="23"/>
  <c r="V321" i="23"/>
  <c r="AF230" i="23"/>
  <c r="CG209" i="23" s="1"/>
  <c r="CH209" i="23" s="1"/>
  <c r="AF214" i="23"/>
  <c r="CG193" i="23" s="1"/>
  <c r="CH193" i="23" s="1"/>
  <c r="CI193" i="23" s="1"/>
  <c r="AF223" i="23"/>
  <c r="CG202" i="23" s="1"/>
  <c r="CH202" i="23" s="1"/>
  <c r="CI202" i="23" s="1"/>
  <c r="AF229" i="23"/>
  <c r="CG208" i="23" s="1"/>
  <c r="CH208" i="23" s="1"/>
  <c r="CI208" i="23" s="1"/>
  <c r="AF227" i="23"/>
  <c r="CG206" i="23" s="1"/>
  <c r="CH206" i="23" s="1"/>
  <c r="AF224" i="23"/>
  <c r="CG203" i="23" s="1"/>
  <c r="CH203" i="23" s="1"/>
  <c r="AF219" i="23"/>
  <c r="CG198" i="23" s="1"/>
  <c r="CH198" i="23" s="1"/>
  <c r="CI198" i="23" s="1"/>
  <c r="AF226" i="23"/>
  <c r="CG205" i="23" s="1"/>
  <c r="CH205" i="23" s="1"/>
  <c r="AF228" i="23"/>
  <c r="CG207" i="23" s="1"/>
  <c r="CH207" i="23" s="1"/>
  <c r="CI207" i="23" s="1"/>
  <c r="AF225" i="23"/>
  <c r="CG204" i="23" s="1"/>
  <c r="CH204" i="23" s="1"/>
  <c r="AF216" i="23"/>
  <c r="CG195" i="23" s="1"/>
  <c r="CH195" i="23" s="1"/>
  <c r="CI195" i="23" s="1"/>
  <c r="AF218" i="23"/>
  <c r="CG197" i="23" s="1"/>
  <c r="CH197" i="23" s="1"/>
  <c r="AF215" i="23"/>
  <c r="CG194" i="23" s="1"/>
  <c r="CH194" i="23" s="1"/>
  <c r="CI194" i="23" s="1"/>
  <c r="CI209" i="23" s="1"/>
  <c r="AF220" i="23"/>
  <c r="CG199" i="23" s="1"/>
  <c r="CH199" i="23" s="1"/>
  <c r="AF221" i="23"/>
  <c r="CG200" i="23" s="1"/>
  <c r="CH200" i="23" s="1"/>
  <c r="AF222" i="23"/>
  <c r="CG201" i="23" s="1"/>
  <c r="CH201" i="23" s="1"/>
  <c r="AF217" i="23"/>
  <c r="CG196" i="23" s="1"/>
  <c r="CH196" i="23" s="1"/>
  <c r="T223" i="23"/>
  <c r="U222" i="23"/>
  <c r="V222" i="23" s="1"/>
  <c r="AG223" i="23" s="1"/>
  <c r="CM202" i="23" s="1"/>
  <c r="CN202" i="23" s="1"/>
  <c r="CO202" i="23" s="1"/>
  <c r="CC195" i="23"/>
  <c r="BE202" i="23"/>
  <c r="BE203" i="23" s="1"/>
  <c r="BE204" i="23" s="1"/>
  <c r="BE205" i="23" s="1"/>
  <c r="BE206" i="23" s="1"/>
  <c r="BQ198" i="23"/>
  <c r="BQ199" i="23" s="1"/>
  <c r="BW198" i="23"/>
  <c r="AT194" i="23"/>
  <c r="AU193" i="23"/>
  <c r="AY202" i="23"/>
  <c r="AY203" i="23" s="1"/>
  <c r="B267" i="23"/>
  <c r="C267" i="23" s="1"/>
  <c r="A268" i="23"/>
  <c r="BW201" i="23"/>
  <c r="CC197" i="23"/>
  <c r="CC209" i="23"/>
  <c r="BK201" i="23"/>
  <c r="K320" i="23" l="1"/>
  <c r="W316" i="23"/>
  <c r="W317" i="23" s="1"/>
  <c r="W318" i="23" s="1"/>
  <c r="AG228" i="23"/>
  <c r="CM207" i="23" s="1"/>
  <c r="CN207" i="23" s="1"/>
  <c r="CO207" i="23" s="1"/>
  <c r="AG217" i="23"/>
  <c r="CM196" i="23" s="1"/>
  <c r="CN196" i="23" s="1"/>
  <c r="CO196" i="23" s="1"/>
  <c r="AG219" i="23"/>
  <c r="CM198" i="23" s="1"/>
  <c r="CN198" i="23" s="1"/>
  <c r="CO198" i="23" s="1"/>
  <c r="AB343" i="23"/>
  <c r="AB322" i="23"/>
  <c r="AB330" i="23"/>
  <c r="AB316" i="23"/>
  <c r="AB344" i="23"/>
  <c r="AB339" i="23"/>
  <c r="AB332" i="23"/>
  <c r="AC332" i="23" s="1"/>
  <c r="AB325" i="23"/>
  <c r="AB328" i="23"/>
  <c r="AB323" i="23"/>
  <c r="AG349" i="23"/>
  <c r="AG317" i="23"/>
  <c r="AG337" i="23"/>
  <c r="AG345" i="23"/>
  <c r="AG335" i="23"/>
  <c r="AG316" i="23"/>
  <c r="AG348" i="23"/>
  <c r="AG342" i="23"/>
  <c r="AG336" i="23"/>
  <c r="AG338" i="23"/>
  <c r="AG346" i="23"/>
  <c r="AG333" i="23"/>
  <c r="AG319" i="23"/>
  <c r="AG326" i="23"/>
  <c r="AG341" i="23"/>
  <c r="AG347" i="23"/>
  <c r="AG331" i="23"/>
  <c r="AG339" i="23"/>
  <c r="AG315" i="23"/>
  <c r="AG324" i="23"/>
  <c r="AG318" i="23"/>
  <c r="AG350" i="23"/>
  <c r="AG344" i="23"/>
  <c r="AG314" i="23"/>
  <c r="AG332" i="23"/>
  <c r="AG322" i="23"/>
  <c r="AG352" i="23"/>
  <c r="AH352" i="23" s="1"/>
  <c r="AI352" i="23" s="1"/>
  <c r="AG325" i="23"/>
  <c r="AG343" i="23"/>
  <c r="AG351" i="23"/>
  <c r="AH351" i="23" s="1"/>
  <c r="AI351" i="23" s="1"/>
  <c r="AG329" i="23"/>
  <c r="AG323" i="23"/>
  <c r="AG340" i="23"/>
  <c r="AG334" i="23"/>
  <c r="AG328" i="23"/>
  <c r="AG330" i="23"/>
  <c r="AG327" i="23"/>
  <c r="AG321" i="23"/>
  <c r="AG320" i="23"/>
  <c r="AB338" i="23"/>
  <c r="AB346" i="23"/>
  <c r="AB348" i="23"/>
  <c r="AC348" i="23" s="1"/>
  <c r="AB341" i="23"/>
  <c r="AB334" i="23"/>
  <c r="AC334" i="23" s="1"/>
  <c r="AB329" i="23"/>
  <c r="AB320" i="23"/>
  <c r="AB315" i="23"/>
  <c r="AB318" i="23"/>
  <c r="AB319" i="23"/>
  <c r="AD366" i="23"/>
  <c r="AE365" i="23"/>
  <c r="Q321" i="23"/>
  <c r="AB336" i="23"/>
  <c r="AC336" i="23" s="1"/>
  <c r="AB331" i="23"/>
  <c r="AC331" i="23" s="1"/>
  <c r="AB324" i="23"/>
  <c r="AB317" i="23"/>
  <c r="AB347" i="23"/>
  <c r="AB350" i="23"/>
  <c r="AC350" i="23" s="1"/>
  <c r="AB345" i="23"/>
  <c r="AB314" i="23"/>
  <c r="AC314" i="23" s="1"/>
  <c r="AB327" i="23"/>
  <c r="AB335" i="23"/>
  <c r="AC335" i="23" s="1"/>
  <c r="AB326" i="23"/>
  <c r="AB321" i="23"/>
  <c r="AB349" i="23"/>
  <c r="AC349" i="23" s="1"/>
  <c r="AB342" i="23"/>
  <c r="AB337" i="23"/>
  <c r="AC337" i="23" s="1"/>
  <c r="AB340" i="23"/>
  <c r="AB333" i="23"/>
  <c r="AC333" i="23" s="1"/>
  <c r="AG213" i="23"/>
  <c r="AG224" i="23"/>
  <c r="CM203" i="23" s="1"/>
  <c r="CN203" i="23" s="1"/>
  <c r="AG229" i="23"/>
  <c r="CM208" i="23" s="1"/>
  <c r="CN208" i="23" s="1"/>
  <c r="CO208" i="23" s="1"/>
  <c r="AG214" i="23"/>
  <c r="CM193" i="23" s="1"/>
  <c r="CN193" i="23" s="1"/>
  <c r="CO193" i="23" s="1"/>
  <c r="AG218" i="23"/>
  <c r="CM197" i="23" s="1"/>
  <c r="CN197" i="23" s="1"/>
  <c r="AG215" i="23"/>
  <c r="CM194" i="23" s="1"/>
  <c r="CN194" i="23" s="1"/>
  <c r="CO194" i="23" s="1"/>
  <c r="AG225" i="23"/>
  <c r="CM204" i="23" s="1"/>
  <c r="CN204" i="23" s="1"/>
  <c r="CO204" i="23" s="1"/>
  <c r="AG227" i="23"/>
  <c r="CM206" i="23" s="1"/>
  <c r="CN206" i="23" s="1"/>
  <c r="AG222" i="23"/>
  <c r="CM201" i="23" s="1"/>
  <c r="CN201" i="23" s="1"/>
  <c r="CO201" i="23" s="1"/>
  <c r="AG220" i="23"/>
  <c r="CM199" i="23" s="1"/>
  <c r="CN199" i="23" s="1"/>
  <c r="AG230" i="23"/>
  <c r="CM209" i="23" s="1"/>
  <c r="CN209" i="23" s="1"/>
  <c r="CO209" i="23" s="1"/>
  <c r="AG231" i="23"/>
  <c r="CM210" i="23" s="1"/>
  <c r="CN210" i="23" s="1"/>
  <c r="AG216" i="23"/>
  <c r="CM195" i="23" s="1"/>
  <c r="CN195" i="23" s="1"/>
  <c r="CO195" i="23" s="1"/>
  <c r="AG221" i="23"/>
  <c r="CM200" i="23" s="1"/>
  <c r="CN200" i="23" s="1"/>
  <c r="AG226" i="23"/>
  <c r="CM205" i="23" s="1"/>
  <c r="CN205" i="23" s="1"/>
  <c r="T224" i="23"/>
  <c r="U223" i="23"/>
  <c r="V223" i="23" s="1"/>
  <c r="AH216" i="23" s="1"/>
  <c r="CS195" i="23" s="1"/>
  <c r="CT195" i="23" s="1"/>
  <c r="CU195" i="23" s="1"/>
  <c r="BQ200" i="23"/>
  <c r="BE207" i="23"/>
  <c r="BE208" i="23" s="1"/>
  <c r="BE209" i="23" s="1"/>
  <c r="BE210" i="23" s="1"/>
  <c r="BF194" i="23" s="1"/>
  <c r="BF195" i="23" s="1"/>
  <c r="BW199" i="23"/>
  <c r="BK202" i="23"/>
  <c r="BK203" i="23" s="1"/>
  <c r="BK204" i="23" s="1"/>
  <c r="BK205" i="23" s="1"/>
  <c r="BK206" i="23" s="1"/>
  <c r="BK207" i="23" s="1"/>
  <c r="BK208" i="23" s="1"/>
  <c r="BK209" i="23" s="1"/>
  <c r="BK210" i="23" s="1"/>
  <c r="BL194" i="23" s="1"/>
  <c r="BM194" i="23" s="1"/>
  <c r="BG193" i="23"/>
  <c r="BQ201" i="23"/>
  <c r="CC201" i="23"/>
  <c r="BW203" i="23"/>
  <c r="CC198" i="23"/>
  <c r="CC199" i="23" s="1"/>
  <c r="AT195" i="23"/>
  <c r="AU194" i="23"/>
  <c r="AY204" i="23"/>
  <c r="AY205" i="23" s="1"/>
  <c r="AY206" i="23" s="1"/>
  <c r="AY207" i="23" s="1"/>
  <c r="B268" i="23"/>
  <c r="C268" i="23" s="1"/>
  <c r="A269" i="23"/>
  <c r="CC204" i="23"/>
  <c r="BW204" i="23"/>
  <c r="CI196" i="23"/>
  <c r="K321" i="23" l="1"/>
  <c r="AC315" i="23"/>
  <c r="AC316" i="23" s="1"/>
  <c r="AC317" i="23" s="1"/>
  <c r="AC318" i="23" s="1"/>
  <c r="W319" i="23"/>
  <c r="CO197" i="23"/>
  <c r="AH225" i="23"/>
  <c r="CS204" i="23" s="1"/>
  <c r="CT204" i="23" s="1"/>
  <c r="CU204" i="23" s="1"/>
  <c r="AH230" i="23"/>
  <c r="CS209" i="23" s="1"/>
  <c r="CT209" i="23" s="1"/>
  <c r="CU209" i="23" s="1"/>
  <c r="AH218" i="23"/>
  <c r="CS197" i="23" s="1"/>
  <c r="CT197" i="23" s="1"/>
  <c r="AH229" i="23"/>
  <c r="CS208" i="23" s="1"/>
  <c r="CT208" i="23" s="1"/>
  <c r="CU208" i="23" s="1"/>
  <c r="AH231" i="23"/>
  <c r="CS210" i="23" s="1"/>
  <c r="CT210" i="23" s="1"/>
  <c r="AH221" i="23"/>
  <c r="CS200" i="23" s="1"/>
  <c r="CT200" i="23" s="1"/>
  <c r="CU200" i="23" s="1"/>
  <c r="AH223" i="23"/>
  <c r="CS202" i="23" s="1"/>
  <c r="CT202" i="23" s="1"/>
  <c r="CU202" i="23" s="1"/>
  <c r="AH226" i="23"/>
  <c r="CS205" i="23" s="1"/>
  <c r="CT205" i="23" s="1"/>
  <c r="AH219" i="23"/>
  <c r="CS198" i="23" s="1"/>
  <c r="CT198" i="23" s="1"/>
  <c r="CU198" i="23" s="1"/>
  <c r="AH217" i="23"/>
  <c r="CS196" i="23" s="1"/>
  <c r="CT196" i="23" s="1"/>
  <c r="CU196" i="23" s="1"/>
  <c r="AH213" i="23"/>
  <c r="AH215" i="23"/>
  <c r="CS194" i="23" s="1"/>
  <c r="CT194" i="23" s="1"/>
  <c r="CU194" i="23" s="1"/>
  <c r="AH228" i="23"/>
  <c r="CS207" i="23" s="1"/>
  <c r="CT207" i="23" s="1"/>
  <c r="CU207" i="23" s="1"/>
  <c r="AH224" i="23"/>
  <c r="CS203" i="23" s="1"/>
  <c r="CT203" i="23" s="1"/>
  <c r="AH220" i="23"/>
  <c r="CS199" i="23" s="1"/>
  <c r="CT199" i="23" s="1"/>
  <c r="AH222" i="23"/>
  <c r="CS201" i="23" s="1"/>
  <c r="CT201" i="23" s="1"/>
  <c r="CU201" i="23" s="1"/>
  <c r="AH227" i="23"/>
  <c r="CS206" i="23" s="1"/>
  <c r="CT206" i="23" s="1"/>
  <c r="AH214" i="23"/>
  <c r="CS193" i="23" s="1"/>
  <c r="CT193" i="23" s="1"/>
  <c r="AD367" i="23"/>
  <c r="AE366" i="23"/>
  <c r="AX313" i="23" s="1"/>
  <c r="AH321" i="23"/>
  <c r="AH334" i="23"/>
  <c r="AH322" i="23"/>
  <c r="AH350" i="23"/>
  <c r="AI350" i="23" s="1"/>
  <c r="AH339" i="23"/>
  <c r="AH326" i="23"/>
  <c r="AH338" i="23"/>
  <c r="AH316" i="23"/>
  <c r="AH317" i="23"/>
  <c r="Q322" i="23"/>
  <c r="Q323" i="23" s="1"/>
  <c r="Q324" i="23" s="1"/>
  <c r="AH327" i="23"/>
  <c r="AH340" i="23"/>
  <c r="AH343" i="23"/>
  <c r="AH332" i="23"/>
  <c r="AI332" i="23" s="1"/>
  <c r="AH318" i="23"/>
  <c r="AH331" i="23"/>
  <c r="AI331" i="23" s="1"/>
  <c r="AH319" i="23"/>
  <c r="AH336" i="23"/>
  <c r="AH335" i="23"/>
  <c r="AH349" i="23"/>
  <c r="AI349" i="23" s="1"/>
  <c r="AH330" i="23"/>
  <c r="AH323" i="23"/>
  <c r="AH325" i="23"/>
  <c r="AH314" i="23"/>
  <c r="AI314" i="23" s="1"/>
  <c r="AH324" i="23"/>
  <c r="AH347" i="23"/>
  <c r="AH333" i="23"/>
  <c r="AH342" i="23"/>
  <c r="AH345" i="23"/>
  <c r="AH320" i="23"/>
  <c r="AH328" i="23"/>
  <c r="AH329" i="23"/>
  <c r="AH344" i="23"/>
  <c r="AH315" i="23"/>
  <c r="AH341" i="23"/>
  <c r="AH346" i="23"/>
  <c r="AH348" i="23"/>
  <c r="AI348" i="23" s="1"/>
  <c r="AH337" i="23"/>
  <c r="AI337" i="23" s="1"/>
  <c r="T225" i="23"/>
  <c r="U225" i="23" s="1"/>
  <c r="V225" i="23" s="1"/>
  <c r="U224" i="23"/>
  <c r="V224" i="23" s="1"/>
  <c r="BG194" i="23"/>
  <c r="BQ203" i="23"/>
  <c r="BQ204" i="23" s="1"/>
  <c r="CI197" i="23"/>
  <c r="CO199" i="23"/>
  <c r="BL195" i="23"/>
  <c r="BM195" i="23" s="1"/>
  <c r="BM193" i="23"/>
  <c r="CC203" i="23"/>
  <c r="AT196" i="23"/>
  <c r="AU195" i="23"/>
  <c r="BF196" i="23"/>
  <c r="BG195" i="23"/>
  <c r="AY208" i="23"/>
  <c r="AY209" i="23" s="1"/>
  <c r="AY210" i="23" s="1"/>
  <c r="A270" i="23"/>
  <c r="B269" i="23"/>
  <c r="C269" i="23" s="1"/>
  <c r="BW205" i="23"/>
  <c r="CI201" i="23"/>
  <c r="CU193" i="23" l="1"/>
  <c r="K322" i="23"/>
  <c r="AI315" i="23"/>
  <c r="AI316" i="23" s="1"/>
  <c r="AC319" i="23"/>
  <c r="W320" i="23"/>
  <c r="CO200" i="23"/>
  <c r="Q325" i="23"/>
  <c r="AD368" i="23"/>
  <c r="AE367" i="23"/>
  <c r="AS314" i="23"/>
  <c r="AS321" i="23"/>
  <c r="AS329" i="23"/>
  <c r="AS337" i="23"/>
  <c r="AS345" i="23"/>
  <c r="AS316" i="23"/>
  <c r="AS324" i="23"/>
  <c r="AS332" i="23"/>
  <c r="AS340" i="23"/>
  <c r="AS348" i="23"/>
  <c r="AS315" i="23"/>
  <c r="AS323" i="23"/>
  <c r="AS331" i="23"/>
  <c r="AS339" i="23"/>
  <c r="AS347" i="23"/>
  <c r="AS318" i="23"/>
  <c r="AS326" i="23"/>
  <c r="AS334" i="23"/>
  <c r="AS342" i="23"/>
  <c r="AS350" i="23"/>
  <c r="AS317" i="23"/>
  <c r="AS325" i="23"/>
  <c r="AS333" i="23"/>
  <c r="AS341" i="23"/>
  <c r="AS349" i="23"/>
  <c r="AS320" i="23"/>
  <c r="AS328" i="23"/>
  <c r="AS336" i="23"/>
  <c r="AS344" i="23"/>
  <c r="AS352" i="23"/>
  <c r="AT352" i="23" s="1"/>
  <c r="AU352" i="23" s="1"/>
  <c r="AS319" i="23"/>
  <c r="AS327" i="23"/>
  <c r="AS335" i="23"/>
  <c r="AS343" i="23"/>
  <c r="AS351" i="23"/>
  <c r="AT351" i="23" s="1"/>
  <c r="AU351" i="23" s="1"/>
  <c r="AS322" i="23"/>
  <c r="AS330" i="23"/>
  <c r="AS338" i="23"/>
  <c r="AS346" i="23"/>
  <c r="AI217" i="23"/>
  <c r="CY196" i="23" s="1"/>
  <c r="CZ196" i="23" s="1"/>
  <c r="DA196" i="23" s="1"/>
  <c r="AI213" i="23"/>
  <c r="AI228" i="23"/>
  <c r="CY207" i="23" s="1"/>
  <c r="CZ207" i="23" s="1"/>
  <c r="DA207" i="23" s="1"/>
  <c r="AI227" i="23"/>
  <c r="CY206" i="23" s="1"/>
  <c r="CZ206" i="23" s="1"/>
  <c r="AI226" i="23"/>
  <c r="CY205" i="23" s="1"/>
  <c r="CZ205" i="23" s="1"/>
  <c r="AI221" i="23"/>
  <c r="CY200" i="23" s="1"/>
  <c r="CZ200" i="23" s="1"/>
  <c r="DA200" i="23" s="1"/>
  <c r="AI216" i="23"/>
  <c r="CY195" i="23" s="1"/>
  <c r="CZ195" i="23" s="1"/>
  <c r="DA195" i="23" s="1"/>
  <c r="AI215" i="23"/>
  <c r="CY194" i="23" s="1"/>
  <c r="CZ194" i="23" s="1"/>
  <c r="DA194" i="23" s="1"/>
  <c r="AI231" i="23"/>
  <c r="CY210" i="23" s="1"/>
  <c r="CZ210" i="23" s="1"/>
  <c r="AI230" i="23"/>
  <c r="CY209" i="23" s="1"/>
  <c r="CZ209" i="23" s="1"/>
  <c r="DA209" i="23" s="1"/>
  <c r="AI225" i="23"/>
  <c r="CY204" i="23" s="1"/>
  <c r="CZ204" i="23" s="1"/>
  <c r="DA204" i="23" s="1"/>
  <c r="AI220" i="23"/>
  <c r="CY199" i="23" s="1"/>
  <c r="CZ199" i="23" s="1"/>
  <c r="AI219" i="23"/>
  <c r="CY198" i="23" s="1"/>
  <c r="CZ198" i="23" s="1"/>
  <c r="DA198" i="23" s="1"/>
  <c r="AI218" i="23"/>
  <c r="CY197" i="23" s="1"/>
  <c r="CZ197" i="23" s="1"/>
  <c r="DA197" i="23" s="1"/>
  <c r="AI214" i="23"/>
  <c r="CY193" i="23" s="1"/>
  <c r="CZ193" i="23" s="1"/>
  <c r="DA193" i="23" s="1"/>
  <c r="AI229" i="23"/>
  <c r="CY208" i="23" s="1"/>
  <c r="CZ208" i="23" s="1"/>
  <c r="DA208" i="23" s="1"/>
  <c r="AI224" i="23"/>
  <c r="CY203" i="23" s="1"/>
  <c r="CZ203" i="23" s="1"/>
  <c r="DA203" i="23" s="1"/>
  <c r="DA205" i="23" s="1"/>
  <c r="AI223" i="23"/>
  <c r="CY202" i="23" s="1"/>
  <c r="CZ202" i="23" s="1"/>
  <c r="DA202" i="23" s="1"/>
  <c r="AI222" i="23"/>
  <c r="CY201" i="23" s="1"/>
  <c r="CZ201" i="23" s="1"/>
  <c r="DA201" i="23" s="1"/>
  <c r="CC205" i="23"/>
  <c r="CC206" i="23" s="1"/>
  <c r="BL196" i="23"/>
  <c r="BL197" i="23" s="1"/>
  <c r="CO203" i="23"/>
  <c r="BQ205" i="23"/>
  <c r="BQ206" i="23" s="1"/>
  <c r="BQ207" i="23" s="1"/>
  <c r="CI199" i="23"/>
  <c r="CI203" i="23" s="1"/>
  <c r="BW206" i="23"/>
  <c r="BW207" i="23" s="1"/>
  <c r="BW208" i="23" s="1"/>
  <c r="BW209" i="23" s="1"/>
  <c r="BW210" i="23" s="1"/>
  <c r="BX194" i="23" s="1"/>
  <c r="BY194" i="23" s="1"/>
  <c r="CU197" i="23"/>
  <c r="BF197" i="23"/>
  <c r="BG196" i="23"/>
  <c r="BA193" i="23"/>
  <c r="AZ194" i="23"/>
  <c r="AT197" i="23"/>
  <c r="AU196" i="23"/>
  <c r="A271" i="23"/>
  <c r="B270" i="23"/>
  <c r="C270" i="23" s="1"/>
  <c r="CI204" i="23"/>
  <c r="K323" i="23" l="1"/>
  <c r="AC320" i="23"/>
  <c r="AC321" i="23" s="1"/>
  <c r="AC322" i="23" s="1"/>
  <c r="AI317" i="23"/>
  <c r="W321" i="23"/>
  <c r="W352" i="23"/>
  <c r="Q326" i="23"/>
  <c r="X315" i="23"/>
  <c r="AT330" i="23"/>
  <c r="AT335" i="23"/>
  <c r="AT344" i="23"/>
  <c r="AU344" i="23" s="1"/>
  <c r="AT349" i="23"/>
  <c r="AT317" i="23"/>
  <c r="AT326" i="23"/>
  <c r="AT331" i="23"/>
  <c r="AU331" i="23" s="1"/>
  <c r="AT340" i="23"/>
  <c r="AU340" i="23" s="1"/>
  <c r="AT345" i="23"/>
  <c r="AU345" i="23" s="1"/>
  <c r="AT314" i="23"/>
  <c r="AU314" i="23" s="1"/>
  <c r="AT322" i="23"/>
  <c r="AT327" i="23"/>
  <c r="AT336" i="23"/>
  <c r="AT341" i="23"/>
  <c r="AU341" i="23" s="1"/>
  <c r="AT350" i="23"/>
  <c r="AU350" i="23" s="1"/>
  <c r="AT318" i="23"/>
  <c r="AT323" i="23"/>
  <c r="AT332" i="23"/>
  <c r="AU332" i="23" s="1"/>
  <c r="AT337" i="23"/>
  <c r="AU337" i="23" s="1"/>
  <c r="AD369" i="23"/>
  <c r="AE368" i="23"/>
  <c r="AT346" i="23"/>
  <c r="AU346" i="23" s="1"/>
  <c r="AT319" i="23"/>
  <c r="AT328" i="23"/>
  <c r="AT333" i="23"/>
  <c r="AT342" i="23"/>
  <c r="AU342" i="23" s="1"/>
  <c r="AT347" i="23"/>
  <c r="AU347" i="23" s="1"/>
  <c r="AT315" i="23"/>
  <c r="AT324" i="23"/>
  <c r="AT329" i="23"/>
  <c r="AT338" i="23"/>
  <c r="AU338" i="23" s="1"/>
  <c r="AT343" i="23"/>
  <c r="AU343" i="23" s="1"/>
  <c r="AT320" i="23"/>
  <c r="AT325" i="23"/>
  <c r="AT334" i="23"/>
  <c r="AT339" i="23"/>
  <c r="AU339" i="23" s="1"/>
  <c r="AT348" i="23"/>
  <c r="AT316" i="23"/>
  <c r="AT321" i="23"/>
  <c r="DA199" i="23"/>
  <c r="BY193" i="23"/>
  <c r="CI200" i="23"/>
  <c r="BM196" i="23"/>
  <c r="BX195" i="23"/>
  <c r="BX196" i="23" s="1"/>
  <c r="CC207" i="23"/>
  <c r="CC210" i="23"/>
  <c r="CU199" i="23"/>
  <c r="CU203" i="23" s="1"/>
  <c r="DA206" i="23"/>
  <c r="CO205" i="23"/>
  <c r="CO206" i="23" s="1"/>
  <c r="CO210" i="23" s="1"/>
  <c r="CI205" i="23"/>
  <c r="CI206" i="23" s="1"/>
  <c r="BQ208" i="23"/>
  <c r="DA210" i="23"/>
  <c r="BS193" i="23"/>
  <c r="BL198" i="23"/>
  <c r="BM197" i="23"/>
  <c r="AZ195" i="23"/>
  <c r="BA194" i="23"/>
  <c r="AT198" i="23"/>
  <c r="AU197" i="23"/>
  <c r="BF198" i="23"/>
  <c r="BG197" i="23"/>
  <c r="A272" i="23"/>
  <c r="B271" i="23"/>
  <c r="C271" i="23" s="1"/>
  <c r="K324" i="23" l="1"/>
  <c r="K325" i="23" s="1"/>
  <c r="AU315" i="23"/>
  <c r="AU316" i="23" s="1"/>
  <c r="AU317" i="23" s="1"/>
  <c r="AU318" i="23" s="1"/>
  <c r="AI318" i="23"/>
  <c r="AC323" i="23"/>
  <c r="W322" i="23"/>
  <c r="BY195" i="23"/>
  <c r="Q327" i="23"/>
  <c r="AD370" i="23"/>
  <c r="AE369" i="23"/>
  <c r="CE193" i="23"/>
  <c r="BQ210" i="23"/>
  <c r="BQ209" i="23"/>
  <c r="CQ193" i="23"/>
  <c r="CP194" i="23"/>
  <c r="CD194" i="23"/>
  <c r="CI210" i="23"/>
  <c r="CK193" i="23" s="1"/>
  <c r="CU205" i="23"/>
  <c r="CU206" i="23" s="1"/>
  <c r="BL199" i="23"/>
  <c r="BM198" i="23"/>
  <c r="BX197" i="23"/>
  <c r="BY196" i="23"/>
  <c r="AT199" i="23"/>
  <c r="AU198" i="23"/>
  <c r="BF199" i="23"/>
  <c r="BG198" i="23"/>
  <c r="AZ196" i="23"/>
  <c r="BA195" i="23"/>
  <c r="B272" i="23"/>
  <c r="C272" i="23" s="1"/>
  <c r="A273" i="23"/>
  <c r="K326" i="23" l="1"/>
  <c r="AC324" i="23"/>
  <c r="AC325" i="23" s="1"/>
  <c r="AC326" i="23" s="1"/>
  <c r="AI319" i="23"/>
  <c r="K338" i="23"/>
  <c r="K339" i="23" s="1"/>
  <c r="K340" i="23" s="1"/>
  <c r="K341" i="23" s="1"/>
  <c r="K342" i="23" s="1"/>
  <c r="K343" i="23" s="1"/>
  <c r="K344" i="23" s="1"/>
  <c r="K345" i="23" s="1"/>
  <c r="K346" i="23" s="1"/>
  <c r="K347" i="23" s="1"/>
  <c r="W323" i="23"/>
  <c r="Q328" i="23"/>
  <c r="BR194" i="23"/>
  <c r="BR195" i="23" s="1"/>
  <c r="AU319" i="23"/>
  <c r="AU320" i="23" s="1"/>
  <c r="AD315" i="23"/>
  <c r="AD371" i="23"/>
  <c r="AE370" i="23"/>
  <c r="CP195" i="23"/>
  <c r="CQ194" i="23"/>
  <c r="CD195" i="23"/>
  <c r="CE194" i="23"/>
  <c r="CU210" i="23"/>
  <c r="CJ194" i="23"/>
  <c r="BL200" i="23"/>
  <c r="BM199" i="23"/>
  <c r="BY197" i="23"/>
  <c r="BX198" i="23"/>
  <c r="BF200" i="23"/>
  <c r="BG199" i="23"/>
  <c r="AZ197" i="23"/>
  <c r="BA196" i="23"/>
  <c r="AT200" i="23"/>
  <c r="AU199" i="23"/>
  <c r="A274" i="23"/>
  <c r="B273" i="23"/>
  <c r="C273" i="23" s="1"/>
  <c r="K327" i="23" l="1"/>
  <c r="K328" i="23" s="1"/>
  <c r="K329" i="23" s="1"/>
  <c r="K330" i="23" s="1"/>
  <c r="AI320" i="23"/>
  <c r="AC327" i="23"/>
  <c r="AC328" i="23" s="1"/>
  <c r="W324" i="23"/>
  <c r="BS194" i="23"/>
  <c r="Q329" i="23"/>
  <c r="AD372" i="23"/>
  <c r="AE371" i="23"/>
  <c r="AU321" i="23"/>
  <c r="AU322" i="23" s="1"/>
  <c r="AU323" i="23" s="1"/>
  <c r="AU324" i="23" s="1"/>
  <c r="AU325" i="23" s="1"/>
  <c r="AU326" i="23" s="1"/>
  <c r="AU327" i="23" s="1"/>
  <c r="AU328" i="23" s="1"/>
  <c r="AU329" i="23" s="1"/>
  <c r="AU330" i="23" s="1"/>
  <c r="CQ195" i="23"/>
  <c r="CP196" i="23"/>
  <c r="CD196" i="23"/>
  <c r="CE195" i="23"/>
  <c r="CK194" i="23"/>
  <c r="CJ195" i="23"/>
  <c r="BS195" i="23"/>
  <c r="BR196" i="23"/>
  <c r="BL201" i="23"/>
  <c r="BM200" i="23"/>
  <c r="BX199" i="23"/>
  <c r="BY198" i="23"/>
  <c r="AT201" i="23"/>
  <c r="AU200" i="23"/>
  <c r="AZ198" i="23"/>
  <c r="BA197" i="23"/>
  <c r="BF201" i="23"/>
  <c r="BG200" i="23"/>
  <c r="B274" i="23"/>
  <c r="C274" i="23" s="1"/>
  <c r="A275" i="23"/>
  <c r="K331" i="23" l="1"/>
  <c r="K333" i="23" s="1"/>
  <c r="AU333" i="23"/>
  <c r="AU334" i="23" s="1"/>
  <c r="AI321" i="23"/>
  <c r="AC329" i="23"/>
  <c r="AC330" i="23" s="1"/>
  <c r="AC338" i="23" s="1"/>
  <c r="AC339" i="23" s="1"/>
  <c r="AC340" i="23" s="1"/>
  <c r="AC341" i="23" s="1"/>
  <c r="W325" i="23"/>
  <c r="Q330" i="23"/>
  <c r="AD373" i="23"/>
  <c r="AE372" i="23"/>
  <c r="CP197" i="23"/>
  <c r="CQ196" i="23"/>
  <c r="CE196" i="23"/>
  <c r="CD197" i="23"/>
  <c r="BS196" i="23"/>
  <c r="BR197" i="23"/>
  <c r="CK195" i="23"/>
  <c r="CJ196" i="23"/>
  <c r="BL202" i="23"/>
  <c r="BM201" i="23"/>
  <c r="BY199" i="23"/>
  <c r="BX200" i="23"/>
  <c r="AZ199" i="23"/>
  <c r="BA198" i="23"/>
  <c r="BF202" i="23"/>
  <c r="BG201" i="23"/>
  <c r="AT202" i="23"/>
  <c r="AU201" i="23"/>
  <c r="A276" i="23"/>
  <c r="B275" i="23"/>
  <c r="C275" i="23" s="1"/>
  <c r="K334" i="23" l="1"/>
  <c r="K335" i="23" s="1"/>
  <c r="K336" i="23" s="1"/>
  <c r="K337" i="23" s="1"/>
  <c r="Q333" i="23"/>
  <c r="Q334" i="23" s="1"/>
  <c r="Q335" i="23" s="1"/>
  <c r="Q336" i="23" s="1"/>
  <c r="Q337" i="23" s="1"/>
  <c r="Q332" i="23"/>
  <c r="Q338" i="23"/>
  <c r="Q339" i="23" s="1"/>
  <c r="Q340" i="23" s="1"/>
  <c r="AU335" i="23"/>
  <c r="AI322" i="23"/>
  <c r="AC342" i="23"/>
  <c r="AC343" i="23" s="1"/>
  <c r="W326" i="23"/>
  <c r="Q341" i="23"/>
  <c r="Q342" i="23" s="1"/>
  <c r="Q343" i="23" s="1"/>
  <c r="Q344" i="23" s="1"/>
  <c r="Q345" i="23" s="1"/>
  <c r="Q346" i="23" s="1"/>
  <c r="Q347" i="23" s="1"/>
  <c r="Q350" i="23" s="1"/>
  <c r="AD374" i="23"/>
  <c r="AE373" i="23"/>
  <c r="CQ197" i="23"/>
  <c r="CP198" i="23"/>
  <c r="CD198" i="23"/>
  <c r="CE197" i="23"/>
  <c r="CJ197" i="23"/>
  <c r="CK196" i="23"/>
  <c r="BR198" i="23"/>
  <c r="BS197" i="23"/>
  <c r="BL203" i="23"/>
  <c r="BM202" i="23"/>
  <c r="BX201" i="23"/>
  <c r="BY200" i="23"/>
  <c r="BF203" i="23"/>
  <c r="BG202" i="23"/>
  <c r="AT203" i="23"/>
  <c r="AU202" i="23"/>
  <c r="AZ200" i="23"/>
  <c r="BA199" i="23"/>
  <c r="A277" i="23"/>
  <c r="B276" i="23"/>
  <c r="C276" i="23" s="1"/>
  <c r="M315" i="23" l="1"/>
  <c r="L316" i="23"/>
  <c r="L317" i="23" s="1"/>
  <c r="Q351" i="23"/>
  <c r="R316" i="23" s="1"/>
  <c r="AU336" i="23"/>
  <c r="AU348" i="23"/>
  <c r="AI323" i="23"/>
  <c r="AC344" i="23"/>
  <c r="AC345" i="23" s="1"/>
  <c r="AC346" i="23" s="1"/>
  <c r="W327" i="23"/>
  <c r="S314" i="23"/>
  <c r="AJ315" i="23"/>
  <c r="AD375" i="23"/>
  <c r="AE374" i="23"/>
  <c r="CQ198" i="23"/>
  <c r="CP199" i="23"/>
  <c r="CE198" i="23"/>
  <c r="CD199" i="23"/>
  <c r="BR199" i="23"/>
  <c r="BS198" i="23"/>
  <c r="CJ198" i="23"/>
  <c r="CK197" i="23"/>
  <c r="BL204" i="23"/>
  <c r="BM203" i="23"/>
  <c r="BY201" i="23"/>
  <c r="BX202" i="23"/>
  <c r="AT204" i="23"/>
  <c r="AU203" i="23"/>
  <c r="AZ201" i="23"/>
  <c r="BA200" i="23"/>
  <c r="BF204" i="23"/>
  <c r="BG203" i="23"/>
  <c r="A278" i="23"/>
  <c r="B277" i="23"/>
  <c r="C277" i="23" s="1"/>
  <c r="M316" i="23" l="1"/>
  <c r="S315" i="23"/>
  <c r="AU349" i="23"/>
  <c r="AW315" i="23" s="1"/>
  <c r="M317" i="23"/>
  <c r="L318" i="23"/>
  <c r="AI324" i="23"/>
  <c r="AC347" i="23"/>
  <c r="AD316" i="23" s="1"/>
  <c r="W328" i="23"/>
  <c r="W329" i="23" s="1"/>
  <c r="W330" i="23" s="1"/>
  <c r="W338" i="23" s="1"/>
  <c r="W339" i="23" s="1"/>
  <c r="W340" i="23" s="1"/>
  <c r="W341" i="23" s="1"/>
  <c r="W342" i="23" s="1"/>
  <c r="W343" i="23" s="1"/>
  <c r="W344" i="23" s="1"/>
  <c r="S316" i="23"/>
  <c r="R317" i="23"/>
  <c r="AD376" i="23"/>
  <c r="AE375" i="23"/>
  <c r="CP200" i="23"/>
  <c r="CQ199" i="23"/>
  <c r="CD200" i="23"/>
  <c r="CE199" i="23"/>
  <c r="CJ199" i="23"/>
  <c r="CK198" i="23"/>
  <c r="BS199" i="23"/>
  <c r="BR200" i="23"/>
  <c r="BL205" i="23"/>
  <c r="BM204" i="23"/>
  <c r="BX203" i="23"/>
  <c r="BY202" i="23"/>
  <c r="AZ202" i="23"/>
  <c r="BA201" i="23"/>
  <c r="BF205" i="23"/>
  <c r="BG204" i="23"/>
  <c r="AT205" i="23"/>
  <c r="AU204" i="23"/>
  <c r="A279" i="23"/>
  <c r="B278" i="23"/>
  <c r="C278" i="23" s="1"/>
  <c r="AV316" i="23" l="1"/>
  <c r="AW316" i="23" s="1"/>
  <c r="M318" i="23"/>
  <c r="L319" i="23"/>
  <c r="AI325" i="23"/>
  <c r="AE315" i="23"/>
  <c r="AD317" i="23"/>
  <c r="AE316" i="23"/>
  <c r="W350" i="23"/>
  <c r="W345" i="23"/>
  <c r="W346" i="23" s="1"/>
  <c r="W347" i="23" s="1"/>
  <c r="R318" i="23"/>
  <c r="S317" i="23"/>
  <c r="AD377" i="23"/>
  <c r="AE376" i="23"/>
  <c r="CQ200" i="23"/>
  <c r="CP201" i="23"/>
  <c r="CE200" i="23"/>
  <c r="CD201" i="23"/>
  <c r="BR201" i="23"/>
  <c r="BS200" i="23"/>
  <c r="CK199" i="23"/>
  <c r="CJ200" i="23"/>
  <c r="BL206" i="23"/>
  <c r="BM205" i="23"/>
  <c r="BY203" i="23"/>
  <c r="BX204" i="23"/>
  <c r="BF206" i="23"/>
  <c r="BG205" i="23"/>
  <c r="AT206" i="23"/>
  <c r="AU205" i="23"/>
  <c r="AZ203" i="23"/>
  <c r="BA202" i="23"/>
  <c r="A280" i="23"/>
  <c r="B279" i="23"/>
  <c r="C279" i="23" s="1"/>
  <c r="AV317" i="23" l="1"/>
  <c r="AW317" i="23" s="1"/>
  <c r="M319" i="23"/>
  <c r="L320" i="23"/>
  <c r="AI326" i="23"/>
  <c r="Y315" i="23"/>
  <c r="X316" i="23"/>
  <c r="AD318" i="23"/>
  <c r="AE317" i="23"/>
  <c r="S318" i="23"/>
  <c r="R319" i="23"/>
  <c r="AD378" i="23"/>
  <c r="AE377" i="23"/>
  <c r="CP202" i="23"/>
  <c r="CQ201" i="23"/>
  <c r="CD202" i="23"/>
  <c r="CE201" i="23"/>
  <c r="CJ201" i="23"/>
  <c r="CK200" i="23"/>
  <c r="BS201" i="23"/>
  <c r="BR202" i="23"/>
  <c r="BL207" i="23"/>
  <c r="BM206" i="23"/>
  <c r="BX205" i="23"/>
  <c r="BY204" i="23"/>
  <c r="AT207" i="23"/>
  <c r="AU206" i="23"/>
  <c r="AZ204" i="23"/>
  <c r="BA203" i="23"/>
  <c r="BF207" i="23"/>
  <c r="BG206" i="23"/>
  <c r="A281" i="23"/>
  <c r="B280" i="23"/>
  <c r="C280" i="23" s="1"/>
  <c r="AV318" i="23" l="1"/>
  <c r="AV319" i="23" s="1"/>
  <c r="M320" i="23"/>
  <c r="L321" i="23"/>
  <c r="AI327" i="23"/>
  <c r="AD319" i="23"/>
  <c r="AE318" i="23"/>
  <c r="Y316" i="23"/>
  <c r="X317" i="23"/>
  <c r="R320" i="23"/>
  <c r="S319" i="23"/>
  <c r="AD379" i="23"/>
  <c r="AE378" i="23"/>
  <c r="CP203" i="23"/>
  <c r="CQ202" i="23"/>
  <c r="CE202" i="23"/>
  <c r="CD203" i="23"/>
  <c r="BR203" i="23"/>
  <c r="BS202" i="23"/>
  <c r="CK201" i="23"/>
  <c r="CJ202" i="23"/>
  <c r="BL208" i="23"/>
  <c r="BM207" i="23"/>
  <c r="BY205" i="23"/>
  <c r="BX206" i="23"/>
  <c r="AZ205" i="23"/>
  <c r="BA204" i="23"/>
  <c r="BF208" i="23"/>
  <c r="BG207" i="23"/>
  <c r="AT208" i="23"/>
  <c r="AU207" i="23"/>
  <c r="A282" i="23"/>
  <c r="B281" i="23"/>
  <c r="C281" i="23" s="1"/>
  <c r="AW318" i="23" l="1"/>
  <c r="L322" i="23"/>
  <c r="M321" i="23"/>
  <c r="AW319" i="23"/>
  <c r="AV320" i="23"/>
  <c r="AI328" i="23"/>
  <c r="Y317" i="23"/>
  <c r="X318" i="23"/>
  <c r="AD320" i="23"/>
  <c r="AE319" i="23"/>
  <c r="S320" i="23"/>
  <c r="R321" i="23"/>
  <c r="AE379" i="23"/>
  <c r="CN313" i="23"/>
  <c r="CT313" i="23"/>
  <c r="BV313" i="23"/>
  <c r="DX313" i="23"/>
  <c r="BP313" i="23"/>
  <c r="DF313" i="23"/>
  <c r="DL313" i="23"/>
  <c r="DR313" i="23"/>
  <c r="CH313" i="23"/>
  <c r="CB313" i="23"/>
  <c r="CZ313" i="23"/>
  <c r="CQ203" i="23"/>
  <c r="CP204" i="23"/>
  <c r="CD204" i="23"/>
  <c r="CE203" i="23"/>
  <c r="CK202" i="23"/>
  <c r="CJ203" i="23"/>
  <c r="BS203" i="23"/>
  <c r="BR204" i="23"/>
  <c r="BL209" i="23"/>
  <c r="BM208" i="23"/>
  <c r="BX207" i="23"/>
  <c r="BY206" i="23"/>
  <c r="BF209" i="23"/>
  <c r="BG208" i="23"/>
  <c r="AT209" i="23"/>
  <c r="AU208" i="23"/>
  <c r="AZ206" i="23"/>
  <c r="BA205" i="23"/>
  <c r="A283" i="23"/>
  <c r="B282" i="23"/>
  <c r="C282" i="23" s="1"/>
  <c r="L323" i="23" l="1"/>
  <c r="M322" i="23"/>
  <c r="AW320" i="23"/>
  <c r="AV321" i="23"/>
  <c r="AI329" i="23"/>
  <c r="AD321" i="23"/>
  <c r="AE320" i="23"/>
  <c r="Y318" i="23"/>
  <c r="X319" i="23"/>
  <c r="S321" i="23"/>
  <c r="R322" i="23"/>
  <c r="CU352" i="23"/>
  <c r="CV352" i="23" s="1"/>
  <c r="CW352" i="23" s="1"/>
  <c r="CU314" i="23"/>
  <c r="CU321" i="23"/>
  <c r="CU329" i="23"/>
  <c r="CU337" i="23"/>
  <c r="CU345" i="23"/>
  <c r="CU316" i="23"/>
  <c r="CU324" i="23"/>
  <c r="CU332" i="23"/>
  <c r="CU340" i="23"/>
  <c r="CU348" i="23"/>
  <c r="CU317" i="23"/>
  <c r="CU325" i="23"/>
  <c r="CU333" i="23"/>
  <c r="CU341" i="23"/>
  <c r="CU349" i="23"/>
  <c r="CU320" i="23"/>
  <c r="CU328" i="23"/>
  <c r="CU336" i="23"/>
  <c r="CU344" i="23"/>
  <c r="CU319" i="23"/>
  <c r="CU327" i="23"/>
  <c r="CU335" i="23"/>
  <c r="CU343" i="23"/>
  <c r="CU351" i="23"/>
  <c r="CV351" i="23" s="1"/>
  <c r="CW351" i="23" s="1"/>
  <c r="CU322" i="23"/>
  <c r="CU330" i="23"/>
  <c r="CU338" i="23"/>
  <c r="CU346" i="23"/>
  <c r="CU315" i="23"/>
  <c r="CU347" i="23"/>
  <c r="CU342" i="23"/>
  <c r="CU323" i="23"/>
  <c r="CU318" i="23"/>
  <c r="CU350" i="23"/>
  <c r="CU331" i="23"/>
  <c r="CU326" i="23"/>
  <c r="CU339" i="23"/>
  <c r="CU334" i="23"/>
  <c r="DG314" i="23"/>
  <c r="DG317" i="23"/>
  <c r="DG325" i="23"/>
  <c r="DG333" i="23"/>
  <c r="DG341" i="23"/>
  <c r="DG349" i="23"/>
  <c r="DG320" i="23"/>
  <c r="DG328" i="23"/>
  <c r="DG336" i="23"/>
  <c r="DG344" i="23"/>
  <c r="DG352" i="23"/>
  <c r="DH352" i="23" s="1"/>
  <c r="DI352" i="23" s="1"/>
  <c r="DG319" i="23"/>
  <c r="DG327" i="23"/>
  <c r="DG335" i="23"/>
  <c r="DG343" i="23"/>
  <c r="DG351" i="23"/>
  <c r="DH351" i="23" s="1"/>
  <c r="DI351" i="23" s="1"/>
  <c r="DG322" i="23"/>
  <c r="DG330" i="23"/>
  <c r="DG338" i="23"/>
  <c r="DG346" i="23"/>
  <c r="DG321" i="23"/>
  <c r="DG329" i="23"/>
  <c r="DG337" i="23"/>
  <c r="DG345" i="23"/>
  <c r="DG316" i="23"/>
  <c r="DG324" i="23"/>
  <c r="DG332" i="23"/>
  <c r="DG340" i="23"/>
  <c r="DG348" i="23"/>
  <c r="DG315" i="23"/>
  <c r="DG323" i="23"/>
  <c r="DG331" i="23"/>
  <c r="DG339" i="23"/>
  <c r="DG347" i="23"/>
  <c r="DG318" i="23"/>
  <c r="DG326" i="23"/>
  <c r="DG334" i="23"/>
  <c r="DG342" i="23"/>
  <c r="DG350" i="23"/>
  <c r="BQ314" i="23"/>
  <c r="BQ321" i="23"/>
  <c r="BQ329" i="23"/>
  <c r="BQ337" i="23"/>
  <c r="BQ345" i="23"/>
  <c r="BQ316" i="23"/>
  <c r="BQ324" i="23"/>
  <c r="BQ332" i="23"/>
  <c r="BQ340" i="23"/>
  <c r="BQ348" i="23"/>
  <c r="BQ317" i="23"/>
  <c r="BQ325" i="23"/>
  <c r="BQ333" i="23"/>
  <c r="BQ341" i="23"/>
  <c r="BQ349" i="23"/>
  <c r="BQ320" i="23"/>
  <c r="BQ328" i="23"/>
  <c r="BQ336" i="23"/>
  <c r="BQ344" i="23"/>
  <c r="BQ352" i="23"/>
  <c r="BR352" i="23" s="1"/>
  <c r="BS352" i="23" s="1"/>
  <c r="BQ319" i="23"/>
  <c r="BQ327" i="23"/>
  <c r="BQ335" i="23"/>
  <c r="BQ343" i="23"/>
  <c r="BQ351" i="23"/>
  <c r="BR351" i="23" s="1"/>
  <c r="BS351" i="23" s="1"/>
  <c r="BQ322" i="23"/>
  <c r="BQ330" i="23"/>
  <c r="BQ338" i="23"/>
  <c r="BQ346" i="23"/>
  <c r="BQ315" i="23"/>
  <c r="BQ347" i="23"/>
  <c r="BQ342" i="23"/>
  <c r="BQ323" i="23"/>
  <c r="BQ318" i="23"/>
  <c r="BQ350" i="23"/>
  <c r="BQ331" i="23"/>
  <c r="BQ326" i="23"/>
  <c r="BQ339" i="23"/>
  <c r="BQ334" i="23"/>
  <c r="BW314" i="23"/>
  <c r="BW319" i="23"/>
  <c r="BW327" i="23"/>
  <c r="BW335" i="23"/>
  <c r="BW343" i="23"/>
  <c r="BW351" i="23"/>
  <c r="BX351" i="23" s="1"/>
  <c r="BY351" i="23" s="1"/>
  <c r="BW322" i="23"/>
  <c r="BW330" i="23"/>
  <c r="BW338" i="23"/>
  <c r="BW346" i="23"/>
  <c r="BW315" i="23"/>
  <c r="BW323" i="23"/>
  <c r="BW331" i="23"/>
  <c r="BW339" i="23"/>
  <c r="BW347" i="23"/>
  <c r="BW318" i="23"/>
  <c r="BW326" i="23"/>
  <c r="BW334" i="23"/>
  <c r="BW342" i="23"/>
  <c r="BW350" i="23"/>
  <c r="BW317" i="23"/>
  <c r="BW325" i="23"/>
  <c r="BW333" i="23"/>
  <c r="BW341" i="23"/>
  <c r="BW349" i="23"/>
  <c r="BW320" i="23"/>
  <c r="BW328" i="23"/>
  <c r="BW336" i="23"/>
  <c r="BW344" i="23"/>
  <c r="BW352" i="23"/>
  <c r="BX352" i="23" s="1"/>
  <c r="BY352" i="23" s="1"/>
  <c r="BW329" i="23"/>
  <c r="BW324" i="23"/>
  <c r="BW337" i="23"/>
  <c r="BW332" i="23"/>
  <c r="BW345" i="23"/>
  <c r="BW340" i="23"/>
  <c r="BW321" i="23"/>
  <c r="BW316" i="23"/>
  <c r="BW348" i="23"/>
  <c r="DA314" i="23"/>
  <c r="DA319" i="23"/>
  <c r="DA327" i="23"/>
  <c r="DA335" i="23"/>
  <c r="DA343" i="23"/>
  <c r="DA351" i="23"/>
  <c r="DB351" i="23" s="1"/>
  <c r="DC351" i="23" s="1"/>
  <c r="DA322" i="23"/>
  <c r="DA330" i="23"/>
  <c r="DA338" i="23"/>
  <c r="DA346" i="23"/>
  <c r="DA321" i="23"/>
  <c r="DA329" i="23"/>
  <c r="DA337" i="23"/>
  <c r="DA345" i="23"/>
  <c r="DA316" i="23"/>
  <c r="DA324" i="23"/>
  <c r="DA332" i="23"/>
  <c r="DA340" i="23"/>
  <c r="DA348" i="23"/>
  <c r="DA315" i="23"/>
  <c r="DA323" i="23"/>
  <c r="DA331" i="23"/>
  <c r="DA339" i="23"/>
  <c r="DA347" i="23"/>
  <c r="DA318" i="23"/>
  <c r="DA326" i="23"/>
  <c r="DA334" i="23"/>
  <c r="DA342" i="23"/>
  <c r="DA350" i="23"/>
  <c r="DA317" i="23"/>
  <c r="DA325" i="23"/>
  <c r="DA333" i="23"/>
  <c r="DA341" i="23"/>
  <c r="DA349" i="23"/>
  <c r="DA320" i="23"/>
  <c r="DA328" i="23"/>
  <c r="DA336" i="23"/>
  <c r="DA344" i="23"/>
  <c r="DA352" i="23"/>
  <c r="DB352" i="23" s="1"/>
  <c r="DC352" i="23" s="1"/>
  <c r="CO345" i="23"/>
  <c r="CO331" i="23"/>
  <c r="CO315" i="23"/>
  <c r="CO346" i="23"/>
  <c r="CO338" i="23"/>
  <c r="CO330" i="23"/>
  <c r="CO322" i="23"/>
  <c r="CO335" i="23"/>
  <c r="CO349" i="23"/>
  <c r="CO321" i="23"/>
  <c r="CO341" i="23"/>
  <c r="CO327" i="23"/>
  <c r="CO352" i="23"/>
  <c r="CP352" i="23" s="1"/>
  <c r="CQ352" i="23" s="1"/>
  <c r="CO344" i="23"/>
  <c r="CO336" i="23"/>
  <c r="CO328" i="23"/>
  <c r="CO320" i="23"/>
  <c r="CO333" i="23"/>
  <c r="CO347" i="23"/>
  <c r="CO314" i="23"/>
  <c r="CO339" i="23"/>
  <c r="CO323" i="23"/>
  <c r="CO350" i="23"/>
  <c r="CO342" i="23"/>
  <c r="CO334" i="23"/>
  <c r="CO326" i="23"/>
  <c r="CO318" i="23"/>
  <c r="CO329" i="23"/>
  <c r="CO343" i="23"/>
  <c r="CO351" i="23"/>
  <c r="CP351" i="23" s="1"/>
  <c r="CQ351" i="23" s="1"/>
  <c r="CO337" i="23"/>
  <c r="CO319" i="23"/>
  <c r="CO348" i="23"/>
  <c r="CO340" i="23"/>
  <c r="CO332" i="23"/>
  <c r="CO324" i="23"/>
  <c r="CO316" i="23"/>
  <c r="CO317" i="23"/>
  <c r="CO325" i="23"/>
  <c r="CC345" i="23"/>
  <c r="CC329" i="23"/>
  <c r="CC348" i="23"/>
  <c r="CC340" i="23"/>
  <c r="CC332" i="23"/>
  <c r="CC324" i="23"/>
  <c r="CC316" i="23"/>
  <c r="CC315" i="23"/>
  <c r="CC335" i="23"/>
  <c r="CC317" i="23"/>
  <c r="CC343" i="23"/>
  <c r="CC323" i="23"/>
  <c r="CC346" i="23"/>
  <c r="CC338" i="23"/>
  <c r="CC330" i="23"/>
  <c r="CC322" i="23"/>
  <c r="CC347" i="23"/>
  <c r="CC349" i="23"/>
  <c r="CC327" i="23"/>
  <c r="CC314" i="23"/>
  <c r="CC337" i="23"/>
  <c r="CC352" i="23"/>
  <c r="CD352" i="23" s="1"/>
  <c r="CE352" i="23" s="1"/>
  <c r="CC344" i="23"/>
  <c r="CC336" i="23"/>
  <c r="CC328" i="23"/>
  <c r="CC351" i="23"/>
  <c r="CD351" i="23" s="1"/>
  <c r="CE351" i="23" s="1"/>
  <c r="CC333" i="23"/>
  <c r="CC350" i="23"/>
  <c r="CC342" i="23"/>
  <c r="CC334" i="23"/>
  <c r="CC326" i="23"/>
  <c r="CC318" i="23"/>
  <c r="CC319" i="23"/>
  <c r="CC339" i="23"/>
  <c r="CC321" i="23"/>
  <c r="CC320" i="23"/>
  <c r="CC331" i="23"/>
  <c r="CC341" i="23"/>
  <c r="CC325" i="23"/>
  <c r="BK315" i="23"/>
  <c r="BK346" i="23"/>
  <c r="BK338" i="23"/>
  <c r="BK330" i="23"/>
  <c r="BK322" i="23"/>
  <c r="BK347" i="23"/>
  <c r="BK337" i="23"/>
  <c r="BK317" i="23"/>
  <c r="BK333" i="23"/>
  <c r="BK319" i="23"/>
  <c r="BK352" i="23"/>
  <c r="BL352" i="23" s="1"/>
  <c r="BM352" i="23" s="1"/>
  <c r="BK344" i="23"/>
  <c r="BK336" i="23"/>
  <c r="BK328" i="23"/>
  <c r="BK320" i="23"/>
  <c r="BK345" i="23"/>
  <c r="BK335" i="23"/>
  <c r="BK351" i="23"/>
  <c r="BL351" i="23" s="1"/>
  <c r="BM351" i="23" s="1"/>
  <c r="BK331" i="23"/>
  <c r="BK314" i="23"/>
  <c r="BK350" i="23"/>
  <c r="BK342" i="23"/>
  <c r="BK334" i="23"/>
  <c r="BK326" i="23"/>
  <c r="BK318" i="23"/>
  <c r="BK343" i="23"/>
  <c r="BK329" i="23"/>
  <c r="BK349" i="23"/>
  <c r="BK325" i="23"/>
  <c r="BK321" i="23"/>
  <c r="BK348" i="23"/>
  <c r="BK340" i="23"/>
  <c r="BK332" i="23"/>
  <c r="BK324" i="23"/>
  <c r="BK316" i="23"/>
  <c r="BK339" i="23"/>
  <c r="BK327" i="23"/>
  <c r="BK341" i="23"/>
  <c r="BK323" i="23"/>
  <c r="CI314" i="23"/>
  <c r="CI321" i="23"/>
  <c r="CI329" i="23"/>
  <c r="CI337" i="23"/>
  <c r="CI345" i="23"/>
  <c r="CI316" i="23"/>
  <c r="CI324" i="23"/>
  <c r="CI332" i="23"/>
  <c r="CI340" i="23"/>
  <c r="CI348" i="23"/>
  <c r="CI317" i="23"/>
  <c r="CI325" i="23"/>
  <c r="CI333" i="23"/>
  <c r="CI341" i="23"/>
  <c r="CI349" i="23"/>
  <c r="CI320" i="23"/>
  <c r="CI328" i="23"/>
  <c r="CI336" i="23"/>
  <c r="CI344" i="23"/>
  <c r="CI352" i="23"/>
  <c r="CJ352" i="23" s="1"/>
  <c r="CK352" i="23" s="1"/>
  <c r="CI319" i="23"/>
  <c r="CI327" i="23"/>
  <c r="CI335" i="23"/>
  <c r="CI343" i="23"/>
  <c r="CI351" i="23"/>
  <c r="CJ351" i="23" s="1"/>
  <c r="CK351" i="23" s="1"/>
  <c r="CI322" i="23"/>
  <c r="CI330" i="23"/>
  <c r="CI338" i="23"/>
  <c r="CI346" i="23"/>
  <c r="CI323" i="23"/>
  <c r="CI318" i="23"/>
  <c r="CI350" i="23"/>
  <c r="CI331" i="23"/>
  <c r="CI326" i="23"/>
  <c r="CI339" i="23"/>
  <c r="CI334" i="23"/>
  <c r="CI315" i="23"/>
  <c r="CI347" i="23"/>
  <c r="CI342" i="23"/>
  <c r="DM314" i="23"/>
  <c r="DM315" i="23"/>
  <c r="DM323" i="23"/>
  <c r="DM331" i="23"/>
  <c r="DM339" i="23"/>
  <c r="DM347" i="23"/>
  <c r="DM318" i="23"/>
  <c r="DM326" i="23"/>
  <c r="DM334" i="23"/>
  <c r="DM342" i="23"/>
  <c r="DM350" i="23"/>
  <c r="DM317" i="23"/>
  <c r="DM325" i="23"/>
  <c r="DM333" i="23"/>
  <c r="DM341" i="23"/>
  <c r="DM349" i="23"/>
  <c r="DM320" i="23"/>
  <c r="DM328" i="23"/>
  <c r="DM336" i="23"/>
  <c r="DM344" i="23"/>
  <c r="DM352" i="23"/>
  <c r="DN352" i="23" s="1"/>
  <c r="DO352" i="23" s="1"/>
  <c r="DM319" i="23"/>
  <c r="DM327" i="23"/>
  <c r="DM335" i="23"/>
  <c r="DM343" i="23"/>
  <c r="DM351" i="23"/>
  <c r="DM322" i="23"/>
  <c r="DM330" i="23"/>
  <c r="DM338" i="23"/>
  <c r="DM346" i="23"/>
  <c r="DM321" i="23"/>
  <c r="DM329" i="23"/>
  <c r="DM337" i="23"/>
  <c r="DM345" i="23"/>
  <c r="DM316" i="23"/>
  <c r="DM324" i="23"/>
  <c r="DM332" i="23"/>
  <c r="DM340" i="23"/>
  <c r="DM348" i="23"/>
  <c r="DS314" i="23"/>
  <c r="DS321" i="23"/>
  <c r="DS329" i="23"/>
  <c r="DS337" i="23"/>
  <c r="DS345" i="23"/>
  <c r="DS316" i="23"/>
  <c r="DS324" i="23"/>
  <c r="DS332" i="23"/>
  <c r="DS340" i="23"/>
  <c r="DS348" i="23"/>
  <c r="DS315" i="23"/>
  <c r="DS323" i="23"/>
  <c r="DS331" i="23"/>
  <c r="DS339" i="23"/>
  <c r="DS347" i="23"/>
  <c r="DS318" i="23"/>
  <c r="DS326" i="23"/>
  <c r="DS334" i="23"/>
  <c r="DS342" i="23"/>
  <c r="DS350" i="23"/>
  <c r="DS317" i="23"/>
  <c r="DS325" i="23"/>
  <c r="DS333" i="23"/>
  <c r="DS341" i="23"/>
  <c r="DS349" i="23"/>
  <c r="DS320" i="23"/>
  <c r="DS328" i="23"/>
  <c r="DS336" i="23"/>
  <c r="DS344" i="23"/>
  <c r="DS352" i="23"/>
  <c r="DT352" i="23" s="1"/>
  <c r="DU352" i="23" s="1"/>
  <c r="DS319" i="23"/>
  <c r="DS327" i="23"/>
  <c r="DS335" i="23"/>
  <c r="DS343" i="23"/>
  <c r="DS351" i="23"/>
  <c r="DS322" i="23"/>
  <c r="DS330" i="23"/>
  <c r="DS338" i="23"/>
  <c r="DS346" i="23"/>
  <c r="AR313" i="23"/>
  <c r="BJ313" i="23"/>
  <c r="BD313" i="23"/>
  <c r="CP205" i="23"/>
  <c r="CQ204" i="23"/>
  <c r="CE204" i="23"/>
  <c r="CD205" i="23"/>
  <c r="BR205" i="23"/>
  <c r="BS204" i="23"/>
  <c r="CK203" i="23"/>
  <c r="CJ204" i="23"/>
  <c r="BL210" i="23"/>
  <c r="BM210" i="23" s="1"/>
  <c r="BM209" i="23"/>
  <c r="BY207" i="23"/>
  <c r="BX208" i="23"/>
  <c r="AT210" i="23"/>
  <c r="AU210" i="23" s="1"/>
  <c r="AU209" i="23"/>
  <c r="AZ207" i="23"/>
  <c r="BA206" i="23"/>
  <c r="BF210" i="23"/>
  <c r="BG210" i="23" s="1"/>
  <c r="BG209" i="23"/>
  <c r="A284" i="23"/>
  <c r="B283" i="23"/>
  <c r="C283" i="23" s="1"/>
  <c r="M323" i="23" l="1"/>
  <c r="L324" i="23"/>
  <c r="AW321" i="23"/>
  <c r="AV322" i="23"/>
  <c r="AI330" i="23"/>
  <c r="AI333" i="23" s="1"/>
  <c r="AI334" i="23" s="1"/>
  <c r="AI335" i="23" s="1"/>
  <c r="AI336" i="23" s="1"/>
  <c r="Y319" i="23"/>
  <c r="X320" i="23"/>
  <c r="AD322" i="23"/>
  <c r="AE321" i="23"/>
  <c r="R323" i="23"/>
  <c r="S322" i="23"/>
  <c r="AM314" i="23"/>
  <c r="AM315" i="23"/>
  <c r="AM323" i="23"/>
  <c r="AM331" i="23"/>
  <c r="AM339" i="23"/>
  <c r="AM347" i="23"/>
  <c r="AM318" i="23"/>
  <c r="AM326" i="23"/>
  <c r="AM334" i="23"/>
  <c r="AM342" i="23"/>
  <c r="AM350" i="23"/>
  <c r="AM344" i="23"/>
  <c r="AM348" i="23"/>
  <c r="AM317" i="23"/>
  <c r="AM325" i="23"/>
  <c r="AM333" i="23"/>
  <c r="AM341" i="23"/>
  <c r="AM349" i="23"/>
  <c r="AM320" i="23"/>
  <c r="AM328" i="23"/>
  <c r="AM336" i="23"/>
  <c r="AM352" i="23"/>
  <c r="AM319" i="23"/>
  <c r="AM327" i="23"/>
  <c r="AM335" i="23"/>
  <c r="AM343" i="23"/>
  <c r="AM351" i="23"/>
  <c r="AN351" i="23" s="1"/>
  <c r="AO351" i="23" s="1"/>
  <c r="AM322" i="23"/>
  <c r="AM330" i="23"/>
  <c r="AM338" i="23"/>
  <c r="AM346" i="23"/>
  <c r="AM332" i="23"/>
  <c r="AM321" i="23"/>
  <c r="AM329" i="23"/>
  <c r="AM337" i="23"/>
  <c r="AM345" i="23"/>
  <c r="AM316" i="23"/>
  <c r="AM324" i="23"/>
  <c r="AM340" i="23"/>
  <c r="DT322" i="23"/>
  <c r="DU322" i="23" s="1"/>
  <c r="DW323" i="23"/>
  <c r="DV324" i="23"/>
  <c r="DT327" i="23"/>
  <c r="DU327" i="23" s="1"/>
  <c r="DV329" i="23"/>
  <c r="DW328" i="23"/>
  <c r="DT336" i="23"/>
  <c r="DU336" i="23" s="1"/>
  <c r="DW337" i="23"/>
  <c r="DV338" i="23"/>
  <c r="DT341" i="23"/>
  <c r="DU341" i="23" s="1"/>
  <c r="DV343" i="23"/>
  <c r="DW342" i="23"/>
  <c r="DT350" i="23"/>
  <c r="DU350" i="23" s="1"/>
  <c r="DV352" i="23"/>
  <c r="DW351" i="23"/>
  <c r="DT318" i="23"/>
  <c r="DU318" i="23" s="1"/>
  <c r="DV320" i="23"/>
  <c r="DW319" i="23"/>
  <c r="DT323" i="23"/>
  <c r="DU323" i="23" s="1"/>
  <c r="DV325" i="23"/>
  <c r="DW324" i="23"/>
  <c r="DT332" i="23"/>
  <c r="DU332" i="23" s="1"/>
  <c r="DV334" i="23"/>
  <c r="DW333" i="23"/>
  <c r="DT337" i="23"/>
  <c r="DU337" i="23" s="1"/>
  <c r="DV339" i="23"/>
  <c r="DW338" i="23"/>
  <c r="DN348" i="23"/>
  <c r="DO348" i="23" s="1"/>
  <c r="DN316" i="23"/>
  <c r="DO316" i="23" s="1"/>
  <c r="DN321" i="23"/>
  <c r="DO321" i="23" s="1"/>
  <c r="DN322" i="23"/>
  <c r="DO322" i="23" s="1"/>
  <c r="DN327" i="23"/>
  <c r="DO327" i="23" s="1"/>
  <c r="DN336" i="23"/>
  <c r="DO336" i="23" s="1"/>
  <c r="DN341" i="23"/>
  <c r="DO341" i="23" s="1"/>
  <c r="DN350" i="23"/>
  <c r="DQ351" i="23"/>
  <c r="DP352" i="23"/>
  <c r="DN318" i="23"/>
  <c r="DO318" i="23" s="1"/>
  <c r="DN323" i="23"/>
  <c r="DO323" i="23" s="1"/>
  <c r="CJ334" i="23"/>
  <c r="CK334" i="23" s="1"/>
  <c r="CJ350" i="23"/>
  <c r="CJ338" i="23"/>
  <c r="CK338" i="23" s="1"/>
  <c r="CJ343" i="23"/>
  <c r="CK343" i="23" s="1"/>
  <c r="CJ320" i="23"/>
  <c r="CJ325" i="23"/>
  <c r="CJ332" i="23"/>
  <c r="CK332" i="23" s="1"/>
  <c r="CJ337" i="23"/>
  <c r="CK337" i="23" s="1"/>
  <c r="BL323" i="23"/>
  <c r="BL316" i="23"/>
  <c r="BL348" i="23"/>
  <c r="BL329" i="23"/>
  <c r="BL334" i="23"/>
  <c r="BL331" i="23"/>
  <c r="BM331" i="23" s="1"/>
  <c r="BL320" i="23"/>
  <c r="BL337" i="23"/>
  <c r="BM337" i="23" s="1"/>
  <c r="BL338" i="23"/>
  <c r="BM338" i="23" s="1"/>
  <c r="CD341" i="23"/>
  <c r="CD339" i="23"/>
  <c r="CD334" i="23"/>
  <c r="CE334" i="23" s="1"/>
  <c r="CD349" i="23"/>
  <c r="CE349" i="23" s="1"/>
  <c r="CD338" i="23"/>
  <c r="CD317" i="23"/>
  <c r="CD324" i="23"/>
  <c r="CD329" i="23"/>
  <c r="CP316" i="23"/>
  <c r="CR318" i="23"/>
  <c r="CR319" i="23" s="1"/>
  <c r="CR320" i="23" s="1"/>
  <c r="CS320" i="23" s="1"/>
  <c r="CP348" i="23"/>
  <c r="CQ348" i="23" s="1"/>
  <c r="CP343" i="23"/>
  <c r="CQ343" i="23" s="1"/>
  <c r="CP334" i="23"/>
  <c r="CQ334" i="23" s="1"/>
  <c r="CP339" i="23"/>
  <c r="CQ339" i="23" s="1"/>
  <c r="CP320" i="23"/>
  <c r="CS321" i="23"/>
  <c r="CP349" i="23"/>
  <c r="CQ349" i="23" s="1"/>
  <c r="CP338" i="23"/>
  <c r="CQ338" i="23" s="1"/>
  <c r="CP345" i="23"/>
  <c r="CQ345" i="23" s="1"/>
  <c r="DB328" i="23"/>
  <c r="DE329" i="23"/>
  <c r="DD330" i="23"/>
  <c r="DB333" i="23"/>
  <c r="DC333" i="23" s="1"/>
  <c r="DB342" i="23"/>
  <c r="DC342" i="23" s="1"/>
  <c r="DB347" i="23"/>
  <c r="DC347" i="23" s="1"/>
  <c r="DB315" i="23"/>
  <c r="DD317" i="23"/>
  <c r="DD318" i="23" s="1"/>
  <c r="DB324" i="23"/>
  <c r="DE325" i="23"/>
  <c r="DD326" i="23"/>
  <c r="DB329" i="23"/>
  <c r="DE330" i="23"/>
  <c r="DD331" i="23"/>
  <c r="DB330" i="23"/>
  <c r="DE331" i="23"/>
  <c r="DD332" i="23"/>
  <c r="DB335" i="23"/>
  <c r="DC335" i="23" s="1"/>
  <c r="BX348" i="23"/>
  <c r="BY348" i="23" s="1"/>
  <c r="BX345" i="23"/>
  <c r="BY345" i="23" s="1"/>
  <c r="BX329" i="23"/>
  <c r="BX328" i="23"/>
  <c r="BX333" i="23"/>
  <c r="BY333" i="23" s="1"/>
  <c r="BX342" i="23"/>
  <c r="BY342" i="23" s="1"/>
  <c r="BX347" i="23"/>
  <c r="BY347" i="23" s="1"/>
  <c r="BX315" i="23"/>
  <c r="BX322" i="23"/>
  <c r="BX327" i="23"/>
  <c r="BR331" i="23"/>
  <c r="BS331" i="23" s="1"/>
  <c r="BR342" i="23"/>
  <c r="BS342" i="23" s="1"/>
  <c r="BR338" i="23"/>
  <c r="BS338" i="23" s="1"/>
  <c r="BR343" i="23"/>
  <c r="BS343" i="23" s="1"/>
  <c r="BR320" i="23"/>
  <c r="BR325" i="23"/>
  <c r="BR332" i="23"/>
  <c r="BS332" i="23" s="1"/>
  <c r="BR337" i="23"/>
  <c r="BS337" i="23" s="1"/>
  <c r="DH350" i="23"/>
  <c r="DH318" i="23"/>
  <c r="DH323" i="23"/>
  <c r="DH332" i="23"/>
  <c r="DI332" i="23" s="1"/>
  <c r="DH337" i="23"/>
  <c r="DI337" i="23" s="1"/>
  <c r="DH338" i="23"/>
  <c r="DH343" i="23"/>
  <c r="DH320" i="23"/>
  <c r="DH325" i="23"/>
  <c r="CV339" i="23"/>
  <c r="CW339" i="23" s="1"/>
  <c r="CV318" i="23"/>
  <c r="CY319" i="23"/>
  <c r="CX320" i="23"/>
  <c r="CV315" i="23"/>
  <c r="CX317" i="23"/>
  <c r="CY317" i="23" s="1"/>
  <c r="CV322" i="23"/>
  <c r="CY323" i="23"/>
  <c r="CX324" i="23"/>
  <c r="CV327" i="23"/>
  <c r="CX329" i="23"/>
  <c r="CY328" i="23"/>
  <c r="CV328" i="23"/>
  <c r="CX330" i="23"/>
  <c r="CY329" i="23"/>
  <c r="CV333" i="23"/>
  <c r="CW333" i="23" s="1"/>
  <c r="CV340" i="23"/>
  <c r="CW340" i="23" s="1"/>
  <c r="CV345" i="23"/>
  <c r="CW345" i="23" s="1"/>
  <c r="CV314" i="23"/>
  <c r="CW314" i="23" s="1"/>
  <c r="CX316" i="23"/>
  <c r="CY316" i="23" s="1"/>
  <c r="CY315" i="23"/>
  <c r="DT346" i="23"/>
  <c r="DU346" i="23" s="1"/>
  <c r="DV348" i="23"/>
  <c r="DW347" i="23"/>
  <c r="DT351" i="23"/>
  <c r="DU351" i="23" s="1"/>
  <c r="DW352" i="23"/>
  <c r="DT319" i="23"/>
  <c r="DU319" i="23" s="1"/>
  <c r="DV321" i="23"/>
  <c r="DW320" i="23"/>
  <c r="DT328" i="23"/>
  <c r="DU328" i="23" s="1"/>
  <c r="DV330" i="23"/>
  <c r="DW329" i="23"/>
  <c r="DT333" i="23"/>
  <c r="DU333" i="23" s="1"/>
  <c r="DV335" i="23"/>
  <c r="DW334" i="23"/>
  <c r="DT342" i="23"/>
  <c r="DU342" i="23" s="1"/>
  <c r="DV344" i="23"/>
  <c r="DW343" i="23"/>
  <c r="DT347" i="23"/>
  <c r="DU347" i="23" s="1"/>
  <c r="DV349" i="23"/>
  <c r="DW348" i="23"/>
  <c r="DT315" i="23"/>
  <c r="DU315" i="23" s="1"/>
  <c r="DV317" i="23"/>
  <c r="DW316" i="23"/>
  <c r="DT324" i="23"/>
  <c r="DU324" i="23" s="1"/>
  <c r="DV326" i="23"/>
  <c r="DW325" i="23"/>
  <c r="DT329" i="23"/>
  <c r="DU329" i="23" s="1"/>
  <c r="DV331" i="23"/>
  <c r="DW330" i="23"/>
  <c r="DN340" i="23"/>
  <c r="DO340" i="23" s="1"/>
  <c r="DN345" i="23"/>
  <c r="DO345" i="23" s="1"/>
  <c r="DN346" i="23"/>
  <c r="DO346" i="23" s="1"/>
  <c r="DN351" i="23"/>
  <c r="DO351" i="23" s="1"/>
  <c r="DN319" i="23"/>
  <c r="DO319" i="23" s="1"/>
  <c r="DN328" i="23"/>
  <c r="DO328" i="23" s="1"/>
  <c r="DN333" i="23"/>
  <c r="DO333" i="23" s="1"/>
  <c r="DN342" i="23"/>
  <c r="DO342" i="23" s="1"/>
  <c r="DN347" i="23"/>
  <c r="DO347" i="23" s="1"/>
  <c r="DN315" i="23"/>
  <c r="DO315" i="23" s="1"/>
  <c r="CJ342" i="23"/>
  <c r="CK342" i="23" s="1"/>
  <c r="CJ339" i="23"/>
  <c r="CK339" i="23" s="1"/>
  <c r="CJ318" i="23"/>
  <c r="CJ330" i="23"/>
  <c r="CJ335" i="23"/>
  <c r="CK335" i="23" s="1"/>
  <c r="CJ344" i="23"/>
  <c r="CK344" i="23" s="1"/>
  <c r="CJ349" i="23"/>
  <c r="CK349" i="23" s="1"/>
  <c r="CJ317" i="23"/>
  <c r="CJ324" i="23"/>
  <c r="CJ329" i="23"/>
  <c r="BL341" i="23"/>
  <c r="BM341" i="23" s="1"/>
  <c r="BL324" i="23"/>
  <c r="BL321" i="23"/>
  <c r="BL343" i="23"/>
  <c r="BM343" i="23" s="1"/>
  <c r="BL342" i="23"/>
  <c r="BM342" i="23" s="1"/>
  <c r="BL328" i="23"/>
  <c r="BL319" i="23"/>
  <c r="BL347" i="23"/>
  <c r="BM347" i="23" s="1"/>
  <c r="BL346" i="23"/>
  <c r="BM346" i="23" s="1"/>
  <c r="CD331" i="23"/>
  <c r="CE331" i="23" s="1"/>
  <c r="CD319" i="23"/>
  <c r="CD342" i="23"/>
  <c r="CD328" i="23"/>
  <c r="CD337" i="23"/>
  <c r="CE337" i="23" s="1"/>
  <c r="CD347" i="23"/>
  <c r="CD346" i="23"/>
  <c r="CD335" i="23"/>
  <c r="CE335" i="23" s="1"/>
  <c r="CD332" i="23"/>
  <c r="CE332" i="23" s="1"/>
  <c r="CD345" i="23"/>
  <c r="CP324" i="23"/>
  <c r="CR326" i="23"/>
  <c r="CS325" i="23"/>
  <c r="CP319" i="23"/>
  <c r="CR321" i="23"/>
  <c r="CR322" i="23" s="1"/>
  <c r="CP329" i="23"/>
  <c r="CR331" i="23"/>
  <c r="CS330" i="23"/>
  <c r="CP342" i="23"/>
  <c r="CQ342" i="23" s="1"/>
  <c r="CP314" i="23"/>
  <c r="CQ314" i="23" s="1"/>
  <c r="CS315" i="23"/>
  <c r="CR316" i="23"/>
  <c r="CS316" i="23" s="1"/>
  <c r="CP328" i="23"/>
  <c r="CS329" i="23"/>
  <c r="CR330" i="23"/>
  <c r="CP327" i="23"/>
  <c r="CR329" i="23"/>
  <c r="CS328" i="23"/>
  <c r="CP335" i="23"/>
  <c r="CQ335" i="23" s="1"/>
  <c r="CP346" i="23"/>
  <c r="CQ346" i="23" s="1"/>
  <c r="DB320" i="23"/>
  <c r="DE321" i="23"/>
  <c r="DD322" i="23"/>
  <c r="DB325" i="23"/>
  <c r="DD327" i="23"/>
  <c r="DE326" i="23"/>
  <c r="DB334" i="23"/>
  <c r="DC334" i="23" s="1"/>
  <c r="DB339" i="23"/>
  <c r="DC339" i="23" s="1"/>
  <c r="DB348" i="23"/>
  <c r="DC348" i="23" s="1"/>
  <c r="DB316" i="23"/>
  <c r="DE317" i="23"/>
  <c r="DB321" i="23"/>
  <c r="DE322" i="23"/>
  <c r="DD323" i="23"/>
  <c r="DB322" i="23"/>
  <c r="DE323" i="23"/>
  <c r="DD324" i="23"/>
  <c r="DB327" i="23"/>
  <c r="DE328" i="23"/>
  <c r="DD329" i="23"/>
  <c r="BX316" i="23"/>
  <c r="BX332" i="23"/>
  <c r="BY332" i="23" s="1"/>
  <c r="BX320" i="23"/>
  <c r="BX325" i="23"/>
  <c r="BX334" i="23"/>
  <c r="BY334" i="23" s="1"/>
  <c r="BX339" i="23"/>
  <c r="BY339" i="23" s="1"/>
  <c r="BX346" i="23"/>
  <c r="BY346" i="23" s="1"/>
  <c r="BX319" i="23"/>
  <c r="BR334" i="23"/>
  <c r="BS334" i="23" s="1"/>
  <c r="BR350" i="23"/>
  <c r="BS350" i="23" s="1"/>
  <c r="BR347" i="23"/>
  <c r="BS347" i="23" s="1"/>
  <c r="BR330" i="23"/>
  <c r="BR335" i="23"/>
  <c r="BS335" i="23" s="1"/>
  <c r="BR344" i="23"/>
  <c r="BS344" i="23" s="1"/>
  <c r="BR349" i="23"/>
  <c r="BR317" i="23"/>
  <c r="BR324" i="23"/>
  <c r="BR329" i="23"/>
  <c r="DH342" i="23"/>
  <c r="DH347" i="23"/>
  <c r="DH315" i="23"/>
  <c r="DH324" i="23"/>
  <c r="DH329" i="23"/>
  <c r="DH330" i="23"/>
  <c r="DH335" i="23"/>
  <c r="DI335" i="23" s="1"/>
  <c r="DH344" i="23"/>
  <c r="DH349" i="23"/>
  <c r="DI349" i="23" s="1"/>
  <c r="DH317" i="23"/>
  <c r="CV326" i="23"/>
  <c r="CY327" i="23"/>
  <c r="CX328" i="23"/>
  <c r="CV323" i="23"/>
  <c r="CY324" i="23"/>
  <c r="CX325" i="23"/>
  <c r="CV346" i="23"/>
  <c r="CW346" i="23" s="1"/>
  <c r="CV319" i="23"/>
  <c r="CX321" i="23"/>
  <c r="CY320" i="23"/>
  <c r="CV320" i="23"/>
  <c r="CY321" i="23"/>
  <c r="CX322" i="23"/>
  <c r="CV325" i="23"/>
  <c r="CY326" i="23"/>
  <c r="CX327" i="23"/>
  <c r="CV332" i="23"/>
  <c r="CW332" i="23" s="1"/>
  <c r="CV337" i="23"/>
  <c r="CW337" i="23" s="1"/>
  <c r="AY314" i="23"/>
  <c r="AY319" i="23"/>
  <c r="AY327" i="23"/>
  <c r="AY335" i="23"/>
  <c r="AY343" i="23"/>
  <c r="AY351" i="23"/>
  <c r="AZ351" i="23" s="1"/>
  <c r="BA351" i="23" s="1"/>
  <c r="AY322" i="23"/>
  <c r="AY330" i="23"/>
  <c r="AY338" i="23"/>
  <c r="AY346" i="23"/>
  <c r="AY321" i="23"/>
  <c r="AY329" i="23"/>
  <c r="AY337" i="23"/>
  <c r="AY345" i="23"/>
  <c r="AY316" i="23"/>
  <c r="AY324" i="23"/>
  <c r="AY332" i="23"/>
  <c r="AY340" i="23"/>
  <c r="AY348" i="23"/>
  <c r="AY315" i="23"/>
  <c r="AY323" i="23"/>
  <c r="AY331" i="23"/>
  <c r="AY339" i="23"/>
  <c r="AY347" i="23"/>
  <c r="AY318" i="23"/>
  <c r="AY326" i="23"/>
  <c r="AY334" i="23"/>
  <c r="AY342" i="23"/>
  <c r="AY350" i="23"/>
  <c r="AY317" i="23"/>
  <c r="AY325" i="23"/>
  <c r="AY333" i="23"/>
  <c r="AY341" i="23"/>
  <c r="AY349" i="23"/>
  <c r="AY320" i="23"/>
  <c r="AY328" i="23"/>
  <c r="AY336" i="23"/>
  <c r="AY344" i="23"/>
  <c r="AY352" i="23"/>
  <c r="AZ352" i="23" s="1"/>
  <c r="BA352" i="23" s="1"/>
  <c r="DT338" i="23"/>
  <c r="DU338" i="23" s="1"/>
  <c r="DV340" i="23"/>
  <c r="DW339" i="23"/>
  <c r="DT343" i="23"/>
  <c r="DU343" i="23" s="1"/>
  <c r="DV345" i="23"/>
  <c r="DW344" i="23"/>
  <c r="DT320" i="23"/>
  <c r="DU320" i="23" s="1"/>
  <c r="DV322" i="23"/>
  <c r="DW321" i="23"/>
  <c r="DT325" i="23"/>
  <c r="DU325" i="23" s="1"/>
  <c r="DV327" i="23"/>
  <c r="DW326" i="23"/>
  <c r="DT334" i="23"/>
  <c r="DU334" i="23" s="1"/>
  <c r="DV336" i="23"/>
  <c r="DW335" i="23"/>
  <c r="DT339" i="23"/>
  <c r="DU339" i="23" s="1"/>
  <c r="DV341" i="23"/>
  <c r="DW340" i="23"/>
  <c r="DT348" i="23"/>
  <c r="DU348" i="23" s="1"/>
  <c r="DV350" i="23"/>
  <c r="DW349" i="23"/>
  <c r="DT316" i="23"/>
  <c r="DU316" i="23" s="1"/>
  <c r="DW317" i="23"/>
  <c r="DV318" i="23"/>
  <c r="DT321" i="23"/>
  <c r="DU321" i="23" s="1"/>
  <c r="DV323" i="23"/>
  <c r="DW322" i="23"/>
  <c r="DN332" i="23"/>
  <c r="DO332" i="23" s="1"/>
  <c r="DN337" i="23"/>
  <c r="DO337" i="23" s="1"/>
  <c r="DN338" i="23"/>
  <c r="DO338" i="23" s="1"/>
  <c r="DN343" i="23"/>
  <c r="DO343" i="23" s="1"/>
  <c r="DN320" i="23"/>
  <c r="DO320" i="23" s="1"/>
  <c r="DN325" i="23"/>
  <c r="DO325" i="23" s="1"/>
  <c r="DN334" i="23"/>
  <c r="DO334" i="23" s="1"/>
  <c r="DN339" i="23"/>
  <c r="DO339" i="23" s="1"/>
  <c r="DN314" i="23"/>
  <c r="DO314" i="23" s="1"/>
  <c r="CJ347" i="23"/>
  <c r="CK347" i="23" s="1"/>
  <c r="CJ326" i="23"/>
  <c r="CJ323" i="23"/>
  <c r="CJ322" i="23"/>
  <c r="CJ327" i="23"/>
  <c r="CJ336" i="23"/>
  <c r="CK336" i="23" s="1"/>
  <c r="CJ341" i="23"/>
  <c r="CK341" i="23" s="1"/>
  <c r="CJ348" i="23"/>
  <c r="CK348" i="23" s="1"/>
  <c r="CJ316" i="23"/>
  <c r="CJ321" i="23"/>
  <c r="BL327" i="23"/>
  <c r="BL332" i="23"/>
  <c r="BM332" i="23" s="1"/>
  <c r="BL325" i="23"/>
  <c r="BL318" i="23"/>
  <c r="BL350" i="23"/>
  <c r="BM350" i="23" s="1"/>
  <c r="BL335" i="23"/>
  <c r="BL336" i="23"/>
  <c r="BL333" i="23"/>
  <c r="BL322" i="23"/>
  <c r="BL315" i="23"/>
  <c r="CD320" i="23"/>
  <c r="CD318" i="23"/>
  <c r="CD350" i="23"/>
  <c r="CE350" i="23" s="1"/>
  <c r="CD336" i="23"/>
  <c r="CE336" i="23" s="1"/>
  <c r="CD314" i="23"/>
  <c r="CE314" i="23" s="1"/>
  <c r="CD322" i="23"/>
  <c r="CD323" i="23"/>
  <c r="CD315" i="23"/>
  <c r="CD340" i="23"/>
  <c r="CP325" i="23"/>
  <c r="CS326" i="23"/>
  <c r="CR327" i="23"/>
  <c r="CP332" i="23"/>
  <c r="CQ332" i="23" s="1"/>
  <c r="CP337" i="23"/>
  <c r="CQ337" i="23" s="1"/>
  <c r="CP318" i="23"/>
  <c r="CS319" i="23"/>
  <c r="CP350" i="23"/>
  <c r="CQ350" i="23" s="1"/>
  <c r="CP347" i="23"/>
  <c r="CQ347" i="23" s="1"/>
  <c r="CP336" i="23"/>
  <c r="CQ336" i="23" s="1"/>
  <c r="CP341" i="23"/>
  <c r="CQ341" i="23" s="1"/>
  <c r="CP322" i="23"/>
  <c r="CR324" i="23"/>
  <c r="CS323" i="23"/>
  <c r="CP315" i="23"/>
  <c r="CR317" i="23"/>
  <c r="CS317" i="23" s="1"/>
  <c r="DB344" i="23"/>
  <c r="DC344" i="23" s="1"/>
  <c r="DB349" i="23"/>
  <c r="DC349" i="23" s="1"/>
  <c r="DB317" i="23"/>
  <c r="DD319" i="23"/>
  <c r="DE318" i="23"/>
  <c r="DB326" i="23"/>
  <c r="DD328" i="23"/>
  <c r="DE327" i="23"/>
  <c r="DB331" i="23"/>
  <c r="DC331" i="23" s="1"/>
  <c r="DB340" i="23"/>
  <c r="DC340" i="23" s="1"/>
  <c r="DB345" i="23"/>
  <c r="DC345" i="23" s="1"/>
  <c r="DB346" i="23"/>
  <c r="DC346" i="23" s="1"/>
  <c r="DB319" i="23"/>
  <c r="DE320" i="23"/>
  <c r="DD321" i="23"/>
  <c r="BX321" i="23"/>
  <c r="BX337" i="23"/>
  <c r="BY337" i="23" s="1"/>
  <c r="BX344" i="23"/>
  <c r="BY344" i="23" s="1"/>
  <c r="BX349" i="23"/>
  <c r="BX317" i="23"/>
  <c r="BX326" i="23"/>
  <c r="BX331" i="23"/>
  <c r="BY331" i="23" s="1"/>
  <c r="BX338" i="23"/>
  <c r="BY338" i="23" s="1"/>
  <c r="BX343" i="23"/>
  <c r="BY343" i="23" s="1"/>
  <c r="BX314" i="23"/>
  <c r="BY314" i="23" s="1"/>
  <c r="BR339" i="23"/>
  <c r="BS339" i="23" s="1"/>
  <c r="BR318" i="23"/>
  <c r="BR315" i="23"/>
  <c r="BR322" i="23"/>
  <c r="BR327" i="23"/>
  <c r="BR336" i="23"/>
  <c r="BS336" i="23" s="1"/>
  <c r="BR341" i="23"/>
  <c r="BS341" i="23" s="1"/>
  <c r="BR348" i="23"/>
  <c r="BR316" i="23"/>
  <c r="BR321" i="23"/>
  <c r="DH334" i="23"/>
  <c r="DI334" i="23" s="1"/>
  <c r="DH339" i="23"/>
  <c r="DH348" i="23"/>
  <c r="DI348" i="23" s="1"/>
  <c r="DH316" i="23"/>
  <c r="DH321" i="23"/>
  <c r="DH322" i="23"/>
  <c r="DH327" i="23"/>
  <c r="DH336" i="23"/>
  <c r="DI336" i="23" s="1"/>
  <c r="DH341" i="23"/>
  <c r="DH314" i="23"/>
  <c r="DI314" i="23" s="1"/>
  <c r="CV331" i="23"/>
  <c r="CW331" i="23" s="1"/>
  <c r="CV342" i="23"/>
  <c r="CW342" i="23" s="1"/>
  <c r="CV338" i="23"/>
  <c r="CW338" i="23" s="1"/>
  <c r="CV343" i="23"/>
  <c r="CW343" i="23" s="1"/>
  <c r="CV344" i="23"/>
  <c r="CW344" i="23" s="1"/>
  <c r="CV349" i="23"/>
  <c r="CW349" i="23" s="1"/>
  <c r="CV317" i="23"/>
  <c r="CY318" i="23"/>
  <c r="CX319" i="23"/>
  <c r="CV324" i="23"/>
  <c r="CY325" i="23"/>
  <c r="CX326" i="23"/>
  <c r="CV329" i="23"/>
  <c r="CX331" i="23"/>
  <c r="CY330" i="23"/>
  <c r="BE314" i="23"/>
  <c r="BE319" i="23"/>
  <c r="BE327" i="23"/>
  <c r="BE335" i="23"/>
  <c r="BE343" i="23"/>
  <c r="BE351" i="23"/>
  <c r="BF351" i="23" s="1"/>
  <c r="BG351" i="23" s="1"/>
  <c r="BE317" i="23"/>
  <c r="BE325" i="23"/>
  <c r="BE333" i="23"/>
  <c r="BE341" i="23"/>
  <c r="BE315" i="23"/>
  <c r="BE331" i="23"/>
  <c r="BE347" i="23"/>
  <c r="BE320" i="23"/>
  <c r="BE328" i="23"/>
  <c r="BE336" i="23"/>
  <c r="BE344" i="23"/>
  <c r="BE352" i="23"/>
  <c r="BF352" i="23" s="1"/>
  <c r="BG352" i="23" s="1"/>
  <c r="BE321" i="23"/>
  <c r="BE337" i="23"/>
  <c r="BE349" i="23"/>
  <c r="BE322" i="23"/>
  <c r="BE330" i="23"/>
  <c r="BE338" i="23"/>
  <c r="BE346" i="23"/>
  <c r="BE323" i="23"/>
  <c r="BE339" i="23"/>
  <c r="BE316" i="23"/>
  <c r="BE324" i="23"/>
  <c r="BE332" i="23"/>
  <c r="BE340" i="23"/>
  <c r="BE348" i="23"/>
  <c r="BE329" i="23"/>
  <c r="BE345" i="23"/>
  <c r="BE318" i="23"/>
  <c r="BE326" i="23"/>
  <c r="BE334" i="23"/>
  <c r="BE342" i="23"/>
  <c r="BE350" i="23"/>
  <c r="DT330" i="23"/>
  <c r="DU330" i="23" s="1"/>
  <c r="DV332" i="23"/>
  <c r="DW331" i="23"/>
  <c r="DT335" i="23"/>
  <c r="DU335" i="23" s="1"/>
  <c r="DV337" i="23"/>
  <c r="DW336" i="23"/>
  <c r="DT344" i="23"/>
  <c r="DU344" i="23" s="1"/>
  <c r="DV346" i="23"/>
  <c r="DW345" i="23"/>
  <c r="DT349" i="23"/>
  <c r="DU349" i="23" s="1"/>
  <c r="DV351" i="23"/>
  <c r="DW350" i="23"/>
  <c r="DT317" i="23"/>
  <c r="DU317" i="23" s="1"/>
  <c r="DV319" i="23"/>
  <c r="DW318" i="23"/>
  <c r="DT326" i="23"/>
  <c r="DU326" i="23" s="1"/>
  <c r="DW327" i="23"/>
  <c r="DV328" i="23"/>
  <c r="DT331" i="23"/>
  <c r="DU331" i="23" s="1"/>
  <c r="DV333" i="23"/>
  <c r="DW332" i="23"/>
  <c r="DT340" i="23"/>
  <c r="DU340" i="23" s="1"/>
  <c r="DV342" i="23"/>
  <c r="DW341" i="23"/>
  <c r="DT345" i="23"/>
  <c r="DU345" i="23" s="1"/>
  <c r="DV347" i="23"/>
  <c r="DW346" i="23"/>
  <c r="DT314" i="23"/>
  <c r="DU314" i="23" s="1"/>
  <c r="DW315" i="23"/>
  <c r="DV316" i="23"/>
  <c r="DN324" i="23"/>
  <c r="DO324" i="23" s="1"/>
  <c r="DN329" i="23"/>
  <c r="DO329" i="23" s="1"/>
  <c r="DN330" i="23"/>
  <c r="DO330" i="23" s="1"/>
  <c r="DN335" i="23"/>
  <c r="DO335" i="23" s="1"/>
  <c r="DN344" i="23"/>
  <c r="DO344" i="23" s="1"/>
  <c r="DN349" i="23"/>
  <c r="DO349" i="23" s="1"/>
  <c r="DN317" i="23"/>
  <c r="DO317" i="23" s="1"/>
  <c r="DN326" i="23"/>
  <c r="DO326" i="23" s="1"/>
  <c r="DN331" i="23"/>
  <c r="DO331" i="23" s="1"/>
  <c r="CJ315" i="23"/>
  <c r="CJ331" i="23"/>
  <c r="CK331" i="23" s="1"/>
  <c r="CJ346" i="23"/>
  <c r="CK346" i="23" s="1"/>
  <c r="CJ319" i="23"/>
  <c r="CJ328" i="23"/>
  <c r="CJ333" i="23"/>
  <c r="CK333" i="23" s="1"/>
  <c r="CJ340" i="23"/>
  <c r="CK340" i="23" s="1"/>
  <c r="CJ345" i="23"/>
  <c r="CK345" i="23" s="1"/>
  <c r="CJ314" i="23"/>
  <c r="CK314" i="23" s="1"/>
  <c r="BL339" i="23"/>
  <c r="BM339" i="23" s="1"/>
  <c r="BL340" i="23"/>
  <c r="BM340" i="23" s="1"/>
  <c r="BL349" i="23"/>
  <c r="BL326" i="23"/>
  <c r="BL314" i="23"/>
  <c r="BM314" i="23" s="1"/>
  <c r="BL345" i="23"/>
  <c r="BM345" i="23" s="1"/>
  <c r="BL344" i="23"/>
  <c r="BM344" i="23" s="1"/>
  <c r="BL317" i="23"/>
  <c r="BL330" i="23"/>
  <c r="CD325" i="23"/>
  <c r="CD321" i="23"/>
  <c r="CD326" i="23"/>
  <c r="CD333" i="23"/>
  <c r="CE333" i="23" s="1"/>
  <c r="CD344" i="23"/>
  <c r="CD327" i="23"/>
  <c r="CD330" i="23"/>
  <c r="CD343" i="23"/>
  <c r="CD316" i="23"/>
  <c r="CD348" i="23"/>
  <c r="CE348" i="23" s="1"/>
  <c r="CP317" i="23"/>
  <c r="CS318" i="23"/>
  <c r="CP340" i="23"/>
  <c r="CQ340" i="23" s="1"/>
  <c r="CP326" i="23"/>
  <c r="CS327" i="23"/>
  <c r="CR328" i="23"/>
  <c r="CP323" i="23"/>
  <c r="CS324" i="23"/>
  <c r="CR325" i="23"/>
  <c r="CP333" i="23"/>
  <c r="CQ333" i="23" s="1"/>
  <c r="CP344" i="23"/>
  <c r="CQ344" i="23" s="1"/>
  <c r="CP321" i="23"/>
  <c r="CR323" i="23"/>
  <c r="CS322" i="23"/>
  <c r="CP330" i="23"/>
  <c r="CR332" i="23"/>
  <c r="CS331" i="23"/>
  <c r="CP331" i="23"/>
  <c r="CQ331" i="23" s="1"/>
  <c r="DB336" i="23"/>
  <c r="DC336" i="23" s="1"/>
  <c r="DB341" i="23"/>
  <c r="DC341" i="23" s="1"/>
  <c r="DB350" i="23"/>
  <c r="DC350" i="23" s="1"/>
  <c r="DB318" i="23"/>
  <c r="DE319" i="23"/>
  <c r="DD320" i="23"/>
  <c r="DB323" i="23"/>
  <c r="DD325" i="23"/>
  <c r="DE324" i="23"/>
  <c r="DB332" i="23"/>
  <c r="DC332" i="23" s="1"/>
  <c r="DB337" i="23"/>
  <c r="DC337" i="23" s="1"/>
  <c r="DB338" i="23"/>
  <c r="DC338" i="23" s="1"/>
  <c r="DB343" i="23"/>
  <c r="DC343" i="23" s="1"/>
  <c r="DB314" i="23"/>
  <c r="DC314" i="23" s="1"/>
  <c r="DE315" i="23"/>
  <c r="DD316" i="23"/>
  <c r="DE316" i="23" s="1"/>
  <c r="BX340" i="23"/>
  <c r="BY340" i="23" s="1"/>
  <c r="BX324" i="23"/>
  <c r="BX336" i="23"/>
  <c r="BY336" i="23" s="1"/>
  <c r="BX341" i="23"/>
  <c r="BY341" i="23" s="1"/>
  <c r="BX350" i="23"/>
  <c r="BY350" i="23" s="1"/>
  <c r="BX318" i="23"/>
  <c r="BX323" i="23"/>
  <c r="BX330" i="23"/>
  <c r="BX335" i="23"/>
  <c r="BY335" i="23" s="1"/>
  <c r="BR326" i="23"/>
  <c r="BR323" i="23"/>
  <c r="BR346" i="23"/>
  <c r="BS346" i="23" s="1"/>
  <c r="BR319" i="23"/>
  <c r="BR328" i="23"/>
  <c r="BR333" i="23"/>
  <c r="BS333" i="23" s="1"/>
  <c r="BR340" i="23"/>
  <c r="BS340" i="23" s="1"/>
  <c r="BR345" i="23"/>
  <c r="BS345" i="23" s="1"/>
  <c r="BR314" i="23"/>
  <c r="BS314" i="23" s="1"/>
  <c r="DH326" i="23"/>
  <c r="DH331" i="23"/>
  <c r="DI331" i="23" s="1"/>
  <c r="DH340" i="23"/>
  <c r="DH345" i="23"/>
  <c r="DH346" i="23"/>
  <c r="DH319" i="23"/>
  <c r="DH328" i="23"/>
  <c r="DH333" i="23"/>
  <c r="DI333" i="23" s="1"/>
  <c r="CV334" i="23"/>
  <c r="CW334" i="23" s="1"/>
  <c r="CV350" i="23"/>
  <c r="CW350" i="23" s="1"/>
  <c r="CV347" i="23"/>
  <c r="CW347" i="23" s="1"/>
  <c r="CV330" i="23"/>
  <c r="CX332" i="23"/>
  <c r="CY331" i="23"/>
  <c r="CV335" i="23"/>
  <c r="CW335" i="23" s="1"/>
  <c r="CV336" i="23"/>
  <c r="CW336" i="23" s="1"/>
  <c r="CV341" i="23"/>
  <c r="CW341" i="23" s="1"/>
  <c r="CV348" i="23"/>
  <c r="CW348" i="23" s="1"/>
  <c r="CV316" i="23"/>
  <c r="CX318" i="23"/>
  <c r="CV321" i="23"/>
  <c r="CX323" i="23"/>
  <c r="CY322" i="23"/>
  <c r="CQ205" i="23"/>
  <c r="CP206" i="23"/>
  <c r="CD206" i="23"/>
  <c r="CE205" i="23"/>
  <c r="CJ205" i="23"/>
  <c r="CK204" i="23"/>
  <c r="BS205" i="23"/>
  <c r="BR206" i="23"/>
  <c r="BX209" i="23"/>
  <c r="BY208" i="23"/>
  <c r="AZ208" i="23"/>
  <c r="BA207" i="23"/>
  <c r="A285" i="23"/>
  <c r="B284" i="23"/>
  <c r="C284" i="23" s="1"/>
  <c r="L325" i="23" l="1"/>
  <c r="M324" i="23"/>
  <c r="AW322" i="23"/>
  <c r="AV323" i="23"/>
  <c r="AI338" i="23"/>
  <c r="BM315" i="23"/>
  <c r="BM316" i="23" s="1"/>
  <c r="BM317" i="23" s="1"/>
  <c r="BM318" i="23" s="1"/>
  <c r="BM319" i="23" s="1"/>
  <c r="BM320" i="23" s="1"/>
  <c r="AE322" i="23"/>
  <c r="AD323" i="23"/>
  <c r="X321" i="23"/>
  <c r="Y320" i="23"/>
  <c r="BS315" i="23"/>
  <c r="BS316" i="23" s="1"/>
  <c r="BS317" i="23" s="1"/>
  <c r="DI315" i="23"/>
  <c r="DO350" i="23"/>
  <c r="DQ315" i="23" s="1"/>
  <c r="R324" i="23"/>
  <c r="S323" i="23"/>
  <c r="CQ315" i="23"/>
  <c r="CQ316" i="23" s="1"/>
  <c r="CQ317" i="23" s="1"/>
  <c r="BF350" i="23"/>
  <c r="BG350" i="23" s="1"/>
  <c r="BF318" i="23"/>
  <c r="BF340" i="23"/>
  <c r="BG340" i="23" s="1"/>
  <c r="BF339" i="23"/>
  <c r="BG339" i="23" s="1"/>
  <c r="BF330" i="23"/>
  <c r="BF321" i="23"/>
  <c r="BF328" i="23"/>
  <c r="BF315" i="23"/>
  <c r="BF317" i="23"/>
  <c r="BF327" i="23"/>
  <c r="CE315" i="23"/>
  <c r="BF342" i="23"/>
  <c r="BG342" i="23" s="1"/>
  <c r="BF345" i="23"/>
  <c r="BG345" i="23" s="1"/>
  <c r="BF332" i="23"/>
  <c r="BG332" i="23" s="1"/>
  <c r="BF323" i="23"/>
  <c r="BF322" i="23"/>
  <c r="BF320" i="23"/>
  <c r="BF341" i="23"/>
  <c r="BG341" i="23" s="1"/>
  <c r="BF319" i="23"/>
  <c r="CK315" i="23"/>
  <c r="CK316" i="23" s="1"/>
  <c r="BF334" i="23"/>
  <c r="BF329" i="23"/>
  <c r="BF324" i="23"/>
  <c r="BF346" i="23"/>
  <c r="BG346" i="23" s="1"/>
  <c r="BF349" i="23"/>
  <c r="BF344" i="23"/>
  <c r="BG344" i="23" s="1"/>
  <c r="BF347" i="23"/>
  <c r="BG347" i="23" s="1"/>
  <c r="BF333" i="23"/>
  <c r="BF343" i="23"/>
  <c r="BG343" i="23" s="1"/>
  <c r="BF314" i="23"/>
  <c r="BG314" i="23" s="1"/>
  <c r="BF326" i="23"/>
  <c r="BF348" i="23"/>
  <c r="BF316" i="23"/>
  <c r="BF338" i="23"/>
  <c r="BG338" i="23" s="1"/>
  <c r="BF337" i="23"/>
  <c r="BG337" i="23" s="1"/>
  <c r="BF336" i="23"/>
  <c r="BF331" i="23"/>
  <c r="BG331" i="23" s="1"/>
  <c r="BF325" i="23"/>
  <c r="BF335" i="23"/>
  <c r="AZ336" i="23"/>
  <c r="AZ341" i="23"/>
  <c r="BA341" i="23" s="1"/>
  <c r="AZ350" i="23"/>
  <c r="BA350" i="23" s="1"/>
  <c r="AZ318" i="23"/>
  <c r="AZ323" i="23"/>
  <c r="AZ332" i="23"/>
  <c r="BA332" i="23" s="1"/>
  <c r="AZ337" i="23"/>
  <c r="BA337" i="23" s="1"/>
  <c r="AZ338" i="23"/>
  <c r="BA338" i="23" s="1"/>
  <c r="AZ343" i="23"/>
  <c r="BA343" i="23" s="1"/>
  <c r="AZ314" i="23"/>
  <c r="BA314" i="23" s="1"/>
  <c r="AN345" i="23"/>
  <c r="AN332" i="23"/>
  <c r="AO332" i="23" s="1"/>
  <c r="AN322" i="23"/>
  <c r="AN327" i="23"/>
  <c r="AN328" i="23"/>
  <c r="AN333" i="23"/>
  <c r="AN344" i="23"/>
  <c r="AN326" i="23"/>
  <c r="AN331" i="23"/>
  <c r="AO331" i="23" s="1"/>
  <c r="AZ328" i="23"/>
  <c r="AZ333" i="23"/>
  <c r="AZ342" i="23"/>
  <c r="BA342" i="23" s="1"/>
  <c r="AZ347" i="23"/>
  <c r="BA347" i="23" s="1"/>
  <c r="AZ315" i="23"/>
  <c r="AZ324" i="23"/>
  <c r="AZ329" i="23"/>
  <c r="AZ330" i="23"/>
  <c r="AZ335" i="23"/>
  <c r="DC315" i="23"/>
  <c r="DC316" i="23" s="1"/>
  <c r="AN340" i="23"/>
  <c r="AN337" i="23"/>
  <c r="AO337" i="23" s="1"/>
  <c r="AN346" i="23"/>
  <c r="AN319" i="23"/>
  <c r="AN320" i="23"/>
  <c r="AN325" i="23"/>
  <c r="AN350" i="23"/>
  <c r="AO350" i="23" s="1"/>
  <c r="AN318" i="23"/>
  <c r="AN323" i="23"/>
  <c r="AZ320" i="23"/>
  <c r="AZ325" i="23"/>
  <c r="AZ334" i="23"/>
  <c r="AZ339" i="23"/>
  <c r="BA339" i="23" s="1"/>
  <c r="AZ348" i="23"/>
  <c r="AZ316" i="23"/>
  <c r="AZ321" i="23"/>
  <c r="AZ322" i="23"/>
  <c r="AZ327" i="23"/>
  <c r="CW315" i="23"/>
  <c r="BY315" i="23"/>
  <c r="BY316" i="23" s="1"/>
  <c r="AN324" i="23"/>
  <c r="AN329" i="23"/>
  <c r="AN338" i="23"/>
  <c r="AN343" i="23"/>
  <c r="AN352" i="23"/>
  <c r="AO352" i="23" s="1"/>
  <c r="AN349" i="23"/>
  <c r="AO349" i="23" s="1"/>
  <c r="AN317" i="23"/>
  <c r="AN342" i="23"/>
  <c r="AN347" i="23"/>
  <c r="AN315" i="23"/>
  <c r="AZ344" i="23"/>
  <c r="BA344" i="23" s="1"/>
  <c r="AZ349" i="23"/>
  <c r="AZ317" i="23"/>
  <c r="AZ326" i="23"/>
  <c r="AZ331" i="23"/>
  <c r="BA331" i="23" s="1"/>
  <c r="AZ340" i="23"/>
  <c r="BA340" i="23" s="1"/>
  <c r="AZ345" i="23"/>
  <c r="BA345" i="23" s="1"/>
  <c r="AZ346" i="23"/>
  <c r="BA346" i="23" s="1"/>
  <c r="AZ319" i="23"/>
  <c r="AN316" i="23"/>
  <c r="AN321" i="23"/>
  <c r="AN330" i="23"/>
  <c r="AN335" i="23"/>
  <c r="AN336" i="23"/>
  <c r="AN341" i="23"/>
  <c r="AO341" i="23" s="1"/>
  <c r="AN348" i="23"/>
  <c r="AN334" i="23"/>
  <c r="AN339" i="23"/>
  <c r="AN314" i="23"/>
  <c r="AO314" i="23" s="1"/>
  <c r="CQ206" i="23"/>
  <c r="CP207" i="23"/>
  <c r="CE206" i="23"/>
  <c r="CD207" i="23"/>
  <c r="BR207" i="23"/>
  <c r="BS206" i="23"/>
  <c r="CJ206" i="23"/>
  <c r="CK205" i="23"/>
  <c r="BY209" i="23"/>
  <c r="BX210" i="23"/>
  <c r="BY210" i="23" s="1"/>
  <c r="AZ209" i="23"/>
  <c r="BA208" i="23"/>
  <c r="A286" i="23"/>
  <c r="B285" i="23"/>
  <c r="C285" i="23" s="1"/>
  <c r="L326" i="23" l="1"/>
  <c r="M325" i="23"/>
  <c r="AW323" i="23"/>
  <c r="AV324" i="23"/>
  <c r="AI339" i="23"/>
  <c r="AI340" i="23" s="1"/>
  <c r="AI341" i="23" s="1"/>
  <c r="AI342" i="23" s="1"/>
  <c r="AI343" i="23" s="1"/>
  <c r="AI344" i="23" s="1"/>
  <c r="AI345" i="23" s="1"/>
  <c r="AI346" i="23" s="1"/>
  <c r="AI347" i="23" s="1"/>
  <c r="AO315" i="23"/>
  <c r="X322" i="23"/>
  <c r="Y321" i="23"/>
  <c r="AD324" i="23"/>
  <c r="AE323" i="23"/>
  <c r="BM321" i="23"/>
  <c r="BS318" i="23"/>
  <c r="DQ352" i="23"/>
  <c r="BA315" i="23"/>
  <c r="BA316" i="23" s="1"/>
  <c r="BA317" i="23" s="1"/>
  <c r="DP316" i="23"/>
  <c r="BG315" i="23"/>
  <c r="BG316" i="23" s="1"/>
  <c r="DI316" i="23"/>
  <c r="R325" i="23"/>
  <c r="S324" i="23"/>
  <c r="AO316" i="23"/>
  <c r="AO317" i="23" s="1"/>
  <c r="AO318" i="23" s="1"/>
  <c r="CE316" i="23"/>
  <c r="CK317" i="23"/>
  <c r="BY317" i="23"/>
  <c r="BY318" i="23" s="1"/>
  <c r="BY319" i="23" s="1"/>
  <c r="CQ318" i="23"/>
  <c r="DC317" i="23"/>
  <c r="CW316" i="23"/>
  <c r="CP208" i="23"/>
  <c r="CQ207" i="23"/>
  <c r="CD208" i="23"/>
  <c r="CE207" i="23"/>
  <c r="CJ207" i="23"/>
  <c r="CK206" i="23"/>
  <c r="BS207" i="23"/>
  <c r="BR208" i="23"/>
  <c r="AZ210" i="23"/>
  <c r="BA210" i="23" s="1"/>
  <c r="BA209" i="23"/>
  <c r="A287" i="23"/>
  <c r="B286" i="23"/>
  <c r="C286" i="23" s="1"/>
  <c r="M326" i="23" l="1"/>
  <c r="L327" i="23"/>
  <c r="AV325" i="23"/>
  <c r="AW324" i="23"/>
  <c r="AJ316" i="23"/>
  <c r="AK315" i="23"/>
  <c r="AD325" i="23"/>
  <c r="AE324" i="23"/>
  <c r="BM322" i="23"/>
  <c r="X323" i="23"/>
  <c r="Y322" i="23"/>
  <c r="BS319" i="23"/>
  <c r="BG317" i="23"/>
  <c r="BG318" i="23" s="1"/>
  <c r="DI317" i="23"/>
  <c r="DP317" i="23"/>
  <c r="DQ316" i="23"/>
  <c r="S325" i="23"/>
  <c r="R326" i="23"/>
  <c r="BA318" i="23"/>
  <c r="CQ319" i="23"/>
  <c r="CQ320" i="23" s="1"/>
  <c r="CQ321" i="23" s="1"/>
  <c r="CQ322" i="23" s="1"/>
  <c r="CQ323" i="23" s="1"/>
  <c r="CQ324" i="23" s="1"/>
  <c r="AO319" i="23"/>
  <c r="BY320" i="23"/>
  <c r="BY321" i="23" s="1"/>
  <c r="CK318" i="23"/>
  <c r="CE317" i="23"/>
  <c r="CE318" i="23" s="1"/>
  <c r="DC318" i="23"/>
  <c r="CW317" i="23"/>
  <c r="CP209" i="23"/>
  <c r="CQ208" i="23"/>
  <c r="CD209" i="23"/>
  <c r="CE208" i="23"/>
  <c r="BR209" i="23"/>
  <c r="BS208" i="23"/>
  <c r="CJ208" i="23"/>
  <c r="CK207" i="23"/>
  <c r="A288" i="23"/>
  <c r="B287" i="23"/>
  <c r="C287" i="23" s="1"/>
  <c r="M327" i="23" l="1"/>
  <c r="L328" i="23"/>
  <c r="BM323" i="23"/>
  <c r="BM324" i="23" s="1"/>
  <c r="BM325" i="23" s="1"/>
  <c r="AV326" i="23"/>
  <c r="AW325" i="23"/>
  <c r="BA319" i="23"/>
  <c r="BA320" i="23" s="1"/>
  <c r="BA321" i="23" s="1"/>
  <c r="BA322" i="23" s="1"/>
  <c r="AJ317" i="23"/>
  <c r="AK316" i="23"/>
  <c r="BG319" i="23"/>
  <c r="BG320" i="23" s="1"/>
  <c r="BG321" i="23" s="1"/>
  <c r="BG322" i="23" s="1"/>
  <c r="BG323" i="23" s="1"/>
  <c r="X324" i="23"/>
  <c r="Y323" i="23"/>
  <c r="AE325" i="23"/>
  <c r="AD326" i="23"/>
  <c r="BS320" i="23"/>
  <c r="DP318" i="23"/>
  <c r="DQ317" i="23"/>
  <c r="DI318" i="23"/>
  <c r="DI319" i="23" s="1"/>
  <c r="R327" i="23"/>
  <c r="S326" i="23"/>
  <c r="CQ325" i="23"/>
  <c r="CQ326" i="23" s="1"/>
  <c r="CQ327" i="23" s="1"/>
  <c r="CQ328" i="23" s="1"/>
  <c r="CQ329" i="23" s="1"/>
  <c r="CQ330" i="23" s="1"/>
  <c r="AO320" i="23"/>
  <c r="BY322" i="23"/>
  <c r="BY323" i="23" s="1"/>
  <c r="BY324" i="23" s="1"/>
  <c r="BY325" i="23" s="1"/>
  <c r="BY326" i="23" s="1"/>
  <c r="BY327" i="23" s="1"/>
  <c r="BY328" i="23" s="1"/>
  <c r="BY329" i="23" s="1"/>
  <c r="BY330" i="23" s="1"/>
  <c r="BY349" i="23" s="1"/>
  <c r="CA315" i="23" s="1"/>
  <c r="CE319" i="23"/>
  <c r="CE320" i="23" s="1"/>
  <c r="CE321" i="23" s="1"/>
  <c r="CE322" i="23" s="1"/>
  <c r="CE323" i="23" s="1"/>
  <c r="CE324" i="23" s="1"/>
  <c r="CE325" i="23" s="1"/>
  <c r="CE326" i="23" s="1"/>
  <c r="CE327" i="23" s="1"/>
  <c r="CE328" i="23" s="1"/>
  <c r="CE329" i="23" s="1"/>
  <c r="CE330" i="23" s="1"/>
  <c r="CK319" i="23"/>
  <c r="CK320" i="23" s="1"/>
  <c r="CK321" i="23" s="1"/>
  <c r="CW318" i="23"/>
  <c r="CW319" i="23" s="1"/>
  <c r="CW320" i="23" s="1"/>
  <c r="CW321" i="23" s="1"/>
  <c r="CW322" i="23" s="1"/>
  <c r="CW323" i="23" s="1"/>
  <c r="CW324" i="23" s="1"/>
  <c r="CW325" i="23" s="1"/>
  <c r="CW326" i="23" s="1"/>
  <c r="CW327" i="23" s="1"/>
  <c r="CW328" i="23" s="1"/>
  <c r="CW329" i="23" s="1"/>
  <c r="CW330" i="23" s="1"/>
  <c r="DC319" i="23"/>
  <c r="CP210" i="23"/>
  <c r="CQ210" i="23" s="1"/>
  <c r="CQ209" i="23"/>
  <c r="CD210" i="23"/>
  <c r="CE210" i="23" s="1"/>
  <c r="CE209" i="23"/>
  <c r="CJ209" i="23"/>
  <c r="CK208" i="23"/>
  <c r="BS209" i="23"/>
  <c r="BR210" i="23"/>
  <c r="BS210" i="23" s="1"/>
  <c r="A289" i="23"/>
  <c r="B288" i="23"/>
  <c r="C288" i="23" s="1"/>
  <c r="BM326" i="23" l="1"/>
  <c r="M328" i="23"/>
  <c r="L329" i="23"/>
  <c r="CE338" i="23"/>
  <c r="CE339" i="23"/>
  <c r="CE340" i="23"/>
  <c r="CE341" i="23" s="1"/>
  <c r="CE342" i="23" s="1"/>
  <c r="CE343" i="23" s="1"/>
  <c r="CE344" i="23" s="1"/>
  <c r="CE345" i="23" s="1"/>
  <c r="CE346" i="23" s="1"/>
  <c r="CE347" i="23" s="1"/>
  <c r="BS321" i="23"/>
  <c r="BS322" i="23" s="1"/>
  <c r="AV327" i="23"/>
  <c r="AW326" i="23"/>
  <c r="AJ318" i="23"/>
  <c r="AK317" i="23"/>
  <c r="X325" i="23"/>
  <c r="Y324" i="23"/>
  <c r="BM327" i="23"/>
  <c r="AD327" i="23"/>
  <c r="AE326" i="23"/>
  <c r="DP319" i="23"/>
  <c r="DQ318" i="23"/>
  <c r="BZ316" i="23"/>
  <c r="BG324" i="23"/>
  <c r="DI320" i="23"/>
  <c r="S327" i="23"/>
  <c r="R328" i="23"/>
  <c r="BA323" i="23"/>
  <c r="CS332" i="23"/>
  <c r="AO321" i="23"/>
  <c r="CR333" i="23"/>
  <c r="CY332" i="23"/>
  <c r="CX333" i="23"/>
  <c r="CK322" i="23"/>
  <c r="CK323" i="23" s="1"/>
  <c r="CK324" i="23" s="1"/>
  <c r="DC320" i="23"/>
  <c r="CK209" i="23"/>
  <c r="CJ210" i="23"/>
  <c r="CK210" i="23" s="1"/>
  <c r="A290" i="23"/>
  <c r="B289" i="23"/>
  <c r="C289" i="23" s="1"/>
  <c r="BS323" i="23" l="1"/>
  <c r="BS324" i="23" s="1"/>
  <c r="BS325" i="23" s="1"/>
  <c r="BS326" i="23" s="1"/>
  <c r="BS327" i="23" s="1"/>
  <c r="BS328" i="23" s="1"/>
  <c r="BS329" i="23" s="1"/>
  <c r="L330" i="23"/>
  <c r="M329" i="23"/>
  <c r="CG315" i="23"/>
  <c r="CF316" i="23"/>
  <c r="BM328" i="23"/>
  <c r="BM329" i="23" s="1"/>
  <c r="BM330" i="23" s="1"/>
  <c r="AV328" i="23"/>
  <c r="AW327" i="23"/>
  <c r="AJ319" i="23"/>
  <c r="AK318" i="23"/>
  <c r="BA324" i="23"/>
  <c r="BA325" i="23" s="1"/>
  <c r="BA326" i="23" s="1"/>
  <c r="BA327" i="23" s="1"/>
  <c r="BA328" i="23" s="1"/>
  <c r="BA329" i="23" s="1"/>
  <c r="BA330" i="23" s="1"/>
  <c r="BA333" i="23" s="1"/>
  <c r="BA334" i="23" s="1"/>
  <c r="Y325" i="23"/>
  <c r="X326" i="23"/>
  <c r="AD328" i="23"/>
  <c r="AE327" i="23"/>
  <c r="AO322" i="23"/>
  <c r="DI321" i="23"/>
  <c r="BG325" i="23"/>
  <c r="BZ317" i="23"/>
  <c r="CA316" i="23"/>
  <c r="DP320" i="23"/>
  <c r="DQ319" i="23"/>
  <c r="R329" i="23"/>
  <c r="S328" i="23"/>
  <c r="CK325" i="23"/>
  <c r="CK326" i="23" s="1"/>
  <c r="CK327" i="23" s="1"/>
  <c r="CK328" i="23" s="1"/>
  <c r="CK329" i="23" s="1"/>
  <c r="CK330" i="23" s="1"/>
  <c r="CK350" i="23" s="1"/>
  <c r="CR334" i="23"/>
  <c r="CS333" i="23"/>
  <c r="CY333" i="23"/>
  <c r="CX334" i="23"/>
  <c r="DC321" i="23"/>
  <c r="DC322" i="23" s="1"/>
  <c r="DC323" i="23" s="1"/>
  <c r="DC324" i="23" s="1"/>
  <c r="DC325" i="23" s="1"/>
  <c r="DC326" i="23" s="1"/>
  <c r="DC327" i="23" s="1"/>
  <c r="DC328" i="23" s="1"/>
  <c r="DC329" i="23" s="1"/>
  <c r="DC330" i="23" s="1"/>
  <c r="DD333" i="23" s="1"/>
  <c r="A291" i="23"/>
  <c r="B290" i="23"/>
  <c r="C290" i="23" s="1"/>
  <c r="BS330" i="23" l="1"/>
  <c r="L331" i="23"/>
  <c r="M330" i="23"/>
  <c r="CG316" i="23"/>
  <c r="CF317" i="23"/>
  <c r="BS348" i="23"/>
  <c r="BM333" i="23"/>
  <c r="AV329" i="23"/>
  <c r="AW328" i="23"/>
  <c r="AK319" i="23"/>
  <c r="AJ320" i="23"/>
  <c r="BA335" i="23"/>
  <c r="BA336" i="23" s="1"/>
  <c r="BA348" i="23"/>
  <c r="BA349" i="23" s="1"/>
  <c r="AE328" i="23"/>
  <c r="AD329" i="23"/>
  <c r="X327" i="23"/>
  <c r="Y326" i="23"/>
  <c r="CL316" i="23"/>
  <c r="CM315" i="23"/>
  <c r="BZ318" i="23"/>
  <c r="CA317" i="23"/>
  <c r="BG326" i="23"/>
  <c r="DI322" i="23"/>
  <c r="DI323" i="23" s="1"/>
  <c r="DI324" i="23" s="1"/>
  <c r="DI325" i="23" s="1"/>
  <c r="DI326" i="23" s="1"/>
  <c r="DI327" i="23" s="1"/>
  <c r="DI328" i="23" s="1"/>
  <c r="DI329" i="23" s="1"/>
  <c r="DI330" i="23" s="1"/>
  <c r="AO323" i="23"/>
  <c r="DQ320" i="23"/>
  <c r="DP321" i="23"/>
  <c r="R330" i="23"/>
  <c r="S329" i="23"/>
  <c r="CR335" i="23"/>
  <c r="CS334" i="23"/>
  <c r="DE332" i="23"/>
  <c r="CY334" i="23"/>
  <c r="CX335" i="23"/>
  <c r="DE333" i="23"/>
  <c r="DD334" i="23"/>
  <c r="A292" i="23"/>
  <c r="B291" i="23"/>
  <c r="C291" i="23" s="1"/>
  <c r="BS349" i="23" l="1"/>
  <c r="BT316" i="23" s="1"/>
  <c r="L332" i="23"/>
  <c r="M331" i="23"/>
  <c r="CF318" i="23"/>
  <c r="CG317" i="23"/>
  <c r="DI350" i="23"/>
  <c r="DI338" i="23"/>
  <c r="DI339" i="23" s="1"/>
  <c r="DI340" i="23" s="1"/>
  <c r="DI341" i="23" s="1"/>
  <c r="DI342" i="23" s="1"/>
  <c r="DI343" i="23" s="1"/>
  <c r="DI344" i="23" s="1"/>
  <c r="DI345" i="23" s="1"/>
  <c r="DI346" i="23" s="1"/>
  <c r="DI347" i="23" s="1"/>
  <c r="DK315" i="23" s="1"/>
  <c r="BU315" i="23"/>
  <c r="BM334" i="23"/>
  <c r="BM335" i="23" s="1"/>
  <c r="BM336" i="23" s="1"/>
  <c r="BB316" i="23"/>
  <c r="BB317" i="23" s="1"/>
  <c r="AW329" i="23"/>
  <c r="AV330" i="23"/>
  <c r="BC315" i="23"/>
  <c r="AK320" i="23"/>
  <c r="AJ321" i="23"/>
  <c r="BG327" i="23"/>
  <c r="BG328" i="23" s="1"/>
  <c r="BG329" i="23" s="1"/>
  <c r="BG330" i="23" s="1"/>
  <c r="AD330" i="23"/>
  <c r="AE329" i="23"/>
  <c r="X328" i="23"/>
  <c r="Y327" i="23"/>
  <c r="CM316" i="23"/>
  <c r="CL317" i="23"/>
  <c r="DP322" i="23"/>
  <c r="DQ321" i="23"/>
  <c r="AO324" i="23"/>
  <c r="AO325" i="23" s="1"/>
  <c r="AO326" i="23" s="1"/>
  <c r="AO327" i="23" s="1"/>
  <c r="AO328" i="23" s="1"/>
  <c r="AO329" i="23" s="1"/>
  <c r="AO330" i="23" s="1"/>
  <c r="AO333" i="23" s="1"/>
  <c r="AO334" i="23" s="1"/>
  <c r="AO335" i="23" s="1"/>
  <c r="AO336" i="23" s="1"/>
  <c r="AO338" i="23"/>
  <c r="AO339" i="23" s="1"/>
  <c r="AO340" i="23" s="1"/>
  <c r="AO342" i="23" s="1"/>
  <c r="AO343" i="23" s="1"/>
  <c r="AO344" i="23" s="1"/>
  <c r="AO345" i="23" s="1"/>
  <c r="AO346" i="23" s="1"/>
  <c r="AO347" i="23" s="1"/>
  <c r="CA318" i="23"/>
  <c r="BZ319" i="23"/>
  <c r="S330" i="23"/>
  <c r="R331" i="23"/>
  <c r="CS335" i="23"/>
  <c r="CR336" i="23"/>
  <c r="DE334" i="23"/>
  <c r="DD335" i="23"/>
  <c r="CY335" i="23"/>
  <c r="CX336" i="23"/>
  <c r="A293" i="23"/>
  <c r="B292" i="23"/>
  <c r="C292" i="23" s="1"/>
  <c r="BC316" i="23" l="1"/>
  <c r="BU316" i="23"/>
  <c r="BT317" i="23"/>
  <c r="BM348" i="23"/>
  <c r="BM349" i="23" s="1"/>
  <c r="M332" i="23"/>
  <c r="L333" i="23"/>
  <c r="CF319" i="23"/>
  <c r="CG318" i="23"/>
  <c r="DJ316" i="23"/>
  <c r="AO348" i="23"/>
  <c r="AV331" i="23"/>
  <c r="AW330" i="23"/>
  <c r="AK321" i="23"/>
  <c r="AJ322" i="23"/>
  <c r="BC317" i="23"/>
  <c r="BB318" i="23"/>
  <c r="BG333" i="23"/>
  <c r="AE330" i="23"/>
  <c r="AD331" i="23"/>
  <c r="Y328" i="23"/>
  <c r="X329" i="23"/>
  <c r="CL318" i="23"/>
  <c r="CM317" i="23"/>
  <c r="AP316" i="23"/>
  <c r="AQ315" i="23"/>
  <c r="BZ320" i="23"/>
  <c r="CA319" i="23"/>
  <c r="DQ322" i="23"/>
  <c r="DP323" i="23"/>
  <c r="R332" i="23"/>
  <c r="S331" i="23"/>
  <c r="CS336" i="23"/>
  <c r="CR337" i="23"/>
  <c r="DE335" i="23"/>
  <c r="DD336" i="23"/>
  <c r="CY336" i="23"/>
  <c r="CX337" i="23"/>
  <c r="A294" i="23"/>
  <c r="B293" i="23"/>
  <c r="C293" i="23" s="1"/>
  <c r="BO315" i="23" l="1"/>
  <c r="BN316" i="23"/>
  <c r="BN317" i="23" s="1"/>
  <c r="BG334" i="23"/>
  <c r="BG335" i="23" s="1"/>
  <c r="BU317" i="23"/>
  <c r="BT318" i="23"/>
  <c r="M333" i="23"/>
  <c r="L334" i="23"/>
  <c r="CF320" i="23"/>
  <c r="CG319" i="23"/>
  <c r="DJ317" i="23"/>
  <c r="DK316" i="23"/>
  <c r="AW331" i="23"/>
  <c r="AV332" i="23"/>
  <c r="BG349" i="23"/>
  <c r="AJ323" i="23"/>
  <c r="AK322" i="23"/>
  <c r="BB319" i="23"/>
  <c r="BC318" i="23"/>
  <c r="AD332" i="23"/>
  <c r="AE331" i="23"/>
  <c r="X330" i="23"/>
  <c r="Y329" i="23"/>
  <c r="CL319" i="23"/>
  <c r="CM318" i="23"/>
  <c r="BZ321" i="23"/>
  <c r="CA320" i="23"/>
  <c r="DP324" i="23"/>
  <c r="DQ323" i="23"/>
  <c r="AP317" i="23"/>
  <c r="AQ316" i="23"/>
  <c r="R333" i="23"/>
  <c r="S332" i="23"/>
  <c r="CS337" i="23"/>
  <c r="CR338" i="23"/>
  <c r="CX338" i="23"/>
  <c r="CY337" i="23"/>
  <c r="DE336" i="23"/>
  <c r="DD337" i="23"/>
  <c r="A295" i="23"/>
  <c r="B294" i="23"/>
  <c r="C294" i="23" s="1"/>
  <c r="BO316" i="23" l="1"/>
  <c r="M334" i="23"/>
  <c r="L335" i="23"/>
  <c r="BG336" i="23"/>
  <c r="BG348" i="23" s="1"/>
  <c r="BI315" i="23" s="1"/>
  <c r="BU318" i="23"/>
  <c r="BT319" i="23"/>
  <c r="CF321" i="23"/>
  <c r="CG320" i="23"/>
  <c r="DK317" i="23"/>
  <c r="DJ318" i="23"/>
  <c r="BO317" i="23"/>
  <c r="BN318" i="23"/>
  <c r="AV333" i="23"/>
  <c r="AW332" i="23"/>
  <c r="AK323" i="23"/>
  <c r="AJ324" i="23"/>
  <c r="BC319" i="23"/>
  <c r="BB320" i="23"/>
  <c r="X331" i="23"/>
  <c r="Y330" i="23"/>
  <c r="AD333" i="23"/>
  <c r="AE332" i="23"/>
  <c r="CL320" i="23"/>
  <c r="CM319" i="23"/>
  <c r="DP325" i="23"/>
  <c r="DQ324" i="23"/>
  <c r="AQ317" i="23"/>
  <c r="AP318" i="23"/>
  <c r="CA321" i="23"/>
  <c r="BZ322" i="23"/>
  <c r="S333" i="23"/>
  <c r="R334" i="23"/>
  <c r="CS338" i="23"/>
  <c r="CR339" i="23"/>
  <c r="DE337" i="23"/>
  <c r="DD338" i="23"/>
  <c r="CX339" i="23"/>
  <c r="CY338" i="23"/>
  <c r="B295" i="23"/>
  <c r="C295" i="23" s="1"/>
  <c r="A296" i="23"/>
  <c r="BH316" i="23" l="1"/>
  <c r="L336" i="23"/>
  <c r="M335" i="23"/>
  <c r="BT320" i="23"/>
  <c r="BU319" i="23"/>
  <c r="CF322" i="23"/>
  <c r="CG321" i="23"/>
  <c r="DJ319" i="23"/>
  <c r="DK318" i="23"/>
  <c r="BO318" i="23"/>
  <c r="BN319" i="23"/>
  <c r="AW333" i="23"/>
  <c r="AV334" i="23"/>
  <c r="BH317" i="23"/>
  <c r="BI316" i="23"/>
  <c r="AK324" i="23"/>
  <c r="AJ325" i="23"/>
  <c r="BC320" i="23"/>
  <c r="BB321" i="23"/>
  <c r="X332" i="23"/>
  <c r="Y331" i="23"/>
  <c r="AD334" i="23"/>
  <c r="AE333" i="23"/>
  <c r="CL321" i="23"/>
  <c r="CM320" i="23"/>
  <c r="AP319" i="23"/>
  <c r="AQ318" i="23"/>
  <c r="CA322" i="23"/>
  <c r="BZ323" i="23"/>
  <c r="DQ325" i="23"/>
  <c r="DP326" i="23"/>
  <c r="R335" i="23"/>
  <c r="S334" i="23"/>
  <c r="CS339" i="23"/>
  <c r="CR340" i="23"/>
  <c r="DD339" i="23"/>
  <c r="DE338" i="23"/>
  <c r="CY339" i="23"/>
  <c r="CX340" i="23"/>
  <c r="A297" i="23"/>
  <c r="B296" i="23"/>
  <c r="C296" i="23" s="1"/>
  <c r="L337" i="23" l="1"/>
  <c r="M336" i="23"/>
  <c r="BT321" i="23"/>
  <c r="BU320" i="23"/>
  <c r="CG322" i="23"/>
  <c r="CF323" i="23"/>
  <c r="DJ320" i="23"/>
  <c r="DK319" i="23"/>
  <c r="BN320" i="23"/>
  <c r="BO319" i="23"/>
  <c r="AV335" i="23"/>
  <c r="AW334" i="23"/>
  <c r="AJ326" i="23"/>
  <c r="AK325" i="23"/>
  <c r="BH318" i="23"/>
  <c r="BI317" i="23"/>
  <c r="BC321" i="23"/>
  <c r="BB322" i="23"/>
  <c r="AE334" i="23"/>
  <c r="AD335" i="23"/>
  <c r="X333" i="23"/>
  <c r="Y332" i="23"/>
  <c r="CM321" i="23"/>
  <c r="CL322" i="23"/>
  <c r="DP327" i="23"/>
  <c r="DQ326" i="23"/>
  <c r="BZ324" i="23"/>
  <c r="CA323" i="23"/>
  <c r="AQ319" i="23"/>
  <c r="AP320" i="23"/>
  <c r="S335" i="23"/>
  <c r="R336" i="23"/>
  <c r="CS340" i="23"/>
  <c r="CR341" i="23"/>
  <c r="DD340" i="23"/>
  <c r="DE339" i="23"/>
  <c r="CX341" i="23"/>
  <c r="CY340" i="23"/>
  <c r="A298" i="23"/>
  <c r="B297" i="23"/>
  <c r="C297" i="23" s="1"/>
  <c r="L338" i="23" l="1"/>
  <c r="M337" i="23"/>
  <c r="BU321" i="23"/>
  <c r="BT322" i="23"/>
  <c r="CG323" i="23"/>
  <c r="CF324" i="23"/>
  <c r="DJ321" i="23"/>
  <c r="DK320" i="23"/>
  <c r="BN321" i="23"/>
  <c r="BO320" i="23"/>
  <c r="AV336" i="23"/>
  <c r="AW335" i="23"/>
  <c r="BI318" i="23"/>
  <c r="BH319" i="23"/>
  <c r="AJ327" i="23"/>
  <c r="AK326" i="23"/>
  <c r="BB323" i="23"/>
  <c r="BC322" i="23"/>
  <c r="Y333" i="23"/>
  <c r="X334" i="23"/>
  <c r="AE335" i="23"/>
  <c r="AD336" i="23"/>
  <c r="CM322" i="23"/>
  <c r="CL323" i="23"/>
  <c r="AQ320" i="23"/>
  <c r="AP321" i="23"/>
  <c r="BZ325" i="23"/>
  <c r="CA324" i="23"/>
  <c r="DP328" i="23"/>
  <c r="DQ327" i="23"/>
  <c r="R337" i="23"/>
  <c r="S336" i="23"/>
  <c r="CR342" i="23"/>
  <c r="CS341" i="23"/>
  <c r="CY341" i="23"/>
  <c r="CX342" i="23"/>
  <c r="DE340" i="23"/>
  <c r="DD341" i="23"/>
  <c r="A299" i="23"/>
  <c r="B298" i="23"/>
  <c r="C298" i="23" s="1"/>
  <c r="M338" i="23" l="1"/>
  <c r="L339" i="23"/>
  <c r="BT323" i="23"/>
  <c r="BU322" i="23"/>
  <c r="CF325" i="23"/>
  <c r="CG324" i="23"/>
  <c r="DK321" i="23"/>
  <c r="DJ322" i="23"/>
  <c r="BO321" i="23"/>
  <c r="BN322" i="23"/>
  <c r="AW336" i="23"/>
  <c r="AV337" i="23"/>
  <c r="AK327" i="23"/>
  <c r="AJ328" i="23"/>
  <c r="BI319" i="23"/>
  <c r="BH320" i="23"/>
  <c r="BB324" i="23"/>
  <c r="BC323" i="23"/>
  <c r="AE336" i="23"/>
  <c r="AD337" i="23"/>
  <c r="Y334" i="23"/>
  <c r="X335" i="23"/>
  <c r="CM323" i="23"/>
  <c r="CL324" i="23"/>
  <c r="DQ328" i="23"/>
  <c r="DP329" i="23"/>
  <c r="BZ326" i="23"/>
  <c r="CA325" i="23"/>
  <c r="AQ321" i="23"/>
  <c r="AP322" i="23"/>
  <c r="S337" i="23"/>
  <c r="R338" i="23"/>
  <c r="CR343" i="23"/>
  <c r="CS342" i="23"/>
  <c r="DD342" i="23"/>
  <c r="DE341" i="23"/>
  <c r="CX343" i="23"/>
  <c r="CY342" i="23"/>
  <c r="A300" i="23"/>
  <c r="B299" i="23"/>
  <c r="C299" i="23" s="1"/>
  <c r="L340" i="23" l="1"/>
  <c r="M339" i="23"/>
  <c r="BT324" i="23"/>
  <c r="BU323" i="23"/>
  <c r="CG325" i="23"/>
  <c r="CF326" i="23"/>
  <c r="DK322" i="23"/>
  <c r="DJ323" i="23"/>
  <c r="BN323" i="23"/>
  <c r="BO322" i="23"/>
  <c r="AW337" i="23"/>
  <c r="AV338" i="23"/>
  <c r="BI320" i="23"/>
  <c r="BH321" i="23"/>
  <c r="AJ329" i="23"/>
  <c r="AK328" i="23"/>
  <c r="BC324" i="23"/>
  <c r="BB325" i="23"/>
  <c r="Y335" i="23"/>
  <c r="X336" i="23"/>
  <c r="AE337" i="23"/>
  <c r="AD338" i="23"/>
  <c r="CM324" i="23"/>
  <c r="CL325" i="23"/>
  <c r="BZ327" i="23"/>
  <c r="CA326" i="23"/>
  <c r="AP323" i="23"/>
  <c r="AQ322" i="23"/>
  <c r="DQ329" i="23"/>
  <c r="DP330" i="23"/>
  <c r="R339" i="23"/>
  <c r="S338" i="23"/>
  <c r="CR344" i="23"/>
  <c r="CS343" i="23"/>
  <c r="CY343" i="23"/>
  <c r="CX344" i="23"/>
  <c r="DE342" i="23"/>
  <c r="DD343" i="23"/>
  <c r="A301" i="23"/>
  <c r="B300" i="23"/>
  <c r="C300" i="23" s="1"/>
  <c r="M340" i="23" l="1"/>
  <c r="L341" i="23"/>
  <c r="BU324" i="23"/>
  <c r="BT325" i="23"/>
  <c r="CG326" i="23"/>
  <c r="CF327" i="23"/>
  <c r="DK323" i="23"/>
  <c r="DJ324" i="23"/>
  <c r="BN324" i="23"/>
  <c r="BO323" i="23"/>
  <c r="AW338" i="23"/>
  <c r="AV339" i="23"/>
  <c r="AJ330" i="23"/>
  <c r="AK329" i="23"/>
  <c r="BI321" i="23"/>
  <c r="BH322" i="23"/>
  <c r="BC325" i="23"/>
  <c r="BB326" i="23"/>
  <c r="AD339" i="23"/>
  <c r="AE338" i="23"/>
  <c r="X337" i="23"/>
  <c r="Y336" i="23"/>
  <c r="CM325" i="23"/>
  <c r="CL326" i="23"/>
  <c r="S339" i="23"/>
  <c r="R340" i="23"/>
  <c r="DP331" i="23"/>
  <c r="DQ330" i="23"/>
  <c r="BZ328" i="23"/>
  <c r="CA327" i="23"/>
  <c r="AP324" i="23"/>
  <c r="AQ323" i="23"/>
  <c r="CR345" i="23"/>
  <c r="CS344" i="23"/>
  <c r="CY344" i="23"/>
  <c r="CX345" i="23"/>
  <c r="DD344" i="23"/>
  <c r="DE343" i="23"/>
  <c r="A302" i="23"/>
  <c r="B301" i="23"/>
  <c r="C301" i="23" s="1"/>
  <c r="M341" i="23" l="1"/>
  <c r="L342" i="23"/>
  <c r="BT326" i="23"/>
  <c r="BU325" i="23"/>
  <c r="CF328" i="23"/>
  <c r="CG327" i="23"/>
  <c r="DJ325" i="23"/>
  <c r="DK324" i="23"/>
  <c r="BN325" i="23"/>
  <c r="BO324" i="23"/>
  <c r="AV340" i="23"/>
  <c r="AW339" i="23"/>
  <c r="BI322" i="23"/>
  <c r="BH323" i="23"/>
  <c r="AK330" i="23"/>
  <c r="AJ331" i="23"/>
  <c r="BB327" i="23"/>
  <c r="BC326" i="23"/>
  <c r="AD340" i="23"/>
  <c r="AE339" i="23"/>
  <c r="Y337" i="23"/>
  <c r="X338" i="23"/>
  <c r="CM326" i="23"/>
  <c r="CL327" i="23"/>
  <c r="S340" i="23"/>
  <c r="R341" i="23"/>
  <c r="CA328" i="23"/>
  <c r="BZ329" i="23"/>
  <c r="AP325" i="23"/>
  <c r="AQ324" i="23"/>
  <c r="DQ331" i="23"/>
  <c r="DP332" i="23"/>
  <c r="CR346" i="23"/>
  <c r="CS345" i="23"/>
  <c r="DD345" i="23"/>
  <c r="DE344" i="23"/>
  <c r="CX346" i="23"/>
  <c r="CY345" i="23"/>
  <c r="A303" i="23"/>
  <c r="B302" i="23"/>
  <c r="C302" i="23" s="1"/>
  <c r="M342" i="23" l="1"/>
  <c r="L343" i="23"/>
  <c r="BT327" i="23"/>
  <c r="BU326" i="23"/>
  <c r="CG328" i="23"/>
  <c r="CF329" i="23"/>
  <c r="DJ326" i="23"/>
  <c r="DK325" i="23"/>
  <c r="BO325" i="23"/>
  <c r="BN326" i="23"/>
  <c r="AV341" i="23"/>
  <c r="AW340" i="23"/>
  <c r="AK331" i="23"/>
  <c r="AJ332" i="23"/>
  <c r="BH324" i="23"/>
  <c r="BI323" i="23"/>
  <c r="BB328" i="23"/>
  <c r="BC327" i="23"/>
  <c r="AD341" i="23"/>
  <c r="AE340" i="23"/>
  <c r="X339" i="23"/>
  <c r="Y338" i="23"/>
  <c r="CL328" i="23"/>
  <c r="CM327" i="23"/>
  <c r="S341" i="23"/>
  <c r="R342" i="23"/>
  <c r="DQ332" i="23"/>
  <c r="DP333" i="23"/>
  <c r="CA329" i="23"/>
  <c r="BZ330" i="23"/>
  <c r="AQ325" i="23"/>
  <c r="AP326" i="23"/>
  <c r="CS346" i="23"/>
  <c r="CR347" i="23"/>
  <c r="CY346" i="23"/>
  <c r="CX347" i="23"/>
  <c r="DD346" i="23"/>
  <c r="DE345" i="23"/>
  <c r="A304" i="23"/>
  <c r="B303" i="23"/>
  <c r="C303" i="23" s="1"/>
  <c r="L344" i="23" l="1"/>
  <c r="M343" i="23"/>
  <c r="BT328" i="23"/>
  <c r="BU327" i="23"/>
  <c r="CG329" i="23"/>
  <c r="CF330" i="23"/>
  <c r="DK326" i="23"/>
  <c r="DJ327" i="23"/>
  <c r="BN327" i="23"/>
  <c r="BO326" i="23"/>
  <c r="AV342" i="23"/>
  <c r="AW341" i="23"/>
  <c r="BI324" i="23"/>
  <c r="BH325" i="23"/>
  <c r="AJ333" i="23"/>
  <c r="AK332" i="23"/>
  <c r="BB329" i="23"/>
  <c r="BC328" i="23"/>
  <c r="Y339" i="23"/>
  <c r="X340" i="23"/>
  <c r="AD342" i="23"/>
  <c r="AE341" i="23"/>
  <c r="CM328" i="23"/>
  <c r="CL329" i="23"/>
  <c r="S342" i="23"/>
  <c r="R343" i="23"/>
  <c r="AP327" i="23"/>
  <c r="AQ326" i="23"/>
  <c r="BZ331" i="23"/>
  <c r="CA330" i="23"/>
  <c r="DP334" i="23"/>
  <c r="DQ333" i="23"/>
  <c r="CS347" i="23"/>
  <c r="CR348" i="23"/>
  <c r="CY347" i="23"/>
  <c r="CX348" i="23"/>
  <c r="DD347" i="23"/>
  <c r="DE346" i="23"/>
  <c r="A305" i="23"/>
  <c r="B304" i="23"/>
  <c r="C304" i="23" s="1"/>
  <c r="L345" i="23" l="1"/>
  <c r="M344" i="23"/>
  <c r="BU328" i="23"/>
  <c r="BT329" i="23"/>
  <c r="CF331" i="23"/>
  <c r="CG330" i="23"/>
  <c r="DK327" i="23"/>
  <c r="DJ328" i="23"/>
  <c r="BO327" i="23"/>
  <c r="BN328" i="23"/>
  <c r="AV343" i="23"/>
  <c r="AW342" i="23"/>
  <c r="AK333" i="23"/>
  <c r="AJ334" i="23"/>
  <c r="BH326" i="23"/>
  <c r="BI325" i="23"/>
  <c r="BC329" i="23"/>
  <c r="BB330" i="23"/>
  <c r="AE342" i="23"/>
  <c r="AD343" i="23"/>
  <c r="Y340" i="23"/>
  <c r="X341" i="23"/>
  <c r="CM329" i="23"/>
  <c r="CL330" i="23"/>
  <c r="R344" i="23"/>
  <c r="S343" i="23"/>
  <c r="CA331" i="23"/>
  <c r="BZ332" i="23"/>
  <c r="DQ334" i="23"/>
  <c r="DP335" i="23"/>
  <c r="AP328" i="23"/>
  <c r="AQ327" i="23"/>
  <c r="CR349" i="23"/>
  <c r="CS348" i="23"/>
  <c r="DE347" i="23"/>
  <c r="DD348" i="23"/>
  <c r="CY348" i="23"/>
  <c r="CX349" i="23"/>
  <c r="A306" i="23"/>
  <c r="B305" i="23"/>
  <c r="C305" i="23" s="1"/>
  <c r="M345" i="23" l="1"/>
  <c r="L346" i="23"/>
  <c r="BU329" i="23"/>
  <c r="BT330" i="23"/>
  <c r="CG331" i="23"/>
  <c r="CF332" i="23"/>
  <c r="DK328" i="23"/>
  <c r="DJ329" i="23"/>
  <c r="BO328" i="23"/>
  <c r="BN329" i="23"/>
  <c r="AV344" i="23"/>
  <c r="AW343" i="23"/>
  <c r="BI326" i="23"/>
  <c r="BH327" i="23"/>
  <c r="AK334" i="23"/>
  <c r="AJ335" i="23"/>
  <c r="BC330" i="23"/>
  <c r="BB331" i="23"/>
  <c r="X342" i="23"/>
  <c r="Y341" i="23"/>
  <c r="AE343" i="23"/>
  <c r="AD344" i="23"/>
  <c r="CM330" i="23"/>
  <c r="CL331" i="23"/>
  <c r="R345" i="23"/>
  <c r="S344" i="23"/>
  <c r="BZ333" i="23"/>
  <c r="CA332" i="23"/>
  <c r="AQ328" i="23"/>
  <c r="AP329" i="23"/>
  <c r="DQ335" i="23"/>
  <c r="DP336" i="23"/>
  <c r="CS349" i="23"/>
  <c r="CR350" i="23"/>
  <c r="CY349" i="23"/>
  <c r="CX350" i="23"/>
  <c r="DE348" i="23"/>
  <c r="DD349" i="23"/>
  <c r="A307" i="23"/>
  <c r="B306" i="23"/>
  <c r="C306" i="23" s="1"/>
  <c r="M346" i="23" l="1"/>
  <c r="L347" i="23"/>
  <c r="BT331" i="23"/>
  <c r="BU330" i="23"/>
  <c r="CG332" i="23"/>
  <c r="CF333" i="23"/>
  <c r="DK329" i="23"/>
  <c r="DJ330" i="23"/>
  <c r="BN330" i="23"/>
  <c r="BO329" i="23"/>
  <c r="AV345" i="23"/>
  <c r="AW344" i="23"/>
  <c r="AJ336" i="23"/>
  <c r="AK335" i="23"/>
  <c r="BI327" i="23"/>
  <c r="BH328" i="23"/>
  <c r="BC331" i="23"/>
  <c r="BB332" i="23"/>
  <c r="AE344" i="23"/>
  <c r="AD345" i="23"/>
  <c r="Y342" i="23"/>
  <c r="X343" i="23"/>
  <c r="CM331" i="23"/>
  <c r="CL332" i="23"/>
  <c r="R346" i="23"/>
  <c r="S345" i="23"/>
  <c r="AQ329" i="23"/>
  <c r="AP330" i="23"/>
  <c r="DQ336" i="23"/>
  <c r="DP337" i="23"/>
  <c r="BZ334" i="23"/>
  <c r="CA333" i="23"/>
  <c r="CS350" i="23"/>
  <c r="CR351" i="23"/>
  <c r="DD350" i="23"/>
  <c r="DE349" i="23"/>
  <c r="CX351" i="23"/>
  <c r="CY350" i="23"/>
  <c r="A308" i="23"/>
  <c r="B307" i="23"/>
  <c r="C307" i="23" s="1"/>
  <c r="L348" i="23" l="1"/>
  <c r="M347" i="23"/>
  <c r="BT332" i="23"/>
  <c r="BU331" i="23"/>
  <c r="CG333" i="23"/>
  <c r="CF334" i="23"/>
  <c r="DJ331" i="23"/>
  <c r="DK330" i="23"/>
  <c r="BN331" i="23"/>
  <c r="BO330" i="23"/>
  <c r="AV346" i="23"/>
  <c r="AW345" i="23"/>
  <c r="BH329" i="23"/>
  <c r="BI328" i="23"/>
  <c r="AJ337" i="23"/>
  <c r="AK336" i="23"/>
  <c r="BB333" i="23"/>
  <c r="BC332" i="23"/>
  <c r="X344" i="23"/>
  <c r="Y343" i="23"/>
  <c r="AE345" i="23"/>
  <c r="AD346" i="23"/>
  <c r="CL333" i="23"/>
  <c r="CM332" i="23"/>
  <c r="S346" i="23"/>
  <c r="R347" i="23"/>
  <c r="DQ337" i="23"/>
  <c r="DP338" i="23"/>
  <c r="AP331" i="23"/>
  <c r="AQ330" i="23"/>
  <c r="BZ335" i="23"/>
  <c r="CA334" i="23"/>
  <c r="CR352" i="23"/>
  <c r="CS352" i="23" s="1"/>
  <c r="CS351" i="23"/>
  <c r="CX352" i="23"/>
  <c r="CY352" i="23" s="1"/>
  <c r="CY351" i="23"/>
  <c r="DE350" i="23"/>
  <c r="DD351" i="23"/>
  <c r="A309" i="23"/>
  <c r="B308" i="23"/>
  <c r="C308" i="23" s="1"/>
  <c r="M348" i="23" l="1"/>
  <c r="L349" i="23"/>
  <c r="BU332" i="23"/>
  <c r="BT333" i="23"/>
  <c r="CF335" i="23"/>
  <c r="CG334" i="23"/>
  <c r="DK331" i="23"/>
  <c r="DJ332" i="23"/>
  <c r="BN332" i="23"/>
  <c r="BO331" i="23"/>
  <c r="AW346" i="23"/>
  <c r="AV347" i="23"/>
  <c r="AK337" i="23"/>
  <c r="AJ338" i="23"/>
  <c r="BH330" i="23"/>
  <c r="BI329" i="23"/>
  <c r="BB334" i="23"/>
  <c r="BC333" i="23"/>
  <c r="AE346" i="23"/>
  <c r="AD347" i="23"/>
  <c r="X345" i="23"/>
  <c r="Y344" i="23"/>
  <c r="CM333" i="23"/>
  <c r="CL334" i="23"/>
  <c r="S347" i="23"/>
  <c r="R348" i="23"/>
  <c r="AQ331" i="23"/>
  <c r="AP332" i="23"/>
  <c r="DQ338" i="23"/>
  <c r="DP339" i="23"/>
  <c r="CA335" i="23"/>
  <c r="BZ336" i="23"/>
  <c r="DE351" i="23"/>
  <c r="DD352" i="23"/>
  <c r="DE352" i="23" s="1"/>
  <c r="B309" i="23"/>
  <c r="C309" i="23" s="1"/>
  <c r="A310" i="23"/>
  <c r="M349" i="23" l="1"/>
  <c r="L350" i="23"/>
  <c r="BT334" i="23"/>
  <c r="BU333" i="23"/>
  <c r="CF336" i="23"/>
  <c r="CG335" i="23"/>
  <c r="DJ333" i="23"/>
  <c r="DK332" i="23"/>
  <c r="BO332" i="23"/>
  <c r="BN333" i="23"/>
  <c r="AW347" i="23"/>
  <c r="AV348" i="23"/>
  <c r="BH331" i="23"/>
  <c r="BI330" i="23"/>
  <c r="AK338" i="23"/>
  <c r="AJ339" i="23"/>
  <c r="BC334" i="23"/>
  <c r="BB335" i="23"/>
  <c r="Y345" i="23"/>
  <c r="X346" i="23"/>
  <c r="AD348" i="23"/>
  <c r="AE347" i="23"/>
  <c r="CM334" i="23"/>
  <c r="CL335" i="23"/>
  <c r="S348" i="23"/>
  <c r="R349" i="23"/>
  <c r="DQ339" i="23"/>
  <c r="DP340" i="23"/>
  <c r="CA336" i="23"/>
  <c r="BZ337" i="23"/>
  <c r="AP333" i="23"/>
  <c r="AQ332" i="23"/>
  <c r="A311" i="23"/>
  <c r="B310" i="23"/>
  <c r="C310" i="23" s="1"/>
  <c r="M350" i="23" l="1"/>
  <c r="L351" i="23"/>
  <c r="BT335" i="23"/>
  <c r="BU334" i="23"/>
  <c r="CF337" i="23"/>
  <c r="CG336" i="23"/>
  <c r="DJ334" i="23"/>
  <c r="DK333" i="23"/>
  <c r="BO333" i="23"/>
  <c r="BN334" i="23"/>
  <c r="AK339" i="23"/>
  <c r="AJ340" i="23"/>
  <c r="AW348" i="23"/>
  <c r="AV349" i="23"/>
  <c r="BH332" i="23"/>
  <c r="BI331" i="23"/>
  <c r="BB336" i="23"/>
  <c r="BC335" i="23"/>
  <c r="AE348" i="23"/>
  <c r="AD349" i="23"/>
  <c r="X347" i="23"/>
  <c r="Y346" i="23"/>
  <c r="CL336" i="23"/>
  <c r="CM335" i="23"/>
  <c r="R350" i="23"/>
  <c r="S349" i="23"/>
  <c r="AP334" i="23"/>
  <c r="AQ333" i="23"/>
  <c r="BZ338" i="23"/>
  <c r="CA337" i="23"/>
  <c r="DQ340" i="23"/>
  <c r="DP341" i="23"/>
  <c r="B311" i="23"/>
  <c r="C311" i="23" s="1"/>
  <c r="A312" i="23"/>
  <c r="L352" i="23" l="1"/>
  <c r="M352" i="23" s="1"/>
  <c r="M351" i="23"/>
  <c r="BU335" i="23"/>
  <c r="BT336" i="23"/>
  <c r="BN335" i="23"/>
  <c r="BO334" i="23"/>
  <c r="CF338" i="23"/>
  <c r="CG337" i="23"/>
  <c r="DJ335" i="23"/>
  <c r="DK334" i="23"/>
  <c r="AW349" i="23"/>
  <c r="AV350" i="23"/>
  <c r="AJ341" i="23"/>
  <c r="AK340" i="23"/>
  <c r="BI332" i="23"/>
  <c r="BH333" i="23"/>
  <c r="BB337" i="23"/>
  <c r="BC336" i="23"/>
  <c r="Y347" i="23"/>
  <c r="X348" i="23"/>
  <c r="AD350" i="23"/>
  <c r="AE349" i="23"/>
  <c r="CL337" i="23"/>
  <c r="CM336" i="23"/>
  <c r="S350" i="23"/>
  <c r="R351" i="23"/>
  <c r="DP342" i="23"/>
  <c r="DQ341" i="23"/>
  <c r="CA338" i="23"/>
  <c r="BZ339" i="23"/>
  <c r="AP335" i="23"/>
  <c r="AQ334" i="23"/>
  <c r="A313" i="23"/>
  <c r="B312" i="23"/>
  <c r="C312" i="23" s="1"/>
  <c r="BU336" i="23" l="1"/>
  <c r="BT337" i="23"/>
  <c r="CG338" i="23"/>
  <c r="CF339" i="23"/>
  <c r="BO335" i="23"/>
  <c r="BN336" i="23"/>
  <c r="DK335" i="23"/>
  <c r="DJ336" i="23"/>
  <c r="AW350" i="23"/>
  <c r="AV351" i="23"/>
  <c r="AJ342" i="23"/>
  <c r="AK341" i="23"/>
  <c r="BH334" i="23"/>
  <c r="BI333" i="23"/>
  <c r="BC337" i="23"/>
  <c r="BB338" i="23"/>
  <c r="Y348" i="23"/>
  <c r="X349" i="23"/>
  <c r="AE350" i="23"/>
  <c r="AD351" i="23"/>
  <c r="CL338" i="23"/>
  <c r="CM337" i="23"/>
  <c r="R352" i="23"/>
  <c r="S352" i="23" s="1"/>
  <c r="S351" i="23"/>
  <c r="AP336" i="23"/>
  <c r="AQ335" i="23"/>
  <c r="CA339" i="23"/>
  <c r="BZ340" i="23"/>
  <c r="DQ342" i="23"/>
  <c r="DP343" i="23"/>
  <c r="A314" i="23"/>
  <c r="B313" i="23"/>
  <c r="C313" i="23" s="1"/>
  <c r="CG339" i="23" l="1"/>
  <c r="CF340" i="23"/>
  <c r="BU337" i="23"/>
  <c r="BT338" i="23"/>
  <c r="BO336" i="23"/>
  <c r="BN337" i="23"/>
  <c r="DK336" i="23"/>
  <c r="DJ337" i="23"/>
  <c r="AW351" i="23"/>
  <c r="AV352" i="23"/>
  <c r="AW352" i="23" s="1"/>
  <c r="AJ343" i="23"/>
  <c r="AK342" i="23"/>
  <c r="BI334" i="23"/>
  <c r="BH335" i="23"/>
  <c r="BC338" i="23"/>
  <c r="BB339" i="23"/>
  <c r="AD352" i="23"/>
  <c r="AE352" i="23" s="1"/>
  <c r="AE351" i="23"/>
  <c r="X350" i="23"/>
  <c r="Y349" i="23"/>
  <c r="CL339" i="23"/>
  <c r="CM338" i="23"/>
  <c r="DP344" i="23"/>
  <c r="DQ343" i="23"/>
  <c r="CA340" i="23"/>
  <c r="BZ341" i="23"/>
  <c r="AP337" i="23"/>
  <c r="AQ336" i="23"/>
  <c r="A315" i="23"/>
  <c r="B314" i="23"/>
  <c r="C314" i="23" s="1"/>
  <c r="BT339" i="23" l="1"/>
  <c r="BU338" i="23"/>
  <c r="CG340" i="23"/>
  <c r="CF341" i="23"/>
  <c r="BN338" i="23"/>
  <c r="BO337" i="23"/>
  <c r="DJ338" i="23"/>
  <c r="DK337" i="23"/>
  <c r="AK343" i="23"/>
  <c r="AJ344" i="23"/>
  <c r="BI335" i="23"/>
  <c r="BH336" i="23"/>
  <c r="BC339" i="23"/>
  <c r="BB340" i="23"/>
  <c r="X351" i="23"/>
  <c r="Y350" i="23"/>
  <c r="DK339" i="23"/>
  <c r="DJ340" i="23"/>
  <c r="CM339" i="23"/>
  <c r="CL340" i="23"/>
  <c r="AP338" i="23"/>
  <c r="AQ337" i="23"/>
  <c r="BZ342" i="23"/>
  <c r="CA341" i="23"/>
  <c r="DP345" i="23"/>
  <c r="DQ344" i="23"/>
  <c r="A316" i="23"/>
  <c r="B315" i="23"/>
  <c r="C315" i="23" s="1"/>
  <c r="CF342" i="23" l="1"/>
  <c r="CG341" i="23"/>
  <c r="BT340" i="23"/>
  <c r="BU339" i="23"/>
  <c r="BN339" i="23"/>
  <c r="BO338" i="23"/>
  <c r="DJ339" i="23"/>
  <c r="DK338" i="23"/>
  <c r="AJ345" i="23"/>
  <c r="AK344" i="23"/>
  <c r="BH337" i="23"/>
  <c r="BI336" i="23"/>
  <c r="BC340" i="23"/>
  <c r="BB341" i="23"/>
  <c r="Y351" i="23"/>
  <c r="X352" i="23"/>
  <c r="Y352" i="23" s="1"/>
  <c r="DK340" i="23"/>
  <c r="DJ341" i="23"/>
  <c r="CL341" i="23"/>
  <c r="CM340" i="23"/>
  <c r="DQ345" i="23"/>
  <c r="DP346" i="23"/>
  <c r="AQ338" i="23"/>
  <c r="AP339" i="23"/>
  <c r="BZ343" i="23"/>
  <c r="CA342" i="23"/>
  <c r="A317" i="23"/>
  <c r="B316" i="23"/>
  <c r="C316" i="23" s="1"/>
  <c r="BT341" i="23" l="1"/>
  <c r="BU340" i="23"/>
  <c r="CG342" i="23"/>
  <c r="CF343" i="23"/>
  <c r="BO339" i="23"/>
  <c r="BN340" i="23"/>
  <c r="AK345" i="23"/>
  <c r="AJ346" i="23"/>
  <c r="BH338" i="23"/>
  <c r="BI337" i="23"/>
  <c r="BB342" i="23"/>
  <c r="BC341" i="23"/>
  <c r="DK341" i="23"/>
  <c r="DJ342" i="23"/>
  <c r="AQ339" i="23"/>
  <c r="AP340" i="23"/>
  <c r="CM341" i="23"/>
  <c r="CL342" i="23"/>
  <c r="BZ344" i="23"/>
  <c r="CA343" i="23"/>
  <c r="DQ346" i="23"/>
  <c r="DP347" i="23"/>
  <c r="B317" i="23"/>
  <c r="C317" i="23" s="1"/>
  <c r="A318" i="23"/>
  <c r="CF344" i="23" l="1"/>
  <c r="CG343" i="23"/>
  <c r="BU341" i="23"/>
  <c r="BT342" i="23"/>
  <c r="BO340" i="23"/>
  <c r="BN341" i="23"/>
  <c r="AJ347" i="23"/>
  <c r="AK346" i="23"/>
  <c r="BH339" i="23"/>
  <c r="BI338" i="23"/>
  <c r="BB343" i="23"/>
  <c r="BC342" i="23"/>
  <c r="DK342" i="23"/>
  <c r="DJ343" i="23"/>
  <c r="CL343" i="23"/>
  <c r="CM342" i="23"/>
  <c r="AP341" i="23"/>
  <c r="AQ340" i="23"/>
  <c r="DP348" i="23"/>
  <c r="DQ347" i="23"/>
  <c r="CA344" i="23"/>
  <c r="BZ345" i="23"/>
  <c r="A319" i="23"/>
  <c r="B318" i="23"/>
  <c r="C318" i="23" s="1"/>
  <c r="BT343" i="23" l="1"/>
  <c r="BU342" i="23"/>
  <c r="CF345" i="23"/>
  <c r="CG344" i="23"/>
  <c r="BN342" i="23"/>
  <c r="BO341" i="23"/>
  <c r="AJ348" i="23"/>
  <c r="AK347" i="23"/>
  <c r="BI339" i="23"/>
  <c r="BH340" i="23"/>
  <c r="BC343" i="23"/>
  <c r="BB344" i="23"/>
  <c r="DK343" i="23"/>
  <c r="DJ344" i="23"/>
  <c r="AP342" i="23"/>
  <c r="AQ341" i="23"/>
  <c r="CL344" i="23"/>
  <c r="CM343" i="23"/>
  <c r="CA345" i="23"/>
  <c r="BZ346" i="23"/>
  <c r="DP349" i="23"/>
  <c r="DQ348" i="23"/>
  <c r="B319" i="23"/>
  <c r="C319" i="23" s="1"/>
  <c r="A320" i="23"/>
  <c r="CF346" i="23" l="1"/>
  <c r="CG345" i="23"/>
  <c r="BU343" i="23"/>
  <c r="BT344" i="23"/>
  <c r="BN343" i="23"/>
  <c r="BO342" i="23"/>
  <c r="AJ349" i="23"/>
  <c r="AK348" i="23"/>
  <c r="BH341" i="23"/>
  <c r="BI340" i="23"/>
  <c r="BC344" i="23"/>
  <c r="BB345" i="23"/>
  <c r="DK344" i="23"/>
  <c r="DJ345" i="23"/>
  <c r="CL345" i="23"/>
  <c r="CM344" i="23"/>
  <c r="AQ342" i="23"/>
  <c r="AP343" i="23"/>
  <c r="BZ347" i="23"/>
  <c r="CA346" i="23"/>
  <c r="DQ349" i="23"/>
  <c r="DP350" i="23"/>
  <c r="A321" i="23"/>
  <c r="B320" i="23"/>
  <c r="C320" i="23" s="1"/>
  <c r="BT345" i="23" l="1"/>
  <c r="BU344" i="23"/>
  <c r="CF347" i="23"/>
  <c r="CG346" i="23"/>
  <c r="BO343" i="23"/>
  <c r="BN344" i="23"/>
  <c r="AJ350" i="23"/>
  <c r="AK349" i="23"/>
  <c r="BI341" i="23"/>
  <c r="BH342" i="23"/>
  <c r="BB346" i="23"/>
  <c r="BC345" i="23"/>
  <c r="DK345" i="23"/>
  <c r="DJ346" i="23"/>
  <c r="AP344" i="23"/>
  <c r="AQ343" i="23"/>
  <c r="CL346" i="23"/>
  <c r="CM345" i="23"/>
  <c r="BZ348" i="23"/>
  <c r="CA347" i="23"/>
  <c r="DQ350" i="23"/>
  <c r="DP351" i="23"/>
  <c r="A322" i="23"/>
  <c r="B321" i="23"/>
  <c r="C321" i="23" s="1"/>
  <c r="CF348" i="23" l="1"/>
  <c r="CG347" i="23"/>
  <c r="BT346" i="23"/>
  <c r="BU345" i="23"/>
  <c r="BN345" i="23"/>
  <c r="BO344" i="23"/>
  <c r="AK350" i="23"/>
  <c r="AJ351" i="23"/>
  <c r="BI342" i="23"/>
  <c r="BH343" i="23"/>
  <c r="BC346" i="23"/>
  <c r="BB347" i="23"/>
  <c r="DJ347" i="23"/>
  <c r="DK346" i="23"/>
  <c r="CM346" i="23"/>
  <c r="CL347" i="23"/>
  <c r="AP345" i="23"/>
  <c r="AQ344" i="23"/>
  <c r="BZ349" i="23"/>
  <c r="CA348" i="23"/>
  <c r="A323" i="23"/>
  <c r="B322" i="23"/>
  <c r="C322" i="23" s="1"/>
  <c r="BT347" i="23" l="1"/>
  <c r="BU346" i="23"/>
  <c r="CG348" i="23"/>
  <c r="CF349" i="23"/>
  <c r="BN346" i="23"/>
  <c r="BO345" i="23"/>
  <c r="AK351" i="23"/>
  <c r="AJ352" i="23"/>
  <c r="AK352" i="23" s="1"/>
  <c r="BI343" i="23"/>
  <c r="BH344" i="23"/>
  <c r="BC347" i="23"/>
  <c r="BB348" i="23"/>
  <c r="DJ348" i="23"/>
  <c r="DK347" i="23"/>
  <c r="AQ345" i="23"/>
  <c r="AP346" i="23"/>
  <c r="CL348" i="23"/>
  <c r="CM347" i="23"/>
  <c r="BZ350" i="23"/>
  <c r="CA349" i="23"/>
  <c r="A324" i="23"/>
  <c r="B323" i="23"/>
  <c r="C323" i="23" s="1"/>
  <c r="CG349" i="23" l="1"/>
  <c r="CF350" i="23"/>
  <c r="BU347" i="23"/>
  <c r="BT348" i="23"/>
  <c r="BO346" i="23"/>
  <c r="BN347" i="23"/>
  <c r="BH345" i="23"/>
  <c r="BI344" i="23"/>
  <c r="BC348" i="23"/>
  <c r="BB349" i="23"/>
  <c r="DJ349" i="23"/>
  <c r="DK348" i="23"/>
  <c r="CL349" i="23"/>
  <c r="CM348" i="23"/>
  <c r="AP347" i="23"/>
  <c r="AQ346" i="23"/>
  <c r="BZ351" i="23"/>
  <c r="CA350" i="23"/>
  <c r="A325" i="23"/>
  <c r="B324" i="23"/>
  <c r="C324" i="23" s="1"/>
  <c r="BU348" i="23" l="1"/>
  <c r="BT349" i="23"/>
  <c r="CF351" i="23"/>
  <c r="CG350" i="23"/>
  <c r="BN348" i="23"/>
  <c r="BO347" i="23"/>
  <c r="BB350" i="23"/>
  <c r="BC349" i="23"/>
  <c r="BH346" i="23"/>
  <c r="BI345" i="23"/>
  <c r="DJ350" i="23"/>
  <c r="DK349" i="23"/>
  <c r="AP348" i="23"/>
  <c r="AQ347" i="23"/>
  <c r="BZ352" i="23"/>
  <c r="CA352" i="23" s="1"/>
  <c r="CA351" i="23"/>
  <c r="CM349" i="23"/>
  <c r="CL350" i="23"/>
  <c r="A326" i="23"/>
  <c r="B325" i="23"/>
  <c r="C325" i="23" s="1"/>
  <c r="CG351" i="23" l="1"/>
  <c r="CF352" i="23"/>
  <c r="CG352" i="23" s="1"/>
  <c r="BU349" i="23"/>
  <c r="BT350" i="23"/>
  <c r="BO348" i="23"/>
  <c r="BN349" i="23"/>
  <c r="BH347" i="23"/>
  <c r="BI346" i="23"/>
  <c r="BC350" i="23"/>
  <c r="BB351" i="23"/>
  <c r="DJ351" i="23"/>
  <c r="DK350" i="23"/>
  <c r="CM350" i="23"/>
  <c r="CL351" i="23"/>
  <c r="AQ348" i="23"/>
  <c r="AP349" i="23"/>
  <c r="A327" i="23"/>
  <c r="B326" i="23"/>
  <c r="C326" i="23" s="1"/>
  <c r="BT351" i="23" l="1"/>
  <c r="BU350" i="23"/>
  <c r="BN350" i="23"/>
  <c r="BO349" i="23"/>
  <c r="DJ352" i="23"/>
  <c r="DK352" i="23" s="1"/>
  <c r="DK351" i="23"/>
  <c r="BB352" i="23"/>
  <c r="BC352" i="23" s="1"/>
  <c r="BC351" i="23"/>
  <c r="BI347" i="23"/>
  <c r="BH348" i="23"/>
  <c r="CL352" i="23"/>
  <c r="CM352" i="23" s="1"/>
  <c r="CM351" i="23"/>
  <c r="AP350" i="23"/>
  <c r="AQ349" i="23"/>
  <c r="B327" i="23"/>
  <c r="C327" i="23" s="1"/>
  <c r="A328" i="23"/>
  <c r="BT352" i="23" l="1"/>
  <c r="BU352" i="23" s="1"/>
  <c r="BU351" i="23"/>
  <c r="BO350" i="23"/>
  <c r="BN351" i="23"/>
  <c r="BI348" i="23"/>
  <c r="BH349" i="23"/>
  <c r="AQ350" i="23"/>
  <c r="AP351" i="23"/>
  <c r="A329" i="23"/>
  <c r="B328" i="23"/>
  <c r="C328" i="23" s="1"/>
  <c r="BN352" i="23" l="1"/>
  <c r="BO352" i="23" s="1"/>
  <c r="BO351" i="23"/>
  <c r="BH350" i="23"/>
  <c r="BI349" i="23"/>
  <c r="AP352" i="23"/>
  <c r="AQ352" i="23" s="1"/>
  <c r="AQ351" i="23"/>
  <c r="A330" i="23"/>
  <c r="B329" i="23"/>
  <c r="C329" i="23" s="1"/>
  <c r="BH351" i="23" l="1"/>
  <c r="BI350" i="23"/>
  <c r="A331" i="23"/>
  <c r="B330" i="23"/>
  <c r="C330" i="23" s="1"/>
  <c r="BI351" i="23" l="1"/>
  <c r="BH352" i="23"/>
  <c r="BI352" i="23" s="1"/>
  <c r="A332" i="23"/>
  <c r="B331" i="23"/>
  <c r="C331" i="23" s="1"/>
  <c r="A333" i="23" l="1"/>
  <c r="B332" i="23"/>
  <c r="C332" i="23" s="1"/>
  <c r="A334" i="23" l="1"/>
  <c r="B333" i="23"/>
  <c r="C333" i="23" s="1"/>
  <c r="A335" i="23" l="1"/>
  <c r="B334" i="23"/>
  <c r="C334" i="23" s="1"/>
  <c r="A336" i="23" l="1"/>
  <c r="B335" i="23"/>
  <c r="C335" i="23" s="1"/>
  <c r="A337" i="23" l="1"/>
  <c r="B336" i="23"/>
  <c r="C336" i="23" s="1"/>
  <c r="A338" i="23" l="1"/>
  <c r="B337" i="23"/>
  <c r="C337" i="23" s="1"/>
  <c r="A339" i="23" l="1"/>
  <c r="B338" i="23"/>
  <c r="C338" i="23" s="1"/>
  <c r="A340" i="23" l="1"/>
  <c r="B339" i="23"/>
  <c r="C339" i="23" s="1"/>
  <c r="A341" i="23" l="1"/>
  <c r="B340" i="23"/>
  <c r="C340" i="23" s="1"/>
  <c r="B341" i="23" l="1"/>
  <c r="C341" i="23" s="1"/>
  <c r="A342" i="23"/>
  <c r="A343" i="23" l="1"/>
  <c r="B342" i="23"/>
  <c r="C342" i="23" s="1"/>
  <c r="B343" i="23" l="1"/>
  <c r="C343" i="23" s="1"/>
  <c r="A344" i="23"/>
  <c r="A345" i="23" l="1"/>
  <c r="B344" i="23"/>
  <c r="C344" i="23" s="1"/>
  <c r="A346" i="23" l="1"/>
  <c r="B345" i="23"/>
  <c r="C345" i="23" s="1"/>
  <c r="A347" i="23" l="1"/>
  <c r="B346" i="23"/>
  <c r="C346" i="23" s="1"/>
  <c r="A348" i="23" l="1"/>
  <c r="B347" i="23"/>
  <c r="C347" i="23" s="1"/>
  <c r="A349" i="23" l="1"/>
  <c r="B348" i="23"/>
  <c r="C348" i="23" s="1"/>
  <c r="A350" i="23" l="1"/>
  <c r="B349" i="23"/>
  <c r="C349" i="23" s="1"/>
  <c r="A351" i="23" l="1"/>
  <c r="B350" i="23"/>
  <c r="C350" i="23" s="1"/>
  <c r="A352" i="23" l="1"/>
  <c r="B351" i="23"/>
  <c r="C351" i="23" s="1"/>
  <c r="A353" i="23" l="1"/>
  <c r="B352" i="23"/>
  <c r="C352" i="23" s="1"/>
  <c r="A354" i="23" l="1"/>
  <c r="B353" i="23"/>
  <c r="C353" i="23" s="1"/>
  <c r="A355" i="23" l="1"/>
  <c r="B354" i="23"/>
  <c r="C354" i="23" s="1"/>
  <c r="A356" i="23" l="1"/>
  <c r="B355" i="23"/>
  <c r="C355" i="23" s="1"/>
  <c r="A357" i="23" l="1"/>
  <c r="B356" i="23"/>
  <c r="C356" i="23" s="1"/>
  <c r="B357" i="23" l="1"/>
  <c r="C357" i="23" s="1"/>
  <c r="A358" i="23"/>
  <c r="A359" i="23" l="1"/>
  <c r="B358" i="23"/>
  <c r="C358" i="23" s="1"/>
  <c r="B359" i="23" l="1"/>
  <c r="C359" i="23" s="1"/>
  <c r="A360" i="23"/>
  <c r="A361" i="23" l="1"/>
  <c r="B360" i="23"/>
  <c r="C360" i="23" s="1"/>
  <c r="A362" i="23" l="1"/>
  <c r="B361" i="23"/>
  <c r="C361" i="23" s="1"/>
  <c r="A363" i="23" l="1"/>
  <c r="B362" i="23"/>
  <c r="C362" i="23" s="1"/>
  <c r="A364" i="23" l="1"/>
  <c r="B363" i="23"/>
  <c r="C363" i="23" s="1"/>
  <c r="A365" i="23" l="1"/>
  <c r="B364" i="23"/>
  <c r="C364" i="23" s="1"/>
  <c r="A366" i="23" l="1"/>
  <c r="B365" i="23"/>
  <c r="C365" i="23" s="1"/>
  <c r="A367" i="23" l="1"/>
  <c r="B366" i="23"/>
  <c r="C366" i="23" s="1"/>
  <c r="A368" i="23" l="1"/>
  <c r="B367" i="23"/>
  <c r="C367" i="23" s="1"/>
  <c r="A369" i="23" l="1"/>
  <c r="B368" i="23"/>
  <c r="C368" i="23" s="1"/>
  <c r="A370" i="23" l="1"/>
  <c r="B369" i="23"/>
  <c r="C369" i="23" s="1"/>
  <c r="A371" i="23" l="1"/>
  <c r="B370" i="23"/>
  <c r="C370" i="23" s="1"/>
  <c r="A372" i="23" l="1"/>
  <c r="B371" i="23"/>
  <c r="C371" i="23" s="1"/>
  <c r="A373" i="23" l="1"/>
  <c r="B372" i="23"/>
  <c r="C372" i="23" s="1"/>
  <c r="B373" i="23" l="1"/>
  <c r="C373" i="23" s="1"/>
  <c r="A374" i="23"/>
  <c r="A375" i="23" l="1"/>
  <c r="B374" i="23"/>
  <c r="C374" i="23" s="1"/>
  <c r="B375" i="23" l="1"/>
  <c r="C375" i="23" s="1"/>
  <c r="A376" i="23"/>
  <c r="A377" i="23" l="1"/>
  <c r="B376" i="23"/>
  <c r="C376" i="23" s="1"/>
  <c r="A378" i="23" l="1"/>
  <c r="B377" i="23"/>
  <c r="C377" i="23" s="1"/>
  <c r="A379" i="23" l="1"/>
  <c r="B378" i="23"/>
  <c r="C378" i="23" s="1"/>
  <c r="A380" i="23" l="1"/>
  <c r="B379" i="23"/>
  <c r="C379" i="23" s="1"/>
  <c r="A381" i="23" l="1"/>
  <c r="B380" i="23"/>
  <c r="C380" i="23" s="1"/>
  <c r="B381" i="23" l="1"/>
  <c r="C381" i="23" s="1"/>
  <c r="A382" i="23"/>
  <c r="B382" i="23" l="1"/>
  <c r="C382" i="23" s="1"/>
  <c r="A383" i="23"/>
  <c r="A384" i="23" l="1"/>
  <c r="B383" i="23"/>
  <c r="C383" i="23" s="1"/>
  <c r="B384" i="23" l="1"/>
  <c r="C384" i="23" s="1"/>
  <c r="A385" i="23"/>
  <c r="A386" i="23" l="1"/>
  <c r="B385" i="23"/>
  <c r="C385" i="23" s="1"/>
  <c r="B386" i="23" l="1"/>
  <c r="C386" i="23" s="1"/>
  <c r="A387" i="23"/>
  <c r="A388" i="23" l="1"/>
  <c r="B387" i="23"/>
  <c r="C387" i="23" s="1"/>
  <c r="A389" i="23" l="1"/>
  <c r="B388" i="23"/>
  <c r="C388" i="23" s="1"/>
  <c r="A390" i="23" l="1"/>
  <c r="B389" i="23"/>
  <c r="C389" i="23" s="1"/>
  <c r="A391" i="23" l="1"/>
  <c r="B390" i="23"/>
  <c r="C390" i="23" s="1"/>
  <c r="B391" i="23" l="1"/>
  <c r="C391" i="23" s="1"/>
  <c r="A392" i="23"/>
  <c r="A393" i="23" l="1"/>
  <c r="B392" i="23"/>
  <c r="C392" i="23" s="1"/>
  <c r="A394" i="23" l="1"/>
  <c r="B393" i="23"/>
  <c r="C393" i="23" s="1"/>
  <c r="A395" i="23" l="1"/>
  <c r="B394" i="23"/>
  <c r="C394" i="23" s="1"/>
  <c r="A396" i="23" l="1"/>
  <c r="B395" i="23"/>
  <c r="C395" i="23" s="1"/>
  <c r="A397" i="23" l="1"/>
  <c r="B396" i="23"/>
  <c r="C396" i="23" s="1"/>
  <c r="A398" i="23" l="1"/>
  <c r="B397" i="23"/>
  <c r="C397" i="23" s="1"/>
  <c r="A399" i="23" l="1"/>
  <c r="B398" i="23"/>
  <c r="C398" i="23" s="1"/>
  <c r="A400" i="23" l="1"/>
  <c r="B399" i="23"/>
  <c r="C399" i="23" s="1"/>
  <c r="A401" i="23" l="1"/>
  <c r="B400" i="23"/>
  <c r="C400" i="23" s="1"/>
  <c r="A402" i="23" l="1"/>
  <c r="B401" i="23"/>
  <c r="C401" i="23" s="1"/>
  <c r="A403" i="23" l="1"/>
  <c r="B402" i="23"/>
  <c r="C402" i="23" s="1"/>
  <c r="A404" i="23" l="1"/>
  <c r="B403" i="23"/>
  <c r="C403" i="23" s="1"/>
  <c r="A405" i="23" l="1"/>
  <c r="B404" i="23"/>
  <c r="C404" i="23" s="1"/>
  <c r="B405" i="23" l="1"/>
  <c r="C405" i="23" s="1"/>
  <c r="A406" i="23"/>
  <c r="A407" i="23" l="1"/>
  <c r="B406" i="23"/>
  <c r="C406" i="23" s="1"/>
  <c r="A408" i="23" l="1"/>
  <c r="B407" i="23"/>
  <c r="C407" i="23" s="1"/>
  <c r="B408" i="23" l="1"/>
  <c r="C408" i="23" s="1"/>
  <c r="A409" i="23"/>
  <c r="A410" i="23" l="1"/>
  <c r="B409" i="23"/>
  <c r="C409" i="23" s="1"/>
  <c r="B410" i="23" l="1"/>
  <c r="C410" i="23" s="1"/>
  <c r="A411" i="23"/>
  <c r="A412" i="23" l="1"/>
  <c r="B411" i="23"/>
  <c r="C411" i="23" s="1"/>
  <c r="B412" i="23" l="1"/>
  <c r="C412" i="23" s="1"/>
  <c r="A413" i="23"/>
  <c r="A414" i="23" l="1"/>
  <c r="B413" i="23"/>
  <c r="C413" i="23" s="1"/>
  <c r="B414" i="23" l="1"/>
  <c r="C414" i="23" s="1"/>
  <c r="A415" i="23"/>
  <c r="B415" i="23" l="1"/>
  <c r="C415" i="23" s="1"/>
  <c r="A416" i="23"/>
  <c r="B416" i="23" l="1"/>
  <c r="C416" i="23" s="1"/>
  <c r="A417" i="23"/>
  <c r="A418" i="23" l="1"/>
  <c r="B417" i="23"/>
  <c r="C417" i="23" s="1"/>
  <c r="B418" i="23" l="1"/>
  <c r="C418" i="23" s="1"/>
  <c r="A419" i="23"/>
  <c r="A420" i="23" l="1"/>
  <c r="B419" i="23"/>
  <c r="C419" i="23" s="1"/>
  <c r="B420" i="23" l="1"/>
  <c r="C420" i="23" s="1"/>
  <c r="A421" i="23"/>
  <c r="A422" i="23" l="1"/>
  <c r="B421" i="23"/>
  <c r="C421" i="23" s="1"/>
  <c r="B422" i="23" l="1"/>
  <c r="C422" i="23" s="1"/>
  <c r="A423" i="23"/>
  <c r="B423" i="23" l="1"/>
  <c r="C423" i="23" s="1"/>
  <c r="A424" i="23"/>
  <c r="B424" i="23" l="1"/>
  <c r="C424" i="23" s="1"/>
  <c r="A425" i="23"/>
  <c r="A426" i="23" l="1"/>
  <c r="B425" i="23"/>
  <c r="C425" i="23" s="1"/>
  <c r="B426" i="23" l="1"/>
  <c r="C426" i="23" s="1"/>
  <c r="A427" i="23"/>
  <c r="A428" i="23" l="1"/>
  <c r="B427" i="23"/>
  <c r="C427" i="23" s="1"/>
  <c r="B428" i="23" l="1"/>
  <c r="C428" i="23" s="1"/>
  <c r="A429" i="23"/>
  <c r="B429" i="23" l="1"/>
  <c r="C429" i="23" s="1"/>
  <c r="A430" i="23"/>
  <c r="B430" i="23" l="1"/>
  <c r="C430" i="23" s="1"/>
  <c r="A431" i="23"/>
  <c r="A432" i="23" l="1"/>
  <c r="B431" i="23"/>
  <c r="C431" i="23" s="1"/>
  <c r="B432" i="23" l="1"/>
  <c r="C432" i="23" s="1"/>
  <c r="A433" i="23"/>
  <c r="B433" i="23" l="1"/>
  <c r="C433" i="23" s="1"/>
  <c r="A434" i="23"/>
  <c r="B434" i="23" l="1"/>
  <c r="C434" i="23" s="1"/>
  <c r="A435" i="23"/>
  <c r="A436" i="23" l="1"/>
  <c r="B435" i="23"/>
  <c r="C435" i="23" s="1"/>
  <c r="B436" i="23" l="1"/>
  <c r="C436" i="23" s="1"/>
  <c r="A437" i="23"/>
  <c r="A438" i="23" l="1"/>
  <c r="B437" i="23"/>
  <c r="C437" i="23" s="1"/>
  <c r="B438" i="23" l="1"/>
  <c r="C438" i="23" s="1"/>
  <c r="A439" i="23"/>
  <c r="B439" i="23" l="1"/>
  <c r="C439" i="23" s="1"/>
  <c r="A440" i="23"/>
  <c r="B440" i="23" l="1"/>
  <c r="C440" i="23" s="1"/>
  <c r="A441" i="23"/>
  <c r="B441" i="23" l="1"/>
  <c r="C441" i="23" s="1"/>
  <c r="A442" i="23"/>
  <c r="B442" i="23" l="1"/>
  <c r="C442" i="23" s="1"/>
  <c r="A443" i="23"/>
  <c r="B443" i="23" l="1"/>
  <c r="C443" i="23" s="1"/>
  <c r="A444" i="23"/>
  <c r="A445" i="23" l="1"/>
  <c r="B444" i="23"/>
  <c r="C444" i="23" s="1"/>
  <c r="A446" i="23" l="1"/>
  <c r="B445" i="23"/>
  <c r="C445" i="23" s="1"/>
  <c r="B446" i="23" l="1"/>
  <c r="C446" i="23" s="1"/>
  <c r="A447" i="23"/>
  <c r="A448" i="23" l="1"/>
  <c r="B447" i="23"/>
  <c r="C447" i="23" s="1"/>
  <c r="B448" i="23" l="1"/>
  <c r="C448" i="23" s="1"/>
  <c r="A449" i="23"/>
  <c r="A450" i="23" l="1"/>
  <c r="B449" i="23"/>
  <c r="C449" i="23" s="1"/>
  <c r="B450" i="23" l="1"/>
  <c r="C450" i="23" s="1"/>
  <c r="A451" i="23"/>
  <c r="A452" i="23" l="1"/>
  <c r="B451" i="23"/>
  <c r="C451" i="23" s="1"/>
  <c r="A453" i="23" l="1"/>
  <c r="B452" i="23"/>
  <c r="C452" i="23" s="1"/>
  <c r="B453" i="23" l="1"/>
  <c r="C453" i="23" s="1"/>
  <c r="A454" i="23"/>
  <c r="A455" i="23" l="1"/>
  <c r="B454" i="23"/>
  <c r="C454" i="23" s="1"/>
  <c r="B455" i="23" l="1"/>
  <c r="C455" i="23" s="1"/>
  <c r="A456" i="23"/>
  <c r="A457" i="23" l="1"/>
  <c r="B456" i="23"/>
  <c r="C456" i="23" s="1"/>
  <c r="A458" i="23" l="1"/>
  <c r="B457" i="23"/>
  <c r="C457" i="23" s="1"/>
  <c r="A459" i="23" l="1"/>
  <c r="B458" i="23"/>
  <c r="C458" i="23" s="1"/>
  <c r="A460" i="23" l="1"/>
  <c r="B459" i="23"/>
  <c r="C459" i="23" s="1"/>
  <c r="A461" i="23" l="1"/>
  <c r="B460" i="23"/>
  <c r="C460" i="23" s="1"/>
  <c r="B461" i="23" l="1"/>
  <c r="C461" i="23" s="1"/>
  <c r="A462" i="23"/>
  <c r="A463" i="23" l="1"/>
  <c r="B462" i="23"/>
  <c r="C462" i="23" s="1"/>
  <c r="B463" i="23" l="1"/>
  <c r="C463" i="23" s="1"/>
  <c r="A464" i="23"/>
  <c r="A465" i="23" l="1"/>
  <c r="B464" i="23"/>
  <c r="C464" i="23" s="1"/>
  <c r="A466" i="23" l="1"/>
  <c r="B465" i="23"/>
  <c r="C465" i="23" s="1"/>
  <c r="A467" i="23" l="1"/>
  <c r="B466" i="23"/>
  <c r="C466" i="23" s="1"/>
  <c r="B467" i="23" l="1"/>
  <c r="C467" i="23" s="1"/>
  <c r="A468" i="23"/>
  <c r="A469" i="23" l="1"/>
  <c r="B468" i="23"/>
  <c r="C468" i="23" s="1"/>
  <c r="B469" i="23" l="1"/>
  <c r="C469" i="23" s="1"/>
  <c r="A470" i="23"/>
  <c r="A471" i="23" l="1"/>
  <c r="B470" i="23"/>
  <c r="C470" i="23" s="1"/>
  <c r="A472" i="23" l="1"/>
  <c r="B471" i="23"/>
  <c r="C471" i="23" s="1"/>
  <c r="A473" i="23" l="1"/>
  <c r="B472" i="23"/>
  <c r="C472" i="23" s="1"/>
  <c r="B473" i="23" l="1"/>
  <c r="C473" i="23" s="1"/>
  <c r="A474" i="23"/>
  <c r="A475" i="23" l="1"/>
  <c r="B474" i="23"/>
  <c r="C474" i="23" s="1"/>
  <c r="A476" i="23" l="1"/>
  <c r="B475" i="23"/>
  <c r="C475" i="23" s="1"/>
  <c r="A477" i="23" l="1"/>
  <c r="B476" i="23"/>
  <c r="C476" i="23" s="1"/>
  <c r="B477" i="23" l="1"/>
  <c r="C477" i="23" s="1"/>
  <c r="A478" i="23"/>
  <c r="A479" i="23" l="1"/>
  <c r="B478" i="23"/>
  <c r="C478" i="23" s="1"/>
  <c r="B479" i="23" l="1"/>
  <c r="C479" i="23" s="1"/>
  <c r="A480" i="23"/>
  <c r="A481" i="23" l="1"/>
  <c r="B480" i="23"/>
  <c r="C480" i="23" s="1"/>
  <c r="B481" i="23" l="1"/>
  <c r="C481" i="23" s="1"/>
  <c r="A482" i="23"/>
  <c r="A483" i="23" l="1"/>
  <c r="B482" i="23"/>
  <c r="C482" i="23" s="1"/>
  <c r="B483" i="23" l="1"/>
  <c r="C483" i="23" s="1"/>
  <c r="A484" i="23"/>
  <c r="A485" i="23" l="1"/>
  <c r="B484" i="23"/>
  <c r="C484" i="23" s="1"/>
  <c r="B485" i="23" l="1"/>
  <c r="C485" i="23" s="1"/>
  <c r="A486" i="23"/>
  <c r="A487" i="23" l="1"/>
  <c r="B486" i="23"/>
  <c r="C486" i="23" s="1"/>
  <c r="B487" i="23" l="1"/>
  <c r="C487" i="23" s="1"/>
  <c r="A488" i="23"/>
  <c r="A489" i="23" l="1"/>
  <c r="B488" i="23"/>
  <c r="C488" i="23" s="1"/>
  <c r="B489" i="23" l="1"/>
  <c r="C489" i="23" s="1"/>
  <c r="A490" i="23"/>
  <c r="A491" i="23" l="1"/>
  <c r="B490" i="23"/>
  <c r="C490" i="23" s="1"/>
  <c r="B491" i="23" l="1"/>
  <c r="C491" i="23" s="1"/>
  <c r="A492" i="23"/>
  <c r="A493" i="23" l="1"/>
  <c r="B492" i="23"/>
  <c r="C492" i="23" s="1"/>
  <c r="B493" i="23" l="1"/>
  <c r="C493" i="23" s="1"/>
  <c r="A494" i="23"/>
  <c r="A495" i="23" l="1"/>
  <c r="B494" i="23"/>
  <c r="C494" i="23" s="1"/>
  <c r="B495" i="23" l="1"/>
  <c r="C495" i="23" s="1"/>
  <c r="A496" i="23"/>
  <c r="A497" i="23" l="1"/>
  <c r="B496" i="23"/>
  <c r="C496" i="23" s="1"/>
  <c r="B497" i="23" l="1"/>
  <c r="C497" i="23" s="1"/>
  <c r="A498" i="23"/>
  <c r="A499" i="23" l="1"/>
  <c r="B498" i="23"/>
  <c r="C498" i="23" s="1"/>
  <c r="B499" i="23" l="1"/>
  <c r="C499" i="23" s="1"/>
  <c r="A500" i="23"/>
  <c r="A501" i="23" l="1"/>
  <c r="B500" i="23"/>
  <c r="C500" i="23" s="1"/>
  <c r="B501" i="23" l="1"/>
  <c r="C501" i="23" s="1"/>
  <c r="A502" i="23"/>
  <c r="A503" i="23" l="1"/>
  <c r="B502" i="23"/>
  <c r="C502" i="23" s="1"/>
  <c r="B503" i="23" l="1"/>
  <c r="C503" i="23" s="1"/>
  <c r="A504" i="23"/>
  <c r="A505" i="23" l="1"/>
  <c r="B504" i="23"/>
  <c r="C504" i="23" s="1"/>
  <c r="B505" i="23" l="1"/>
  <c r="C505" i="23" s="1"/>
  <c r="A506" i="23"/>
  <c r="A507" i="23" l="1"/>
  <c r="B506" i="23"/>
  <c r="C506" i="23" s="1"/>
  <c r="B507" i="23" l="1"/>
  <c r="C507" i="23" s="1"/>
  <c r="A508" i="23"/>
  <c r="A509" i="23" l="1"/>
  <c r="B509" i="23" s="1"/>
  <c r="C509" i="23" s="1"/>
  <c r="B508" i="23"/>
  <c r="C508" i="23" s="1"/>
</calcChain>
</file>

<file path=xl/comments1.xml><?xml version="1.0" encoding="utf-8"?>
<comments xmlns="http://schemas.openxmlformats.org/spreadsheetml/2006/main">
  <authors>
    <author>Антон Палихов</author>
  </authors>
  <commentList>
    <comment ref="E164" authorId="0">
      <text>
        <r>
          <rPr>
            <sz val="9"/>
            <color indexed="81"/>
            <rFont val="Tahoma"/>
            <family val="2"/>
            <charset val="204"/>
          </rPr>
          <t xml:space="preserve">Total invocations known
</t>
        </r>
      </text>
    </comment>
    <comment ref="K164" authorId="0">
      <text>
        <r>
          <rPr>
            <b/>
            <sz val="9"/>
            <color indexed="81"/>
            <rFont val="Tahoma"/>
            <family val="2"/>
            <charset val="204"/>
          </rPr>
          <t>Total Combat Maneuvers Known</t>
        </r>
        <r>
          <rPr>
            <sz val="9"/>
            <color indexed="81"/>
            <rFont val="Tahoma"/>
            <family val="2"/>
            <charset val="204"/>
          </rPr>
          <t xml:space="preserve">
</t>
        </r>
      </text>
    </comment>
  </commentList>
</comments>
</file>

<file path=xl/comments2.xml><?xml version="1.0" encoding="utf-8"?>
<comments xmlns="http://schemas.openxmlformats.org/spreadsheetml/2006/main">
  <authors>
    <author>Антон Палихов</author>
  </authors>
  <commentList>
    <comment ref="C1" authorId="0">
      <text>
        <r>
          <rPr>
            <b/>
            <sz val="9"/>
            <color indexed="81"/>
            <rFont val="Tahoma"/>
            <family val="2"/>
            <charset val="204"/>
          </rPr>
          <t>Антон Палихов:</t>
        </r>
        <r>
          <rPr>
            <sz val="9"/>
            <color indexed="81"/>
            <rFont val="Tahoma"/>
            <family val="2"/>
            <charset val="204"/>
          </rPr>
          <t xml:space="preserve">
Служебное поле (служит для расчета уникальных рас)</t>
        </r>
      </text>
    </comment>
    <comment ref="D1" authorId="0">
      <text>
        <r>
          <rPr>
            <b/>
            <sz val="9"/>
            <color indexed="81"/>
            <rFont val="Tahoma"/>
            <family val="2"/>
            <charset val="204"/>
          </rPr>
          <t>Антон Палихов:</t>
        </r>
        <r>
          <rPr>
            <sz val="9"/>
            <color indexed="81"/>
            <rFont val="Tahoma"/>
            <family val="2"/>
            <charset val="204"/>
          </rPr>
          <t xml:space="preserve">
Служебное поле (включается ли раса в список субрас)</t>
        </r>
      </text>
    </comment>
  </commentList>
</comments>
</file>

<file path=xl/sharedStrings.xml><?xml version="1.0" encoding="utf-8"?>
<sst xmlns="http://schemas.openxmlformats.org/spreadsheetml/2006/main" count="20772" uniqueCount="7318">
  <si>
    <t>Name</t>
  </si>
  <si>
    <t>Race</t>
  </si>
  <si>
    <t>Background</t>
  </si>
  <si>
    <t>Str</t>
  </si>
  <si>
    <t>Dex</t>
  </si>
  <si>
    <t>Con</t>
  </si>
  <si>
    <t>Int</t>
  </si>
  <si>
    <t>Wis</t>
  </si>
  <si>
    <t>Cha</t>
  </si>
  <si>
    <t>Gender</t>
  </si>
  <si>
    <t>Subrace</t>
  </si>
  <si>
    <t>Size</t>
  </si>
  <si>
    <t>AC</t>
  </si>
  <si>
    <t>Speed</t>
  </si>
  <si>
    <t>Darkvision</t>
  </si>
  <si>
    <t>Age Range</t>
  </si>
  <si>
    <t>Racial Trait 1</t>
  </si>
  <si>
    <t>Racial Trait 2</t>
  </si>
  <si>
    <t>Racial Trait 3</t>
  </si>
  <si>
    <t>Racial Trait 4</t>
  </si>
  <si>
    <t>Proficiency 1</t>
  </si>
  <si>
    <t>Proficiency 2</t>
  </si>
  <si>
    <t>Proficiency 3</t>
  </si>
  <si>
    <t>Proficiency 4</t>
  </si>
  <si>
    <t>Proficiency 5</t>
  </si>
  <si>
    <t>Proficiency 6</t>
  </si>
  <si>
    <t>Bonus Proficiencies</t>
  </si>
  <si>
    <t>Optional Proficiency 1</t>
  </si>
  <si>
    <t>Optional Proficiency 2</t>
  </si>
  <si>
    <t>Optional Proficiency 3</t>
  </si>
  <si>
    <t>Bonus Languages</t>
  </si>
  <si>
    <t>Language 1</t>
  </si>
  <si>
    <t>Language 2</t>
  </si>
  <si>
    <t>Dwarf</t>
  </si>
  <si>
    <t>Hill Dwarf</t>
  </si>
  <si>
    <t>Battleaxe</t>
  </si>
  <si>
    <t>Handaxe</t>
  </si>
  <si>
    <t>Throwing Hammer</t>
  </si>
  <si>
    <t>Warhammer</t>
  </si>
  <si>
    <t>Smith's tools</t>
  </si>
  <si>
    <t>Brewer's supplies</t>
  </si>
  <si>
    <t>Mason's tools</t>
  </si>
  <si>
    <t>Dwarvish</t>
  </si>
  <si>
    <t>Common</t>
  </si>
  <si>
    <t>Mountain Dwarf</t>
  </si>
  <si>
    <t>Light armor</t>
  </si>
  <si>
    <t>Medium armor</t>
  </si>
  <si>
    <t>Elf</t>
  </si>
  <si>
    <t>High Elf</t>
  </si>
  <si>
    <t>Perception</t>
  </si>
  <si>
    <t>Longsword</t>
  </si>
  <si>
    <t>Shortsword</t>
  </si>
  <si>
    <t>Shortbow</t>
  </si>
  <si>
    <t>Longbow</t>
  </si>
  <si>
    <t>Elvish</t>
  </si>
  <si>
    <t>Wood Elf</t>
  </si>
  <si>
    <t>Halfling</t>
  </si>
  <si>
    <t>Lightfoot Halfling</t>
  </si>
  <si>
    <t>Stout Halfling</t>
  </si>
  <si>
    <t>Human</t>
  </si>
  <si>
    <t>Class</t>
  </si>
  <si>
    <t>HitDice</t>
  </si>
  <si>
    <t>Level</t>
  </si>
  <si>
    <t>Proficiency Bonus</t>
  </si>
  <si>
    <t>Skill Proficiency 1</t>
  </si>
  <si>
    <t>Skill Proficiency 2</t>
  </si>
  <si>
    <t>Skill Proficiency 3</t>
  </si>
  <si>
    <t>Bonus Skills</t>
  </si>
  <si>
    <t>Tool Proficiency 1</t>
  </si>
  <si>
    <t>Tool Proficiency 2</t>
  </si>
  <si>
    <t>Acolyte</t>
  </si>
  <si>
    <t>Insight</t>
  </si>
  <si>
    <t>Religion</t>
  </si>
  <si>
    <t>Criminal</t>
  </si>
  <si>
    <t>Deception</t>
  </si>
  <si>
    <t>Stealth</t>
  </si>
  <si>
    <t>Thieve's tools</t>
  </si>
  <si>
    <t>Gaming set</t>
  </si>
  <si>
    <t>Folk Hero</t>
  </si>
  <si>
    <t>Animal Handling</t>
  </si>
  <si>
    <t>Survival</t>
  </si>
  <si>
    <t>Vehicles (land)</t>
  </si>
  <si>
    <t>Sage</t>
  </si>
  <si>
    <t>Arcana</t>
  </si>
  <si>
    <t>History</t>
  </si>
  <si>
    <t>Soldier</t>
  </si>
  <si>
    <t>Athletics</t>
  </si>
  <si>
    <t>Intimidation</t>
  </si>
  <si>
    <t>Armor Type</t>
  </si>
  <si>
    <t>Armor</t>
  </si>
  <si>
    <t>Cost</t>
  </si>
  <si>
    <t>Armor Class (AC)</t>
  </si>
  <si>
    <t>Dexterity Bonus</t>
  </si>
  <si>
    <t>Strength</t>
  </si>
  <si>
    <t>Weight</t>
  </si>
  <si>
    <t>No Armor</t>
  </si>
  <si>
    <t>Padded Armor</t>
  </si>
  <si>
    <t>Disadvantage</t>
  </si>
  <si>
    <t>Leather Armor</t>
  </si>
  <si>
    <t>Studded Leather</t>
  </si>
  <si>
    <t>Hide</t>
  </si>
  <si>
    <t>Chain Shirt</t>
  </si>
  <si>
    <t>Scale Mail</t>
  </si>
  <si>
    <t>Breastplate</t>
  </si>
  <si>
    <t>Half Plate</t>
  </si>
  <si>
    <t>Ring Mail</t>
  </si>
  <si>
    <t>Chain Mail</t>
  </si>
  <si>
    <t>Splint</t>
  </si>
  <si>
    <t>Plate</t>
  </si>
  <si>
    <t>Shields</t>
  </si>
  <si>
    <t>Shield</t>
  </si>
  <si>
    <t>Weapon</t>
  </si>
  <si>
    <t>Damage Type</t>
  </si>
  <si>
    <t>STR</t>
  </si>
  <si>
    <t>Slashing</t>
  </si>
  <si>
    <t>Versatile</t>
  </si>
  <si>
    <t>Blowgun</t>
  </si>
  <si>
    <t>DEX</t>
  </si>
  <si>
    <t>Piercing</t>
  </si>
  <si>
    <t>Club</t>
  </si>
  <si>
    <t>1d4</t>
  </si>
  <si>
    <t>Bludgeoning</t>
  </si>
  <si>
    <t>Light</t>
  </si>
  <si>
    <t>Dagger</t>
  </si>
  <si>
    <t>Dart</t>
  </si>
  <si>
    <t>Flail</t>
  </si>
  <si>
    <t>1d8</t>
  </si>
  <si>
    <t>Glaive</t>
  </si>
  <si>
    <t>1d10</t>
  </si>
  <si>
    <t>Great Club</t>
  </si>
  <si>
    <t>Greataxe</t>
  </si>
  <si>
    <t>1d12</t>
  </si>
  <si>
    <t>Greatsword</t>
  </si>
  <si>
    <t>2d6</t>
  </si>
  <si>
    <t>Halberd</t>
  </si>
  <si>
    <t>Hand Crossbow</t>
  </si>
  <si>
    <t>1d6</t>
  </si>
  <si>
    <t>Heavy Crossbow</t>
  </si>
  <si>
    <t>Javelin</t>
  </si>
  <si>
    <t>Thrown</t>
  </si>
  <si>
    <t>Lance</t>
  </si>
  <si>
    <t>Light Crossbow</t>
  </si>
  <si>
    <t>Light Hammer</t>
  </si>
  <si>
    <t>Mace</t>
  </si>
  <si>
    <t>Maul</t>
  </si>
  <si>
    <t>Morningstar</t>
  </si>
  <si>
    <t>Net</t>
  </si>
  <si>
    <t>Pike</t>
  </si>
  <si>
    <t>Quarterstaff</t>
  </si>
  <si>
    <t>Rapier</t>
  </si>
  <si>
    <t>Finesse</t>
  </si>
  <si>
    <t>Scimitar</t>
  </si>
  <si>
    <t>Sickle</t>
  </si>
  <si>
    <t>Sling</t>
  </si>
  <si>
    <t>Ammunition</t>
  </si>
  <si>
    <t>Spear</t>
  </si>
  <si>
    <t>Trident</t>
  </si>
  <si>
    <t>Unarmed Strike</t>
  </si>
  <si>
    <t>War Pick</t>
  </si>
  <si>
    <t>Whip</t>
  </si>
  <si>
    <t>Ranged</t>
  </si>
  <si>
    <t>Type</t>
  </si>
  <si>
    <t>Reach</t>
  </si>
  <si>
    <t>Loading</t>
  </si>
  <si>
    <t>Heavy</t>
  </si>
  <si>
    <t>Two-Handed</t>
  </si>
  <si>
    <t>Range</t>
  </si>
  <si>
    <t>RangeMax</t>
  </si>
  <si>
    <t>Special</t>
  </si>
  <si>
    <t>Damage1</t>
  </si>
  <si>
    <t>Damage2</t>
  </si>
  <si>
    <t>YES</t>
  </si>
  <si>
    <t xml:space="preserve">Martial </t>
  </si>
  <si>
    <t>Martial</t>
  </si>
  <si>
    <t>Item Group</t>
  </si>
  <si>
    <t>Item</t>
  </si>
  <si>
    <t>Capacity</t>
  </si>
  <si>
    <t>Description</t>
  </si>
  <si>
    <t>Tool</t>
  </si>
  <si>
    <t>Abacus</t>
  </si>
  <si>
    <t>Alchemical</t>
  </si>
  <si>
    <t>Acid (vial)</t>
  </si>
  <si>
    <t>As an action, you can splash the contents of this vial onto a creature within 5 feet of you or throw the vial up to 20 feet, shattering it on impact. In either case, make a ranged attack against a creature or object, treating the acid as an improvised weapon. On a hit, the target takes 2d6 acid damage.</t>
  </si>
  <si>
    <t xml:space="preserve">Alchemist’s fire (flask) </t>
  </si>
  <si>
    <t>This sticky, adhesive fluid ignites when exposed to air. As an action, you can throw this flask up to 20 feet, shattering it on impact. Make a ranged attack against a creature or object, treating the alchemist’s fire as an improvised weapon. On a hit, the target takes 1d4 fire damage at the start of each of its turns. A creature can end this damage by using its action to make a DC 10 Dexterity check toextinguish the flames.</t>
  </si>
  <si>
    <t>Artisan’s tool</t>
  </si>
  <si>
    <t>Alchemist’s supplies</t>
  </si>
  <si>
    <t>These special tools include the items needed to pursue a craft or trade. Proficiency with a set of artisan’s tools lets you add your proficiency bonus to any ability checks you make using the tools in your craft</t>
  </si>
  <si>
    <t>Holy symbol</t>
  </si>
  <si>
    <t xml:space="preserve">Amulet </t>
  </si>
  <si>
    <t xml:space="preserve">A holy symbol is a representation of a god or pantheon. A cleric or paladin can use a holy symbol as a spellcasting focus, as described in chapter 10. To use the symbol in this way, the caster must hold it in hand, wear it visibly, or bear it on a shield. </t>
  </si>
  <si>
    <t>Medical</t>
  </si>
  <si>
    <t xml:space="preserve">Antitoxin (vial) </t>
  </si>
  <si>
    <t>A creature that drinks this vial of liquid gains advantage on saving throws against poison for 1 hour. It confers no benefit to undead or constructs.</t>
  </si>
  <si>
    <t>Service</t>
  </si>
  <si>
    <t>Aristocratic Inn stay (per day)</t>
  </si>
  <si>
    <t>Food</t>
  </si>
  <si>
    <t>Aristocratic Meal (per day)</t>
  </si>
  <si>
    <t xml:space="preserve">Arrows (20) </t>
  </si>
  <si>
    <t>Container</t>
  </si>
  <si>
    <t>Backpack</t>
  </si>
  <si>
    <t>1 cubic foot/30 pounds of gear</t>
  </si>
  <si>
    <t>Musical instrument</t>
  </si>
  <si>
    <t>Bagpipes</t>
  </si>
  <si>
    <t xml:space="preserve">If you have proficiency with a given musical instrument, you can add your proficiency bonus to any ability checks you make to play music with the instrument. Each type of musical instrument requires a separate proficiency. </t>
  </si>
  <si>
    <t>Miscellaneous</t>
  </si>
  <si>
    <t xml:space="preserve">Ball bearings (bag of 1000) </t>
  </si>
  <si>
    <t>As an action, you can spill these tiny metal balls from their pouch to cover a level area 10 feet square. A creature moving across the covered area must succeed on a DC 10 Dexterity saving throw or fall prone. A creature moving through the area at half speed doesn’t need to make the saving throw.</t>
  </si>
  <si>
    <t>Banquet (per person)</t>
  </si>
  <si>
    <t>Barrel</t>
  </si>
  <si>
    <t>40 gallons liquid, 4 cubic feet solid</t>
  </si>
  <si>
    <t>Poison</t>
  </si>
  <si>
    <t>Basic (vial)</t>
  </si>
  <si>
    <t>You can use the poison in this vial to coat one slashing or piercing weapon or up to three pieces of ammunition. Applying the poison takes an action. A creature hit by the poisoned weapon or ammunition must make a DC 10 Constitution saving throw or take 1d4 poison damage. Once applied, the poison retains potency for 1 minute before drying.</t>
  </si>
  <si>
    <t xml:space="preserve">Basket </t>
  </si>
  <si>
    <t>2 cubic feet/40 pounds of gear</t>
  </si>
  <si>
    <t>Supplies</t>
  </si>
  <si>
    <t>Bedroll</t>
  </si>
  <si>
    <t xml:space="preserve">Bell </t>
  </si>
  <si>
    <t>Harness</t>
  </si>
  <si>
    <t>Bit and bridle</t>
  </si>
  <si>
    <t xml:space="preserve">Blanket </t>
  </si>
  <si>
    <t>Block and tackle</t>
  </si>
  <si>
    <t>A set of pulleys with a cable threaded through them and a hook to attach to objects, a block and tackle allows you to hoist up to four times the weight you can normally lift.</t>
  </si>
  <si>
    <t xml:space="preserve">Blowgun needles (50) </t>
  </si>
  <si>
    <t>Book</t>
  </si>
  <si>
    <t>A book might contain poetry, historical accounts, information pertaining to a particular field of lore, diagrams and notes on gnomish contraptions, or just about anything else that can be represented using text or pictures.</t>
  </si>
  <si>
    <t>Medium Barding</t>
  </si>
  <si>
    <t>Barding is armor designed to protect an animal’s head, neck, chest, and body</t>
  </si>
  <si>
    <t>Brewer’s supplies</t>
  </si>
  <si>
    <t>Bucket</t>
  </si>
  <si>
    <t>3 gallons liquid, 1/2 cubic foot solid</t>
  </si>
  <si>
    <t>Bullseye Lantern</t>
  </si>
  <si>
    <t xml:space="preserve">A bullseye lantern casts bright light in a 60-foot cone and dim light for an additional 60 feet. Once lit, it burns for 6 hours on a flask (1 pint) of oil. </t>
  </si>
  <si>
    <t>Calligrapher's supplies</t>
  </si>
  <si>
    <t xml:space="preserve">Caltrops (bag of 20) </t>
  </si>
  <si>
    <t>As an action, you can spread a single bag of caltrops to cover a 5-foot-square area. Any creature that enters the area must succeed on a DC 15 Dexterity saving throw or stop moving and take 1 piercing damage. Until the creature regains at least 1 hit point, its walking speed is reduced by 10 feet. A creature moving through the area at half speed doesn’t need to make the saving throw.</t>
  </si>
  <si>
    <t>Mount</t>
  </si>
  <si>
    <t>Camel</t>
  </si>
  <si>
    <t>480 lb</t>
  </si>
  <si>
    <t>50 ft</t>
  </si>
  <si>
    <t>An animal pulling a carriage, cart, chariot, sled, or wagon can move weight up to five times its base carrying capacity, including the weight of the vehicle. If multiple animals pull the same vehicle, they can add their carrying capacity together.</t>
  </si>
  <si>
    <t xml:space="preserve">Candle </t>
  </si>
  <si>
    <t>For 1 hour, a candle sheds bright light in a 5-foot radius and dim light for an additional 5 feet.</t>
  </si>
  <si>
    <t>Carpenter’s tools</t>
  </si>
  <si>
    <t>Drawn Vehicle</t>
  </si>
  <si>
    <t>Carriage</t>
  </si>
  <si>
    <t>Cart</t>
  </si>
  <si>
    <t>Cartographer’s tools</t>
  </si>
  <si>
    <t xml:space="preserve">Chain (10 feet) </t>
  </si>
  <si>
    <t xml:space="preserve">A chain has 10 hit points. It can be burst with a successful DC 20 Strength check. </t>
  </si>
  <si>
    <t>Heavy Barding</t>
  </si>
  <si>
    <t>Chain mail</t>
  </si>
  <si>
    <t>Chain shirt</t>
  </si>
  <si>
    <t xml:space="preserve">Chalk (1 piece) </t>
  </si>
  <si>
    <t>Chariot</t>
  </si>
  <si>
    <t xml:space="preserve">Chest </t>
  </si>
  <si>
    <t>12 cubic feet/300 pounds of gear</t>
  </si>
  <si>
    <t>Chunk of Meat</t>
  </si>
  <si>
    <t xml:space="preserve">Climber’s kit </t>
  </si>
  <si>
    <t xml:space="preserve">A climber’s kit includes special pitons, boot tips, gloves, and a harness. You can use the climber’s kit as an action to anchor yourself; when you do, you can’t fall more than 25 feet from the point where you anchored yourself, and you can’t climb more than 25 feet away from that point without undoing the anchor. </t>
  </si>
  <si>
    <t>Coach cab between towns</t>
  </si>
  <si>
    <t>Cost per mile</t>
  </si>
  <si>
    <t>Coach cab within a city</t>
  </si>
  <si>
    <t>Cobbler’s tools</t>
  </si>
  <si>
    <t>Comfortable Inn stay (per day)</t>
  </si>
  <si>
    <t>Comfortable Meal (per day)</t>
  </si>
  <si>
    <t>Clothing</t>
  </si>
  <si>
    <t>Drink</t>
  </si>
  <si>
    <t>Common Wine (pitcher)</t>
  </si>
  <si>
    <t>Spellcasting</t>
  </si>
  <si>
    <t xml:space="preserve">Component pouch </t>
  </si>
  <si>
    <t>A component pouch is a small, watertight leather belt pouch that has compartments to hold all the material components and other special items you need to cast your spells, except for those components that have a specific cost (as indicated in a spell’s description).</t>
  </si>
  <si>
    <t>Cook’s utensils</t>
  </si>
  <si>
    <t>Costume</t>
  </si>
  <si>
    <t>Case</t>
  </si>
  <si>
    <t>Crossbow bolt</t>
  </si>
  <si>
    <t xml:space="preserve">This wooden case can hold up to twenty crossbow bolts. </t>
  </si>
  <si>
    <t xml:space="preserve">Crossbow bolts (20) </t>
  </si>
  <si>
    <t xml:space="preserve">Crowbar </t>
  </si>
  <si>
    <t>Using a crowbar grants advantage to Strength checks where the crowbar’s leverage can be applied.</t>
  </si>
  <si>
    <t>Arcane focus</t>
  </si>
  <si>
    <t>Crystal</t>
  </si>
  <si>
    <t>An arcane focus is a special item designed to channel the power of arcane spells. A sorcerer, warlock, or wizard can use such an item as a spellcasting focus, as described in chapter 10.</t>
  </si>
  <si>
    <t>Dice set</t>
  </si>
  <si>
    <t xml:space="preserve">If you are proficient with a gaming set, you can add your proficiency bonus to ability checks you make to play a game with that set. Each type of gaming set requires a separate proficiency. </t>
  </si>
  <si>
    <t>Class Tools</t>
  </si>
  <si>
    <t>Disguise kit</t>
  </si>
  <si>
    <t>This pouch of cosmetics, hair dye, and small props lets you create disguises that change your physical appearance. Proficiency with this kit lets you add your proficiency bonus to any ability checks you make to create a visual disguise.</t>
  </si>
  <si>
    <t>Donkey or mule</t>
  </si>
  <si>
    <t>420 lb</t>
  </si>
  <si>
    <t>40 ft</t>
  </si>
  <si>
    <t>Draft Horse</t>
  </si>
  <si>
    <t>540 lb</t>
  </si>
  <si>
    <t>Dragonchess set</t>
  </si>
  <si>
    <t>Drum</t>
  </si>
  <si>
    <t>Dulcimer</t>
  </si>
  <si>
    <t>Elephant</t>
  </si>
  <si>
    <t>1,320 lb</t>
  </si>
  <si>
    <t xml:space="preserve">Emblem </t>
  </si>
  <si>
    <t>Saddle</t>
  </si>
  <si>
    <t>Exotic</t>
  </si>
  <si>
    <t>An exotic saddle is required for riding any aquatic or flying mount.</t>
  </si>
  <si>
    <t>Feed (per day)</t>
  </si>
  <si>
    <t>Fine</t>
  </si>
  <si>
    <t>Boots</t>
  </si>
  <si>
    <t>Fine Boots</t>
  </si>
  <si>
    <t>Gloves</t>
  </si>
  <si>
    <t>Fine Gloves</t>
  </si>
  <si>
    <t>Hat</t>
  </si>
  <si>
    <t>Fine Hat</t>
  </si>
  <si>
    <t>Fine Wine (bottle)</t>
  </si>
  <si>
    <t xml:space="preserve">Fishing tackle </t>
  </si>
  <si>
    <t>This kit includes a wooden rod, silken line, corkwood bobbers, steel hooks, lead sinkers, velvet lures, and narrow netting.</t>
  </si>
  <si>
    <t xml:space="preserve">Flask or tankard </t>
  </si>
  <si>
    <t>1 pint liquid</t>
  </si>
  <si>
    <t>Flute</t>
  </si>
  <si>
    <t>Forgery kit</t>
  </si>
  <si>
    <t>This small box contains a variety of papers and parchments, pens and inks, seals and sealing wax, gold and silver leaf, and other supplies necessary to create convincing forgeries of physical documents. Proficiency with this kit lets you add your proficiency bonus to any ability checks you make to create a physical forgery of a document.</t>
  </si>
  <si>
    <t>Warerborne Vehicle</t>
  </si>
  <si>
    <t>Galley</t>
  </si>
  <si>
    <t>4 mph</t>
  </si>
  <si>
    <t>Gallon of Ale</t>
  </si>
  <si>
    <t>Glass Bottle</t>
  </si>
  <si>
    <t>1½ pints liquid</t>
  </si>
  <si>
    <t>Glassblower’s tools</t>
  </si>
  <si>
    <t xml:space="preserve">Grappling hook </t>
  </si>
  <si>
    <t>Half plate</t>
  </si>
  <si>
    <t>Hammer</t>
  </si>
  <si>
    <t xml:space="preserve">Healer’s kit </t>
  </si>
  <si>
    <t xml:space="preserve">This kit is a leather pouch containing bandages, salves, and splints. The kit has ten uses. As an action, you can expend one use of the kit to stabilize a creature that has 0 hit points, without needing to make a Wisdom (Medicine) check. </t>
  </si>
  <si>
    <t>Hempen Rope (50 feet)</t>
  </si>
  <si>
    <t>Has 2 hit points and can be burst with a DC 17 Strength check.</t>
  </si>
  <si>
    <t>Herbalism kit</t>
  </si>
  <si>
    <t xml:space="preserve">This kit contains a variety of instruments such as clippers, mortar and pestle, and pouches and vials used by herbalists to create remedies and potions. Proficiency with this kit lets you add your proficiency bonus to any ability checks you make to identify or apply herbs. Also, proficiency with this kit is required to create antitoxin and potions of healing. </t>
  </si>
  <si>
    <t xml:space="preserve">Holy water (flask) </t>
  </si>
  <si>
    <t xml:space="preserve">As an action, you can splash the contents of this flask onto a creature within 5 feet of you or throw it up to 20 feet, shattering it on impact. In either case, make a ranged attack against a target creature, treating the holy water as an improvised weapon. If the target is a fiend or undead, it takes 2d6 radiant damage. A cleric or paladin may create holy water by performing a special ritual. The ritual takes 1 hour to perform, uses 25 gp worth of powdered silver, and requires the caster to expend a 1st-level spell slot. </t>
  </si>
  <si>
    <t>Hooded Lantern</t>
  </si>
  <si>
    <t xml:space="preserve">A hooded lantern casts bright light in a 30-foot radius and dim light for an additional 30 feet. Once lit, it burns for 6 hours on a flask (1 pint) of oil. As an action, you can lower the hood, reducing the light to dim light in a 5-foot radius. </t>
  </si>
  <si>
    <t>Horn</t>
  </si>
  <si>
    <t>Hourglass</t>
  </si>
  <si>
    <t>Hunk of Cheese</t>
  </si>
  <si>
    <t xml:space="preserve">Hunting trap </t>
  </si>
  <si>
    <t xml:space="preserve">When you use your action to set it, this trap forms a saw-toothed steel ring that snaps shut when a creature steps on a pressure plate in the center. The trap is affixed by a heavy chain to an immobile object, such as a tree or a spike driven into the ground. A creature that steps on the plate must succeed on a DC 13 Dexterity saving throw or take 1d4 piercing damage and stop moving. Thereafter, until the creature breaks free of the trap, its movement is limited by the length of the chain (typically 3 feet long). A creature can use its action to make a DC 13 Strength check, freeing itself or another creature within its reach on a success. Each failed check deals 1 piercing damage to the trapped creature. </t>
  </si>
  <si>
    <t>Ink (1 ounce bottle)</t>
  </si>
  <si>
    <t>Ink pen</t>
  </si>
  <si>
    <t>Iron Pot</t>
  </si>
  <si>
    <t>1 gallon liquid</t>
  </si>
  <si>
    <t>Iron Spikes (10)</t>
  </si>
  <si>
    <t>Jeweler’s tools</t>
  </si>
  <si>
    <t xml:space="preserve">Jug or pitcher </t>
  </si>
  <si>
    <t>Keelboat</t>
  </si>
  <si>
    <t>1 mph</t>
  </si>
  <si>
    <t>If going downstream, add the speed of the current (typically 3 miles per hour) to the speed of the vehicle. These vehicles can’t be rowed against any significant current, but they can be pulled upstream by draft animals on the shores.</t>
  </si>
  <si>
    <t>Ladder (10-foot)</t>
  </si>
  <si>
    <t>Lamp</t>
  </si>
  <si>
    <t xml:space="preserve">A lamp casts bright light in a 15-foot radius and dim light for an additional 30 feet. Once lit, it burns for 6 hours on a flask (1 pint) of oil. </t>
  </si>
  <si>
    <t>Light Barding</t>
  </si>
  <si>
    <t>Leather</t>
  </si>
  <si>
    <t>Leatherworker’s tools</t>
  </si>
  <si>
    <t>Loaf of Bread</t>
  </si>
  <si>
    <t xml:space="preserve">Lock </t>
  </si>
  <si>
    <t>A key is provided with the lock. Without the key, a creature proficient with thieves’ tools can pick this lock with a successful DC 15 Dexterity check. Your DM may decide that better locks are available for higher prices.</t>
  </si>
  <si>
    <t>Longship</t>
  </si>
  <si>
    <t>3 mph</t>
  </si>
  <si>
    <t>Lute</t>
  </si>
  <si>
    <t>Lyre</t>
  </si>
  <si>
    <t xml:space="preserve">Magnifying glass </t>
  </si>
  <si>
    <t>This lens allows a closer look at small objects. It is also useful as a substitute for flint and steel when starting fires. Lighting a fire with a magnifying glass requires light as bright as sunlight to focus, tinder to ignite, and about 5 minutes for the fire to ignite. A magnifying glass grants advantage on any ability check made to appraise or inspect an item that is small or highly detailed.</t>
  </si>
  <si>
    <t>Manacles</t>
  </si>
  <si>
    <t>These metal restraints can bind a Small or Medium creature. Escaping the manacles requires a successful DC 20 Dexterity check. Breaking them requires a successful DC 20 Strength check. Each set of manacles comes with one key. Without the key, a creature proficient with thieves’ tools can pick the manacles’ lock with a successful DC 15 Dexterity check. Manacles have 15 hit points.</t>
  </si>
  <si>
    <t>Map or scroll</t>
  </si>
  <si>
    <t xml:space="preserve">This cylindrical leather case can hold up to ten rolled-up sheets of paper or five rolled-up sheets of parchment. </t>
  </si>
  <si>
    <t>Mason’s tools</t>
  </si>
  <si>
    <t>Mastiff</t>
  </si>
  <si>
    <t>195 lb</t>
  </si>
  <si>
    <t>Merchant’s Scale</t>
  </si>
  <si>
    <t>A scale includes a small balance,pans, and a suitable assortment of weights up to 2 pounds. With it, you can measure the exact weight of small objects, such as raw precious metals or trade goods, to help determine their worth.</t>
  </si>
  <si>
    <t xml:space="preserve">Mess kit </t>
  </si>
  <si>
    <t>This tin box contains a cup and simple cutlery. The box clamps together, and one side can be used as a cooking pan and the other as a plate or shallow bowl.</t>
  </si>
  <si>
    <t>Messenger</t>
  </si>
  <si>
    <t>Military</t>
  </si>
  <si>
    <t>A military saddle braces the rider, helping you keep your seat on an active mount in battle. It gives you advantage on any check you make to remain mounted</t>
  </si>
  <si>
    <t>Miner’s Pick</t>
  </si>
  <si>
    <t>Modest Inn stay (per day)</t>
  </si>
  <si>
    <t>Modest Meal (per day)</t>
  </si>
  <si>
    <t>Mug of Ale</t>
  </si>
  <si>
    <t>Navigator’s tools</t>
  </si>
  <si>
    <t>This set of instruments is used for navigation at sea. Proficiency with navigator’s tools lets you chart a ship’s course and follow navigation charts. In addition, these tools allow you to add your proficiency bonus to any ability check you make to avoid getting lost at sea.</t>
  </si>
  <si>
    <t>Oil (flask)</t>
  </si>
  <si>
    <t xml:space="preserve">Oil usually comes in a clay flask that holds 1 pint. As an action, you can splash the oil in this flask onto a creature within 5 feet of you or throw it up to 20 feet, shattering it on impact. Make a ranged attack against a target creature or object, treating the oil as an improvised weapon. On a hit, the target is covered in oil. If the target takes any fire damage before the oil dries (after 1 minute), the target takes an additional 5 fire damage from the burning oil. You can also pour a flask of oil on the ground to cover a 5-foot-square area, provided that the surface is level. If lit, the oil burns for 2 rounds and deals 5 fire damage to any creature that enters the area or ends its turn in the area. A creature can take this damage only once per turn. </t>
  </si>
  <si>
    <t>Orb</t>
  </si>
  <si>
    <t>Pack</t>
  </si>
  <si>
    <t>Padded</t>
  </si>
  <si>
    <t>Painter’s supplies</t>
  </si>
  <si>
    <t>Pan flute</t>
  </si>
  <si>
    <t>Paper (one sheet)</t>
  </si>
  <si>
    <t xml:space="preserve">Parchment (one sheet) </t>
  </si>
  <si>
    <t xml:space="preserve">Perfume (vial) </t>
  </si>
  <si>
    <t>Piton</t>
  </si>
  <si>
    <t>Playing card set</t>
  </si>
  <si>
    <t>Poisoner’s kit</t>
  </si>
  <si>
    <t>A poisoner’s kit includes the vials, chemicals, and other equipment necessary for the creation of poisons. Proficiency with this kit lets you add your proficiency bonus to any ability checks you make to craft or use poisons.</t>
  </si>
  <si>
    <t>Pole (10-foot)</t>
  </si>
  <si>
    <t>Pony</t>
  </si>
  <si>
    <t>225 lb</t>
  </si>
  <si>
    <t>Poor Inn stay (per day)</t>
  </si>
  <si>
    <t>Poor Meal (per day)</t>
  </si>
  <si>
    <t>Portable Ram</t>
  </si>
  <si>
    <t>You can use a portable ram to break down doors. When doing so, you gain a +4 bonus on the Strength check. One other character can help you use the ram, giving you advantage on this check.</t>
  </si>
  <si>
    <t>Potion</t>
  </si>
  <si>
    <t xml:space="preserve">Potion of healing </t>
  </si>
  <si>
    <t>A character who drinks the magical red fluid in this vial regains 2d4 + 2 hit points. Drinking or administering a potion takes an action.</t>
  </si>
  <si>
    <t>Potter’s tools</t>
  </si>
  <si>
    <t xml:space="preserve">Pouch </t>
  </si>
  <si>
    <t>1/5 cubic foot/6 pounds of gear</t>
  </si>
  <si>
    <t>A cloth or leather pouch can hold up to 20 sling bullets or 50 blowgun needles, among other things. A compartmentalized pouch for holding spell components is called a component pouch (described earlier in this section).</t>
  </si>
  <si>
    <t>Quiver</t>
  </si>
  <si>
    <t>A quiver can hold up to 20 arrows.</t>
  </si>
  <si>
    <t xml:space="preserve">Rations (1 day) </t>
  </si>
  <si>
    <t>Rations consist of dry foods suitable for extended travel, including jerky, dried fruit,hardtack, and nuts.</t>
  </si>
  <si>
    <t xml:space="preserve">Reliquary </t>
  </si>
  <si>
    <t>Riding</t>
  </si>
  <si>
    <t>Riding Horse</t>
  </si>
  <si>
    <t>60 ft</t>
  </si>
  <si>
    <t>Ring mail</t>
  </si>
  <si>
    <t>Ring</t>
  </si>
  <si>
    <t>Ring or Protection +1</t>
  </si>
  <si>
    <t>Road or gate toll</t>
  </si>
  <si>
    <t xml:space="preserve">Robes </t>
  </si>
  <si>
    <t>Rod</t>
  </si>
  <si>
    <t>Rowboat</t>
  </si>
  <si>
    <t>1½ mph</t>
  </si>
  <si>
    <t xml:space="preserve">Sack </t>
  </si>
  <si>
    <t>Saddlebags</t>
  </si>
  <si>
    <t>Sailing ship</t>
  </si>
  <si>
    <t>2 mph</t>
  </si>
  <si>
    <t>Scale mail</t>
  </si>
  <si>
    <t>Scroll</t>
  </si>
  <si>
    <t>Scroll of Animal Friendship</t>
  </si>
  <si>
    <t>Sealing wax</t>
  </si>
  <si>
    <t>Shawm</t>
  </si>
  <si>
    <t>Ship's passage</t>
  </si>
  <si>
    <t xml:space="preserve">Shovel </t>
  </si>
  <si>
    <t xml:space="preserve">Signal whistle </t>
  </si>
  <si>
    <t xml:space="preserve">Signet ring </t>
  </si>
  <si>
    <t>Silk Rope (50 feet)</t>
  </si>
  <si>
    <t>Necklace</t>
  </si>
  <si>
    <t>Simple Necklace</t>
  </si>
  <si>
    <t>Skilled Hireling</t>
  </si>
  <si>
    <t>Cost per day</t>
  </si>
  <si>
    <t>Sled</t>
  </si>
  <si>
    <t>Sledge Hammer</t>
  </si>
  <si>
    <t xml:space="preserve">Sling bullets (20) </t>
  </si>
  <si>
    <t>Smith’s tools</t>
  </si>
  <si>
    <t>Soap</t>
  </si>
  <si>
    <t xml:space="preserve">Spellbook </t>
  </si>
  <si>
    <t>Essential for wizards, a spellbook is a leather-bound tome with 100 blank vellum pages suitable for recording spells.</t>
  </si>
  <si>
    <t>Druidic focus</t>
  </si>
  <si>
    <t xml:space="preserve">Sprig of mistletoe </t>
  </si>
  <si>
    <t xml:space="preserve">A druid can use such an object as a spellcasting focus, as described in chapter 10. </t>
  </si>
  <si>
    <t xml:space="preserve">Spyglass </t>
  </si>
  <si>
    <t>Objects viewed through a spyglass are magnified to twice their size.</t>
  </si>
  <si>
    <t>Squalid Inn stay (per day)</t>
  </si>
  <si>
    <t>Squalid Meal (per day)</t>
  </si>
  <si>
    <t>Stabling (per day)</t>
  </si>
  <si>
    <t>Staff</t>
  </si>
  <si>
    <t>Staff of Fire</t>
  </si>
  <si>
    <t>Steel Mirror</t>
  </si>
  <si>
    <t>Studded leather</t>
  </si>
  <si>
    <t>Thieves’ tools</t>
  </si>
  <si>
    <t xml:space="preserve">This set of tools includes a small file, a set of lock picks, a small mirror mounted on a metal handle, a set of narrow-bladed scissors, and a pair of pliers. Proficiency with these tools lets you add your proficiency bonus to any ability checks you make to disarm traps or open locks. </t>
  </si>
  <si>
    <t>Three-Dragon Ante set</t>
  </si>
  <si>
    <t>Tinderbox</t>
  </si>
  <si>
    <t>This small container holds flint, fire steel,and tinder (usually dry cloth soaked in light oil) used to kindle a fire. Using it to light a torch—or anything else with abundant, exposed fuel—takes an action. Lightingany other fire takes 1 minute.</t>
  </si>
  <si>
    <t>Tinker’s tools</t>
  </si>
  <si>
    <t>Torch</t>
  </si>
  <si>
    <t>A torch burns for 1 hour, providing bright light in a 20-foot radius and dim light for an additional 20 feet. If you make a melee attack with a burning torch and hit, it deals 1 fire damage</t>
  </si>
  <si>
    <t xml:space="preserve">Totem </t>
  </si>
  <si>
    <t>Traveler’s</t>
  </si>
  <si>
    <t>Two-personTent</t>
  </si>
  <si>
    <t>A simple and portable canvas shelter, a tent sleeps two.</t>
  </si>
  <si>
    <t>Untrained Hireling</t>
  </si>
  <si>
    <t xml:space="preserve">Vial </t>
  </si>
  <si>
    <t>4 ounces liquid</t>
  </si>
  <si>
    <t>Viol</t>
  </si>
  <si>
    <t>Wagon</t>
  </si>
  <si>
    <t>Wand</t>
  </si>
  <si>
    <t>Warhorse</t>
  </si>
  <si>
    <t>Warship</t>
  </si>
  <si>
    <t>2½ mph</t>
  </si>
  <si>
    <t>Waterskin</t>
  </si>
  <si>
    <t>4 pints liquid</t>
  </si>
  <si>
    <t>Wealthy Inn stay (per day)</t>
  </si>
  <si>
    <t>Wealthy Meal (per day)</t>
  </si>
  <si>
    <t>Weaver’s tools</t>
  </si>
  <si>
    <t>Whetstone</t>
  </si>
  <si>
    <t>Woodcarver’s tools</t>
  </si>
  <si>
    <t xml:space="preserve">Wooden staff </t>
  </si>
  <si>
    <t xml:space="preserve">Yew wand </t>
  </si>
  <si>
    <t>Deity</t>
  </si>
  <si>
    <t>Player</t>
  </si>
  <si>
    <t>Urchin</t>
  </si>
  <si>
    <t>Noble</t>
  </si>
  <si>
    <t>Knight</t>
  </si>
  <si>
    <t>Sailor</t>
  </si>
  <si>
    <t>Outlander</t>
  </si>
  <si>
    <t>Hermit</t>
  </si>
  <si>
    <t>CON</t>
  </si>
  <si>
    <t>INT</t>
  </si>
  <si>
    <t>WIS</t>
  </si>
  <si>
    <t>CHA</t>
  </si>
  <si>
    <t>Personality Trait 1</t>
  </si>
  <si>
    <t>Personality Trait 2</t>
  </si>
  <si>
    <t>Personality Trait 3</t>
  </si>
  <si>
    <t>Personality Trait 4</t>
  </si>
  <si>
    <t>Personality Trait 5</t>
  </si>
  <si>
    <t>Personality Trait 6</t>
  </si>
  <si>
    <t>Personality Trait 7</t>
  </si>
  <si>
    <t>Personality Trait 8</t>
  </si>
  <si>
    <t>Personality Traits</t>
  </si>
  <si>
    <t>Personality Trait 9</t>
  </si>
  <si>
    <t>Personality Trait 10</t>
  </si>
  <si>
    <t>Ideal 1</t>
  </si>
  <si>
    <t>Ideal 2</t>
  </si>
  <si>
    <t>Ideal 3</t>
  </si>
  <si>
    <t>Ideal 4</t>
  </si>
  <si>
    <t>Ideal 5</t>
  </si>
  <si>
    <t>Ideal 6</t>
  </si>
  <si>
    <t>Ideal 7</t>
  </si>
  <si>
    <t>Ideal 8</t>
  </si>
  <si>
    <t>Ideal 9</t>
  </si>
  <si>
    <t>Ideal 10</t>
  </si>
  <si>
    <t>Bond 1</t>
  </si>
  <si>
    <t>Bond 2</t>
  </si>
  <si>
    <t>Bond 3</t>
  </si>
  <si>
    <t>Bond 4</t>
  </si>
  <si>
    <t>Bond 5</t>
  </si>
  <si>
    <t>Bond 6</t>
  </si>
  <si>
    <t>Bond 7</t>
  </si>
  <si>
    <t>Bond 8</t>
  </si>
  <si>
    <t>Bond 9</t>
  </si>
  <si>
    <t>Bond 10</t>
  </si>
  <si>
    <t>Flaw 1</t>
  </si>
  <si>
    <t>Flaw 2</t>
  </si>
  <si>
    <t>Flaw 3</t>
  </si>
  <si>
    <t>Flaw 4</t>
  </si>
  <si>
    <t>Flaw 5</t>
  </si>
  <si>
    <t>Flaw 6</t>
  </si>
  <si>
    <t>Flaw 7</t>
  </si>
  <si>
    <t>Flaw 8</t>
  </si>
  <si>
    <t>Flaw 9</t>
  </si>
  <si>
    <t>Flaw 10</t>
  </si>
  <si>
    <t>Feature</t>
  </si>
  <si>
    <t>Gladiator</t>
  </si>
  <si>
    <t>Entertainer</t>
  </si>
  <si>
    <t>Special Select Name</t>
  </si>
  <si>
    <t>Special Select 1</t>
  </si>
  <si>
    <t>Special Select 2</t>
  </si>
  <si>
    <t>Special Select 3</t>
  </si>
  <si>
    <t>Special Select 4</t>
  </si>
  <si>
    <t>Special Select 5</t>
  </si>
  <si>
    <t>Special Select 6</t>
  </si>
  <si>
    <t>Special Select 7</t>
  </si>
  <si>
    <t>Special Select 8</t>
  </si>
  <si>
    <t>Special Select 9</t>
  </si>
  <si>
    <t>Special Select 10</t>
  </si>
  <si>
    <t>Cavalry</t>
  </si>
  <si>
    <t>Количество рас</t>
  </si>
  <si>
    <t>Free Attribute Points</t>
  </si>
  <si>
    <t>Additional Feat</t>
  </si>
  <si>
    <t>Fey Ancestry</t>
  </si>
  <si>
    <t>Trance</t>
  </si>
  <si>
    <t>Brave</t>
  </si>
  <si>
    <t>Dwarven Resilience</t>
  </si>
  <si>
    <t>Dwarven Toughness</t>
  </si>
  <si>
    <t>Additional HP Per Level</t>
  </si>
  <si>
    <t>Mask of the Wild</t>
  </si>
  <si>
    <t>Base Speed</t>
  </si>
  <si>
    <t>Ideal</t>
  </si>
  <si>
    <t>Bond</t>
  </si>
  <si>
    <t>Flaw</t>
  </si>
  <si>
    <t>Drow</t>
  </si>
  <si>
    <t>Gnome</t>
  </si>
  <si>
    <t>Tiefling</t>
  </si>
  <si>
    <t>Dragonborn</t>
  </si>
  <si>
    <t>Warforged</t>
  </si>
  <si>
    <t>yes</t>
  </si>
  <si>
    <t>Blindsight</t>
  </si>
  <si>
    <t>Список уникальных рас</t>
  </si>
  <si>
    <t>Количество уникальных рас</t>
  </si>
  <si>
    <t>Список уникальных подрас для выбранной расы</t>
  </si>
  <si>
    <t>Количество уникальных подрас для выбранной расы</t>
  </si>
  <si>
    <t>№</t>
  </si>
  <si>
    <t>Выбранный</t>
  </si>
  <si>
    <t>Feature Description</t>
  </si>
  <si>
    <t>Infantry</t>
  </si>
  <si>
    <t>pt9</t>
  </si>
  <si>
    <t>pt10</t>
  </si>
  <si>
    <t>Number of Special Select</t>
  </si>
  <si>
    <t>Вы</t>
  </si>
  <si>
    <t>Выбранная раса</t>
  </si>
  <si>
    <t>Medium</t>
  </si>
  <si>
    <t>Small</t>
  </si>
  <si>
    <t>Base</t>
  </si>
  <si>
    <t>Racial</t>
  </si>
  <si>
    <t>+</t>
  </si>
  <si>
    <t>Select</t>
  </si>
  <si>
    <t>=</t>
  </si>
  <si>
    <t>Additional Points</t>
  </si>
  <si>
    <t>Acrobatics</t>
  </si>
  <si>
    <t>Indimidation</t>
  </si>
  <si>
    <t>Investigation</t>
  </si>
  <si>
    <t>Medicine</t>
  </si>
  <si>
    <t>Nature</t>
  </si>
  <si>
    <t>Performance</t>
  </si>
  <si>
    <t>Persuasion</t>
  </si>
  <si>
    <t>Sleight of Hand</t>
  </si>
  <si>
    <t>no</t>
  </si>
  <si>
    <t>Barbarian</t>
  </si>
  <si>
    <t>Cleric</t>
  </si>
  <si>
    <t>Druid</t>
  </si>
  <si>
    <t>Fighter</t>
  </si>
  <si>
    <t>Monk</t>
  </si>
  <si>
    <t>Ranger</t>
  </si>
  <si>
    <t>Rogue</t>
  </si>
  <si>
    <t>Sorcerer</t>
  </si>
  <si>
    <t>Warlock</t>
  </si>
  <si>
    <t>Wizard</t>
  </si>
  <si>
    <t>Charlatan</t>
  </si>
  <si>
    <t>Guild Artisan</t>
  </si>
  <si>
    <t>Spy</t>
  </si>
  <si>
    <t>Shelter of the Faithful</t>
  </si>
  <si>
    <t>Criminal Contact</t>
  </si>
  <si>
    <t>Rustic Hospitality</t>
  </si>
  <si>
    <t>Position of Privilege</t>
  </si>
  <si>
    <t>Researcher</t>
  </si>
  <si>
    <t>Military Rank</t>
  </si>
  <si>
    <t>False Identity</t>
  </si>
  <si>
    <t>By Popular Demand</t>
  </si>
  <si>
    <t>Guild Membership</t>
  </si>
  <si>
    <t>Discovery</t>
  </si>
  <si>
    <t>Wanderer</t>
  </si>
  <si>
    <t>Ship's Passage</t>
  </si>
  <si>
    <t>City Secrets</t>
  </si>
  <si>
    <t>I idolize a particular hero of my faith, and constantly refer to that person’s deeds and example.</t>
  </si>
  <si>
    <t>I can find common ground between the fiercest enemies, empathizing with them and always working toward peace.</t>
  </si>
  <si>
    <t>I see omens in every event and action. The gods try to speak to us, we just need to listen</t>
  </si>
  <si>
    <t>Nothing can shake my optimistic attitude.</t>
  </si>
  <si>
    <t>I quote (or misquote) sacred texts and proverbs in almost every situation.</t>
  </si>
  <si>
    <t>I am tolerant (or intolerant) of other faiths and respect (or condemn) the worship of other gods.</t>
  </si>
  <si>
    <t>I’ve enjoyed fine food, drink, and high society among my temple’s elite. Rough living grates on me.</t>
  </si>
  <si>
    <t>I’ve spent so long in the temple that I have little practical experience dealing with people in the outside world.</t>
  </si>
  <si>
    <t>I always have a plan for what to do when things go wrong.</t>
  </si>
  <si>
    <t>I am always calm, no matter what the situation. I never raise my voice or let my emotions control me.</t>
  </si>
  <si>
    <t>The first thing I do in a new place is note the locations of everything valuable—or where such things could be hidden.</t>
  </si>
  <si>
    <t>I would rather make a new friend than a new enemy.</t>
  </si>
  <si>
    <t>I am incredibly slow to trust. Those who seem the fairest often have the most to hide.</t>
  </si>
  <si>
    <t>I don’t pay attention to the risks in a situation. Never tell me the odds.</t>
  </si>
  <si>
    <t>The best way to get me to do something is to tell me I can’t do it.</t>
  </si>
  <si>
    <t>I blow up at the slightest insult.</t>
  </si>
  <si>
    <t>I judge people by their actions, not their words.</t>
  </si>
  <si>
    <t>If someone is in trouble, I’m always ready to lend help.</t>
  </si>
  <si>
    <t>When I set my mind to something, I follow through no matter what gets in my way.</t>
  </si>
  <si>
    <t>I have a strong sense of fair play and always try to find the most equitable solution to arguments.</t>
  </si>
  <si>
    <t>I’m confident in my own abilities and do what I can to instill confidence in others.</t>
  </si>
  <si>
    <t>Thinking is for other people. I prefer action.</t>
  </si>
  <si>
    <t>I misuse long words in an attempt to sound smarter.</t>
  </si>
  <si>
    <t>I get bored easily. When am I going to get on with my destiny?</t>
  </si>
  <si>
    <t>My eloquent flattery makes everyone I talk to feel like the most wonderful and important person in the world.</t>
  </si>
  <si>
    <t>The common folk love me for my kindness and generosity.</t>
  </si>
  <si>
    <t>No one could doubt by looking at my regal bearing that I am a cut above the unwashed masses.</t>
  </si>
  <si>
    <t>I take great pains to always look my best and follow the latest fashions.</t>
  </si>
  <si>
    <t>I don’t like to get my hands dirty, and I won’t be caught dead in unsuitable accommodations.</t>
  </si>
  <si>
    <t>Despite my noble birth, I do not place myself above other folk. We all have the same blood.</t>
  </si>
  <si>
    <t>My favor, once lost, is lost forever.</t>
  </si>
  <si>
    <t>If you do me an injury, I will crush you, ruin your name, and salt your fields.</t>
  </si>
  <si>
    <t>I use polysyllabic words that convey the impression of great erudition.</t>
  </si>
  <si>
    <t>I’ve read every book in the world’s greatest libraries—or I like to boast that I have.</t>
  </si>
  <si>
    <t>I’m used to helping out those who aren’t as smart as I am, and I patiently explain anything and everything to others.</t>
  </si>
  <si>
    <t>There’s nothing I like more than a good mystery.</t>
  </si>
  <si>
    <t>I’m willing to listen to every side of an argument before I make my own judgment.</t>
  </si>
  <si>
    <t>I . . . speak . . . slowly . . . when talking . . . to idiots, . . .which . . . almost . . . everyone . . . is . . . compared . . .to me.</t>
  </si>
  <si>
    <t>I am horribly, horribly awkward in social situations.</t>
  </si>
  <si>
    <t>I’m convinced that people are always trying to steal my secrets.</t>
  </si>
  <si>
    <t>I’m always polite and respectful.</t>
  </si>
  <si>
    <t>I’m haunted by memories of war. I can’t get the images of violence out of my mind.</t>
  </si>
  <si>
    <t>I’ve lost too many friends, and I’m slow to make new ones.</t>
  </si>
  <si>
    <t>I’m full of inspiring and cautionary tales from my military experience relevant to almost every combat situation.</t>
  </si>
  <si>
    <t>I can stare down a hell hound without flinching.</t>
  </si>
  <si>
    <t>I enjoy being strong and like breaking things.</t>
  </si>
  <si>
    <t>I have a crude sense of humor.</t>
  </si>
  <si>
    <t>I face problems head-on. A simple, direct solution is the best path to success.</t>
  </si>
  <si>
    <t>I fall in and out of love easily, and am always pursuing someone.</t>
  </si>
  <si>
    <t>I have a joke for every occasion, especially occasions where humor is inappropriate.</t>
  </si>
  <si>
    <t>Flattery is my preferred trick for getting what I want.</t>
  </si>
  <si>
    <t>I’m a born gambler who can't resist taking a risk for a potential payoff.</t>
  </si>
  <si>
    <t>I lie about almost everything, even when there’s no good reason to.</t>
  </si>
  <si>
    <t>Sarcasm and insults are my weapons of choice.</t>
  </si>
  <si>
    <t>I keep multiple holy symbols on me and invoke whatever deity might come in useful at any given moment.</t>
  </si>
  <si>
    <t>I pocket anything I see that might have some value.</t>
  </si>
  <si>
    <t>I know a story relevant to almost every situation.</t>
  </si>
  <si>
    <t>Whenever I come to a new place, I collect local rumors and spread gossip.</t>
  </si>
  <si>
    <t>I’m a hopeless romantic, always searching for that “special someone.”</t>
  </si>
  <si>
    <t>Nobody stays angry at me or around me for long, since I can defuse any amount of tension.</t>
  </si>
  <si>
    <t>I love a good insult, even one directed at me.</t>
  </si>
  <si>
    <t>I get bitter if I’m not the center of attention.</t>
  </si>
  <si>
    <t>I’ll settle for nothing less than perfection.</t>
  </si>
  <si>
    <t>I change my mood or my mind as quickly as I change key in a song.</t>
  </si>
  <si>
    <t>I believe that anything worth doing is worth doing right. I can’t help it— I’m a perfectionist.</t>
  </si>
  <si>
    <t>I’m a snob who looks down on those who can’t appreciate fine art.</t>
  </si>
  <si>
    <t>I always want to know how things work and what makes people tick.</t>
  </si>
  <si>
    <t>I’m full of witty aphorisms and have a proverb for every occasion.</t>
  </si>
  <si>
    <t>I’m rude to people who lack my commitment to hard work and fair play.</t>
  </si>
  <si>
    <t>I like to talk at length about my profession.</t>
  </si>
  <si>
    <t>I don’t part with my money easily and will haggle tirelessly to get the best deal possible.</t>
  </si>
  <si>
    <t>I’m well known for my work, and I want to make sure everyone appreciates it. I'm always taken aback when people haven’t heard of me.</t>
  </si>
  <si>
    <t>I’ve been isolated for so long that I rarely speak, preferring gestures and the occasional grunt.</t>
  </si>
  <si>
    <t>I am utterly serene, even in the face of disaster.</t>
  </si>
  <si>
    <t>The leader of my community had something wise to say on every topic, and I am eager to share that wisdom.</t>
  </si>
  <si>
    <t>I feel tremendous empathy for all who suffer.</t>
  </si>
  <si>
    <t>I’m oblivious to etiquette and social expectations.</t>
  </si>
  <si>
    <t>I connect everything that happens to me to a grand, cosmic plan.</t>
  </si>
  <si>
    <t>I often get lost in my own thoughts and contemplation, becoming oblivious to my surroundings.</t>
  </si>
  <si>
    <t>I am working on a grand philosophical theory and love sharing my ideas.</t>
  </si>
  <si>
    <t>I’m driven by a wanderlust that led me away from home.</t>
  </si>
  <si>
    <t>I watch over my friends as if they were a litter of newborn pups.</t>
  </si>
  <si>
    <t>I once ran twenty-five miles without stopping to warn to my clan of an approaching orc horde. I’d do it again if I had to.</t>
  </si>
  <si>
    <t>I have a lesson for every situation, drawn from observing nature.</t>
  </si>
  <si>
    <t>I place no stock in wealthy or well-mannered folk. Money and manners won’t save you from a hungry owlbear.</t>
  </si>
  <si>
    <t xml:space="preserve">I’m always picking things up, absently fiddling with them, and sometimes accidentally breaking them. </t>
  </si>
  <si>
    <t>I feel far more comfortable around animals than people.</t>
  </si>
  <si>
    <t>I was, in fact, raised by wolves.</t>
  </si>
  <si>
    <t>My friends know they can rely on me, no matter what.</t>
  </si>
  <si>
    <t>I work hard so that I can play hard when the work is done.</t>
  </si>
  <si>
    <t>I enjoy sailing into new ports and making new friends over a flagon of ale.</t>
  </si>
  <si>
    <t>I stretch the truth for the sake of a good story.</t>
  </si>
  <si>
    <t>To me, a tavern brawl is a nice way to get to know a new city.</t>
  </si>
  <si>
    <t>I never pass up a friendly wager.</t>
  </si>
  <si>
    <t>My language is as foul as an otyugh nest.</t>
  </si>
  <si>
    <t>I like a job well done, especially if I can convince someone else to do it.</t>
  </si>
  <si>
    <t>I hide scraps of food and trinkets away in my pockets.</t>
  </si>
  <si>
    <t>I ask a lot of questions.</t>
  </si>
  <si>
    <t>I like to squeeze into small places where no one else can get to me.</t>
  </si>
  <si>
    <t>I sleep with my back to a wall or tree, with everything I own wrapped in a bundle in my arms.</t>
  </si>
  <si>
    <t>I eat like a pig and have bad manners.</t>
  </si>
  <si>
    <t>I think anyone who’s nice to me is hiding evil intent.</t>
  </si>
  <si>
    <t>I don’t like to bathe.</t>
  </si>
  <si>
    <t>I bluntly say what other people are hinting at or hiding.</t>
  </si>
  <si>
    <t>Tradition. The ancient traditions of worship and sacrifice must be preserved and upheld. (Lawful)</t>
  </si>
  <si>
    <t>Charity. I always try to help those in need, no matter what the personal cost. (Good)</t>
  </si>
  <si>
    <t>Change. We must help bring about the changes the gods are constantly working in the world. (Chaotic)</t>
  </si>
  <si>
    <t>Power. I hope to one day rise to the top of my faith’s religious hierarchy. (Lawful)</t>
  </si>
  <si>
    <t>Faith. I trust that my deity will guide my actions. I have faith that if I work hard, things will go well. (Lawful)</t>
  </si>
  <si>
    <t>Aspiration. I seek to prove myself worthy of my god’s favor by matching my actions against his or her teachings. (Any)</t>
  </si>
  <si>
    <t>Honor. I don’t steal from others in the trade. (Lawful)</t>
  </si>
  <si>
    <t>Freedom. Chains are meant to be broken, as are those who would forge them. (Chaotic)</t>
  </si>
  <si>
    <t>Charity. I steal from the wealthy so that I can help people in need. (Good)</t>
  </si>
  <si>
    <t>Greed. I will do whatever it takes to become wealthy. (Evil)</t>
  </si>
  <si>
    <t>People. I’m loyal to my friends, not to any ideals, and everyone else can take a trip down the Styx for all I care. (Neutral)</t>
  </si>
  <si>
    <t>Redemption. There’s a spark of good in everyone. (Good)</t>
  </si>
  <si>
    <t>Respect. People deserve to be treated with dignity and respect. (Good)</t>
  </si>
  <si>
    <t>Fairness. No one should get preferential treatment before the law, and no one is above the law. (Lawful)</t>
  </si>
  <si>
    <t>Freedom. Tyrants must not be allowed to oppress the people. (Chaotic)</t>
  </si>
  <si>
    <t>Might. If I become strong, I can take what I want— what I deserve. (Evil)</t>
  </si>
  <si>
    <t>Sincerity. There’s no good in pretending to be something I’m not. (Neutral)</t>
  </si>
  <si>
    <t>Destiny. Nothing and no one can steer me away from my higher calling. (Any)</t>
  </si>
  <si>
    <t>Respect. Respect is due to me because of my position,but all people regardless of station deserve to be treated with dignity. (Good)</t>
  </si>
  <si>
    <t>Responsibility. It is my duty to respect the authority of those above me, just as those below me must respect mine. (Lawful)</t>
  </si>
  <si>
    <t>Independence. I must prove that I can handle myself without the coddling of my family. (Chaotic)</t>
  </si>
  <si>
    <t>Power. If I can attain more power, no one will tell me what to do. (Evil)</t>
  </si>
  <si>
    <t>Family. Blood runs thicker than water. (Any)</t>
  </si>
  <si>
    <t>Noble Obligation. It is my duty to protect and care for the people beneath me. (Good)</t>
  </si>
  <si>
    <t>Knowledge. The path to power and self-improvement is through knowledge. (Neutral)</t>
  </si>
  <si>
    <t>Beauty. What is beautiful points us beyond itself toward what is true. (Good)</t>
  </si>
  <si>
    <t>Logic. Emotions must not cloud our logical thinking. (Lawful)</t>
  </si>
  <si>
    <t>No Limits. Nothing should fetter the infinite possibility inherent in all existence. (Chaotic)</t>
  </si>
  <si>
    <t>Power. Knowledge is the path to power and domination. (Evil)</t>
  </si>
  <si>
    <t>Self-Improvement. The goal of a life of study is the betterment of oneself. (Any)</t>
  </si>
  <si>
    <t>Greater Good. Our lot is to lay down our lives in defense of others. (Good)</t>
  </si>
  <si>
    <t>Responsibility. I do what I must and obey just authority. (Lawful)</t>
  </si>
  <si>
    <t>Independence. When people follow orders blindly, they embrace a kind of tyranny. (Chaotic)</t>
  </si>
  <si>
    <t>Might. In life as in war, the stronger force wins. (Evil)</t>
  </si>
  <si>
    <t>Live and Let Live. Ideals aren’t worth killing over or going to war for. (Neutral)</t>
  </si>
  <si>
    <t>Nation. My city, nation, or people are all that matter. (Any)</t>
  </si>
  <si>
    <t>Independence. I am a free spirit— no one tells me what to do. (Chaotic)</t>
  </si>
  <si>
    <t>Fairness. I never target people who can’t afford to lose a few coins. (Lawful)</t>
  </si>
  <si>
    <t>Charity. I distribute the money I acquire to the people who really need it. (Good)</t>
  </si>
  <si>
    <t>Creativity. I never run the same con twice. (Chaotic)</t>
  </si>
  <si>
    <t>Friendship. Material goods come and go. Bonds of friendship last forever. (Good)</t>
  </si>
  <si>
    <t>Aspiration. I’m determined to make something of myself. (Any)</t>
  </si>
  <si>
    <t>Beauty. When I perform, I make the world better than it was. (Good)</t>
  </si>
  <si>
    <t>Tradition. The stories, legends, and songs o f the past must never be forgotten, for they teach us who we are. (Lawful)</t>
  </si>
  <si>
    <t>Creativity. The world is in need of new ideas and bold action. (Chaotic)</t>
  </si>
  <si>
    <t>Greed. I’m only in it for the money and fame. (Evil)</t>
  </si>
  <si>
    <t>People. I like seeing the smiles on people’s faces when I perform. That’s all that matters. (Neutral)</t>
  </si>
  <si>
    <t>Honesty. Art should reflect the soul; it should come from within and reveal who we really are. (Any)</t>
  </si>
  <si>
    <t>Community. It is the duty of all civilized people to strengthen the bonds of community and the security of civilization. (Lawful)</t>
  </si>
  <si>
    <t>Generosity. My talents were given to me so that I could use them to benefit the world. (Good)</t>
  </si>
  <si>
    <t>Freedom. Everyone should be free to pursue his or her own livelihood. (Chaotic)</t>
  </si>
  <si>
    <t>Greed. I’m only in it for the money. (Evil)</t>
  </si>
  <si>
    <t>People. I’m committed to the people I care about, not to ideals. (Neutral)</t>
  </si>
  <si>
    <t>Aspiration. I work hard to be the best there is at my craft.</t>
  </si>
  <si>
    <t>Greater Good. My gifts are meant to be shared with all, not used for my own benefit. (Good)</t>
  </si>
  <si>
    <t>Logic. Emotions must not cloud our sense of what is right and true, or our logical thinking. (Lawful)</t>
  </si>
  <si>
    <t>Free Thinking. Inquiry and curiosity are the pillars of progress. (Chaotic)</t>
  </si>
  <si>
    <t>Power. Solitude and contemplation are paths toward mystical or magical power. (Evil)</t>
  </si>
  <si>
    <t>Live and Let Live. Meddling in the affairs o f others only causes trouble. (Neutral)</t>
  </si>
  <si>
    <t>Self-Knowledge. If you know yourself, there’s nothing left to know. (Any)</t>
  </si>
  <si>
    <t>Change. Life is like the seasons, in constant change, and we must change with it. (Chaotic)</t>
  </si>
  <si>
    <t>Greater Good. It is each person’s responsibility to make the most happiness for the whole tribe. (Good)</t>
  </si>
  <si>
    <t>Honor. If I dishonor myself, I dishonor my whole clan. (Lawful)</t>
  </si>
  <si>
    <t>Might. The strongest are meant to rule. (Evil)</t>
  </si>
  <si>
    <t>Nature. The natural world is more important than all the constructs of civilization. (Neutral)</t>
  </si>
  <si>
    <t>Glory. I must earn glory in battle, for myself and my clan. (Any)</t>
  </si>
  <si>
    <t>Respect. The thing that keeps a ship together is mutual respect between captain and crew. (Good)</t>
  </si>
  <si>
    <t>Fairness. We all do the work, so we all share in the rewards. (Lawful)</t>
  </si>
  <si>
    <t>Freedom. The sea is freedom—the freedom to go anywhere and do anything. (Chaotic)</t>
  </si>
  <si>
    <t>Mastery. I’m a predator, and the other ships on the sea are my prey. (Evil)</t>
  </si>
  <si>
    <t>People. I’m committed to my crewmates, not to ideals. (Neutral)</t>
  </si>
  <si>
    <t xml:space="preserve">Aspiration. Someday I’ll own my own ship and chart my own destiny. (Any) </t>
  </si>
  <si>
    <t>Respect. All people, rich or poor, deserve respect. (Good)</t>
  </si>
  <si>
    <t>Community. We have to take care of each other, because no one else is going to do it. (Lawful)</t>
  </si>
  <si>
    <t>Change. The low are lifted up, and the high and mighty are brought down. Change is the nature of things. (Chaotic)</t>
  </si>
  <si>
    <t>Retribution. The rich need to be shown what life and death are like in the gutters. (Evil)</t>
  </si>
  <si>
    <t>People. I help the people who help me—that’s what keeps us alive. (Neutral)</t>
  </si>
  <si>
    <t>Aspiration. I'm going to prove that I'm worthy of a better life.</t>
  </si>
  <si>
    <t>I would die to recover an ancient relic of my faith that was lost long ago.</t>
  </si>
  <si>
    <t>I will someday get revenge on the corrupt temple hierarchy who branded me a heretic.</t>
  </si>
  <si>
    <t>I owe my life to the priest who took me in when my parents died.</t>
  </si>
  <si>
    <t>Everything I do is for the common people.</t>
  </si>
  <si>
    <t>I will do anything to protect the temple where I served.</t>
  </si>
  <si>
    <t>I seek to preserve a sacred text that my enemies consider heretical and seek to destroy.</t>
  </si>
  <si>
    <t>I’m trying to pay off an old debt I owe to a generous benefactor.</t>
  </si>
  <si>
    <t>My ill-gotten gains go to support my family.</t>
  </si>
  <si>
    <t>Something important was taken from me, and I aim to steal it back.</t>
  </si>
  <si>
    <t>I will become the greatest thief that ever lived.</t>
  </si>
  <si>
    <t>I’m guilty of a terrible crime. I hope I can redeem myself for it.</t>
  </si>
  <si>
    <t>Someone I loved died because of I mistake I made. That will never happen again.</t>
  </si>
  <si>
    <t>I have a family, but I have no idea where they are. One day, I hope to see them again.G</t>
  </si>
  <si>
    <t>I worked the land, I love the land, and I will protect the land.</t>
  </si>
  <si>
    <t>A proud noble once gave me a horrible beating, and I will take my revenge on any bully I encounter.</t>
  </si>
  <si>
    <t>My tools are symbols of my past life, and I carry them so that I will never forget my roots.</t>
  </si>
  <si>
    <t>I protect those who cannot protect themselves.</t>
  </si>
  <si>
    <t>I wish my childhood sweetheart had come with me to pursue my destiny.</t>
  </si>
  <si>
    <t>I will face any challenge to win the approval of my family.</t>
  </si>
  <si>
    <t>My house’s alliance with another noble family must be sustained at all costs.</t>
  </si>
  <si>
    <t>Nothing is more important than the other members of my family.</t>
  </si>
  <si>
    <t>I am in love with the heir of a family that my family despises.</t>
  </si>
  <si>
    <t>My loyalty to my sovereign is unwavering.</t>
  </si>
  <si>
    <t>The common folk must see me as a hero of the people.</t>
  </si>
  <si>
    <t>It is my duty to protect my students.</t>
  </si>
  <si>
    <t>I have an ancient text that holds terrible secrets that must not fall into the wrong hands.</t>
  </si>
  <si>
    <t>I work to preserve a library, university, scriptorium, or monastery.</t>
  </si>
  <si>
    <t>My life’s work is a series of tomes related to a specific field of lore.</t>
  </si>
  <si>
    <t>I’ve been searching my whole life for the answer to a certain question.</t>
  </si>
  <si>
    <t>I sold my soul for knowledge. I hope to do great deeds and win it back.</t>
  </si>
  <si>
    <t>I would still lay down my life for the people I served with.</t>
  </si>
  <si>
    <t>Someone saved my life on the battlefield. To this day, I will never leave a friend behind.</t>
  </si>
  <si>
    <t>My honor is my life.</t>
  </si>
  <si>
    <t>I’ll never forget the crushing defeat my company suffered or the enemies who dealt it.</t>
  </si>
  <si>
    <t>Those who fight beside me are those worth dying for.</t>
  </si>
  <si>
    <t>I fight for those who cannot fight for themselves.</t>
  </si>
  <si>
    <t>I fleeced the wrong person and must work to ensure that this individual never crosses paths with me or those I care about.</t>
  </si>
  <si>
    <t>I owe everything to my mentor—a horrible person who’s probably rotting in jail somewhere.</t>
  </si>
  <si>
    <t>Somewhere out there, I have a child who doesn’t know me. I’m making the world better for him or her.</t>
  </si>
  <si>
    <t>I come from a noble family, and one day I’ll reclaim my lands and title from those who stole them from me.</t>
  </si>
  <si>
    <t>A powerful person killed someone I love. Some day soon, I’ll have my revenge.</t>
  </si>
  <si>
    <t>I swindled and ruined a person who didn’t deserve it. I seek to atone for my misdeeds but might never be able to forgive myself.</t>
  </si>
  <si>
    <t>My instrument is my most treasured possession, and it reminds me of someone I love.</t>
  </si>
  <si>
    <t>Someone stole my precious instrument, and someday I’ll get it back.</t>
  </si>
  <si>
    <t>I want to be famous, whatever it takes.</t>
  </si>
  <si>
    <t>I idolize a hero of the old tales and measure my deeds against that person’s.</t>
  </si>
  <si>
    <t>I will do anything to prove myself superior to my hated rival.</t>
  </si>
  <si>
    <t>I would do anything for the other members of my old troupe.</t>
  </si>
  <si>
    <t>The workshop where I learned my trade is the most important place in the world to me.</t>
  </si>
  <si>
    <t>I created a great work for someone, and then found them unworthy to receive it. I’m still looking for someone worthy.</t>
  </si>
  <si>
    <t>I owe my guild a great debt for forging me into the person I am today.</t>
  </si>
  <si>
    <t>I pursue wealth to secure someone’s love.</t>
  </si>
  <si>
    <t>One day I will return to my guild and prove that I am the greatest artisan of them all.</t>
  </si>
  <si>
    <t>I will get revenge on the evil forces that destroyed my place of business and ruined my livelihood.</t>
  </si>
  <si>
    <t>Nothing is more important than the other members of my hermitage, order, or association.</t>
  </si>
  <si>
    <t>I entered seclusion to hide from the ones who might still be hunting me. I must someday confront them.</t>
  </si>
  <si>
    <t>I’m still seeking the enlightenment I pursued in my seclusion, and it still eludes me.</t>
  </si>
  <si>
    <t>I entered seclusion because I loved someone I could not have.</t>
  </si>
  <si>
    <t>Should my discovery come to light, it could bring ruin to the world.</t>
  </si>
  <si>
    <t>My isolation gave me great insight into a great evil that only I can destroy.</t>
  </si>
  <si>
    <t>My family, clan, or tribe is the most important thing in my life, even when they are far from me.</t>
  </si>
  <si>
    <t>An injury to the unspoiled wilderness of my home is an injury to me.</t>
  </si>
  <si>
    <t>I will bring terrible wrath down on the evildoers who destroyed my homeland.</t>
  </si>
  <si>
    <t>I am the last of my tribe, and it is up to me to ensure their names enter legend.</t>
  </si>
  <si>
    <t>I suffer awful visions of a coming disaster and will do anything to prevent it.</t>
  </si>
  <si>
    <t>It is my duty to provide children to sustain my tribe.</t>
  </si>
  <si>
    <t>I’m loyal to my captain first, everything else second.</t>
  </si>
  <si>
    <t>The ship is most important—crewmates and captains come and go.</t>
  </si>
  <si>
    <t>I’ll always remember my first ship.</t>
  </si>
  <si>
    <t>In a harbor town, I have a paramour whose eyes nearly stole me from the sea.</t>
  </si>
  <si>
    <t>I was cheated out of my fair share of the profits, and I want to get my due.</t>
  </si>
  <si>
    <t>Ruthless pirates murdered my captain and crewmates, plundered our ship, and left me to die. Vengeance will be mine.</t>
  </si>
  <si>
    <t>My town or city is my home, and I’ll fight to defend it.</t>
  </si>
  <si>
    <t>I sponsor an orphanage to keep others from enduring what I was forced to endure.</t>
  </si>
  <si>
    <t>I owe my survival to another urchin who taught me to live on the streets.</t>
  </si>
  <si>
    <t>I owe a debt I can never repay to the person who took pity on me.</t>
  </si>
  <si>
    <t>I escaped my life of poverty by robbing an important person, and I’m wanted for it.</t>
  </si>
  <si>
    <t>No one else should have to endure the hardships I’ve been through.</t>
  </si>
  <si>
    <t>I judge others harshly, and myself even more severely.</t>
  </si>
  <si>
    <t>I put too much trust in those who wield power within my temple’s hierarchy.</t>
  </si>
  <si>
    <t>My piety sometimes leads me to blindly trust those that profess faith in my god.</t>
  </si>
  <si>
    <t>I am inflexible in my thinking.</t>
  </si>
  <si>
    <t>I am suspicious of strangers and expect the worst of them.</t>
  </si>
  <si>
    <t xml:space="preserve">Once I pick a goal, I become obsessed with it to the detriment of everything else in my life. </t>
  </si>
  <si>
    <t>When I see something valuable, I can’t think about anything but how to steal it.</t>
  </si>
  <si>
    <t>When faced with a choice between money and my friends, I usually choose the money.</t>
  </si>
  <si>
    <t>If there’s a plan, I’ll forget it. If I don’t forget it, I’ll ignore it.</t>
  </si>
  <si>
    <t>I have a “tell” that reveals when I’m lying.</t>
  </si>
  <si>
    <t>I turn tail and run when things look bad.</t>
  </si>
  <si>
    <t>An innocent person is in prison for a crime that I committed. I’m okay with that.</t>
  </si>
  <si>
    <t>The tyrant who rules my land will stop at nothing to see me killed.</t>
  </si>
  <si>
    <t>I’m convinced of the significance of my destiny, and blind to my shortcomings and the risk of failure.</t>
  </si>
  <si>
    <t>The people who knew me when I was young know my shameful secret, so I can never go home again.</t>
  </si>
  <si>
    <t>I have a weakness for the vices of the city, especially hard drink.</t>
  </si>
  <si>
    <t>Secretly, I believe that things would be better if I were a tyrant lording over the land.</t>
  </si>
  <si>
    <t>I have trouble trusting in my allies.</t>
  </si>
  <si>
    <t>I secretly believe that everyone is beneath me.</t>
  </si>
  <si>
    <t>I hide a truly scandalous secret that could ruin my family forever.</t>
  </si>
  <si>
    <t>I too often hear veiled insults and threats in every word addressed to me, and I’m quick to anger.</t>
  </si>
  <si>
    <t>I have an insatiable desire for carnal pleasures.</t>
  </si>
  <si>
    <t>In fact, the world does revolve around me.</t>
  </si>
  <si>
    <t>By my words and actions, I often bring shame to my family.</t>
  </si>
  <si>
    <t>I am easily distracted by the promise of information.</t>
  </si>
  <si>
    <t>Most people scream and run when they see a demon. I stop and take notes on its anatomy.</t>
  </si>
  <si>
    <t>Unlocking an ancient mystery is worth the price of a civilization.</t>
  </si>
  <si>
    <t>I overlook obvious solutions in favor of complicated ones.</t>
  </si>
  <si>
    <t>I speak without really thinking through my words, invariably insulting others.</t>
  </si>
  <si>
    <t>I can’t keep a secret to save my life, or anyone else’s.</t>
  </si>
  <si>
    <t>The monstrous enemy we faced in battle still leaves me quivering with fear.</t>
  </si>
  <si>
    <t>I have little respect for anyone who is not a proven warrior.</t>
  </si>
  <si>
    <t>I made a terrible mistake in battle that cost many lives—and I would do anything to keep that mistake secret.</t>
  </si>
  <si>
    <t>My hatred of my enemies is blind and unreasoning.</t>
  </si>
  <si>
    <t>I obey the law, even if the law causes misery.</t>
  </si>
  <si>
    <t>I’d rather eat my armor than admit when I’m wrong.</t>
  </si>
  <si>
    <t>I can’t resist a pretty face.</t>
  </si>
  <si>
    <t>I'm always in debt. I spend my ill-gotten gains on decadent luxuries faster than I bring them in..</t>
  </si>
  <si>
    <t>I’m convinced that no one could ever fool me the way I fool others.</t>
  </si>
  <si>
    <t>I’m too greedy for my own good. I can’t resist taking a risk if there’s money involved.</t>
  </si>
  <si>
    <t>I can’t resist swindling people who are more powerful than me.</t>
  </si>
  <si>
    <t>I hate to admit it and will hate myself for it, but I'll run and preserve my own hide if the going gets tough.</t>
  </si>
  <si>
    <t>I’ll do anything to win fame and renown.</t>
  </si>
  <si>
    <t>I’m a sucker for a pretty face.</t>
  </si>
  <si>
    <t>A scandal prevents me from ever going home again. That kind of trouble seems to follow me around.</t>
  </si>
  <si>
    <t>I once satirized a noble who still wants my head. It was a mistake that I will likely repeat.</t>
  </si>
  <si>
    <t>I have trouble keeping my true feelings hidden. My sharp tongue lands me in trouble.</t>
  </si>
  <si>
    <t>Despite my best efforts, I am unreliable to my friends.</t>
  </si>
  <si>
    <t>I’ll do anything to get my hands on something rare or priceless.</t>
  </si>
  <si>
    <t>I’m quick to assume that someone is trying to cheat me.</t>
  </si>
  <si>
    <t>No one must ever learn that I once stole money from guild coffers.</t>
  </si>
  <si>
    <t>I’m never satisfied with what I have— I always want more.</t>
  </si>
  <si>
    <t>I would kill to acquire a noble title.</t>
  </si>
  <si>
    <t>I’m horribly jealous of anyone who can outshine my handiwork. Everywhere I go, I’m surrounded by rivals.</t>
  </si>
  <si>
    <t>Now that I've returned to the world, I enjoy its delights a little too much.</t>
  </si>
  <si>
    <t>I harbor dark, bloodthirsty thoughts that my isolation and meditation failed to quell.</t>
  </si>
  <si>
    <t>I am dogmatic in my thoughts and philosophy.</t>
  </si>
  <si>
    <t>I let my need to win arguments overshadow friendships and harmony.</t>
  </si>
  <si>
    <t>I’d risk too much to uncover a lost bit of knowledge.</t>
  </si>
  <si>
    <t>I like keeping secrets and won’t share them with anyone.</t>
  </si>
  <si>
    <t>I am too enamored of ale, wine, and other intoxicants.</t>
  </si>
  <si>
    <t>There’s no room for caution in a life lived to the fullest.</t>
  </si>
  <si>
    <t>I remember every insult I’ve received and nurse a silent resentment toward anyone who’s ever wronged me.</t>
  </si>
  <si>
    <t>I am slow to trust members of other races, tribes, and societies.</t>
  </si>
  <si>
    <t>Violence is my answer to almost any challenge.</t>
  </si>
  <si>
    <t>Don’t expect me to save those who can’t save themselves. It is nature’s way that the strong thrive and the weak perish.</t>
  </si>
  <si>
    <t>I follow orders, even if I think they’re wrong.</t>
  </si>
  <si>
    <t>I’ll say anything to avoid having to do extra work.</t>
  </si>
  <si>
    <t>Once someone questions my courage, I never back down no matter how dangerous the situation.</t>
  </si>
  <si>
    <t>Once I start drinking, it’s hard for me to stop.</t>
  </si>
  <si>
    <t>I can’t help but pocket loose coins and other trinkets I come across.</t>
  </si>
  <si>
    <t>My pride will probably lead to my destruction.</t>
  </si>
  <si>
    <t>If I'm outnumbered, I will run away from a fight.</t>
  </si>
  <si>
    <t>Gold seems like a lot of money to me, and I’ll do just about anything for more of it.</t>
  </si>
  <si>
    <t>I will never fully trust anyone other than myself.</t>
  </si>
  <si>
    <t>I’d rather kill someone in their sleep then fight fair.</t>
  </si>
  <si>
    <t>It’s not stealing if I need it more than someone else.</t>
  </si>
  <si>
    <t>People who can't take care of themselves get what they deserve.</t>
  </si>
  <si>
    <t>I cheat at games of chance.</t>
  </si>
  <si>
    <t>I shave coins or forge documents.</t>
  </si>
  <si>
    <t>I insinuate myself into people’s lives to prey on their weakness and secure their fortunes.</t>
  </si>
  <si>
    <t>I put on new identities like clothes.</t>
  </si>
  <si>
    <t>I run sleight-of-hand cons on street corners.</t>
  </si>
  <si>
    <t>I convince people that worthless junk is worth their hard-earned money.</t>
  </si>
  <si>
    <t xml:space="preserve">Actor </t>
  </si>
  <si>
    <t>Instrumentalist</t>
  </si>
  <si>
    <t xml:space="preserve">Dancer </t>
  </si>
  <si>
    <t>Poet</t>
  </si>
  <si>
    <t xml:space="preserve">Fire-eater </t>
  </si>
  <si>
    <t>Singer</t>
  </si>
  <si>
    <t xml:space="preserve">Jester </t>
  </si>
  <si>
    <t>Storyteller</t>
  </si>
  <si>
    <t xml:space="preserve">Juggler </t>
  </si>
  <si>
    <t>Tumbler</t>
  </si>
  <si>
    <t>I stood up to a tyrant’s agents.</t>
  </si>
  <si>
    <t>I saved people during a natural disaster.</t>
  </si>
  <si>
    <t>I stood alone against a terrible monster.</t>
  </si>
  <si>
    <t>I stole from a corrupt merchant to help the poor.</t>
  </si>
  <si>
    <t>I led a militia to fight off an invading army.</t>
  </si>
  <si>
    <t>I broke into a tyrant’s castle and stole weapons to arm the people.</t>
  </si>
  <si>
    <t>I trained the peasantry to use farm implements as weapons against a tyrant’s soldiers.</t>
  </si>
  <si>
    <t>A lord rescinded an unpopular decree after I led a symbolic act of protect against it.</t>
  </si>
  <si>
    <t>A celestial, fey, or similar creature gave me a blessing or revealed my secret origin.</t>
  </si>
  <si>
    <t>Recruited into a lord’s army, I rose to leadership and was commended for my heroism.</t>
  </si>
  <si>
    <t>I was searching for spiritual enlightenment.</t>
  </si>
  <si>
    <t>I was partaking of communal living in accordance with the dictates of a religious order.</t>
  </si>
  <si>
    <t>I was exiled for a crime I didn’t commit.</t>
  </si>
  <si>
    <t>I retreated from society after a life-altering event.</t>
  </si>
  <si>
    <t>I needed a quiet place to work on my art, literature, music, or manifesto.</t>
  </si>
  <si>
    <t>I needed to commune with nature, far from civilization.</t>
  </si>
  <si>
    <t>I was the caretaker of an ancient ruin or relic.</t>
  </si>
  <si>
    <t>I was a pilgrim in search of a person, place, or relic of spiritual significance.</t>
  </si>
  <si>
    <t>Forester</t>
  </si>
  <si>
    <t>Bounty hunter</t>
  </si>
  <si>
    <t>Trapper</t>
  </si>
  <si>
    <t>Pilgrim</t>
  </si>
  <si>
    <t>Homesteader</t>
  </si>
  <si>
    <t>Tribal nomad</t>
  </si>
  <si>
    <t>Guide</t>
  </si>
  <si>
    <t>Hunter-gatherer</t>
  </si>
  <si>
    <t>Exile</t>
  </si>
  <si>
    <t>Outcast</t>
  </si>
  <si>
    <t>Alchemist</t>
  </si>
  <si>
    <t>Professor</t>
  </si>
  <si>
    <t>Astronomer</t>
  </si>
  <si>
    <t>Wizard’s apprentice</t>
  </si>
  <si>
    <t>Scribe</t>
  </si>
  <si>
    <t>Librarian</t>
  </si>
  <si>
    <t xml:space="preserve">Officer </t>
  </si>
  <si>
    <t>Quartermaster</t>
  </si>
  <si>
    <t xml:space="preserve">Scout </t>
  </si>
  <si>
    <t>Standard bearer</t>
  </si>
  <si>
    <t>Support staff (cook, blacksmith, or the like)</t>
  </si>
  <si>
    <t>Healer</t>
  </si>
  <si>
    <t>Temple</t>
  </si>
  <si>
    <t>Pantheon</t>
  </si>
  <si>
    <t>Special Select 11</t>
  </si>
  <si>
    <t>Special Select 12</t>
  </si>
  <si>
    <t>Special Select 13</t>
  </si>
  <si>
    <t>Special Select 14</t>
  </si>
  <si>
    <t>Special Select 15</t>
  </si>
  <si>
    <t>Special Select 16</t>
  </si>
  <si>
    <t>Special Select 17</t>
  </si>
  <si>
    <t>Special Select 18</t>
  </si>
  <si>
    <t>Special Select 19</t>
  </si>
  <si>
    <t>Special Select 20</t>
  </si>
  <si>
    <t>Alchemists and apothecaries</t>
  </si>
  <si>
    <t>Armorers, locksmiths, and finesmiths</t>
  </si>
  <si>
    <t>Brewers, distillers, and vintners</t>
  </si>
  <si>
    <t>Calligraphers, scribes, and scriveners</t>
  </si>
  <si>
    <t>Carpenters, roofers, and plasterers</t>
  </si>
  <si>
    <t>Cartographers, surveyors, and chart-makers</t>
  </si>
  <si>
    <t>Cobblers and shoemakers</t>
  </si>
  <si>
    <t>Cooks and bakers</t>
  </si>
  <si>
    <t>Glassblowers and glaziers</t>
  </si>
  <si>
    <t>Jewelers and gemcutters</t>
  </si>
  <si>
    <t>Leatherworkers, skinners, and tanners</t>
  </si>
  <si>
    <t>Masons and stonecutters</t>
  </si>
  <si>
    <t>Painters, limners, and sign-makers</t>
  </si>
  <si>
    <t>Potters and tile-makers</t>
  </si>
  <si>
    <t>Shipwrights and sailmakers</t>
  </si>
  <si>
    <t>Smiths and metal-forgers</t>
  </si>
  <si>
    <t>Tinkers, pewterers, and casters</t>
  </si>
  <si>
    <t>Wagon-makers and wheelwrights</t>
  </si>
  <si>
    <t>Weavers and dyers</t>
  </si>
  <si>
    <t>Woodcarvers, coopers, and bowyers</t>
  </si>
  <si>
    <t>n/a</t>
  </si>
  <si>
    <t>City of Origin</t>
  </si>
  <si>
    <t>Religious service</t>
  </si>
  <si>
    <t>Specialty</t>
  </si>
  <si>
    <t>Defining Event</t>
  </si>
  <si>
    <t>Military Organization</t>
  </si>
  <si>
    <t>Favorite Scheme</t>
  </si>
  <si>
    <t>Routine</t>
  </si>
  <si>
    <t>Guild Business</t>
  </si>
  <si>
    <t>Life of Seclusion</t>
  </si>
  <si>
    <t>Origin</t>
  </si>
  <si>
    <t>Ship Service</t>
  </si>
  <si>
    <t>Human (Calishite)</t>
  </si>
  <si>
    <t>Human (Chondathan)</t>
  </si>
  <si>
    <t>Human (Damaran)</t>
  </si>
  <si>
    <t>Human (Illuskan)</t>
  </si>
  <si>
    <t>Human (Mulan)</t>
  </si>
  <si>
    <t>Human (Rashemi)</t>
  </si>
  <si>
    <t>Human (Shou)</t>
  </si>
  <si>
    <t>Human (Tethyrian-Chondathan)</t>
  </si>
  <si>
    <t>Human (Turami)</t>
  </si>
  <si>
    <t>Human (Variant)</t>
  </si>
  <si>
    <t>Forest Gnome</t>
  </si>
  <si>
    <t>Rock Gnome</t>
  </si>
  <si>
    <t>Half-elf</t>
  </si>
  <si>
    <t>Half-orc</t>
  </si>
  <si>
    <t>Dark Elf</t>
  </si>
  <si>
    <t>Green</t>
  </si>
  <si>
    <t>Free skills chois</t>
  </si>
  <si>
    <t>Giant</t>
  </si>
  <si>
    <t>Gnomish</t>
  </si>
  <si>
    <t>Goblin</t>
  </si>
  <si>
    <t>Orc</t>
  </si>
  <si>
    <t>Abyssal</t>
  </si>
  <si>
    <t>Celestial</t>
  </si>
  <si>
    <t>Draconic</t>
  </si>
  <si>
    <t>Deep Speech</t>
  </si>
  <si>
    <t>Infernal</t>
  </si>
  <si>
    <t>Primordial</t>
  </si>
  <si>
    <t>Sylvan</t>
  </si>
  <si>
    <t>Undercommon</t>
  </si>
  <si>
    <t>Bard</t>
  </si>
  <si>
    <t>Paladin</t>
  </si>
  <si>
    <t>Weapons</t>
  </si>
  <si>
    <t>Tools</t>
  </si>
  <si>
    <t>Simple weapons</t>
  </si>
  <si>
    <t>None</t>
  </si>
  <si>
    <t>Thieves' tools</t>
  </si>
  <si>
    <t>Herbalism Kit</t>
  </si>
  <si>
    <t>Action Surge (one use)</t>
  </si>
  <si>
    <t>Cunning Action</t>
  </si>
  <si>
    <t>Arcane Tradition</t>
  </si>
  <si>
    <t>Font of Magic</t>
  </si>
  <si>
    <t>Eldrich Invocations</t>
  </si>
  <si>
    <t xml:space="preserve"> </t>
  </si>
  <si>
    <t>Artisan's Tools</t>
  </si>
  <si>
    <t>Tinker's tools</t>
  </si>
  <si>
    <t>TRINKETS</t>
  </si>
  <si>
    <t>A shard of obsidian that always feels warm to the</t>
  </si>
  <si>
    <t>A mummified goblin hand touch</t>
  </si>
  <si>
    <t xml:space="preserve">A piece of crystal that faintly glows in the moonlight </t>
  </si>
  <si>
    <t>A dragon's bony talon hanging from a plain leather</t>
  </si>
  <si>
    <t>A gold coin minted in an unknown land necklace</t>
  </si>
  <si>
    <t xml:space="preserve">A diary written in a language you don’t know </t>
  </si>
  <si>
    <t>A  living worm with a head on each end of its body</t>
  </si>
  <si>
    <t xml:space="preserve">A brass ring that never tarnishes </t>
  </si>
  <si>
    <t>A blank book whose pages refuse to hold ink, chalk,</t>
  </si>
  <si>
    <t>An old chess piece made from glass graphite, or any other substance or marking</t>
  </si>
  <si>
    <t>A pair of knucklebone dice, each with a skull symbol on the side that would normally show six pips</t>
  </si>
  <si>
    <t>A silver badge in the shape of a five-pointed star</t>
  </si>
  <si>
    <t>A knife that belonged to a relative</t>
  </si>
  <si>
    <t>A small idol depicting a nightmarish creature that gives you unsettling dreams when you sleep near it</t>
  </si>
  <si>
    <t>A glass vial filled with nail clippings</t>
  </si>
  <si>
    <t>A rectangular metal device with two tiny metal cups</t>
  </si>
  <si>
    <t xml:space="preserve">A rope necklace from which dangles four mummified on one end that throws sparks when wet elf fingers </t>
  </si>
  <si>
    <t>A white, sequined glove sized for a human</t>
  </si>
  <si>
    <t>The deed for a parcel of land in a realm unknown to you</t>
  </si>
  <si>
    <t>A vest with one hundred tiny pockets</t>
  </si>
  <si>
    <t>A small, weightless stone block</t>
  </si>
  <si>
    <t xml:space="preserve">A 1-ounce block made from an unknown material </t>
  </si>
  <si>
    <t>A tiny sketch portrait of a goblin</t>
  </si>
  <si>
    <t xml:space="preserve">A small cloth doll skewered with needles </t>
  </si>
  <si>
    <t>An empty glass vial that smells of perfume when</t>
  </si>
  <si>
    <t>A tooth from an unknown beast opened</t>
  </si>
  <si>
    <t xml:space="preserve">An enormous scale, perhaps from a dragon </t>
  </si>
  <si>
    <t>A gemstone that looks like a lump of coal when</t>
  </si>
  <si>
    <t>A bright green feather examined by anyone but you</t>
  </si>
  <si>
    <t xml:space="preserve">An old divination card bearing your likeness </t>
  </si>
  <si>
    <t>A scrap of cloth from an old banner</t>
  </si>
  <si>
    <t xml:space="preserve">A glass orb filled with moving smoke </t>
  </si>
  <si>
    <t>A rank insignia from a lost legionnaire</t>
  </si>
  <si>
    <t xml:space="preserve">A 1-pound egg with a bright red shell </t>
  </si>
  <si>
    <t>A tiny silver bell without a clapper</t>
  </si>
  <si>
    <t>A pipe that blows bubbles</t>
  </si>
  <si>
    <t>A mechanical canary inside a gnomish lamp</t>
  </si>
  <si>
    <t>A glass jar containing a weird bit of flesh floating in pickling fluid</t>
  </si>
  <si>
    <t>A tiny chest carved to look like it has numerous feet on the bottom</t>
  </si>
  <si>
    <t>A tiny gnome-crafted music box that plays a song you dimly remember from your childhood</t>
  </si>
  <si>
    <t>A dead sprite inside a clear glass bottle</t>
  </si>
  <si>
    <t>A metal can that has no opening but sounds as if it is filled with liquid, sand, spiders, or broken glass (your choice)</t>
  </si>
  <si>
    <t>A small wooden statuette of a smug halfling</t>
  </si>
  <si>
    <t>A brass orb etched with strange runes</t>
  </si>
  <si>
    <t>A multicolored stone disk</t>
  </si>
  <si>
    <t>A glass orb filled with water, in which swims a</t>
  </si>
  <si>
    <t>A tiny silver icon of a raven clockwork goldfish</t>
  </si>
  <si>
    <t>A bag containing forty-seven humanoid teeth, one of which is rotten</t>
  </si>
  <si>
    <t>A silver spoon with an M engraved on the handle</t>
  </si>
  <si>
    <t>A whistle made from gold-colored wood</t>
  </si>
  <si>
    <t xml:space="preserve">A dead scarab beetle the size of your hand </t>
  </si>
  <si>
    <t>An invitation to a party where a murder happened</t>
  </si>
  <si>
    <t xml:space="preserve">Two toy soldiers, one with a missing head </t>
  </si>
  <si>
    <t>A bronze pentacle with an etching of a rat's head</t>
  </si>
  <si>
    <t>A small box filled with different-sized buttons in its center</t>
  </si>
  <si>
    <t xml:space="preserve">A candle that can’t be lit </t>
  </si>
  <si>
    <t>A purple handkerchief embroidered with the name of</t>
  </si>
  <si>
    <t>A tiny cage with no door a powerful archmage</t>
  </si>
  <si>
    <t xml:space="preserve">An old key </t>
  </si>
  <si>
    <t>Half of a floorplan for a temple, castle, or some other</t>
  </si>
  <si>
    <t>An indecipherable treasure map structure</t>
  </si>
  <si>
    <t xml:space="preserve">A hilt from a broken sword </t>
  </si>
  <si>
    <t>A bit of folded cloth that, when unfolded, turns into</t>
  </si>
  <si>
    <t>A rabbit’s foot a stylish cap</t>
  </si>
  <si>
    <t xml:space="preserve">A glass eye </t>
  </si>
  <si>
    <t>A receipt of deposit at a bank in a far-flung city</t>
  </si>
  <si>
    <t xml:space="preserve">A cameo carved in the likeness of a hideous person </t>
  </si>
  <si>
    <t>A diary with seven missing pages</t>
  </si>
  <si>
    <t xml:space="preserve">A silver skull the size of a coin </t>
  </si>
  <si>
    <t>An empty silver snuffbox bearing an inscription on</t>
  </si>
  <si>
    <t>An alabaster mask the surface that says “dreams’’</t>
  </si>
  <si>
    <t xml:space="preserve">A pyramid of sticky black incense that smells very bad </t>
  </si>
  <si>
    <t>An iron holy symbol devoted to an unknown god</t>
  </si>
  <si>
    <t>A nightcap that, when worn, gives you pleasant dreams</t>
  </si>
  <si>
    <t>A book that tells the story of a legendary hero's rise and fall, with the last chapter missing</t>
  </si>
  <si>
    <t xml:space="preserve">A single caltrop made from bone </t>
  </si>
  <si>
    <t>A vial of dragon blood</t>
  </si>
  <si>
    <t>A gold monocle frame without the lens</t>
  </si>
  <si>
    <t>An ancient arrow of elven design</t>
  </si>
  <si>
    <t>A 1-inch cube, each side painted a different color</t>
  </si>
  <si>
    <t>A needle that never bends</t>
  </si>
  <si>
    <t xml:space="preserve">A crystal knob from a door </t>
  </si>
  <si>
    <t>An ornate brooch of dwarven design</t>
  </si>
  <si>
    <t xml:space="preserve">A small packet filled with pink dust </t>
  </si>
  <si>
    <t>An empty wine bottle bearing a pretty label that says, “The Wizard of Wines Winery, Red Dragon Crush, 331422-W"</t>
  </si>
  <si>
    <t>A fragment of a beautiful song, written as musical notes on two pieces of parchment</t>
  </si>
  <si>
    <t xml:space="preserve">A silver teardrop earring made from a real teardrop </t>
  </si>
  <si>
    <t>A mosaic tile with a multicolored, glazed surface</t>
  </si>
  <si>
    <t>The shell of an egg painted with scenes of human misery in disturbing detail</t>
  </si>
  <si>
    <t>A petrified mouse</t>
  </si>
  <si>
    <t>A black pirate flag adorned with a dragon's skull</t>
  </si>
  <si>
    <t>A fan that, when unfolded, shows a sleeping cat and crossbones</t>
  </si>
  <si>
    <t xml:space="preserve">A set of bone pipes </t>
  </si>
  <si>
    <t>A tiny mechanical crab or spider that moves about</t>
  </si>
  <si>
    <t>A four-leaf clover pressed inside a book discussing when it’s not being observed manners and etiquette</t>
  </si>
  <si>
    <t>A glass jar containing lard with a label that reads,</t>
  </si>
  <si>
    <t>A sheet of parchment upon which is drawn a complex “Griffon Grease” mechanical contraption</t>
  </si>
  <si>
    <t>A wooden box with a ceramic bottom that holds a</t>
  </si>
  <si>
    <t>An ornate scabbard that fits no blade you have found so far</t>
  </si>
  <si>
    <t>A metal urn containing the ashes of a hero</t>
  </si>
  <si>
    <t>COL</t>
  </si>
  <si>
    <t>RANDOM</t>
  </si>
  <si>
    <t>names</t>
  </si>
  <si>
    <t>Calishite</t>
  </si>
  <si>
    <t>Chondathan</t>
  </si>
  <si>
    <t>Damaran</t>
  </si>
  <si>
    <t>Illuskan</t>
  </si>
  <si>
    <t>Mulan</t>
  </si>
  <si>
    <t>Rashemi</t>
  </si>
  <si>
    <t>Shou</t>
  </si>
  <si>
    <t>Tethyrian (cho)</t>
  </si>
  <si>
    <t>Turami</t>
  </si>
  <si>
    <t>Dragonborn (not incl childhood)</t>
  </si>
  <si>
    <t>Gnome (not incl pet name)</t>
  </si>
  <si>
    <t>1/2 Orc</t>
  </si>
  <si>
    <t>1/2 elf</t>
  </si>
  <si>
    <t>Male</t>
  </si>
  <si>
    <t>Female</t>
  </si>
  <si>
    <t>Family</t>
  </si>
  <si>
    <t>M</t>
  </si>
  <si>
    <t>F</t>
  </si>
  <si>
    <t>SUR</t>
  </si>
  <si>
    <t xml:space="preserve">M </t>
  </si>
  <si>
    <t>Surname</t>
  </si>
  <si>
    <t>Family/Clan</t>
  </si>
  <si>
    <t>Clan</t>
  </si>
  <si>
    <t>Nickname</t>
  </si>
  <si>
    <t>elf or human</t>
  </si>
  <si>
    <t>#</t>
  </si>
  <si>
    <r>
      <t>Ad</t>
    </r>
    <r>
      <rPr>
        <sz val="8"/>
        <color rgb="FF141216"/>
        <rFont val="Calibri"/>
        <family val="2"/>
        <scheme val="minor"/>
      </rPr>
      <t>ri</t>
    </r>
    <r>
      <rPr>
        <sz val="8"/>
        <color rgb="FF2D2530"/>
        <rFont val="Calibri"/>
        <family val="2"/>
        <scheme val="minor"/>
      </rPr>
      <t>k</t>
    </r>
  </si>
  <si>
    <t>Amber</t>
  </si>
  <si>
    <r>
      <t>Balder</t>
    </r>
    <r>
      <rPr>
        <sz val="8"/>
        <color rgb="FF141216"/>
        <rFont val="Calibri"/>
        <family val="2"/>
        <scheme val="minor"/>
      </rPr>
      <t>k</t>
    </r>
  </si>
  <si>
    <r>
      <t>Ad</t>
    </r>
    <r>
      <rPr>
        <sz val="8"/>
        <color rgb="FF121013"/>
        <rFont val="Calibri"/>
        <family val="2"/>
        <scheme val="minor"/>
      </rPr>
      <t>r</t>
    </r>
    <r>
      <rPr>
        <sz val="8"/>
        <color rgb="FF2E2630"/>
        <rFont val="Calibri"/>
        <family val="2"/>
        <scheme val="minor"/>
      </rPr>
      <t>a</t>
    </r>
    <r>
      <rPr>
        <sz val="8"/>
        <color rgb="FF121013"/>
        <rFont val="Calibri"/>
        <family val="2"/>
        <scheme val="minor"/>
      </rPr>
      <t>n</t>
    </r>
  </si>
  <si>
    <r>
      <t>A</t>
    </r>
    <r>
      <rPr>
        <sz val="8"/>
        <color rgb="FF2E2630"/>
        <rFont val="Calibri"/>
        <family val="2"/>
        <scheme val="minor"/>
      </rPr>
      <t>d</t>
    </r>
    <r>
      <rPr>
        <sz val="8"/>
        <color rgb="FF121013"/>
        <rFont val="Calibri"/>
        <family val="2"/>
        <scheme val="minor"/>
      </rPr>
      <t>ri</t>
    </r>
    <r>
      <rPr>
        <sz val="8"/>
        <color rgb="FF2E2630"/>
        <rFont val="Calibri"/>
        <family val="2"/>
        <scheme val="minor"/>
      </rPr>
      <t>e</t>
    </r>
  </si>
  <si>
    <r>
      <t>Ama</t>
    </r>
    <r>
      <rPr>
        <sz val="8"/>
        <color rgb="FF121015"/>
        <rFont val="Calibri"/>
        <family val="2"/>
        <scheme val="minor"/>
      </rPr>
      <t>k</t>
    </r>
    <r>
      <rPr>
        <sz val="8"/>
        <color rgb="FF2F2631"/>
        <rFont val="Calibri"/>
        <family val="2"/>
        <scheme val="minor"/>
      </rPr>
      <t>iir</t>
    </r>
    <r>
      <rPr>
        <sz val="8"/>
        <color rgb="FF433B48"/>
        <rFont val="Calibri"/>
        <family val="2"/>
        <scheme val="minor"/>
      </rPr>
      <t>(Ge</t>
    </r>
    <r>
      <rPr>
        <sz val="8"/>
        <color rgb="FF121015"/>
        <rFont val="Calibri"/>
        <family val="2"/>
        <scheme val="minor"/>
      </rPr>
      <t>mfl</t>
    </r>
    <r>
      <rPr>
        <sz val="8"/>
        <color rgb="FF2F2631"/>
        <rFont val="Calibri"/>
        <family val="2"/>
        <scheme val="minor"/>
      </rPr>
      <t>owe</t>
    </r>
    <r>
      <rPr>
        <sz val="8"/>
        <color rgb="FF121015"/>
        <rFont val="Calibri"/>
        <family val="2"/>
        <scheme val="minor"/>
      </rPr>
      <t>r</t>
    </r>
    <r>
      <rPr>
        <sz val="8"/>
        <color rgb="FF564A58"/>
        <rFont val="Calibri"/>
        <family val="2"/>
        <scheme val="minor"/>
      </rPr>
      <t>)</t>
    </r>
  </si>
  <si>
    <t>Alton</t>
  </si>
  <si>
    <r>
      <t>A</t>
    </r>
    <r>
      <rPr>
        <sz val="8"/>
        <color rgb="FF131115"/>
        <rFont val="Calibri"/>
        <family val="2"/>
        <scheme val="minor"/>
      </rPr>
      <t>n</t>
    </r>
    <r>
      <rPr>
        <sz val="8"/>
        <color rgb="FF2F2731"/>
        <rFont val="Calibri"/>
        <family val="2"/>
        <scheme val="minor"/>
      </rPr>
      <t>dr</t>
    </r>
    <r>
      <rPr>
        <sz val="8"/>
        <color rgb="FF463C4D"/>
        <rFont val="Calibri"/>
        <family val="2"/>
        <scheme val="minor"/>
      </rPr>
      <t>y</t>
    </r>
  </si>
  <si>
    <r>
      <t>Bru</t>
    </r>
    <r>
      <rPr>
        <sz val="8"/>
        <color rgb="FF463C4D"/>
        <rFont val="Calibri"/>
        <family val="2"/>
        <scheme val="minor"/>
      </rPr>
      <t>s</t>
    </r>
    <r>
      <rPr>
        <sz val="8"/>
        <color rgb="FF2F2731"/>
        <rFont val="Calibri"/>
        <family val="2"/>
        <scheme val="minor"/>
      </rPr>
      <t>h</t>
    </r>
    <r>
      <rPr>
        <sz val="8"/>
        <color rgb="FF463C4D"/>
        <rFont val="Calibri"/>
        <family val="2"/>
        <scheme val="minor"/>
      </rPr>
      <t>g</t>
    </r>
    <r>
      <rPr>
        <sz val="8"/>
        <color rgb="FF2F2731"/>
        <rFont val="Calibri"/>
        <family val="2"/>
        <scheme val="minor"/>
      </rPr>
      <t>ather</t>
    </r>
  </si>
  <si>
    <t>Aesir</t>
  </si>
  <si>
    <t>Atala</t>
  </si>
  <si>
    <t>Basha</t>
  </si>
  <si>
    <t>Darvain</t>
  </si>
  <si>
    <t>Arveene</t>
  </si>
  <si>
    <t>Amblecrown</t>
  </si>
  <si>
    <t>Bor</t>
  </si>
  <si>
    <t>Alethra</t>
  </si>
  <si>
    <t>Bersk</t>
  </si>
  <si>
    <t>Ander</t>
  </si>
  <si>
    <t>Amafrey</t>
  </si>
  <si>
    <t>Brightwood</t>
  </si>
  <si>
    <t>Aoth</t>
  </si>
  <si>
    <t>Arizima</t>
  </si>
  <si>
    <t>Ankhalab</t>
  </si>
  <si>
    <t>Borivik</t>
  </si>
  <si>
    <t>Fyevarra</t>
  </si>
  <si>
    <t>Chergoba</t>
  </si>
  <si>
    <t>An</t>
  </si>
  <si>
    <t>Bai</t>
  </si>
  <si>
    <t>Chien</t>
  </si>
  <si>
    <t>Anton</t>
  </si>
  <si>
    <t>Balama</t>
  </si>
  <si>
    <t>Agosto</t>
  </si>
  <si>
    <t>Ahlysaaria</t>
  </si>
  <si>
    <t>A'Daragon</t>
  </si>
  <si>
    <t>Arjhan</t>
  </si>
  <si>
    <t>Akra</t>
  </si>
  <si>
    <t>Clethinthiallor</t>
  </si>
  <si>
    <t>Alston</t>
  </si>
  <si>
    <t>Bimpnotton</t>
  </si>
  <si>
    <t>Beren</t>
  </si>
  <si>
    <t>Aleslosh</t>
  </si>
  <si>
    <t>Feng</t>
  </si>
  <si>
    <t>Baggi</t>
  </si>
  <si>
    <t>Akmenos</t>
  </si>
  <si>
    <t>Akta</t>
  </si>
  <si>
    <t>Art</t>
  </si>
  <si>
    <r>
      <t>Albe</t>
    </r>
    <r>
      <rPr>
        <sz val="8"/>
        <color rgb="FF141216"/>
        <rFont val="Calibri"/>
        <family val="2"/>
        <scheme val="minor"/>
      </rPr>
      <t>ri</t>
    </r>
    <r>
      <rPr>
        <sz val="8"/>
        <color rgb="FF2D2530"/>
        <rFont val="Calibri"/>
        <family val="2"/>
        <scheme val="minor"/>
      </rPr>
      <t>ch</t>
    </r>
  </si>
  <si>
    <r>
      <t>Art</t>
    </r>
    <r>
      <rPr>
        <sz val="8"/>
        <color rgb="FF141216"/>
        <rFont val="Calibri"/>
        <family val="2"/>
        <scheme val="minor"/>
      </rPr>
      <t>in</t>
    </r>
  </si>
  <si>
    <r>
      <t>Battleham</t>
    </r>
    <r>
      <rPr>
        <sz val="8"/>
        <color rgb="FF141216"/>
        <rFont val="Calibri"/>
        <family val="2"/>
        <scheme val="minor"/>
      </rPr>
      <t>m</t>
    </r>
    <r>
      <rPr>
        <sz val="8"/>
        <color rgb="FF443B4D"/>
        <rFont val="Calibri"/>
        <family val="2"/>
        <scheme val="minor"/>
      </rPr>
      <t>e</t>
    </r>
    <r>
      <rPr>
        <sz val="8"/>
        <color rgb="FF2D2530"/>
        <rFont val="Calibri"/>
        <family val="2"/>
        <scheme val="minor"/>
      </rPr>
      <t>r</t>
    </r>
  </si>
  <si>
    <t>Aelar</t>
  </si>
  <si>
    <r>
      <t>A</t>
    </r>
    <r>
      <rPr>
        <sz val="8"/>
        <color rgb="FF121013"/>
        <rFont val="Calibri"/>
        <family val="2"/>
        <scheme val="minor"/>
      </rPr>
      <t>l</t>
    </r>
    <r>
      <rPr>
        <sz val="8"/>
        <color rgb="FF2E2630"/>
        <rFont val="Calibri"/>
        <family val="2"/>
        <scheme val="minor"/>
      </rPr>
      <t>tha</t>
    </r>
    <r>
      <rPr>
        <sz val="8"/>
        <color rgb="FF453C4D"/>
        <rFont val="Calibri"/>
        <family val="2"/>
        <scheme val="minor"/>
      </rPr>
      <t>e</t>
    </r>
    <r>
      <rPr>
        <sz val="8"/>
        <color rgb="FF2E2630"/>
        <rFont val="Calibri"/>
        <family val="2"/>
        <scheme val="minor"/>
      </rPr>
      <t>a</t>
    </r>
  </si>
  <si>
    <r>
      <t>Amas</t>
    </r>
    <r>
      <rPr>
        <sz val="8"/>
        <color rgb="FF121015"/>
        <rFont val="Calibri"/>
        <family val="2"/>
        <scheme val="minor"/>
      </rPr>
      <t>t</t>
    </r>
    <r>
      <rPr>
        <sz val="8"/>
        <color rgb="FF2F2631"/>
        <rFont val="Calibri"/>
        <family val="2"/>
        <scheme val="minor"/>
      </rPr>
      <t>acia</t>
    </r>
    <r>
      <rPr>
        <sz val="8"/>
        <color rgb="FF564A58"/>
        <rFont val="Calibri"/>
        <family val="2"/>
        <scheme val="minor"/>
      </rPr>
      <t>(S</t>
    </r>
    <r>
      <rPr>
        <sz val="8"/>
        <color rgb="FF172338"/>
        <rFont val="Calibri"/>
        <family val="2"/>
        <scheme val="minor"/>
      </rPr>
      <t>tar</t>
    </r>
    <r>
      <rPr>
        <sz val="8"/>
        <color rgb="FF121015"/>
        <rFont val="Calibri"/>
        <family val="2"/>
        <scheme val="minor"/>
      </rPr>
      <t>fl</t>
    </r>
    <r>
      <rPr>
        <sz val="8"/>
        <color rgb="FF433B48"/>
        <rFont val="Calibri"/>
        <family val="2"/>
        <scheme val="minor"/>
      </rPr>
      <t>ower)</t>
    </r>
  </si>
  <si>
    <r>
      <t>A</t>
    </r>
    <r>
      <rPr>
        <sz val="8"/>
        <color rgb="FF131115"/>
        <rFont val="Calibri"/>
        <family val="2"/>
        <scheme val="minor"/>
      </rPr>
      <t>n</t>
    </r>
    <r>
      <rPr>
        <sz val="8"/>
        <color rgb="FF2F2731"/>
        <rFont val="Calibri"/>
        <family val="2"/>
        <scheme val="minor"/>
      </rPr>
      <t>de</t>
    </r>
    <r>
      <rPr>
        <sz val="8"/>
        <color rgb="FF131115"/>
        <rFont val="Calibri"/>
        <family val="2"/>
        <scheme val="minor"/>
      </rPr>
      <t>r</t>
    </r>
  </si>
  <si>
    <r>
      <t>B</t>
    </r>
    <r>
      <rPr>
        <sz val="8"/>
        <color rgb="FF2F2731"/>
        <rFont val="Calibri"/>
        <family val="2"/>
        <scheme val="minor"/>
      </rPr>
      <t>ree</t>
    </r>
  </si>
  <si>
    <r>
      <t>G</t>
    </r>
    <r>
      <rPr>
        <sz val="8"/>
        <color rgb="FF463C4D"/>
        <rFont val="Calibri"/>
        <family val="2"/>
        <scheme val="minor"/>
      </rPr>
      <t>oo</t>
    </r>
    <r>
      <rPr>
        <sz val="8"/>
        <color rgb="FF2F2731"/>
        <rFont val="Calibri"/>
        <family val="2"/>
        <scheme val="minor"/>
      </rPr>
      <t>dbarrel</t>
    </r>
  </si>
  <si>
    <t>Bardeid</t>
  </si>
  <si>
    <t>Ceidil</t>
  </si>
  <si>
    <t>Dumein</t>
  </si>
  <si>
    <t>Dorn</t>
  </si>
  <si>
    <t>Esvele</t>
  </si>
  <si>
    <t>Buckman</t>
  </si>
  <si>
    <t>Fodel</t>
  </si>
  <si>
    <t>Kara</t>
  </si>
  <si>
    <t>Chernin</t>
  </si>
  <si>
    <t>Blath</t>
  </si>
  <si>
    <t>Betha</t>
  </si>
  <si>
    <t>Helder</t>
  </si>
  <si>
    <t>Bares</t>
  </si>
  <si>
    <t>Chathi</t>
  </si>
  <si>
    <t>Anskuld</t>
  </si>
  <si>
    <t>Faurgar</t>
  </si>
  <si>
    <t>Hulmarra</t>
  </si>
  <si>
    <t>Dyernina</t>
  </si>
  <si>
    <t>Chen</t>
  </si>
  <si>
    <t>Chao</t>
  </si>
  <si>
    <t>Huang</t>
  </si>
  <si>
    <t>Diero</t>
  </si>
  <si>
    <t>Dona</t>
  </si>
  <si>
    <t>Astorio</t>
  </si>
  <si>
    <t>Balok</t>
  </si>
  <si>
    <t>Akordia</t>
  </si>
  <si>
    <t>Abaeir</t>
  </si>
  <si>
    <t>Balasar</t>
  </si>
  <si>
    <t>Biri</t>
  </si>
  <si>
    <t>Daardendrian</t>
  </si>
  <si>
    <t>Alvyn</t>
  </si>
  <si>
    <t>Breena</t>
  </si>
  <si>
    <t>Daergel</t>
  </si>
  <si>
    <t>Ashhearth</t>
  </si>
  <si>
    <t>Gell</t>
  </si>
  <si>
    <t>Emen</t>
  </si>
  <si>
    <t>Amnon</t>
  </si>
  <si>
    <t>Anakis</t>
  </si>
  <si>
    <t>Carrion</t>
  </si>
  <si>
    <r>
      <t>B</t>
    </r>
    <r>
      <rPr>
        <sz val="8"/>
        <color rgb="FF2D2530"/>
        <rFont val="Calibri"/>
        <family val="2"/>
        <scheme val="minor"/>
      </rPr>
      <t>aern</t>
    </r>
  </si>
  <si>
    <r>
      <t>A</t>
    </r>
    <r>
      <rPr>
        <sz val="8"/>
        <color rgb="FF2D2530"/>
        <rFont val="Calibri"/>
        <family val="2"/>
        <scheme val="minor"/>
      </rPr>
      <t>ud</t>
    </r>
    <r>
      <rPr>
        <sz val="8"/>
        <color rgb="FF141216"/>
        <rFont val="Calibri"/>
        <family val="2"/>
        <scheme val="minor"/>
      </rPr>
      <t>h</t>
    </r>
    <r>
      <rPr>
        <sz val="8"/>
        <color rgb="FF2D2530"/>
        <rFont val="Calibri"/>
        <family val="2"/>
        <scheme val="minor"/>
      </rPr>
      <t>ild</t>
    </r>
  </si>
  <si>
    <r>
      <t>B</t>
    </r>
    <r>
      <rPr>
        <sz val="8"/>
        <color rgb="FF2D2530"/>
        <rFont val="Calibri"/>
        <family val="2"/>
        <scheme val="minor"/>
      </rPr>
      <t>raw</t>
    </r>
    <r>
      <rPr>
        <sz val="8"/>
        <color rgb="FF141216"/>
        <rFont val="Calibri"/>
        <family val="2"/>
        <scheme val="minor"/>
      </rPr>
      <t>n</t>
    </r>
    <r>
      <rPr>
        <sz val="8"/>
        <color rgb="FF2D2530"/>
        <rFont val="Calibri"/>
        <family val="2"/>
        <scheme val="minor"/>
      </rPr>
      <t>a</t>
    </r>
    <r>
      <rPr>
        <sz val="8"/>
        <color rgb="FF141216"/>
        <rFont val="Calibri"/>
        <family val="2"/>
        <scheme val="minor"/>
      </rPr>
      <t>n</t>
    </r>
    <r>
      <rPr>
        <sz val="8"/>
        <color rgb="FF2D2530"/>
        <rFont val="Calibri"/>
        <family val="2"/>
        <scheme val="minor"/>
      </rPr>
      <t>vil</t>
    </r>
  </si>
  <si>
    <r>
      <t>Aram</t>
    </r>
    <r>
      <rPr>
        <sz val="8"/>
        <color rgb="FF121013"/>
        <rFont val="Calibri"/>
        <family val="2"/>
        <scheme val="minor"/>
      </rPr>
      <t>il</t>
    </r>
  </si>
  <si>
    <r>
      <t>A</t>
    </r>
    <r>
      <rPr>
        <sz val="8"/>
        <color rgb="FF121013"/>
        <rFont val="Calibri"/>
        <family val="2"/>
        <scheme val="minor"/>
      </rPr>
      <t>n</t>
    </r>
    <r>
      <rPr>
        <sz val="8"/>
        <color rgb="FF2E2630"/>
        <rFont val="Calibri"/>
        <family val="2"/>
        <scheme val="minor"/>
      </rPr>
      <t>a</t>
    </r>
    <r>
      <rPr>
        <sz val="8"/>
        <color rgb="FF453C4D"/>
        <rFont val="Calibri"/>
        <family val="2"/>
        <scheme val="minor"/>
      </rPr>
      <t>s</t>
    </r>
    <r>
      <rPr>
        <sz val="8"/>
        <color rgb="FF2E2630"/>
        <rFont val="Calibri"/>
        <family val="2"/>
        <scheme val="minor"/>
      </rPr>
      <t>trianna</t>
    </r>
    <r>
      <rPr>
        <sz val="8"/>
        <color rgb="FF453C4D"/>
        <rFont val="Calibri"/>
        <family val="2"/>
        <scheme val="minor"/>
      </rPr>
      <t>,</t>
    </r>
  </si>
  <si>
    <r>
      <t>Ga</t>
    </r>
    <r>
      <rPr>
        <sz val="8"/>
        <color rgb="FF121015"/>
        <rFont val="Calibri"/>
        <family val="2"/>
        <scheme val="minor"/>
      </rPr>
      <t>l</t>
    </r>
    <r>
      <rPr>
        <sz val="8"/>
        <color rgb="FF2F2631"/>
        <rFont val="Calibri"/>
        <family val="2"/>
        <scheme val="minor"/>
      </rPr>
      <t>a</t>
    </r>
    <r>
      <rPr>
        <sz val="8"/>
        <color rgb="FF121015"/>
        <rFont val="Calibri"/>
        <family val="2"/>
        <scheme val="minor"/>
      </rPr>
      <t>n</t>
    </r>
    <r>
      <rPr>
        <sz val="8"/>
        <color rgb="FF433B48"/>
        <rFont val="Calibri"/>
        <family val="2"/>
        <scheme val="minor"/>
      </rPr>
      <t>odel</t>
    </r>
    <r>
      <rPr>
        <sz val="8"/>
        <color rgb="FF564A58"/>
        <rFont val="Calibri"/>
        <family val="2"/>
        <scheme val="minor"/>
      </rPr>
      <t>(</t>
    </r>
    <r>
      <rPr>
        <sz val="8"/>
        <color rgb="FF2F2631"/>
        <rFont val="Calibri"/>
        <family val="2"/>
        <scheme val="minor"/>
      </rPr>
      <t>Moonwhispe</t>
    </r>
    <r>
      <rPr>
        <sz val="8"/>
        <color rgb="FF121015"/>
        <rFont val="Calibri"/>
        <family val="2"/>
        <scheme val="minor"/>
      </rPr>
      <t>r</t>
    </r>
    <r>
      <rPr>
        <sz val="8"/>
        <color rgb="FF564A58"/>
        <rFont val="Calibri"/>
        <family val="2"/>
        <scheme val="minor"/>
      </rPr>
      <t>)</t>
    </r>
  </si>
  <si>
    <t>Cade</t>
  </si>
  <si>
    <r>
      <t>Ca</t>
    </r>
    <r>
      <rPr>
        <sz val="8"/>
        <color rgb="FF131115"/>
        <rFont val="Calibri"/>
        <family val="2"/>
        <scheme val="minor"/>
      </rPr>
      <t>lli</t>
    </r>
    <r>
      <rPr>
        <sz val="8"/>
        <color rgb="FF2F2731"/>
        <rFont val="Calibri"/>
        <family val="2"/>
        <scheme val="minor"/>
      </rPr>
      <t>e</t>
    </r>
  </si>
  <si>
    <r>
      <t>Greenbo</t>
    </r>
    <r>
      <rPr>
        <sz val="8"/>
        <color rgb="FF131115"/>
        <rFont val="Calibri"/>
        <family val="2"/>
        <scheme val="minor"/>
      </rPr>
      <t>tt</t>
    </r>
    <r>
      <rPr>
        <sz val="8"/>
        <color rgb="FF2F2731"/>
        <rFont val="Calibri"/>
        <family val="2"/>
        <scheme val="minor"/>
      </rPr>
      <t>le</t>
    </r>
  </si>
  <si>
    <t>Haseid</t>
  </si>
  <si>
    <t>Hama</t>
  </si>
  <si>
    <t>Jassan</t>
  </si>
  <si>
    <t>Evendur</t>
  </si>
  <si>
    <t>Jhessail</t>
  </si>
  <si>
    <t>Dundragon</t>
  </si>
  <si>
    <t>Glar</t>
  </si>
  <si>
    <t>Katernin</t>
  </si>
  <si>
    <t>Dotsk</t>
  </si>
  <si>
    <t>Bran</t>
  </si>
  <si>
    <t>Cefrey</t>
  </si>
  <si>
    <t>Hornraven</t>
  </si>
  <si>
    <t>Ehput-Ki</t>
  </si>
  <si>
    <t>Nephis</t>
  </si>
  <si>
    <t>Fezim</t>
  </si>
  <si>
    <t>Jandar</t>
  </si>
  <si>
    <t>Immith</t>
  </si>
  <si>
    <t>Iltazyara</t>
  </si>
  <si>
    <t>Chi</t>
  </si>
  <si>
    <t>Jia</t>
  </si>
  <si>
    <t>Kao</t>
  </si>
  <si>
    <t>Marcon</t>
  </si>
  <si>
    <t>Faila</t>
  </si>
  <si>
    <t>Calabra</t>
  </si>
  <si>
    <t>Baragh</t>
  </si>
  <si>
    <t>Alaunirra</t>
  </si>
  <si>
    <t>Abbylan</t>
  </si>
  <si>
    <t>Bharash</t>
  </si>
  <si>
    <t>Daar</t>
  </si>
  <si>
    <t>Delmirev</t>
  </si>
  <si>
    <t>Boddynock</t>
  </si>
  <si>
    <t>Caramip</t>
  </si>
  <si>
    <t>Folkor</t>
  </si>
  <si>
    <t>Badger</t>
  </si>
  <si>
    <t>Henk</t>
  </si>
  <si>
    <t>Engong</t>
  </si>
  <si>
    <t>Barakas</t>
  </si>
  <si>
    <t>Bryseis</t>
  </si>
  <si>
    <t>Chant</t>
  </si>
  <si>
    <r>
      <t>Bare</t>
    </r>
    <r>
      <rPr>
        <sz val="8"/>
        <color rgb="FF141216"/>
        <rFont val="Calibri"/>
        <family val="2"/>
        <scheme val="minor"/>
      </rPr>
      <t>n</t>
    </r>
    <r>
      <rPr>
        <sz val="8"/>
        <color rgb="FF2D2530"/>
        <rFont val="Calibri"/>
        <family val="2"/>
        <scheme val="minor"/>
      </rPr>
      <t>dd</t>
    </r>
  </si>
  <si>
    <r>
      <t>Bardr</t>
    </r>
    <r>
      <rPr>
        <sz val="8"/>
        <color rgb="FF443B4D"/>
        <rFont val="Calibri"/>
        <family val="2"/>
        <scheme val="minor"/>
      </rPr>
      <t>y</t>
    </r>
    <r>
      <rPr>
        <sz val="8"/>
        <color rgb="FF2D2530"/>
        <rFont val="Calibri"/>
        <family val="2"/>
        <scheme val="minor"/>
      </rPr>
      <t>n</t>
    </r>
  </si>
  <si>
    <r>
      <t>Da</t>
    </r>
    <r>
      <rPr>
        <sz val="8"/>
        <color rgb="FF141216"/>
        <rFont val="Calibri"/>
        <family val="2"/>
        <scheme val="minor"/>
      </rPr>
      <t>n</t>
    </r>
    <r>
      <rPr>
        <sz val="8"/>
        <color rgb="FF2D2530"/>
        <rFont val="Calibri"/>
        <family val="2"/>
        <scheme val="minor"/>
      </rPr>
      <t>k</t>
    </r>
    <r>
      <rPr>
        <sz val="8"/>
        <color rgb="FF141216"/>
        <rFont val="Calibri"/>
        <family val="2"/>
        <scheme val="minor"/>
      </rPr>
      <t>il</t>
    </r>
  </si>
  <si>
    <r>
      <t>Aran</t>
    </r>
    <r>
      <rPr>
        <sz val="8"/>
        <color rgb="FF121013"/>
        <rFont val="Calibri"/>
        <family val="2"/>
        <scheme val="minor"/>
      </rPr>
      <t>ni</t>
    </r>
    <r>
      <rPr>
        <sz val="8"/>
        <color rgb="FF453C4D"/>
        <rFont val="Calibri"/>
        <family val="2"/>
        <scheme val="minor"/>
      </rPr>
      <t>s</t>
    </r>
  </si>
  <si>
    <r>
      <t>A</t>
    </r>
    <r>
      <rPr>
        <sz val="8"/>
        <color rgb="FF121013"/>
        <rFont val="Calibri"/>
        <family val="2"/>
        <scheme val="minor"/>
      </rPr>
      <t>n</t>
    </r>
    <r>
      <rPr>
        <sz val="8"/>
        <color rgb="FF2E2630"/>
        <rFont val="Calibri"/>
        <family val="2"/>
        <scheme val="minor"/>
      </rPr>
      <t>dra</t>
    </r>
    <r>
      <rPr>
        <sz val="8"/>
        <color rgb="FF453C4D"/>
        <rFont val="Calibri"/>
        <family val="2"/>
        <scheme val="minor"/>
      </rPr>
      <t>s</t>
    </r>
    <r>
      <rPr>
        <sz val="8"/>
        <color rgb="FF121013"/>
        <rFont val="Calibri"/>
        <family val="2"/>
        <scheme val="minor"/>
      </rPr>
      <t>t</t>
    </r>
    <r>
      <rPr>
        <sz val="8"/>
        <color rgb="FF2E2630"/>
        <rFont val="Calibri"/>
        <family val="2"/>
        <scheme val="minor"/>
      </rPr>
      <t>e</t>
    </r>
  </si>
  <si>
    <r>
      <t>H</t>
    </r>
    <r>
      <rPr>
        <sz val="8"/>
        <color rgb="FF433B48"/>
        <rFont val="Calibri"/>
        <family val="2"/>
        <scheme val="minor"/>
      </rPr>
      <t>oli</t>
    </r>
    <r>
      <rPr>
        <sz val="8"/>
        <color rgb="FF121015"/>
        <rFont val="Calibri"/>
        <family val="2"/>
        <scheme val="minor"/>
      </rPr>
      <t>mi</t>
    </r>
    <r>
      <rPr>
        <sz val="8"/>
        <color rgb="FF433B48"/>
        <rFont val="Calibri"/>
        <family val="2"/>
        <scheme val="minor"/>
      </rPr>
      <t>o</t>
    </r>
    <r>
      <rPr>
        <sz val="8"/>
        <color rgb="FF121015"/>
        <rFont val="Calibri"/>
        <family val="2"/>
        <scheme val="minor"/>
      </rPr>
      <t>n</t>
    </r>
    <r>
      <rPr>
        <sz val="8"/>
        <color rgb="FF2F2631"/>
        <rFont val="Calibri"/>
        <family val="2"/>
        <scheme val="minor"/>
      </rPr>
      <t>(</t>
    </r>
    <r>
      <rPr>
        <sz val="8"/>
        <color rgb="FF121015"/>
        <rFont val="Calibri"/>
        <family val="2"/>
        <scheme val="minor"/>
      </rPr>
      <t>D</t>
    </r>
    <r>
      <rPr>
        <sz val="8"/>
        <color rgb="FF2F2631"/>
        <rFont val="Calibri"/>
        <family val="2"/>
        <scheme val="minor"/>
      </rPr>
      <t>ia</t>
    </r>
    <r>
      <rPr>
        <sz val="8"/>
        <color rgb="FF121015"/>
        <rFont val="Calibri"/>
        <family val="2"/>
        <scheme val="minor"/>
      </rPr>
      <t>m</t>
    </r>
    <r>
      <rPr>
        <sz val="8"/>
        <color rgb="FF433B48"/>
        <rFont val="Calibri"/>
        <family val="2"/>
        <scheme val="minor"/>
      </rPr>
      <t>o</t>
    </r>
    <r>
      <rPr>
        <sz val="8"/>
        <color rgb="FF121015"/>
        <rFont val="Calibri"/>
        <family val="2"/>
        <scheme val="minor"/>
      </rPr>
      <t>n</t>
    </r>
    <r>
      <rPr>
        <sz val="8"/>
        <color rgb="FF2F2631"/>
        <rFont val="Calibri"/>
        <family val="2"/>
        <scheme val="minor"/>
      </rPr>
      <t>ddew</t>
    </r>
    <r>
      <rPr>
        <sz val="8"/>
        <color rgb="FF564A58"/>
        <rFont val="Calibri"/>
        <family val="2"/>
        <scheme val="minor"/>
      </rPr>
      <t>)</t>
    </r>
  </si>
  <si>
    <t>Corrin</t>
  </si>
  <si>
    <r>
      <t>C</t>
    </r>
    <r>
      <rPr>
        <sz val="8"/>
        <color rgb="FF463C4D"/>
        <rFont val="Calibri"/>
        <family val="2"/>
        <scheme val="minor"/>
      </rPr>
      <t>o</t>
    </r>
    <r>
      <rPr>
        <sz val="8"/>
        <color rgb="FF131115"/>
        <rFont val="Calibri"/>
        <family val="2"/>
        <scheme val="minor"/>
      </rPr>
      <t>r</t>
    </r>
    <r>
      <rPr>
        <sz val="8"/>
        <color rgb="FF2F2731"/>
        <rFont val="Calibri"/>
        <family val="2"/>
        <scheme val="minor"/>
      </rPr>
      <t>a</t>
    </r>
  </si>
  <si>
    <r>
      <t>H</t>
    </r>
    <r>
      <rPr>
        <sz val="8"/>
        <color rgb="FF2F2731"/>
        <rFont val="Calibri"/>
        <family val="2"/>
        <scheme val="minor"/>
      </rPr>
      <t>i</t>
    </r>
    <r>
      <rPr>
        <sz val="8"/>
        <color rgb="FF463C4D"/>
        <rFont val="Calibri"/>
        <family val="2"/>
        <scheme val="minor"/>
      </rPr>
      <t>g</t>
    </r>
    <r>
      <rPr>
        <sz val="8"/>
        <color rgb="FF2F2731"/>
        <rFont val="Calibri"/>
        <family val="2"/>
        <scheme val="minor"/>
      </rPr>
      <t>h</t>
    </r>
    <r>
      <rPr>
        <sz val="8"/>
        <color rgb="FF131115"/>
        <rFont val="Calibri"/>
        <family val="2"/>
        <scheme val="minor"/>
      </rPr>
      <t>-h</t>
    </r>
    <r>
      <rPr>
        <sz val="8"/>
        <color rgb="FF2F2731"/>
        <rFont val="Calibri"/>
        <family val="2"/>
        <scheme val="minor"/>
      </rPr>
      <t>ill</t>
    </r>
  </si>
  <si>
    <t>Khemed</t>
  </si>
  <si>
    <t>Jasmal</t>
  </si>
  <si>
    <t>Khalid</t>
  </si>
  <si>
    <t>Gorstag</t>
  </si>
  <si>
    <t>Kerri</t>
  </si>
  <si>
    <t>Evenwood</t>
  </si>
  <si>
    <t>Grigor</t>
  </si>
  <si>
    <t>Mara</t>
  </si>
  <si>
    <t>Kulenov</t>
  </si>
  <si>
    <t>Frath</t>
  </si>
  <si>
    <t>Kethra</t>
  </si>
  <si>
    <t>Lackman</t>
  </si>
  <si>
    <t>Kethoth</t>
  </si>
  <si>
    <t>Nulara</t>
  </si>
  <si>
    <t>Hahpet</t>
  </si>
  <si>
    <t>Kanithar</t>
  </si>
  <si>
    <t>Imzel</t>
  </si>
  <si>
    <t>Murnyethara</t>
  </si>
  <si>
    <t>Fai</t>
  </si>
  <si>
    <t>Lei</t>
  </si>
  <si>
    <t>Kung</t>
  </si>
  <si>
    <t>Pieron</t>
  </si>
  <si>
    <t>Jalana</t>
  </si>
  <si>
    <t>Domine</t>
  </si>
  <si>
    <t>Belaern</t>
  </si>
  <si>
    <t>Alystin</t>
  </si>
  <si>
    <t>Argith</t>
  </si>
  <si>
    <t>Donaar</t>
  </si>
  <si>
    <t>Farideh</t>
  </si>
  <si>
    <t>Drachedandion</t>
  </si>
  <si>
    <t>Brocc</t>
  </si>
  <si>
    <t>Carlin</t>
  </si>
  <si>
    <t>Garrick</t>
  </si>
  <si>
    <t>Cloak</t>
  </si>
  <si>
    <t>Holg</t>
  </si>
  <si>
    <t>Kansif</t>
  </si>
  <si>
    <t>Damakos</t>
  </si>
  <si>
    <t>Criella</t>
  </si>
  <si>
    <t>Creed</t>
  </si>
  <si>
    <r>
      <t>B</t>
    </r>
    <r>
      <rPr>
        <sz val="8"/>
        <color rgb="FF141216"/>
        <rFont val="Calibri"/>
        <family val="2"/>
        <scheme val="minor"/>
      </rPr>
      <t>r</t>
    </r>
    <r>
      <rPr>
        <sz val="8"/>
        <color rgb="FF2D2530"/>
        <rFont val="Calibri"/>
        <family val="2"/>
        <scheme val="minor"/>
      </rPr>
      <t>o</t>
    </r>
    <r>
      <rPr>
        <sz val="8"/>
        <color rgb="FF141216"/>
        <rFont val="Calibri"/>
        <family val="2"/>
        <scheme val="minor"/>
      </rPr>
      <t>u</t>
    </r>
    <r>
      <rPr>
        <sz val="8"/>
        <color rgb="FF2D2530"/>
        <rFont val="Calibri"/>
        <family val="2"/>
        <scheme val="minor"/>
      </rPr>
      <t>or</t>
    </r>
  </si>
  <si>
    <r>
      <t>Da</t>
    </r>
    <r>
      <rPr>
        <sz val="8"/>
        <color rgb="FF443B4D"/>
        <rFont val="Calibri"/>
        <family val="2"/>
        <scheme val="minor"/>
      </rPr>
      <t>g</t>
    </r>
    <r>
      <rPr>
        <sz val="8"/>
        <color rgb="FF2D2530"/>
        <rFont val="Calibri"/>
        <family val="2"/>
        <scheme val="minor"/>
      </rPr>
      <t>nal</t>
    </r>
  </si>
  <si>
    <r>
      <t>F</t>
    </r>
    <r>
      <rPr>
        <sz val="8"/>
        <color rgb="FF2D2530"/>
        <rFont val="Calibri"/>
        <family val="2"/>
        <scheme val="minor"/>
      </rPr>
      <t>iref</t>
    </r>
    <r>
      <rPr>
        <sz val="8"/>
        <color rgb="FF443B4D"/>
        <rFont val="Calibri"/>
        <family val="2"/>
        <scheme val="minor"/>
      </rPr>
      <t>o</t>
    </r>
    <r>
      <rPr>
        <sz val="8"/>
        <color rgb="FF2D2530"/>
        <rFont val="Calibri"/>
        <family val="2"/>
        <scheme val="minor"/>
      </rPr>
      <t>rge</t>
    </r>
  </si>
  <si>
    <r>
      <t>Au</t>
    </r>
    <r>
      <rPr>
        <sz val="8"/>
        <color rgb="FF453C4D"/>
        <rFont val="Calibri"/>
        <family val="2"/>
        <scheme val="minor"/>
      </rPr>
      <t>s</t>
    </r>
    <r>
      <rPr>
        <sz val="8"/>
        <color rgb="FF121013"/>
        <rFont val="Calibri"/>
        <family val="2"/>
        <scheme val="minor"/>
      </rPr>
      <t>t</t>
    </r>
  </si>
  <si>
    <r>
      <t>A</t>
    </r>
    <r>
      <rPr>
        <sz val="8"/>
        <color rgb="FF121013"/>
        <rFont val="Calibri"/>
        <family val="2"/>
        <scheme val="minor"/>
      </rPr>
      <t>ntin</t>
    </r>
    <r>
      <rPr>
        <sz val="8"/>
        <color rgb="FF2E2630"/>
        <rFont val="Calibri"/>
        <family val="2"/>
        <scheme val="minor"/>
      </rPr>
      <t>ua</t>
    </r>
  </si>
  <si>
    <r>
      <t>Ilphel</t>
    </r>
    <r>
      <rPr>
        <sz val="8"/>
        <color rgb="FF121015"/>
        <rFont val="Calibri"/>
        <family val="2"/>
        <scheme val="minor"/>
      </rPr>
      <t>k</t>
    </r>
    <r>
      <rPr>
        <sz val="8"/>
        <color rgb="FF2F2631"/>
        <rFont val="Calibri"/>
        <family val="2"/>
        <scheme val="minor"/>
      </rPr>
      <t>iir</t>
    </r>
    <r>
      <rPr>
        <sz val="8"/>
        <color rgb="FF433B48"/>
        <rFont val="Calibri"/>
        <family val="2"/>
        <scheme val="minor"/>
      </rPr>
      <t>(Gem</t>
    </r>
    <r>
      <rPr>
        <sz val="8"/>
        <color rgb="FF2F2631"/>
        <rFont val="Calibri"/>
        <family val="2"/>
        <scheme val="minor"/>
      </rPr>
      <t>b</t>
    </r>
    <r>
      <rPr>
        <sz val="8"/>
        <color rgb="FF121015"/>
        <rFont val="Calibri"/>
        <family val="2"/>
        <scheme val="minor"/>
      </rPr>
      <t>l</t>
    </r>
    <r>
      <rPr>
        <sz val="8"/>
        <color rgb="FF433B48"/>
        <rFont val="Calibri"/>
        <family val="2"/>
        <scheme val="minor"/>
      </rPr>
      <t>ossom)</t>
    </r>
  </si>
  <si>
    <r>
      <t>E</t>
    </r>
    <r>
      <rPr>
        <sz val="8"/>
        <color rgb="FF2F2731"/>
        <rFont val="Calibri"/>
        <family val="2"/>
        <scheme val="minor"/>
      </rPr>
      <t>ldon</t>
    </r>
  </si>
  <si>
    <r>
      <t>E</t>
    </r>
    <r>
      <rPr>
        <sz val="8"/>
        <color rgb="FF131115"/>
        <rFont val="Calibri"/>
        <family val="2"/>
        <scheme val="minor"/>
      </rPr>
      <t>u</t>
    </r>
    <r>
      <rPr>
        <sz val="8"/>
        <color rgb="FF2F2731"/>
        <rFont val="Calibri"/>
        <family val="2"/>
        <scheme val="minor"/>
      </rPr>
      <t>p</t>
    </r>
    <r>
      <rPr>
        <sz val="8"/>
        <color rgb="FF131115"/>
        <rFont val="Calibri"/>
        <family val="2"/>
        <scheme val="minor"/>
      </rPr>
      <t>h</t>
    </r>
    <r>
      <rPr>
        <sz val="8"/>
        <color rgb="FF2F2731"/>
        <rFont val="Calibri"/>
        <family val="2"/>
        <scheme val="minor"/>
      </rPr>
      <t>emia</t>
    </r>
  </si>
  <si>
    <r>
      <t>H</t>
    </r>
    <r>
      <rPr>
        <sz val="8"/>
        <color rgb="FF2F2731"/>
        <rFont val="Calibri"/>
        <family val="2"/>
        <scheme val="minor"/>
      </rPr>
      <t>illtop</t>
    </r>
    <r>
      <rPr>
        <sz val="8"/>
        <color rgb="FF131115"/>
        <rFont val="Calibri"/>
        <family val="2"/>
        <scheme val="minor"/>
      </rPr>
      <t>pl</t>
    </r>
    <r>
      <rPr>
        <sz val="8"/>
        <color rgb="FF2F2731"/>
        <rFont val="Calibri"/>
        <family val="2"/>
        <scheme val="minor"/>
      </rPr>
      <t>e</t>
    </r>
  </si>
  <si>
    <t>Mehmen</t>
  </si>
  <si>
    <t>Melil</t>
  </si>
  <si>
    <t>Mostana</t>
  </si>
  <si>
    <t>Grim</t>
  </si>
  <si>
    <t>Lureene</t>
  </si>
  <si>
    <t>Greycastle</t>
  </si>
  <si>
    <t>Igan</t>
  </si>
  <si>
    <t>Natali</t>
  </si>
  <si>
    <t>Marsk</t>
  </si>
  <si>
    <t>Geth</t>
  </si>
  <si>
    <t>Stormwind</t>
  </si>
  <si>
    <t>Mumed</t>
  </si>
  <si>
    <t>Murithi</t>
  </si>
  <si>
    <t>Nathandem</t>
  </si>
  <si>
    <t>Madislak</t>
  </si>
  <si>
    <t>navarra</t>
  </si>
  <si>
    <t>Stayanoga</t>
  </si>
  <si>
    <t>Jiant</t>
  </si>
  <si>
    <t>Mei</t>
  </si>
  <si>
    <t>Lao</t>
  </si>
  <si>
    <t>Rimardo</t>
  </si>
  <si>
    <t>Luisa</t>
  </si>
  <si>
    <t>Falvone</t>
  </si>
  <si>
    <t>Belgos</t>
  </si>
  <si>
    <t>Amalica</t>
  </si>
  <si>
    <t>Baenre</t>
  </si>
  <si>
    <t>Ghesh</t>
  </si>
  <si>
    <t>Harann</t>
  </si>
  <si>
    <t>Fenkenkabradon</t>
  </si>
  <si>
    <t>Burgell</t>
  </si>
  <si>
    <t>Donella</t>
  </si>
  <si>
    <t>Nackle</t>
  </si>
  <si>
    <t>Doublelock</t>
  </si>
  <si>
    <t>Imsh</t>
  </si>
  <si>
    <t>Myev</t>
  </si>
  <si>
    <t>Ekemon</t>
  </si>
  <si>
    <t>Damaia</t>
  </si>
  <si>
    <t>Despair</t>
  </si>
  <si>
    <r>
      <t>B</t>
    </r>
    <r>
      <rPr>
        <sz val="8"/>
        <color rgb="FF141216"/>
        <rFont val="Calibri"/>
        <family val="2"/>
        <scheme val="minor"/>
      </rPr>
      <t>r</t>
    </r>
    <r>
      <rPr>
        <sz val="8"/>
        <color rgb="FF2D2530"/>
        <rFont val="Calibri"/>
        <family val="2"/>
        <scheme val="minor"/>
      </rPr>
      <t>ue</t>
    </r>
    <r>
      <rPr>
        <sz val="8"/>
        <color rgb="FF141216"/>
        <rFont val="Calibri"/>
        <family val="2"/>
        <scheme val="minor"/>
      </rPr>
      <t>n</t>
    </r>
    <r>
      <rPr>
        <sz val="8"/>
        <color rgb="FF443B4D"/>
        <rFont val="Calibri"/>
        <family val="2"/>
        <scheme val="minor"/>
      </rPr>
      <t>o</t>
    </r>
    <r>
      <rPr>
        <sz val="8"/>
        <color rgb="FF141216"/>
        <rFont val="Calibri"/>
        <family val="2"/>
        <scheme val="minor"/>
      </rPr>
      <t>r</t>
    </r>
  </si>
  <si>
    <r>
      <t>D</t>
    </r>
    <r>
      <rPr>
        <sz val="8"/>
        <color rgb="FF2D2530"/>
        <rFont val="Calibri"/>
        <family val="2"/>
        <scheme val="minor"/>
      </rPr>
      <t>ie</t>
    </r>
    <r>
      <rPr>
        <sz val="8"/>
        <color rgb="FF5E4D57"/>
        <rFont val="Calibri"/>
        <family val="2"/>
        <scheme val="minor"/>
      </rPr>
      <t>s</t>
    </r>
    <r>
      <rPr>
        <sz val="8"/>
        <color rgb="FF2D2530"/>
        <rFont val="Calibri"/>
        <family val="2"/>
        <scheme val="minor"/>
      </rPr>
      <t>a</t>
    </r>
  </si>
  <si>
    <r>
      <t>Fro</t>
    </r>
    <r>
      <rPr>
        <sz val="8"/>
        <color rgb="FF443B4D"/>
        <rFont val="Calibri"/>
        <family val="2"/>
        <scheme val="minor"/>
      </rPr>
      <t>s</t>
    </r>
    <r>
      <rPr>
        <sz val="8"/>
        <color rgb="FF2D2530"/>
        <rFont val="Calibri"/>
        <family val="2"/>
        <scheme val="minor"/>
      </rPr>
      <t>tbeard</t>
    </r>
  </si>
  <si>
    <r>
      <t>B</t>
    </r>
    <r>
      <rPr>
        <sz val="8"/>
        <color rgb="FF2E2630"/>
        <rFont val="Calibri"/>
        <family val="2"/>
        <scheme val="minor"/>
      </rPr>
      <t>eiro</t>
    </r>
  </si>
  <si>
    <r>
      <t>B</t>
    </r>
    <r>
      <rPr>
        <sz val="8"/>
        <color rgb="FF453C4D"/>
        <rFont val="Calibri"/>
        <family val="2"/>
        <scheme val="minor"/>
      </rPr>
      <t>e</t>
    </r>
    <r>
      <rPr>
        <sz val="8"/>
        <color rgb="FF121013"/>
        <rFont val="Calibri"/>
        <family val="2"/>
        <scheme val="minor"/>
      </rPr>
      <t>t</t>
    </r>
    <r>
      <rPr>
        <sz val="8"/>
        <color rgb="FF2E2630"/>
        <rFont val="Calibri"/>
        <family val="2"/>
        <scheme val="minor"/>
      </rPr>
      <t>h</t>
    </r>
    <r>
      <rPr>
        <sz val="8"/>
        <color rgb="FF121013"/>
        <rFont val="Calibri"/>
        <family val="2"/>
        <scheme val="minor"/>
      </rPr>
      <t>r</t>
    </r>
    <r>
      <rPr>
        <sz val="8"/>
        <color rgb="FF2E2630"/>
        <rFont val="Calibri"/>
        <family val="2"/>
        <scheme val="minor"/>
      </rPr>
      <t>y</t>
    </r>
    <r>
      <rPr>
        <sz val="8"/>
        <color rgb="FF121013"/>
        <rFont val="Calibri"/>
        <family val="2"/>
        <scheme val="minor"/>
      </rPr>
      <t>n</t>
    </r>
    <r>
      <rPr>
        <sz val="8"/>
        <color rgb="FF2E2630"/>
        <rFont val="Calibri"/>
        <family val="2"/>
        <scheme val="minor"/>
      </rPr>
      <t>na</t>
    </r>
  </si>
  <si>
    <r>
      <t>Li</t>
    </r>
    <r>
      <rPr>
        <sz val="8"/>
        <color rgb="FF2F2631"/>
        <rFont val="Calibri"/>
        <family val="2"/>
        <scheme val="minor"/>
      </rPr>
      <t>adon(S</t>
    </r>
    <r>
      <rPr>
        <sz val="8"/>
        <color rgb="FF121015"/>
        <rFont val="Calibri"/>
        <family val="2"/>
        <scheme val="minor"/>
      </rPr>
      <t>il</t>
    </r>
    <r>
      <rPr>
        <sz val="8"/>
        <color rgb="FF433B48"/>
        <rFont val="Calibri"/>
        <family val="2"/>
        <scheme val="minor"/>
      </rPr>
      <t>ve</t>
    </r>
    <r>
      <rPr>
        <sz val="8"/>
        <color rgb="FF121015"/>
        <rFont val="Calibri"/>
        <family val="2"/>
        <scheme val="minor"/>
      </rPr>
      <t>rf</t>
    </r>
    <r>
      <rPr>
        <sz val="8"/>
        <color rgb="FF2F2631"/>
        <rFont val="Calibri"/>
        <family val="2"/>
        <scheme val="minor"/>
      </rPr>
      <t>rond)</t>
    </r>
  </si>
  <si>
    <r>
      <t>E</t>
    </r>
    <r>
      <rPr>
        <sz val="8"/>
        <color rgb="FF2F2731"/>
        <rFont val="Calibri"/>
        <family val="2"/>
        <scheme val="minor"/>
      </rPr>
      <t>rr</t>
    </r>
    <r>
      <rPr>
        <sz val="8"/>
        <color rgb="FF463C4D"/>
        <rFont val="Calibri"/>
        <family val="2"/>
        <scheme val="minor"/>
      </rPr>
      <t>ic</t>
    </r>
    <r>
      <rPr>
        <sz val="8"/>
        <color rgb="FF2F2731"/>
        <rFont val="Calibri"/>
        <family val="2"/>
        <scheme val="minor"/>
      </rPr>
      <t>h,</t>
    </r>
  </si>
  <si>
    <r>
      <t>Jilli</t>
    </r>
    <r>
      <rPr>
        <sz val="8"/>
        <color rgb="FF2F2731"/>
        <rFont val="Calibri"/>
        <family val="2"/>
        <scheme val="minor"/>
      </rPr>
      <t>a</t>
    </r>
    <r>
      <rPr>
        <sz val="8"/>
        <color rgb="FF131115"/>
        <rFont val="Calibri"/>
        <family val="2"/>
        <scheme val="minor"/>
      </rPr>
      <t>n</t>
    </r>
  </si>
  <si>
    <r>
      <t>L</t>
    </r>
    <r>
      <rPr>
        <sz val="8"/>
        <color rgb="FF2F2731"/>
        <rFont val="Calibri"/>
        <family val="2"/>
        <scheme val="minor"/>
      </rPr>
      <t>ea</t>
    </r>
    <r>
      <rPr>
        <sz val="8"/>
        <color rgb="FF463C4D"/>
        <rFont val="Calibri"/>
        <family val="2"/>
        <scheme val="minor"/>
      </rPr>
      <t>g</t>
    </r>
    <r>
      <rPr>
        <sz val="8"/>
        <color rgb="FF2F2731"/>
        <rFont val="Calibri"/>
        <family val="2"/>
        <scheme val="minor"/>
      </rPr>
      <t>a</t>
    </r>
    <r>
      <rPr>
        <sz val="8"/>
        <color rgb="FF131115"/>
        <rFont val="Calibri"/>
        <family val="2"/>
        <scheme val="minor"/>
      </rPr>
      <t>ll</t>
    </r>
    <r>
      <rPr>
        <sz val="8"/>
        <color rgb="FF463C4D"/>
        <rFont val="Calibri"/>
        <family val="2"/>
        <scheme val="minor"/>
      </rPr>
      <t>o</t>
    </r>
    <r>
      <rPr>
        <sz val="8"/>
        <color rgb="FF2F2731"/>
        <rFont val="Calibri"/>
        <family val="2"/>
        <scheme val="minor"/>
      </rPr>
      <t>w</t>
    </r>
  </si>
  <si>
    <t>Sudeiman</t>
  </si>
  <si>
    <t>Seipora</t>
  </si>
  <si>
    <t>Pashar</t>
  </si>
  <si>
    <t>Helm</t>
  </si>
  <si>
    <t>Mire</t>
  </si>
  <si>
    <t>Tallstag</t>
  </si>
  <si>
    <t>Ivor</t>
  </si>
  <si>
    <t>Olma</t>
  </si>
  <si>
    <t>Nemetsk</t>
  </si>
  <si>
    <t>Lander</t>
  </si>
  <si>
    <t>Olga</t>
  </si>
  <si>
    <t>Windriver</t>
  </si>
  <si>
    <t>Ramas</t>
  </si>
  <si>
    <t>Sefris</t>
  </si>
  <si>
    <t>Sepret</t>
  </si>
  <si>
    <t>Ralmevik</t>
  </si>
  <si>
    <t>Shevarra</t>
  </si>
  <si>
    <t>Ulmokina</t>
  </si>
  <si>
    <t>Jun</t>
  </si>
  <si>
    <t>Qiao</t>
  </si>
  <si>
    <t>Ling</t>
  </si>
  <si>
    <t>Romero</t>
  </si>
  <si>
    <t>Marta</t>
  </si>
  <si>
    <t>Marivaldi</t>
  </si>
  <si>
    <t>Bemril</t>
  </si>
  <si>
    <t>Angaste</t>
  </si>
  <si>
    <t>Beltaulur</t>
  </si>
  <si>
    <t>Heskan</t>
  </si>
  <si>
    <t>Havilar</t>
  </si>
  <si>
    <t>Kepeshkmolik</t>
  </si>
  <si>
    <t>Dimble</t>
  </si>
  <si>
    <t>Duvamil</t>
  </si>
  <si>
    <t>Murnig</t>
  </si>
  <si>
    <t>Filchbatter</t>
  </si>
  <si>
    <t>Keth</t>
  </si>
  <si>
    <t>Neega</t>
  </si>
  <si>
    <t>Iados</t>
  </si>
  <si>
    <t>Ea</t>
  </si>
  <si>
    <t>Excellence</t>
  </si>
  <si>
    <r>
      <t>D</t>
    </r>
    <r>
      <rPr>
        <sz val="8"/>
        <color rgb="FF2D2530"/>
        <rFont val="Calibri"/>
        <family val="2"/>
        <scheme val="minor"/>
      </rPr>
      <t>ain</t>
    </r>
  </si>
  <si>
    <r>
      <t>E</t>
    </r>
    <r>
      <rPr>
        <sz val="8"/>
        <color rgb="FF141216"/>
        <rFont val="Calibri"/>
        <family val="2"/>
        <scheme val="minor"/>
      </rPr>
      <t>l</t>
    </r>
    <r>
      <rPr>
        <sz val="8"/>
        <color rgb="FF2D2530"/>
        <rFont val="Calibri"/>
        <family val="2"/>
        <scheme val="minor"/>
      </rPr>
      <t>de</t>
    </r>
    <r>
      <rPr>
        <sz val="8"/>
        <color rgb="FF141216"/>
        <rFont val="Calibri"/>
        <family val="2"/>
        <scheme val="minor"/>
      </rPr>
      <t>th</t>
    </r>
  </si>
  <si>
    <r>
      <t>Goru</t>
    </r>
    <r>
      <rPr>
        <sz val="8"/>
        <color rgb="FF141216"/>
        <rFont val="Calibri"/>
        <family val="2"/>
        <scheme val="minor"/>
      </rPr>
      <t>n</t>
    </r>
    <r>
      <rPr>
        <sz val="8"/>
        <color rgb="FF2D2530"/>
        <rFont val="Calibri"/>
        <family val="2"/>
        <scheme val="minor"/>
      </rPr>
      <t>n</t>
    </r>
  </si>
  <si>
    <r>
      <t>B</t>
    </r>
    <r>
      <rPr>
        <sz val="8"/>
        <color rgb="FF2E2630"/>
        <rFont val="Calibri"/>
        <family val="2"/>
        <scheme val="minor"/>
      </rPr>
      <t>errian</t>
    </r>
  </si>
  <si>
    <r>
      <t>Bi</t>
    </r>
    <r>
      <rPr>
        <sz val="8"/>
        <color rgb="FF121013"/>
        <rFont val="Calibri"/>
        <family val="2"/>
        <scheme val="minor"/>
      </rPr>
      <t>r</t>
    </r>
    <r>
      <rPr>
        <sz val="8"/>
        <color rgb="FF2E2630"/>
        <rFont val="Calibri"/>
        <family val="2"/>
        <scheme val="minor"/>
      </rPr>
      <t>el</t>
    </r>
  </si>
  <si>
    <r>
      <t>Meliamne</t>
    </r>
    <r>
      <rPr>
        <sz val="8"/>
        <color rgb="FF564A58"/>
        <rFont val="Calibri"/>
        <family val="2"/>
        <scheme val="minor"/>
      </rPr>
      <t>(</t>
    </r>
    <r>
      <rPr>
        <sz val="8"/>
        <color rgb="FF2F2631"/>
        <rFont val="Calibri"/>
        <family val="2"/>
        <scheme val="minor"/>
      </rPr>
      <t>Oakenheel</t>
    </r>
    <r>
      <rPr>
        <sz val="8"/>
        <color rgb="FF564A58"/>
        <rFont val="Calibri"/>
        <family val="2"/>
        <scheme val="minor"/>
      </rPr>
      <t>)</t>
    </r>
  </si>
  <si>
    <r>
      <t>F</t>
    </r>
    <r>
      <rPr>
        <sz val="8"/>
        <color rgb="FF2F2731"/>
        <rFont val="Calibri"/>
        <family val="2"/>
        <scheme val="minor"/>
      </rPr>
      <t>innan</t>
    </r>
  </si>
  <si>
    <r>
      <t>K</t>
    </r>
    <r>
      <rPr>
        <sz val="8"/>
        <color rgb="FF131115"/>
        <rFont val="Calibri"/>
        <family val="2"/>
        <scheme val="minor"/>
      </rPr>
      <t>i</t>
    </r>
    <r>
      <rPr>
        <sz val="8"/>
        <color rgb="FF2F2731"/>
        <rFont val="Calibri"/>
        <family val="2"/>
        <scheme val="minor"/>
      </rPr>
      <t>th</t>
    </r>
    <r>
      <rPr>
        <sz val="8"/>
        <color rgb="FF131115"/>
        <rFont val="Calibri"/>
        <family val="2"/>
        <scheme val="minor"/>
      </rPr>
      <t>ri</t>
    </r>
  </si>
  <si>
    <t>Tealeaf</t>
  </si>
  <si>
    <t>Zasheir</t>
  </si>
  <si>
    <t>Yashiera</t>
  </si>
  <si>
    <t>Rein</t>
  </si>
  <si>
    <t>Malark</t>
  </si>
  <si>
    <t>Rowan</t>
  </si>
  <si>
    <t>Kosef</t>
  </si>
  <si>
    <t>Tana</t>
  </si>
  <si>
    <t>Shemov</t>
  </si>
  <si>
    <t>Luth</t>
  </si>
  <si>
    <t>Silifrey</t>
  </si>
  <si>
    <t>So-Kehur</t>
  </si>
  <si>
    <t>Thola</t>
  </si>
  <si>
    <t>Uuthrakt</t>
  </si>
  <si>
    <t>Shaumar</t>
  </si>
  <si>
    <t>Tammith</t>
  </si>
  <si>
    <t>Lian</t>
  </si>
  <si>
    <t>Shui</t>
  </si>
  <si>
    <t>Salazar</t>
  </si>
  <si>
    <t>Quara</t>
  </si>
  <si>
    <t>Pisacar</t>
  </si>
  <si>
    <t>Berg'inyon</t>
  </si>
  <si>
    <t>Anluryn</t>
  </si>
  <si>
    <t>Blaerabban</t>
  </si>
  <si>
    <t>Kriv</t>
  </si>
  <si>
    <t>Jheri</t>
  </si>
  <si>
    <t>Kerrhylon</t>
  </si>
  <si>
    <t>Eldon</t>
  </si>
  <si>
    <t>Ella</t>
  </si>
  <si>
    <t>Ningel</t>
  </si>
  <si>
    <t>Fnipper</t>
  </si>
  <si>
    <t>Krusk</t>
  </si>
  <si>
    <t>Ovak</t>
  </si>
  <si>
    <t>Kairon</t>
  </si>
  <si>
    <t>Kallista</t>
  </si>
  <si>
    <t>Fear</t>
  </si>
  <si>
    <r>
      <t>Da</t>
    </r>
    <r>
      <rPr>
        <sz val="8"/>
        <color rgb="FF141216"/>
        <rFont val="Calibri"/>
        <family val="2"/>
        <scheme val="minor"/>
      </rPr>
      <t>r</t>
    </r>
    <r>
      <rPr>
        <sz val="8"/>
        <color rgb="FF2D2530"/>
        <rFont val="Calibri"/>
        <family val="2"/>
        <scheme val="minor"/>
      </rPr>
      <t>rak</t>
    </r>
  </si>
  <si>
    <r>
      <t>Falk</t>
    </r>
    <r>
      <rPr>
        <sz val="8"/>
        <color rgb="FF141216"/>
        <rFont val="Calibri"/>
        <family val="2"/>
        <scheme val="minor"/>
      </rPr>
      <t>ru</t>
    </r>
    <r>
      <rPr>
        <sz val="8"/>
        <color rgb="FF2D2530"/>
        <rFont val="Calibri"/>
        <family val="2"/>
        <scheme val="minor"/>
      </rPr>
      <t>nn</t>
    </r>
  </si>
  <si>
    <r>
      <t>H</t>
    </r>
    <r>
      <rPr>
        <sz val="8"/>
        <color rgb="FF2D2530"/>
        <rFont val="Calibri"/>
        <family val="2"/>
        <scheme val="minor"/>
      </rPr>
      <t>old</t>
    </r>
    <r>
      <rPr>
        <sz val="8"/>
        <color rgb="FF443B4D"/>
        <rFont val="Calibri"/>
        <family val="2"/>
        <scheme val="minor"/>
      </rPr>
      <t>e</t>
    </r>
    <r>
      <rPr>
        <sz val="8"/>
        <color rgb="FF2D2530"/>
        <rFont val="Calibri"/>
        <family val="2"/>
        <scheme val="minor"/>
      </rPr>
      <t>rhek</t>
    </r>
  </si>
  <si>
    <t>Carrie</t>
  </si>
  <si>
    <r>
      <t>Cael</t>
    </r>
    <r>
      <rPr>
        <sz val="8"/>
        <color rgb="FF453C4D"/>
        <rFont val="Calibri"/>
        <family val="2"/>
        <scheme val="minor"/>
      </rPr>
      <t>y</t>
    </r>
    <r>
      <rPr>
        <sz val="8"/>
        <color rgb="FF2E2630"/>
        <rFont val="Calibri"/>
        <family val="2"/>
        <scheme val="minor"/>
      </rPr>
      <t>n</t>
    </r>
    <r>
      <rPr>
        <sz val="8"/>
        <color rgb="FF121013"/>
        <rFont val="Calibri"/>
        <family val="2"/>
        <scheme val="minor"/>
      </rPr>
      <t>n</t>
    </r>
    <r>
      <rPr>
        <sz val="8"/>
        <color rgb="FF453C4D"/>
        <rFont val="Calibri"/>
        <family val="2"/>
        <scheme val="minor"/>
      </rPr>
      <t>,</t>
    </r>
  </si>
  <si>
    <r>
      <t>Natlo</t>
    </r>
    <r>
      <rPr>
        <sz val="8"/>
        <color rgb="FF2F2631"/>
        <rFont val="Calibri"/>
        <family val="2"/>
        <scheme val="minor"/>
      </rPr>
      <t>(Nig</t>
    </r>
    <r>
      <rPr>
        <sz val="8"/>
        <color rgb="FF121015"/>
        <rFont val="Calibri"/>
        <family val="2"/>
        <scheme val="minor"/>
      </rPr>
      <t>ht</t>
    </r>
    <r>
      <rPr>
        <sz val="8"/>
        <color rgb="FF2F2631"/>
        <rFont val="Calibri"/>
        <family val="2"/>
        <scheme val="minor"/>
      </rPr>
      <t>b</t>
    </r>
    <r>
      <rPr>
        <sz val="8"/>
        <color rgb="FF121015"/>
        <rFont val="Calibri"/>
        <family val="2"/>
        <scheme val="minor"/>
      </rPr>
      <t>r</t>
    </r>
    <r>
      <rPr>
        <sz val="8"/>
        <color rgb="FF2F2631"/>
        <rFont val="Calibri"/>
        <family val="2"/>
        <scheme val="minor"/>
      </rPr>
      <t>eeze</t>
    </r>
    <r>
      <rPr>
        <sz val="8"/>
        <color rgb="FF564A58"/>
        <rFont val="Calibri"/>
        <family val="2"/>
        <scheme val="minor"/>
      </rPr>
      <t>)</t>
    </r>
  </si>
  <si>
    <t>Garret</t>
  </si>
  <si>
    <r>
      <t>L</t>
    </r>
    <r>
      <rPr>
        <sz val="8"/>
        <color rgb="FF2F2731"/>
        <rFont val="Calibri"/>
        <family val="2"/>
        <scheme val="minor"/>
      </rPr>
      <t>avinia</t>
    </r>
  </si>
  <si>
    <r>
      <t>T</t>
    </r>
    <r>
      <rPr>
        <sz val="8"/>
        <color rgb="FF2F2731"/>
        <rFont val="Calibri"/>
        <family val="2"/>
        <scheme val="minor"/>
      </rPr>
      <t>hornga</t>
    </r>
    <r>
      <rPr>
        <sz val="8"/>
        <color rgb="FF463C4D"/>
        <rFont val="Calibri"/>
        <family val="2"/>
        <scheme val="minor"/>
      </rPr>
      <t>g</t>
    </r>
    <r>
      <rPr>
        <sz val="8"/>
        <color rgb="FF2F2731"/>
        <rFont val="Calibri"/>
        <family val="2"/>
        <scheme val="minor"/>
      </rPr>
      <t>e</t>
    </r>
  </si>
  <si>
    <t>Zasheida</t>
  </si>
  <si>
    <t>Morn</t>
  </si>
  <si>
    <t>Shandri</t>
  </si>
  <si>
    <t>Mival</t>
  </si>
  <si>
    <t>Zora</t>
  </si>
  <si>
    <t>Starag</t>
  </si>
  <si>
    <t>Malcer</t>
  </si>
  <si>
    <t>Westra</t>
  </si>
  <si>
    <t>Thazar-De</t>
  </si>
  <si>
    <t>Umara</t>
  </si>
  <si>
    <t>Vladislak</t>
  </si>
  <si>
    <t>Yuldra</t>
  </si>
  <si>
    <t>Long</t>
  </si>
  <si>
    <t>Tai</t>
  </si>
  <si>
    <t>Ping</t>
  </si>
  <si>
    <t>Umbero</t>
  </si>
  <si>
    <t>Selise</t>
  </si>
  <si>
    <t>Ramondo</t>
  </si>
  <si>
    <t>Bhintel</t>
  </si>
  <si>
    <t>Ardulace</t>
  </si>
  <si>
    <t>Blundyth</t>
  </si>
  <si>
    <t>Medrash</t>
  </si>
  <si>
    <t>Kava</t>
  </si>
  <si>
    <t>Kimbatuul</t>
  </si>
  <si>
    <t>Erky</t>
  </si>
  <si>
    <t>Ellyjobell</t>
  </si>
  <si>
    <t>Raulnor</t>
  </si>
  <si>
    <t>Ku</t>
  </si>
  <si>
    <t>Mhurren</t>
  </si>
  <si>
    <t>Ownka</t>
  </si>
  <si>
    <t>Leucis</t>
  </si>
  <si>
    <t>Lerissa</t>
  </si>
  <si>
    <t>Glory</t>
  </si>
  <si>
    <r>
      <t>De</t>
    </r>
    <r>
      <rPr>
        <sz val="8"/>
        <color rgb="FF141216"/>
        <rFont val="Calibri"/>
        <family val="2"/>
        <scheme val="minor"/>
      </rPr>
      <t>l</t>
    </r>
    <r>
      <rPr>
        <sz val="8"/>
        <color rgb="FF2D2530"/>
        <rFont val="Calibri"/>
        <family val="2"/>
        <scheme val="minor"/>
      </rPr>
      <t>g</t>
    </r>
  </si>
  <si>
    <r>
      <t>Fi</t>
    </r>
    <r>
      <rPr>
        <sz val="8"/>
        <color rgb="FF2D2530"/>
        <rFont val="Calibri"/>
        <family val="2"/>
        <scheme val="minor"/>
      </rPr>
      <t>ne</t>
    </r>
    <r>
      <rPr>
        <sz val="8"/>
        <color rgb="FF141216"/>
        <rFont val="Calibri"/>
        <family val="2"/>
        <scheme val="minor"/>
      </rPr>
      <t>ll</t>
    </r>
    <r>
      <rPr>
        <sz val="8"/>
        <color rgb="FF2D2530"/>
        <rFont val="Calibri"/>
        <family val="2"/>
        <scheme val="minor"/>
      </rPr>
      <t>en</t>
    </r>
  </si>
  <si>
    <r>
      <t>Ironfi</t>
    </r>
    <r>
      <rPr>
        <sz val="8"/>
        <color rgb="FF443B4D"/>
        <rFont val="Calibri"/>
        <family val="2"/>
        <scheme val="minor"/>
      </rPr>
      <t>s</t>
    </r>
    <r>
      <rPr>
        <sz val="8"/>
        <color rgb="FF141216"/>
        <rFont val="Calibri"/>
        <family val="2"/>
        <scheme val="minor"/>
      </rPr>
      <t>t</t>
    </r>
  </si>
  <si>
    <r>
      <t>E</t>
    </r>
    <r>
      <rPr>
        <sz val="8"/>
        <color rgb="FF121013"/>
        <rFont val="Calibri"/>
        <family val="2"/>
        <scheme val="minor"/>
      </rPr>
      <t>n</t>
    </r>
    <r>
      <rPr>
        <sz val="8"/>
        <color rgb="FF2E2630"/>
        <rFont val="Calibri"/>
        <family val="2"/>
        <scheme val="minor"/>
      </rPr>
      <t>iali</t>
    </r>
    <r>
      <rPr>
        <sz val="8"/>
        <color rgb="FF453C4D"/>
        <rFont val="Calibri"/>
        <family val="2"/>
        <scheme val="minor"/>
      </rPr>
      <t>s</t>
    </r>
  </si>
  <si>
    <r>
      <t>Dru</t>
    </r>
    <r>
      <rPr>
        <sz val="8"/>
        <color rgb="FF453C4D"/>
        <rFont val="Calibri"/>
        <family val="2"/>
        <scheme val="minor"/>
      </rPr>
      <t>s</t>
    </r>
    <r>
      <rPr>
        <sz val="8"/>
        <color rgb="FF2E2630"/>
        <rFont val="Calibri"/>
        <family val="2"/>
        <scheme val="minor"/>
      </rPr>
      <t>ilia</t>
    </r>
  </si>
  <si>
    <r>
      <t>S</t>
    </r>
    <r>
      <rPr>
        <sz val="8"/>
        <color rgb="FF121015"/>
        <rFont val="Calibri"/>
        <family val="2"/>
        <scheme val="minor"/>
      </rPr>
      <t>i</t>
    </r>
    <r>
      <rPr>
        <sz val="8"/>
        <color rgb="FF2F2631"/>
        <rFont val="Calibri"/>
        <family val="2"/>
        <scheme val="minor"/>
      </rPr>
      <t>a</t>
    </r>
    <r>
      <rPr>
        <sz val="8"/>
        <color rgb="FF121015"/>
        <rFont val="Calibri"/>
        <family val="2"/>
        <scheme val="minor"/>
      </rPr>
      <t>nn</t>
    </r>
    <r>
      <rPr>
        <sz val="8"/>
        <color rgb="FF2F2631"/>
        <rFont val="Calibri"/>
        <family val="2"/>
        <scheme val="minor"/>
      </rPr>
      <t>odel</t>
    </r>
    <r>
      <rPr>
        <sz val="8"/>
        <color rgb="FF564A58"/>
        <rFont val="Calibri"/>
        <family val="2"/>
        <scheme val="minor"/>
      </rPr>
      <t>(</t>
    </r>
    <r>
      <rPr>
        <sz val="8"/>
        <color rgb="FF2F2631"/>
        <rFont val="Calibri"/>
        <family val="2"/>
        <scheme val="minor"/>
      </rPr>
      <t>Moonbrook)</t>
    </r>
  </si>
  <si>
    <r>
      <t>Lin</t>
    </r>
    <r>
      <rPr>
        <sz val="8"/>
        <color rgb="FF131115"/>
        <rFont val="Calibri"/>
        <family val="2"/>
        <scheme val="minor"/>
      </rPr>
      <t>d</t>
    </r>
    <r>
      <rPr>
        <sz val="8"/>
        <color rgb="FF2F2731"/>
        <rFont val="Calibri"/>
        <family val="2"/>
        <scheme val="minor"/>
      </rPr>
      <t>al</t>
    </r>
  </si>
  <si>
    <t>Lidda</t>
  </si>
  <si>
    <r>
      <t>T</t>
    </r>
    <r>
      <rPr>
        <sz val="8"/>
        <color rgb="FF2F2731"/>
        <rFont val="Calibri"/>
        <family val="2"/>
        <scheme val="minor"/>
      </rPr>
      <t>o</t>
    </r>
    <r>
      <rPr>
        <sz val="8"/>
        <color rgb="FF463C4D"/>
        <rFont val="Calibri"/>
        <family val="2"/>
        <scheme val="minor"/>
      </rPr>
      <t>ssc</t>
    </r>
    <r>
      <rPr>
        <sz val="8"/>
        <color rgb="FF2F2731"/>
        <rFont val="Calibri"/>
        <family val="2"/>
        <scheme val="minor"/>
      </rPr>
      <t>obble</t>
    </r>
  </si>
  <si>
    <t>Randal</t>
  </si>
  <si>
    <t>Tessele</t>
  </si>
  <si>
    <t>orel</t>
  </si>
  <si>
    <t>Stor</t>
  </si>
  <si>
    <t>Urhur</t>
  </si>
  <si>
    <t>Zolis</t>
  </si>
  <si>
    <t>Men</t>
  </si>
  <si>
    <t>Shin</t>
  </si>
  <si>
    <t>Vonda</t>
  </si>
  <si>
    <t>Brorn</t>
  </si>
  <si>
    <t>Aunrae</t>
  </si>
  <si>
    <t>Chaulssin</t>
  </si>
  <si>
    <t>Mehen</t>
  </si>
  <si>
    <t>Korinn</t>
  </si>
  <si>
    <t>Linxakasendalor</t>
  </si>
  <si>
    <t>Fonkin</t>
  </si>
  <si>
    <t>Ellywick</t>
  </si>
  <si>
    <t>Scheppen</t>
  </si>
  <si>
    <t>Nim</t>
  </si>
  <si>
    <t>Ront</t>
  </si>
  <si>
    <t>Shautha</t>
  </si>
  <si>
    <t>Melech</t>
  </si>
  <si>
    <t>Makaria</t>
  </si>
  <si>
    <t>Hope</t>
  </si>
  <si>
    <r>
      <t>E</t>
    </r>
    <r>
      <rPr>
        <sz val="8"/>
        <color rgb="FF2D2530"/>
        <rFont val="Calibri"/>
        <family val="2"/>
        <scheme val="minor"/>
      </rPr>
      <t>b</t>
    </r>
    <r>
      <rPr>
        <sz val="8"/>
        <color rgb="FF443B4D"/>
        <rFont val="Calibri"/>
        <family val="2"/>
        <scheme val="minor"/>
      </rPr>
      <t>e</t>
    </r>
    <r>
      <rPr>
        <sz val="8"/>
        <color rgb="FF2D2530"/>
        <rFont val="Calibri"/>
        <family val="2"/>
        <scheme val="minor"/>
      </rPr>
      <t>rk</t>
    </r>
  </si>
  <si>
    <r>
      <t>G</t>
    </r>
    <r>
      <rPr>
        <sz val="8"/>
        <color rgb="FF141216"/>
        <rFont val="Calibri"/>
        <family val="2"/>
        <scheme val="minor"/>
      </rPr>
      <t>u</t>
    </r>
    <r>
      <rPr>
        <sz val="8"/>
        <color rgb="FF2D2530"/>
        <rFont val="Calibri"/>
        <family val="2"/>
        <scheme val="minor"/>
      </rPr>
      <t>nnloda</t>
    </r>
  </si>
  <si>
    <r>
      <t>L</t>
    </r>
    <r>
      <rPr>
        <sz val="8"/>
        <color rgb="FF2D2530"/>
        <rFont val="Calibri"/>
        <family val="2"/>
        <scheme val="minor"/>
      </rPr>
      <t>od</t>
    </r>
    <r>
      <rPr>
        <sz val="8"/>
        <color rgb="FF443B4D"/>
        <rFont val="Calibri"/>
        <family val="2"/>
        <scheme val="minor"/>
      </rPr>
      <t>e</t>
    </r>
    <r>
      <rPr>
        <sz val="8"/>
        <color rgb="FF2D2530"/>
        <rFont val="Calibri"/>
        <family val="2"/>
        <scheme val="minor"/>
      </rPr>
      <t>rr</t>
    </r>
  </si>
  <si>
    <r>
      <t>E</t>
    </r>
    <r>
      <rPr>
        <sz val="8"/>
        <color rgb="FF121013"/>
        <rFont val="Calibri"/>
        <family val="2"/>
        <scheme val="minor"/>
      </rPr>
      <t>r</t>
    </r>
    <r>
      <rPr>
        <sz val="8"/>
        <color rgb="FF2E2630"/>
        <rFont val="Calibri"/>
        <family val="2"/>
        <scheme val="minor"/>
      </rPr>
      <t>dan</t>
    </r>
  </si>
  <si>
    <r>
      <t>E</t>
    </r>
    <r>
      <rPr>
        <sz val="8"/>
        <color rgb="FF121013"/>
        <rFont val="Calibri"/>
        <family val="2"/>
        <scheme val="minor"/>
      </rPr>
      <t>n</t>
    </r>
    <r>
      <rPr>
        <sz val="8"/>
        <color rgb="FF2E2630"/>
        <rFont val="Calibri"/>
        <family val="2"/>
        <scheme val="minor"/>
      </rPr>
      <t>na</t>
    </r>
  </si>
  <si>
    <r>
      <t>X</t>
    </r>
    <r>
      <rPr>
        <sz val="8"/>
        <color rgb="FF121015"/>
        <rFont val="Calibri"/>
        <family val="2"/>
        <scheme val="minor"/>
      </rPr>
      <t>il</t>
    </r>
    <r>
      <rPr>
        <sz val="8"/>
        <color rgb="FF433B48"/>
        <rFont val="Calibri"/>
        <family val="2"/>
        <scheme val="minor"/>
      </rPr>
      <t>oscie</t>
    </r>
    <r>
      <rPr>
        <sz val="8"/>
        <color rgb="FF121015"/>
        <rFont val="Calibri"/>
        <family val="2"/>
        <scheme val="minor"/>
      </rPr>
      <t>nt</t>
    </r>
    <r>
      <rPr>
        <sz val="8"/>
        <color rgb="FF433B48"/>
        <rFont val="Calibri"/>
        <family val="2"/>
        <scheme val="minor"/>
      </rPr>
      <t>(Goldpeta</t>
    </r>
    <r>
      <rPr>
        <sz val="8"/>
        <color rgb="FF121015"/>
        <rFont val="Calibri"/>
        <family val="2"/>
        <scheme val="minor"/>
      </rPr>
      <t>l</t>
    </r>
    <r>
      <rPr>
        <sz val="8"/>
        <color rgb="FF564A58"/>
        <rFont val="Calibri"/>
        <family val="2"/>
        <scheme val="minor"/>
      </rPr>
      <t>)</t>
    </r>
  </si>
  <si>
    <r>
      <t>L</t>
    </r>
    <r>
      <rPr>
        <sz val="8"/>
        <color rgb="FF463C4D"/>
        <rFont val="Calibri"/>
        <family val="2"/>
        <scheme val="minor"/>
      </rPr>
      <t>y</t>
    </r>
    <r>
      <rPr>
        <sz val="8"/>
        <color rgb="FF131115"/>
        <rFont val="Calibri"/>
        <family val="2"/>
        <scheme val="minor"/>
      </rPr>
      <t>l</t>
    </r>
    <r>
      <rPr>
        <sz val="8"/>
        <color rgb="FF2F2731"/>
        <rFont val="Calibri"/>
        <family val="2"/>
        <scheme val="minor"/>
      </rPr>
      <t>e</t>
    </r>
  </si>
  <si>
    <r>
      <t>Me</t>
    </r>
    <r>
      <rPr>
        <sz val="8"/>
        <color rgb="FF131115"/>
        <rFont val="Calibri"/>
        <family val="2"/>
        <scheme val="minor"/>
      </rPr>
      <t>d</t>
    </r>
    <r>
      <rPr>
        <sz val="8"/>
        <color rgb="FF2F2731"/>
        <rFont val="Calibri"/>
        <family val="2"/>
        <scheme val="minor"/>
      </rPr>
      <t>a</t>
    </r>
  </si>
  <si>
    <r>
      <t>Underbou</t>
    </r>
    <r>
      <rPr>
        <sz val="8"/>
        <color rgb="FF463C4D"/>
        <rFont val="Calibri"/>
        <family val="2"/>
        <scheme val="minor"/>
      </rPr>
      <t>g</t>
    </r>
    <r>
      <rPr>
        <sz val="8"/>
        <color rgb="FF2F2731"/>
        <rFont val="Calibri"/>
        <family val="2"/>
        <scheme val="minor"/>
      </rPr>
      <t>h</t>
    </r>
  </si>
  <si>
    <t>Stedd</t>
  </si>
  <si>
    <t>Pavel</t>
  </si>
  <si>
    <t>Taman</t>
  </si>
  <si>
    <t>On</t>
  </si>
  <si>
    <t>Sum</t>
  </si>
  <si>
    <t>Bruherd</t>
  </si>
  <si>
    <t>Balaena</t>
  </si>
  <si>
    <t>Coborel</t>
  </si>
  <si>
    <t>Nadarr</t>
  </si>
  <si>
    <t>Mishann</t>
  </si>
  <si>
    <t>Myastan</t>
  </si>
  <si>
    <t>Frug</t>
  </si>
  <si>
    <t>Lilli</t>
  </si>
  <si>
    <t>Timbers</t>
  </si>
  <si>
    <t>Oneshoe</t>
  </si>
  <si>
    <t>Schump</t>
  </si>
  <si>
    <t>Vola</t>
  </si>
  <si>
    <t>Mordai</t>
  </si>
  <si>
    <t>Nemeia</t>
  </si>
  <si>
    <r>
      <t>E</t>
    </r>
    <r>
      <rPr>
        <sz val="8"/>
        <color rgb="FF2D2530"/>
        <rFont val="Calibri"/>
        <family val="2"/>
        <scheme val="minor"/>
      </rPr>
      <t>in</t>
    </r>
    <r>
      <rPr>
        <sz val="8"/>
        <color rgb="FF141216"/>
        <rFont val="Calibri"/>
        <family val="2"/>
        <scheme val="minor"/>
      </rPr>
      <t>k</t>
    </r>
    <r>
      <rPr>
        <sz val="8"/>
        <color rgb="FF2D2530"/>
        <rFont val="Calibri"/>
        <family val="2"/>
        <scheme val="minor"/>
      </rPr>
      <t>il</t>
    </r>
  </si>
  <si>
    <r>
      <t>Gurdi</t>
    </r>
    <r>
      <rPr>
        <sz val="8"/>
        <color rgb="FF443B4D"/>
        <rFont val="Calibri"/>
        <family val="2"/>
        <scheme val="minor"/>
      </rPr>
      <t>s</t>
    </r>
  </si>
  <si>
    <r>
      <t>L</t>
    </r>
    <r>
      <rPr>
        <sz val="8"/>
        <color rgb="FF2D2530"/>
        <rFont val="Calibri"/>
        <family val="2"/>
        <scheme val="minor"/>
      </rPr>
      <t>u</t>
    </r>
    <r>
      <rPr>
        <sz val="8"/>
        <color rgb="FF141216"/>
        <rFont val="Calibri"/>
        <family val="2"/>
        <scheme val="minor"/>
      </rPr>
      <t>t</t>
    </r>
    <r>
      <rPr>
        <sz val="8"/>
        <color rgb="FF2D2530"/>
        <rFont val="Calibri"/>
        <family val="2"/>
        <scheme val="minor"/>
      </rPr>
      <t>geh</t>
    </r>
    <r>
      <rPr>
        <sz val="8"/>
        <color rgb="FF141216"/>
        <rFont val="Calibri"/>
        <family val="2"/>
        <scheme val="minor"/>
      </rPr>
      <t>r</t>
    </r>
  </si>
  <si>
    <r>
      <t>Ereva</t>
    </r>
    <r>
      <rPr>
        <sz val="8"/>
        <color rgb="FF121013"/>
        <rFont val="Calibri"/>
        <family val="2"/>
        <scheme val="minor"/>
      </rPr>
      <t>n</t>
    </r>
  </si>
  <si>
    <r>
      <t>Fe</t>
    </r>
    <r>
      <rPr>
        <sz val="8"/>
        <color rgb="FF121013"/>
        <rFont val="Calibri"/>
        <family val="2"/>
        <scheme val="minor"/>
      </rPr>
      <t>l</t>
    </r>
    <r>
      <rPr>
        <sz val="8"/>
        <color rgb="FF453C4D"/>
        <rFont val="Calibri"/>
        <family val="2"/>
        <scheme val="minor"/>
      </rPr>
      <t>os</t>
    </r>
    <r>
      <rPr>
        <sz val="8"/>
        <color rgb="FF121013"/>
        <rFont val="Calibri"/>
        <family val="2"/>
        <scheme val="minor"/>
      </rPr>
      <t>i</t>
    </r>
    <r>
      <rPr>
        <sz val="8"/>
        <color rgb="FF2E2630"/>
        <rFont val="Calibri"/>
        <family val="2"/>
        <scheme val="minor"/>
      </rPr>
      <t>al</t>
    </r>
  </si>
  <si>
    <r>
      <t>Me</t>
    </r>
    <r>
      <rPr>
        <sz val="8"/>
        <color rgb="FF131115"/>
        <rFont val="Calibri"/>
        <family val="2"/>
        <scheme val="minor"/>
      </rPr>
      <t>rri</t>
    </r>
    <r>
      <rPr>
        <sz val="8"/>
        <color rgb="FF463C4D"/>
        <rFont val="Calibri"/>
        <family val="2"/>
        <scheme val="minor"/>
      </rPr>
      <t>e</t>
    </r>
  </si>
  <si>
    <r>
      <t>N</t>
    </r>
    <r>
      <rPr>
        <sz val="8"/>
        <color rgb="FF2F2731"/>
        <rFont val="Calibri"/>
        <family val="2"/>
        <scheme val="minor"/>
      </rPr>
      <t>edda</t>
    </r>
  </si>
  <si>
    <t>Sergor</t>
  </si>
  <si>
    <t>Urth</t>
  </si>
  <si>
    <t>Shan</t>
  </si>
  <si>
    <t>Tan</t>
  </si>
  <si>
    <t>Caelkoth</t>
  </si>
  <si>
    <t>Baltana</t>
  </si>
  <si>
    <t>Coloara</t>
  </si>
  <si>
    <t>Pandjed</t>
  </si>
  <si>
    <t>nala</t>
  </si>
  <si>
    <t>Nemmonis</t>
  </si>
  <si>
    <t>Gerbo</t>
  </si>
  <si>
    <t>Loopmottin</t>
  </si>
  <si>
    <t>Turen</t>
  </si>
  <si>
    <t>Pock</t>
  </si>
  <si>
    <t>Thokk</t>
  </si>
  <si>
    <t>Volen</t>
  </si>
  <si>
    <t>Morthos</t>
  </si>
  <si>
    <t>Orianna</t>
  </si>
  <si>
    <t>Music</t>
  </si>
  <si>
    <r>
      <t>F</t>
    </r>
    <r>
      <rPr>
        <sz val="8"/>
        <color rgb="FF2D2530"/>
        <rFont val="Calibri"/>
        <family val="2"/>
        <scheme val="minor"/>
      </rPr>
      <t>a</t>
    </r>
    <r>
      <rPr>
        <sz val="8"/>
        <color rgb="FF141216"/>
        <rFont val="Calibri"/>
        <family val="2"/>
        <scheme val="minor"/>
      </rPr>
      <t>r</t>
    </r>
    <r>
      <rPr>
        <sz val="8"/>
        <color rgb="FF2D2530"/>
        <rFont val="Calibri"/>
        <family val="2"/>
        <scheme val="minor"/>
      </rPr>
      <t>g</t>
    </r>
    <r>
      <rPr>
        <sz val="8"/>
        <color rgb="FF141216"/>
        <rFont val="Calibri"/>
        <family val="2"/>
        <scheme val="minor"/>
      </rPr>
      <t>ri</t>
    </r>
    <r>
      <rPr>
        <sz val="8"/>
        <color rgb="FF2D2530"/>
        <rFont val="Calibri"/>
        <family val="2"/>
        <scheme val="minor"/>
      </rPr>
      <t>m</t>
    </r>
  </si>
  <si>
    <r>
      <t>H</t>
    </r>
    <r>
      <rPr>
        <sz val="8"/>
        <color rgb="FF2D2530"/>
        <rFont val="Calibri"/>
        <family val="2"/>
        <scheme val="minor"/>
      </rPr>
      <t>elja</t>
    </r>
  </si>
  <si>
    <r>
      <t>R</t>
    </r>
    <r>
      <rPr>
        <sz val="8"/>
        <color rgb="FF141216"/>
        <rFont val="Calibri"/>
        <family val="2"/>
        <scheme val="minor"/>
      </rPr>
      <t>u</t>
    </r>
    <r>
      <rPr>
        <sz val="8"/>
        <color rgb="FF2D2530"/>
        <rFont val="Calibri"/>
        <family val="2"/>
        <scheme val="minor"/>
      </rPr>
      <t>mnaheim</t>
    </r>
  </si>
  <si>
    <r>
      <t>Galinnda</t>
    </r>
    <r>
      <rPr>
        <sz val="8"/>
        <color rgb="FF121013"/>
        <rFont val="Calibri"/>
        <family val="2"/>
        <scheme val="minor"/>
      </rPr>
      <t>n</t>
    </r>
  </si>
  <si>
    <r>
      <t>I</t>
    </r>
    <r>
      <rPr>
        <sz val="8"/>
        <color rgb="FF2E2630"/>
        <rFont val="Calibri"/>
        <family val="2"/>
        <scheme val="minor"/>
      </rPr>
      <t>e</t>
    </r>
    <r>
      <rPr>
        <sz val="8"/>
        <color rgb="FF121013"/>
        <rFont val="Calibri"/>
        <family val="2"/>
        <scheme val="minor"/>
      </rPr>
      <t>l</t>
    </r>
    <r>
      <rPr>
        <sz val="8"/>
        <color rgb="FF2E2630"/>
        <rFont val="Calibri"/>
        <family val="2"/>
        <scheme val="minor"/>
      </rPr>
      <t>e</t>
    </r>
    <r>
      <rPr>
        <sz val="8"/>
        <color rgb="FF121013"/>
        <rFont val="Calibri"/>
        <family val="2"/>
        <scheme val="minor"/>
      </rPr>
      <t>ni</t>
    </r>
    <r>
      <rPr>
        <sz val="8"/>
        <color rgb="FF2E2630"/>
        <rFont val="Calibri"/>
        <family val="2"/>
        <scheme val="minor"/>
      </rPr>
      <t>a</t>
    </r>
  </si>
  <si>
    <t>Milo</t>
  </si>
  <si>
    <r>
      <t>P</t>
    </r>
    <r>
      <rPr>
        <sz val="8"/>
        <color rgb="FF2F2731"/>
        <rFont val="Calibri"/>
        <family val="2"/>
        <scheme val="minor"/>
      </rPr>
      <t>ae</t>
    </r>
    <r>
      <rPr>
        <sz val="8"/>
        <color rgb="FF131115"/>
        <rFont val="Calibri"/>
        <family val="2"/>
        <scheme val="minor"/>
      </rPr>
      <t>l</t>
    </r>
    <r>
      <rPr>
        <sz val="8"/>
        <color rgb="FF2F2731"/>
        <rFont val="Calibri"/>
        <family val="2"/>
        <scheme val="minor"/>
      </rPr>
      <t>a</t>
    </r>
  </si>
  <si>
    <t>Wan</t>
  </si>
  <si>
    <t>Callimar</t>
  </si>
  <si>
    <t>Bautha</t>
  </si>
  <si>
    <t>Cormrael</t>
  </si>
  <si>
    <t>Perra</t>
  </si>
  <si>
    <t>Norixius</t>
  </si>
  <si>
    <t>Gimble</t>
  </si>
  <si>
    <t>Lorilla</t>
  </si>
  <si>
    <t>Sparklegem</t>
  </si>
  <si>
    <t>Dench</t>
  </si>
  <si>
    <t>Yevelda</t>
  </si>
  <si>
    <t>Pelaios</t>
  </si>
  <si>
    <t>Phelaia</t>
  </si>
  <si>
    <t>Nowhere</t>
  </si>
  <si>
    <t>Flint</t>
  </si>
  <si>
    <r>
      <t>Hli</t>
    </r>
    <r>
      <rPr>
        <sz val="8"/>
        <color rgb="FF2D2530"/>
        <rFont val="Calibri"/>
        <family val="2"/>
        <scheme val="minor"/>
      </rPr>
      <t>n</t>
    </r>
  </si>
  <si>
    <r>
      <t>S</t>
    </r>
    <r>
      <rPr>
        <sz val="8"/>
        <color rgb="FF141216"/>
        <rFont val="Calibri"/>
        <family val="2"/>
        <scheme val="minor"/>
      </rPr>
      <t>t</t>
    </r>
    <r>
      <rPr>
        <sz val="8"/>
        <color rgb="FF2D2530"/>
        <rFont val="Calibri"/>
        <family val="2"/>
        <scheme val="minor"/>
      </rPr>
      <t>rakelin</t>
    </r>
  </si>
  <si>
    <r>
      <t>H</t>
    </r>
    <r>
      <rPr>
        <sz val="8"/>
        <color rgb="FF2E2630"/>
        <rFont val="Calibri"/>
        <family val="2"/>
        <scheme val="minor"/>
      </rPr>
      <t>adarai</t>
    </r>
  </si>
  <si>
    <r>
      <t>J</t>
    </r>
    <r>
      <rPr>
        <sz val="8"/>
        <color rgb="FF2E2630"/>
        <rFont val="Calibri"/>
        <family val="2"/>
        <scheme val="minor"/>
      </rPr>
      <t>ele</t>
    </r>
    <r>
      <rPr>
        <sz val="8"/>
        <color rgb="FF121013"/>
        <rFont val="Calibri"/>
        <family val="2"/>
        <scheme val="minor"/>
      </rPr>
      <t>n</t>
    </r>
    <r>
      <rPr>
        <sz val="8"/>
        <color rgb="FF2E2630"/>
        <rFont val="Calibri"/>
        <family val="2"/>
        <scheme val="minor"/>
      </rPr>
      <t>neth</t>
    </r>
  </si>
  <si>
    <r>
      <t>O</t>
    </r>
    <r>
      <rPr>
        <sz val="8"/>
        <color rgb="FF463C4D"/>
        <rFont val="Calibri"/>
        <family val="2"/>
        <scheme val="minor"/>
      </rPr>
      <t>s</t>
    </r>
    <r>
      <rPr>
        <sz val="8"/>
        <color rgb="FF131115"/>
        <rFont val="Calibri"/>
        <family val="2"/>
        <scheme val="minor"/>
      </rPr>
      <t>b</t>
    </r>
    <r>
      <rPr>
        <sz val="8"/>
        <color rgb="FF463C4D"/>
        <rFont val="Calibri"/>
        <family val="2"/>
        <scheme val="minor"/>
      </rPr>
      <t>o</t>
    </r>
    <r>
      <rPr>
        <sz val="8"/>
        <color rgb="FF131115"/>
        <rFont val="Calibri"/>
        <family val="2"/>
        <scheme val="minor"/>
      </rPr>
      <t>rn</t>
    </r>
  </si>
  <si>
    <r>
      <t>P</t>
    </r>
    <r>
      <rPr>
        <sz val="8"/>
        <color rgb="FF2F2731"/>
        <rFont val="Calibri"/>
        <family val="2"/>
        <scheme val="minor"/>
      </rPr>
      <t>ortia</t>
    </r>
  </si>
  <si>
    <t>Wen</t>
  </si>
  <si>
    <t>Chakos</t>
  </si>
  <si>
    <t>Belarbreena</t>
  </si>
  <si>
    <t>Daevion'lyr</t>
  </si>
  <si>
    <t>Raiann</t>
  </si>
  <si>
    <t>Ophinshtalajiir</t>
  </si>
  <si>
    <t>Glim</t>
  </si>
  <si>
    <t>Mardnab</t>
  </si>
  <si>
    <t>Stubledock</t>
  </si>
  <si>
    <t>Skamos</t>
  </si>
  <si>
    <t>Rieta</t>
  </si>
  <si>
    <t>Open</t>
  </si>
  <si>
    <r>
      <t>Garda</t>
    </r>
    <r>
      <rPr>
        <sz val="8"/>
        <color rgb="FF141216"/>
        <rFont val="Calibri"/>
        <family val="2"/>
        <scheme val="minor"/>
      </rPr>
      <t>i</t>
    </r>
    <r>
      <rPr>
        <sz val="8"/>
        <color rgb="FF2D2530"/>
        <rFont val="Calibri"/>
        <family val="2"/>
        <scheme val="minor"/>
      </rPr>
      <t>n</t>
    </r>
  </si>
  <si>
    <r>
      <t>Ka</t>
    </r>
    <r>
      <rPr>
        <sz val="8"/>
        <color rgb="FF141216"/>
        <rFont val="Calibri"/>
        <family val="2"/>
        <scheme val="minor"/>
      </rPr>
      <t>t</t>
    </r>
    <r>
      <rPr>
        <sz val="8"/>
        <color rgb="FF2D2530"/>
        <rFont val="Calibri"/>
        <family val="2"/>
        <scheme val="minor"/>
      </rPr>
      <t>h</t>
    </r>
    <r>
      <rPr>
        <sz val="8"/>
        <color rgb="FF141216"/>
        <rFont val="Calibri"/>
        <family val="2"/>
        <scheme val="minor"/>
      </rPr>
      <t>r</t>
    </r>
    <r>
      <rPr>
        <sz val="8"/>
        <color rgb="FF2D2530"/>
        <rFont val="Calibri"/>
        <family val="2"/>
        <scheme val="minor"/>
      </rPr>
      <t>a</t>
    </r>
  </si>
  <si>
    <r>
      <t>T</t>
    </r>
    <r>
      <rPr>
        <sz val="8"/>
        <color rgb="FF443B4D"/>
        <rFont val="Calibri"/>
        <family val="2"/>
        <scheme val="minor"/>
      </rPr>
      <t>o</t>
    </r>
    <r>
      <rPr>
        <sz val="8"/>
        <color rgb="FF2D2530"/>
        <rFont val="Calibri"/>
        <family val="2"/>
        <scheme val="minor"/>
      </rPr>
      <t>runn</t>
    </r>
  </si>
  <si>
    <r>
      <t>H</t>
    </r>
    <r>
      <rPr>
        <sz val="8"/>
        <color rgb="FF2E2630"/>
        <rFont val="Calibri"/>
        <family val="2"/>
        <scheme val="minor"/>
      </rPr>
      <t>eian</t>
    </r>
  </si>
  <si>
    <r>
      <t>Ke</t>
    </r>
    <r>
      <rPr>
        <sz val="8"/>
        <color rgb="FF453C4D"/>
        <rFont val="Calibri"/>
        <family val="2"/>
        <scheme val="minor"/>
      </rPr>
      <t>y</t>
    </r>
    <r>
      <rPr>
        <sz val="8"/>
        <color rgb="FF2E2630"/>
        <rFont val="Calibri"/>
        <family val="2"/>
        <scheme val="minor"/>
      </rPr>
      <t>leth</t>
    </r>
    <r>
      <rPr>
        <sz val="8"/>
        <color rgb="FF453C4D"/>
        <rFont val="Calibri"/>
        <family val="2"/>
        <scheme val="minor"/>
      </rPr>
      <t>,</t>
    </r>
  </si>
  <si>
    <r>
      <t>P</t>
    </r>
    <r>
      <rPr>
        <sz val="8"/>
        <color rgb="FF463C4D"/>
        <rFont val="Calibri"/>
        <family val="2"/>
        <scheme val="minor"/>
      </rPr>
      <t>e</t>
    </r>
    <r>
      <rPr>
        <sz val="8"/>
        <color rgb="FF2F2731"/>
        <rFont val="Calibri"/>
        <family val="2"/>
        <scheme val="minor"/>
      </rPr>
      <t>rrin</t>
    </r>
  </si>
  <si>
    <r>
      <t>Serap</t>
    </r>
    <r>
      <rPr>
        <sz val="8"/>
        <color rgb="FF131115"/>
        <rFont val="Calibri"/>
        <family val="2"/>
        <scheme val="minor"/>
      </rPr>
      <t>h</t>
    </r>
    <r>
      <rPr>
        <sz val="8"/>
        <color rgb="FF2F2731"/>
        <rFont val="Calibri"/>
        <family val="2"/>
        <scheme val="minor"/>
      </rPr>
      <t>ina</t>
    </r>
  </si>
  <si>
    <t>Chaszmyr</t>
  </si>
  <si>
    <t>Beszrima</t>
  </si>
  <si>
    <t>Dalael</t>
  </si>
  <si>
    <t>Sora</t>
  </si>
  <si>
    <t>Prexijandilin</t>
  </si>
  <si>
    <t>Jebeddo</t>
  </si>
  <si>
    <t>Nissa</t>
  </si>
  <si>
    <t>Therai</t>
  </si>
  <si>
    <t>Poetry</t>
  </si>
  <si>
    <r>
      <t>H</t>
    </r>
    <r>
      <rPr>
        <sz val="8"/>
        <color rgb="FF2D2530"/>
        <rFont val="Calibri"/>
        <family val="2"/>
        <scheme val="minor"/>
      </rPr>
      <t>arbe</t>
    </r>
    <r>
      <rPr>
        <sz val="8"/>
        <color rgb="FF141216"/>
        <rFont val="Calibri"/>
        <family val="2"/>
        <scheme val="minor"/>
      </rPr>
      <t>k</t>
    </r>
  </si>
  <si>
    <r>
      <t>Kri</t>
    </r>
    <r>
      <rPr>
        <sz val="8"/>
        <color rgb="FF443B4D"/>
        <rFont val="Calibri"/>
        <family val="2"/>
        <scheme val="minor"/>
      </rPr>
      <t>s</t>
    </r>
    <r>
      <rPr>
        <sz val="8"/>
        <color rgb="FF2D2530"/>
        <rFont val="Calibri"/>
        <family val="2"/>
        <scheme val="minor"/>
      </rPr>
      <t>tr</t>
    </r>
    <r>
      <rPr>
        <sz val="8"/>
        <color rgb="FF443B4D"/>
        <rFont val="Calibri"/>
        <family val="2"/>
        <scheme val="minor"/>
      </rPr>
      <t>y</t>
    </r>
    <r>
      <rPr>
        <sz val="8"/>
        <color rgb="FF2D2530"/>
        <rFont val="Calibri"/>
        <family val="2"/>
        <scheme val="minor"/>
      </rPr>
      <t>d</t>
    </r>
  </si>
  <si>
    <r>
      <t>Un</t>
    </r>
    <r>
      <rPr>
        <sz val="8"/>
        <color rgb="FF443B4D"/>
        <rFont val="Calibri"/>
        <family val="2"/>
        <scheme val="minor"/>
      </rPr>
      <t>g</t>
    </r>
    <r>
      <rPr>
        <sz val="8"/>
        <color rgb="FF2D2530"/>
        <rFont val="Calibri"/>
        <family val="2"/>
        <scheme val="minor"/>
      </rPr>
      <t>art</t>
    </r>
  </si>
  <si>
    <r>
      <t>H</t>
    </r>
    <r>
      <rPr>
        <sz val="8"/>
        <color rgb="FF2E2630"/>
        <rFont val="Calibri"/>
        <family val="2"/>
        <scheme val="minor"/>
      </rPr>
      <t>im</t>
    </r>
    <r>
      <rPr>
        <sz val="8"/>
        <color rgb="FF453C4D"/>
        <rFont val="Calibri"/>
        <family val="2"/>
        <scheme val="minor"/>
      </rPr>
      <t>o</t>
    </r>
  </si>
  <si>
    <r>
      <t>L</t>
    </r>
    <r>
      <rPr>
        <sz val="8"/>
        <color rgb="FF2E2630"/>
        <rFont val="Calibri"/>
        <family val="2"/>
        <scheme val="minor"/>
      </rPr>
      <t>e</t>
    </r>
    <r>
      <rPr>
        <sz val="8"/>
        <color rgb="FF5B4D59"/>
        <rFont val="Calibri"/>
        <family val="2"/>
        <scheme val="minor"/>
      </rPr>
      <t>s</t>
    </r>
    <r>
      <rPr>
        <sz val="8"/>
        <color rgb="FF121013"/>
        <rFont val="Calibri"/>
        <family val="2"/>
        <scheme val="minor"/>
      </rPr>
      <t>h</t>
    </r>
    <r>
      <rPr>
        <sz val="8"/>
        <color rgb="FF2E2630"/>
        <rFont val="Calibri"/>
        <family val="2"/>
        <scheme val="minor"/>
      </rPr>
      <t>a</t>
    </r>
    <r>
      <rPr>
        <sz val="8"/>
        <color rgb="FF121013"/>
        <rFont val="Calibri"/>
        <family val="2"/>
        <scheme val="minor"/>
      </rPr>
      <t>n</t>
    </r>
    <r>
      <rPr>
        <sz val="8"/>
        <color rgb="FF2E2630"/>
        <rFont val="Calibri"/>
        <family val="2"/>
        <scheme val="minor"/>
      </rPr>
      <t>na</t>
    </r>
  </si>
  <si>
    <r>
      <t>R</t>
    </r>
    <r>
      <rPr>
        <sz val="8"/>
        <color rgb="FF2F2731"/>
        <rFont val="Calibri"/>
        <family val="2"/>
        <scheme val="minor"/>
      </rPr>
      <t>eed</t>
    </r>
  </si>
  <si>
    <r>
      <t>Shae</t>
    </r>
    <r>
      <rPr>
        <sz val="8"/>
        <color rgb="FF131115"/>
        <rFont val="Calibri"/>
        <family val="2"/>
        <scheme val="minor"/>
      </rPr>
      <t>n</t>
    </r>
    <r>
      <rPr>
        <sz val="8"/>
        <color rgb="FF2F2731"/>
        <rFont val="Calibri"/>
        <family val="2"/>
        <scheme val="minor"/>
      </rPr>
      <t>a</t>
    </r>
  </si>
  <si>
    <t>Coranzen</t>
  </si>
  <si>
    <t>Brigantyna</t>
  </si>
  <si>
    <t>Dhalmass</t>
  </si>
  <si>
    <t>Surina</t>
  </si>
  <si>
    <t>Shestendeliath</t>
  </si>
  <si>
    <t>Kellen</t>
  </si>
  <si>
    <t>Nyx</t>
  </si>
  <si>
    <t>Quest</t>
  </si>
  <si>
    <t>Kildrak</t>
  </si>
  <si>
    <t>Hilde</t>
  </si>
  <si>
    <r>
      <t>I</t>
    </r>
    <r>
      <rPr>
        <sz val="8"/>
        <color rgb="FF2E2630"/>
        <rFont val="Calibri"/>
        <family val="2"/>
        <scheme val="minor"/>
      </rPr>
      <t>mmeral</t>
    </r>
  </si>
  <si>
    <t>Lia</t>
  </si>
  <si>
    <r>
      <t>Ro</t>
    </r>
    <r>
      <rPr>
        <sz val="8"/>
        <color rgb="FF463C4D"/>
        <rFont val="Calibri"/>
        <family val="2"/>
        <scheme val="minor"/>
      </rPr>
      <t>sc</t>
    </r>
    <r>
      <rPr>
        <sz val="8"/>
        <color rgb="FF2F2731"/>
        <rFont val="Calibri"/>
        <family val="2"/>
        <scheme val="minor"/>
      </rPr>
      <t>oe</t>
    </r>
  </si>
  <si>
    <t>Trym</t>
  </si>
  <si>
    <t>Dantrag</t>
  </si>
  <si>
    <t>Briza</t>
  </si>
  <si>
    <t>Dhunnyl</t>
  </si>
  <si>
    <t>Thava</t>
  </si>
  <si>
    <t>Turnuroth</t>
  </si>
  <si>
    <t>Namfoodle</t>
  </si>
  <si>
    <t>Oda</t>
  </si>
  <si>
    <t>Random</t>
  </si>
  <si>
    <r>
      <t>M</t>
    </r>
    <r>
      <rPr>
        <sz val="8"/>
        <color rgb="FF443B4D"/>
        <rFont val="Calibri"/>
        <family val="2"/>
        <scheme val="minor"/>
      </rPr>
      <t>o</t>
    </r>
    <r>
      <rPr>
        <sz val="8"/>
        <color rgb="FF141216"/>
        <rFont val="Calibri"/>
        <family val="2"/>
        <scheme val="minor"/>
      </rPr>
      <t>r</t>
    </r>
    <r>
      <rPr>
        <sz val="8"/>
        <color rgb="FF2D2530"/>
        <rFont val="Calibri"/>
        <family val="2"/>
        <scheme val="minor"/>
      </rPr>
      <t>g</t>
    </r>
    <r>
      <rPr>
        <sz val="8"/>
        <color rgb="FF141216"/>
        <rFont val="Calibri"/>
        <family val="2"/>
        <scheme val="minor"/>
      </rPr>
      <t>r</t>
    </r>
    <r>
      <rPr>
        <sz val="8"/>
        <color rgb="FF2D2530"/>
        <rFont val="Calibri"/>
        <family val="2"/>
        <scheme val="minor"/>
      </rPr>
      <t>a</t>
    </r>
    <r>
      <rPr>
        <sz val="8"/>
        <color rgb="FF141216"/>
        <rFont val="Calibri"/>
        <family val="2"/>
        <scheme val="minor"/>
      </rPr>
      <t>n</t>
    </r>
  </si>
  <si>
    <r>
      <t>Lif</t>
    </r>
    <r>
      <rPr>
        <sz val="8"/>
        <color rgb="FF141216"/>
        <rFont val="Calibri"/>
        <family val="2"/>
        <scheme val="minor"/>
      </rPr>
      <t>tr</t>
    </r>
    <r>
      <rPr>
        <sz val="8"/>
        <color rgb="FF2D2530"/>
        <rFont val="Calibri"/>
        <family val="2"/>
        <scheme val="minor"/>
      </rPr>
      <t>a</t>
    </r>
    <r>
      <rPr>
        <sz val="8"/>
        <color rgb="FF443B4D"/>
        <rFont val="Calibri"/>
        <family val="2"/>
        <scheme val="minor"/>
      </rPr>
      <t>s</t>
    </r>
    <r>
      <rPr>
        <sz val="8"/>
        <color rgb="FF2D2530"/>
        <rFont val="Calibri"/>
        <family val="2"/>
        <scheme val="minor"/>
      </rPr>
      <t>a</t>
    </r>
  </si>
  <si>
    <r>
      <t>Ive</t>
    </r>
    <r>
      <rPr>
        <sz val="8"/>
        <color rgb="FF121013"/>
        <rFont val="Calibri"/>
        <family val="2"/>
        <scheme val="minor"/>
      </rPr>
      <t>lli</t>
    </r>
    <r>
      <rPr>
        <sz val="8"/>
        <color rgb="FF2E2630"/>
        <rFont val="Calibri"/>
        <family val="2"/>
        <scheme val="minor"/>
      </rPr>
      <t>o</t>
    </r>
    <r>
      <rPr>
        <sz val="8"/>
        <color rgb="FF453C4D"/>
        <rFont val="Calibri"/>
        <family val="2"/>
        <scheme val="minor"/>
      </rPr>
      <t>s</t>
    </r>
  </si>
  <si>
    <r>
      <t>M</t>
    </r>
    <r>
      <rPr>
        <sz val="8"/>
        <color rgb="FF453C4D"/>
        <rFont val="Calibri"/>
        <family val="2"/>
        <scheme val="minor"/>
      </rPr>
      <t>e</t>
    </r>
    <r>
      <rPr>
        <sz val="8"/>
        <color rgb="FF2E2630"/>
        <rFont val="Calibri"/>
        <family val="2"/>
        <scheme val="minor"/>
      </rPr>
      <t>riele</t>
    </r>
  </si>
  <si>
    <t>Wellby</t>
  </si>
  <si>
    <t>Vani</t>
  </si>
  <si>
    <t>Dhuunyl</t>
  </si>
  <si>
    <t>Brorna</t>
  </si>
  <si>
    <t>Diliriy</t>
  </si>
  <si>
    <t>Uadjit</t>
  </si>
  <si>
    <t>Verthisathurgiesh</t>
  </si>
  <si>
    <t>Orryn</t>
  </si>
  <si>
    <t>Orla</t>
  </si>
  <si>
    <t>Reverence</t>
  </si>
  <si>
    <r>
      <t>Or</t>
    </r>
    <r>
      <rPr>
        <sz val="8"/>
        <color rgb="FF443B4D"/>
        <rFont val="Calibri"/>
        <family val="2"/>
        <scheme val="minor"/>
      </rPr>
      <t>s</t>
    </r>
    <r>
      <rPr>
        <sz val="8"/>
        <color rgb="FF2D2530"/>
        <rFont val="Calibri"/>
        <family val="2"/>
        <scheme val="minor"/>
      </rPr>
      <t>ik</t>
    </r>
  </si>
  <si>
    <r>
      <t>Mard</t>
    </r>
    <r>
      <rPr>
        <sz val="8"/>
        <color rgb="FF141216"/>
        <rFont val="Calibri"/>
        <family val="2"/>
        <scheme val="minor"/>
      </rPr>
      <t>r</t>
    </r>
    <r>
      <rPr>
        <sz val="8"/>
        <color rgb="FF2D2530"/>
        <rFont val="Calibri"/>
        <family val="2"/>
        <scheme val="minor"/>
      </rPr>
      <t>ed</t>
    </r>
  </si>
  <si>
    <r>
      <t>L</t>
    </r>
    <r>
      <rPr>
        <sz val="8"/>
        <color rgb="FF2E2630"/>
        <rFont val="Calibri"/>
        <family val="2"/>
        <scheme val="minor"/>
      </rPr>
      <t>aucia</t>
    </r>
    <r>
      <rPr>
        <sz val="8"/>
        <color rgb="FF121013"/>
        <rFont val="Calibri"/>
        <family val="2"/>
        <scheme val="minor"/>
      </rPr>
      <t>n</t>
    </r>
  </si>
  <si>
    <t>Mialee</t>
  </si>
  <si>
    <t>Verna</t>
  </si>
  <si>
    <t>Dinin</t>
  </si>
  <si>
    <t>Burryna</t>
  </si>
  <si>
    <t>Dinoryn</t>
  </si>
  <si>
    <t>Yarjerit</t>
  </si>
  <si>
    <t>Roondar</t>
  </si>
  <si>
    <t>Roywyn</t>
  </si>
  <si>
    <t>Sorrow</t>
  </si>
  <si>
    <r>
      <t>O</t>
    </r>
    <r>
      <rPr>
        <sz val="8"/>
        <color rgb="FF443B4D"/>
        <rFont val="Calibri"/>
        <family val="2"/>
        <scheme val="minor"/>
      </rPr>
      <t>s</t>
    </r>
    <r>
      <rPr>
        <sz val="8"/>
        <color rgb="FF2D2530"/>
        <rFont val="Calibri"/>
        <family val="2"/>
        <scheme val="minor"/>
      </rPr>
      <t>kar</t>
    </r>
  </si>
  <si>
    <r>
      <t>Ri</t>
    </r>
    <r>
      <rPr>
        <sz val="8"/>
        <color rgb="FF443B4D"/>
        <rFont val="Calibri"/>
        <family val="2"/>
        <scheme val="minor"/>
      </rPr>
      <t>s</t>
    </r>
    <r>
      <rPr>
        <sz val="8"/>
        <color rgb="FF2D2530"/>
        <rFont val="Calibri"/>
        <family val="2"/>
        <scheme val="minor"/>
      </rPr>
      <t>w</t>
    </r>
    <r>
      <rPr>
        <sz val="8"/>
        <color rgb="FF443B4D"/>
        <rFont val="Calibri"/>
        <family val="2"/>
        <scheme val="minor"/>
      </rPr>
      <t>y</t>
    </r>
    <r>
      <rPr>
        <sz val="8"/>
        <color rgb="FF141216"/>
        <rFont val="Calibri"/>
        <family val="2"/>
        <scheme val="minor"/>
      </rPr>
      <t>n</t>
    </r>
    <r>
      <rPr>
        <sz val="8"/>
        <color rgb="FF2D2530"/>
        <rFont val="Calibri"/>
        <family val="2"/>
        <scheme val="minor"/>
      </rPr>
      <t>n</t>
    </r>
  </si>
  <si>
    <r>
      <t>Minda</t>
    </r>
    <r>
      <rPr>
        <sz val="8"/>
        <color rgb="FF121013"/>
        <rFont val="Calibri"/>
        <family val="2"/>
        <scheme val="minor"/>
      </rPr>
      <t>rti</t>
    </r>
    <r>
      <rPr>
        <sz val="8"/>
        <color rgb="FF453C4D"/>
        <rFont val="Calibri"/>
        <family val="2"/>
        <scheme val="minor"/>
      </rPr>
      <t>s</t>
    </r>
  </si>
  <si>
    <r>
      <t>N</t>
    </r>
    <r>
      <rPr>
        <sz val="8"/>
        <color rgb="FF2E2630"/>
        <rFont val="Calibri"/>
        <family val="2"/>
        <scheme val="minor"/>
      </rPr>
      <t>aiva</t>
    </r>
    <r>
      <rPr>
        <sz val="8"/>
        <color rgb="FF121013"/>
        <rFont val="Calibri"/>
        <family val="2"/>
        <scheme val="minor"/>
      </rPr>
      <t>r</t>
    </r>
    <r>
      <rPr>
        <sz val="8"/>
        <color rgb="FF2E2630"/>
        <rFont val="Calibri"/>
        <family val="2"/>
        <scheme val="minor"/>
      </rPr>
      <t>a</t>
    </r>
  </si>
  <si>
    <t>Dresmorlin</t>
  </si>
  <si>
    <t>Byrtyn</t>
  </si>
  <si>
    <t>Dryaalis</t>
  </si>
  <si>
    <t>Seebo</t>
  </si>
  <si>
    <t>Shamil</t>
  </si>
  <si>
    <t>Temerity</t>
  </si>
  <si>
    <t>Rangrim</t>
  </si>
  <si>
    <r>
      <t>San</t>
    </r>
    <r>
      <rPr>
        <sz val="8"/>
        <color rgb="FF141216"/>
        <rFont val="Calibri"/>
        <family val="2"/>
        <scheme val="minor"/>
      </rPr>
      <t>n</t>
    </r>
    <r>
      <rPr>
        <sz val="8"/>
        <color rgb="FF2D2530"/>
        <rFont val="Calibri"/>
        <family val="2"/>
        <scheme val="minor"/>
      </rPr>
      <t>l</t>
    </r>
  </si>
  <si>
    <r>
      <t>P</t>
    </r>
    <r>
      <rPr>
        <sz val="8"/>
        <color rgb="FF2E2630"/>
        <rFont val="Calibri"/>
        <family val="2"/>
        <scheme val="minor"/>
      </rPr>
      <t>a</t>
    </r>
    <r>
      <rPr>
        <sz val="8"/>
        <color rgb="FF453C4D"/>
        <rFont val="Calibri"/>
        <family val="2"/>
        <scheme val="minor"/>
      </rPr>
      <t>e</t>
    </r>
    <r>
      <rPr>
        <sz val="8"/>
        <color rgb="FF2E2630"/>
        <rFont val="Calibri"/>
        <family val="2"/>
        <scheme val="minor"/>
      </rPr>
      <t>lia</t>
    </r>
    <r>
      <rPr>
        <sz val="8"/>
        <color rgb="FF453C4D"/>
        <rFont val="Calibri"/>
        <family val="2"/>
        <scheme val="minor"/>
      </rPr>
      <t>s</t>
    </r>
  </si>
  <si>
    <r>
      <t>Q</t>
    </r>
    <r>
      <rPr>
        <sz val="8"/>
        <color rgb="FF121013"/>
        <rFont val="Calibri"/>
        <family val="2"/>
        <scheme val="minor"/>
      </rPr>
      <t>u</t>
    </r>
    <r>
      <rPr>
        <sz val="8"/>
        <color rgb="FF2E2630"/>
        <rFont val="Calibri"/>
        <family val="2"/>
        <scheme val="minor"/>
      </rPr>
      <t>e</t>
    </r>
    <r>
      <rPr>
        <sz val="8"/>
        <color rgb="FF121013"/>
        <rFont val="Calibri"/>
        <family val="2"/>
        <scheme val="minor"/>
      </rPr>
      <t>l</t>
    </r>
    <r>
      <rPr>
        <sz val="8"/>
        <color rgb="FF2E2630"/>
        <rFont val="Calibri"/>
        <family val="2"/>
        <scheme val="minor"/>
      </rPr>
      <t>e</t>
    </r>
    <r>
      <rPr>
        <sz val="8"/>
        <color rgb="FF121013"/>
        <rFont val="Calibri"/>
        <family val="2"/>
        <scheme val="minor"/>
      </rPr>
      <t>nn</t>
    </r>
    <r>
      <rPr>
        <sz val="8"/>
        <color rgb="FF2E2630"/>
        <rFont val="Calibri"/>
        <family val="2"/>
        <scheme val="minor"/>
      </rPr>
      <t>a</t>
    </r>
  </si>
  <si>
    <t>Dro</t>
  </si>
  <si>
    <t>Cazna</t>
  </si>
  <si>
    <t>Duskryn</t>
  </si>
  <si>
    <t>Sindri</t>
  </si>
  <si>
    <t>tana</t>
  </si>
  <si>
    <t>Torment</t>
  </si>
  <si>
    <r>
      <t>Ruri</t>
    </r>
    <r>
      <rPr>
        <sz val="8"/>
        <color rgb="FF2D2530"/>
        <rFont val="Calibri"/>
        <family val="2"/>
        <scheme val="minor"/>
      </rPr>
      <t>k</t>
    </r>
  </si>
  <si>
    <r>
      <t>T</t>
    </r>
    <r>
      <rPr>
        <sz val="8"/>
        <color rgb="FF443B4D"/>
        <rFont val="Calibri"/>
        <family val="2"/>
        <scheme val="minor"/>
      </rPr>
      <t>o</t>
    </r>
    <r>
      <rPr>
        <sz val="8"/>
        <color rgb="FF141216"/>
        <rFont val="Calibri"/>
        <family val="2"/>
        <scheme val="minor"/>
      </rPr>
      <t>r</t>
    </r>
    <r>
      <rPr>
        <sz val="8"/>
        <color rgb="FF2D2530"/>
        <rFont val="Calibri"/>
        <family val="2"/>
        <scheme val="minor"/>
      </rPr>
      <t>bera</t>
    </r>
  </si>
  <si>
    <r>
      <t>P</t>
    </r>
    <r>
      <rPr>
        <sz val="8"/>
        <color rgb="FF2E2630"/>
        <rFont val="Calibri"/>
        <family val="2"/>
        <scheme val="minor"/>
      </rPr>
      <t>e</t>
    </r>
    <r>
      <rPr>
        <sz val="8"/>
        <color rgb="FF121013"/>
        <rFont val="Calibri"/>
        <family val="2"/>
        <scheme val="minor"/>
      </rPr>
      <t>r</t>
    </r>
    <r>
      <rPr>
        <sz val="8"/>
        <color rgb="FF2E2630"/>
        <rFont val="Calibri"/>
        <family val="2"/>
        <scheme val="minor"/>
      </rPr>
      <t>en</t>
    </r>
  </si>
  <si>
    <r>
      <t>Qu</t>
    </r>
    <r>
      <rPr>
        <sz val="8"/>
        <color rgb="FF121015"/>
        <rFont val="Calibri"/>
        <family val="2"/>
        <scheme val="minor"/>
      </rPr>
      <t>ill</t>
    </r>
    <r>
      <rPr>
        <sz val="8"/>
        <color rgb="FF2F2631"/>
        <rFont val="Calibri"/>
        <family val="2"/>
        <scheme val="minor"/>
      </rPr>
      <t>a</t>
    </r>
    <r>
      <rPr>
        <sz val="8"/>
        <color rgb="FF121015"/>
        <rFont val="Calibri"/>
        <family val="2"/>
        <scheme val="minor"/>
      </rPr>
      <t>t</t>
    </r>
    <r>
      <rPr>
        <sz val="8"/>
        <color rgb="FF2F2631"/>
        <rFont val="Calibri"/>
        <family val="2"/>
        <scheme val="minor"/>
      </rPr>
      <t>he</t>
    </r>
  </si>
  <si>
    <t>Duagloth</t>
  </si>
  <si>
    <t>Chadra</t>
  </si>
  <si>
    <t>Dyrr</t>
  </si>
  <si>
    <t>Warryn</t>
  </si>
  <si>
    <t>Waywocket</t>
  </si>
  <si>
    <t>Weary</t>
  </si>
  <si>
    <r>
      <t>Ta</t>
    </r>
    <r>
      <rPr>
        <sz val="8"/>
        <color rgb="FF141216"/>
        <rFont val="Calibri"/>
        <family val="2"/>
        <scheme val="minor"/>
      </rPr>
      <t>k</t>
    </r>
    <r>
      <rPr>
        <sz val="8"/>
        <color rgb="FF2D2530"/>
        <rFont val="Calibri"/>
        <family val="2"/>
        <scheme val="minor"/>
      </rPr>
      <t>li</t>
    </r>
    <r>
      <rPr>
        <sz val="8"/>
        <color rgb="FF141216"/>
        <rFont val="Calibri"/>
        <family val="2"/>
        <scheme val="minor"/>
      </rPr>
      <t>n</t>
    </r>
    <r>
      <rPr>
        <sz val="8"/>
        <color rgb="FF2D2530"/>
        <rFont val="Calibri"/>
        <family val="2"/>
        <scheme val="minor"/>
      </rPr>
      <t>n</t>
    </r>
  </si>
  <si>
    <r>
      <t>T</t>
    </r>
    <r>
      <rPr>
        <sz val="8"/>
        <color rgb="FF2D2530"/>
        <rFont val="Calibri"/>
        <family val="2"/>
        <scheme val="minor"/>
      </rPr>
      <t>or</t>
    </r>
    <r>
      <rPr>
        <sz val="8"/>
        <color rgb="FF443B4D"/>
        <rFont val="Calibri"/>
        <family val="2"/>
        <scheme val="minor"/>
      </rPr>
      <t>g</t>
    </r>
    <r>
      <rPr>
        <sz val="8"/>
        <color rgb="FF2D2530"/>
        <rFont val="Calibri"/>
        <family val="2"/>
        <scheme val="minor"/>
      </rPr>
      <t>ga</t>
    </r>
  </si>
  <si>
    <r>
      <t>Qua</t>
    </r>
    <r>
      <rPr>
        <sz val="8"/>
        <color rgb="FF121013"/>
        <rFont val="Calibri"/>
        <family val="2"/>
        <scheme val="minor"/>
      </rPr>
      <t>ri</t>
    </r>
    <r>
      <rPr>
        <sz val="8"/>
        <color rgb="FF453C4D"/>
        <rFont val="Calibri"/>
        <family val="2"/>
        <scheme val="minor"/>
      </rPr>
      <t>o</t>
    </r>
    <r>
      <rPr>
        <sz val="8"/>
        <color rgb="FF121013"/>
        <rFont val="Calibri"/>
        <family val="2"/>
        <scheme val="minor"/>
      </rPr>
      <t>n</t>
    </r>
  </si>
  <si>
    <t>Sariel</t>
  </si>
  <si>
    <t>Durdyn</t>
  </si>
  <si>
    <t>Chadzina</t>
  </si>
  <si>
    <t>Elpragh</t>
  </si>
  <si>
    <t>Wrenn</t>
  </si>
  <si>
    <t>Zanna</t>
  </si>
  <si>
    <r>
      <t>T</t>
    </r>
    <r>
      <rPr>
        <sz val="8"/>
        <color rgb="FF2D2530"/>
        <rFont val="Calibri"/>
        <family val="2"/>
        <scheme val="minor"/>
      </rPr>
      <t>hora</t>
    </r>
    <r>
      <rPr>
        <sz val="8"/>
        <color rgb="FF141216"/>
        <rFont val="Calibri"/>
        <family val="2"/>
        <scheme val="minor"/>
      </rPr>
      <t>d</t>
    </r>
    <r>
      <rPr>
        <sz val="8"/>
        <color rgb="FF2D2530"/>
        <rFont val="Calibri"/>
        <family val="2"/>
        <scheme val="minor"/>
      </rPr>
      <t>i</t>
    </r>
    <r>
      <rPr>
        <sz val="8"/>
        <color rgb="FF141216"/>
        <rFont val="Calibri"/>
        <family val="2"/>
        <scheme val="minor"/>
      </rPr>
      <t>n</t>
    </r>
  </si>
  <si>
    <r>
      <t>Vi</t>
    </r>
    <r>
      <rPr>
        <sz val="8"/>
        <color rgb="FF443B4D"/>
        <rFont val="Calibri"/>
        <family val="2"/>
        <scheme val="minor"/>
      </rPr>
      <t>s</t>
    </r>
    <r>
      <rPr>
        <sz val="8"/>
        <color rgb="FF141216"/>
        <rFont val="Calibri"/>
        <family val="2"/>
        <scheme val="minor"/>
      </rPr>
      <t>tr</t>
    </r>
    <r>
      <rPr>
        <sz val="8"/>
        <color rgb="FF2D2530"/>
        <rFont val="Calibri"/>
        <family val="2"/>
        <scheme val="minor"/>
      </rPr>
      <t>a</t>
    </r>
  </si>
  <si>
    <t>Riardol</t>
  </si>
  <si>
    <r>
      <t>Shanair</t>
    </r>
    <r>
      <rPr>
        <sz val="8"/>
        <color rgb="FF121015"/>
        <rFont val="Calibri"/>
        <family val="2"/>
        <scheme val="minor"/>
      </rPr>
      <t>r</t>
    </r>
    <r>
      <rPr>
        <sz val="8"/>
        <color rgb="FF2F2631"/>
        <rFont val="Calibri"/>
        <family val="2"/>
        <scheme val="minor"/>
      </rPr>
      <t>a</t>
    </r>
  </si>
  <si>
    <t>Elamshin</t>
  </si>
  <si>
    <t>Chalithra</t>
  </si>
  <si>
    <t>Zook</t>
  </si>
  <si>
    <r>
      <t>T</t>
    </r>
    <r>
      <rPr>
        <sz val="8"/>
        <color rgb="FF141216"/>
        <rFont val="Calibri"/>
        <family val="2"/>
        <scheme val="minor"/>
      </rPr>
      <t>h</t>
    </r>
    <r>
      <rPr>
        <sz val="8"/>
        <color rgb="FF2D2530"/>
        <rFont val="Calibri"/>
        <family val="2"/>
        <scheme val="minor"/>
      </rPr>
      <t>orin</t>
    </r>
  </si>
  <si>
    <r>
      <t>R</t>
    </r>
    <r>
      <rPr>
        <sz val="8"/>
        <color rgb="FF453C4D"/>
        <rFont val="Calibri"/>
        <family val="2"/>
        <scheme val="minor"/>
      </rPr>
      <t>o</t>
    </r>
    <r>
      <rPr>
        <sz val="8"/>
        <color rgb="FF2E2630"/>
        <rFont val="Calibri"/>
        <family val="2"/>
        <scheme val="minor"/>
      </rPr>
      <t>le</t>
    </r>
    <r>
      <rPr>
        <sz val="8"/>
        <color rgb="FF121013"/>
        <rFont val="Calibri"/>
        <family val="2"/>
        <scheme val="minor"/>
      </rPr>
      <t>n</t>
    </r>
  </si>
  <si>
    <r>
      <t>S</t>
    </r>
    <r>
      <rPr>
        <sz val="8"/>
        <color rgb="FF121015"/>
        <rFont val="Calibri"/>
        <family val="2"/>
        <scheme val="minor"/>
      </rPr>
      <t>h</t>
    </r>
    <r>
      <rPr>
        <sz val="8"/>
        <color rgb="FF2F2631"/>
        <rFont val="Calibri"/>
        <family val="2"/>
        <scheme val="minor"/>
      </rPr>
      <t>ava</t>
    </r>
  </si>
  <si>
    <t>Elendar</t>
  </si>
  <si>
    <t>Chandara</t>
  </si>
  <si>
    <t>Faertala</t>
  </si>
  <si>
    <r>
      <t>T</t>
    </r>
    <r>
      <rPr>
        <sz val="8"/>
        <color rgb="FF443B4D"/>
        <rFont val="Calibri"/>
        <family val="2"/>
        <scheme val="minor"/>
      </rPr>
      <t>o</t>
    </r>
    <r>
      <rPr>
        <sz val="8"/>
        <color rgb="FF2D2530"/>
        <rFont val="Calibri"/>
        <family val="2"/>
        <scheme val="minor"/>
      </rPr>
      <t>rde</t>
    </r>
    <r>
      <rPr>
        <sz val="8"/>
        <color rgb="FF141216"/>
        <rFont val="Calibri"/>
        <family val="2"/>
        <scheme val="minor"/>
      </rPr>
      <t>k</t>
    </r>
  </si>
  <si>
    <r>
      <t>Sove</t>
    </r>
    <r>
      <rPr>
        <sz val="8"/>
        <color rgb="FF121013"/>
        <rFont val="Calibri"/>
        <family val="2"/>
        <scheme val="minor"/>
      </rPr>
      <t>li</t>
    </r>
    <r>
      <rPr>
        <sz val="8"/>
        <color rgb="FF453C4D"/>
        <rFont val="Calibri"/>
        <family val="2"/>
        <scheme val="minor"/>
      </rPr>
      <t>ss</t>
    </r>
  </si>
  <si>
    <r>
      <t>S</t>
    </r>
    <r>
      <rPr>
        <sz val="8"/>
        <color rgb="FF121015"/>
        <rFont val="Calibri"/>
        <family val="2"/>
        <scheme val="minor"/>
      </rPr>
      <t>il</t>
    </r>
    <r>
      <rPr>
        <sz val="8"/>
        <color rgb="FF2F2631"/>
        <rFont val="Calibri"/>
        <family val="2"/>
        <scheme val="minor"/>
      </rPr>
      <t>aq</t>
    </r>
    <r>
      <rPr>
        <sz val="8"/>
        <color rgb="FF121015"/>
        <rFont val="Calibri"/>
        <family val="2"/>
        <scheme val="minor"/>
      </rPr>
      <t>u</t>
    </r>
    <r>
      <rPr>
        <sz val="8"/>
        <color rgb="FF2F2631"/>
        <rFont val="Calibri"/>
        <family val="2"/>
        <scheme val="minor"/>
      </rPr>
      <t>i</t>
    </r>
    <r>
      <rPr>
        <sz val="8"/>
        <color rgb="FF564A58"/>
        <rFont val="Calibri"/>
        <family val="2"/>
        <scheme val="minor"/>
      </rPr>
      <t>,</t>
    </r>
  </si>
  <si>
    <t>Elkantar</t>
  </si>
  <si>
    <t>Chardalyn</t>
  </si>
  <si>
    <t>Filifar</t>
  </si>
  <si>
    <r>
      <t>T</t>
    </r>
    <r>
      <rPr>
        <sz val="8"/>
        <color rgb="FF2D2530"/>
        <rFont val="Calibri"/>
        <family val="2"/>
        <scheme val="minor"/>
      </rPr>
      <t>raubon</t>
    </r>
  </si>
  <si>
    <r>
      <t>T</t>
    </r>
    <r>
      <rPr>
        <sz val="8"/>
        <color rgb="FF2E2630"/>
        <rFont val="Calibri"/>
        <family val="2"/>
        <scheme val="minor"/>
      </rPr>
      <t>ham</t>
    </r>
    <r>
      <rPr>
        <sz val="8"/>
        <color rgb="FF121013"/>
        <rFont val="Calibri"/>
        <family val="2"/>
        <scheme val="minor"/>
      </rPr>
      <t>i</t>
    </r>
    <r>
      <rPr>
        <sz val="8"/>
        <color rgb="FF453C4D"/>
        <rFont val="Calibri"/>
        <family val="2"/>
        <scheme val="minor"/>
      </rPr>
      <t>o</t>
    </r>
    <r>
      <rPr>
        <sz val="8"/>
        <color rgb="FF121013"/>
        <rFont val="Calibri"/>
        <family val="2"/>
        <scheme val="minor"/>
      </rPr>
      <t>r</t>
    </r>
  </si>
  <si>
    <r>
      <t>T</t>
    </r>
    <r>
      <rPr>
        <sz val="8"/>
        <color rgb="FF2F2631"/>
        <rFont val="Calibri"/>
        <family val="2"/>
        <scheme val="minor"/>
      </rPr>
      <t>heiras</t>
    </r>
    <r>
      <rPr>
        <sz val="8"/>
        <color rgb="FF121015"/>
        <rFont val="Calibri"/>
        <family val="2"/>
        <scheme val="minor"/>
      </rPr>
      <t>tr</t>
    </r>
    <r>
      <rPr>
        <sz val="8"/>
        <color rgb="FF2F2631"/>
        <rFont val="Calibri"/>
        <family val="2"/>
        <scheme val="minor"/>
      </rPr>
      <t>a</t>
    </r>
  </si>
  <si>
    <t>Filraen</t>
  </si>
  <si>
    <t>Charinida</t>
  </si>
  <si>
    <t>Gallaer</t>
  </si>
  <si>
    <r>
      <t>T</t>
    </r>
    <r>
      <rPr>
        <sz val="8"/>
        <color rgb="FF2D2530"/>
        <rFont val="Calibri"/>
        <family val="2"/>
        <scheme val="minor"/>
      </rPr>
      <t>ravok</t>
    </r>
  </si>
  <si>
    <r>
      <t>T</t>
    </r>
    <r>
      <rPr>
        <sz val="8"/>
        <color rgb="FF2E2630"/>
        <rFont val="Calibri"/>
        <family val="2"/>
        <scheme val="minor"/>
      </rPr>
      <t>harivo</t>
    </r>
    <r>
      <rPr>
        <sz val="8"/>
        <color rgb="FF121013"/>
        <rFont val="Calibri"/>
        <family val="2"/>
        <scheme val="minor"/>
      </rPr>
      <t>l</t>
    </r>
  </si>
  <si>
    <r>
      <t>T</t>
    </r>
    <r>
      <rPr>
        <sz val="8"/>
        <color rgb="FF121015"/>
        <rFont val="Calibri"/>
        <family val="2"/>
        <scheme val="minor"/>
      </rPr>
      <t>h</t>
    </r>
    <r>
      <rPr>
        <sz val="8"/>
        <color rgb="FF2F2631"/>
        <rFont val="Calibri"/>
        <family val="2"/>
        <scheme val="minor"/>
      </rPr>
      <t>ia</t>
    </r>
  </si>
  <si>
    <t>Ghaundan</t>
  </si>
  <si>
    <t>Charlindra</t>
  </si>
  <si>
    <t>Glannath</t>
  </si>
  <si>
    <r>
      <t>U</t>
    </r>
    <r>
      <rPr>
        <sz val="8"/>
        <color rgb="FF141216"/>
        <rFont val="Calibri"/>
        <family val="2"/>
        <scheme val="minor"/>
      </rPr>
      <t>lf</t>
    </r>
    <r>
      <rPr>
        <sz val="8"/>
        <color rgb="FF443B4D"/>
        <rFont val="Calibri"/>
        <family val="2"/>
        <scheme val="minor"/>
      </rPr>
      <t>g</t>
    </r>
    <r>
      <rPr>
        <sz val="8"/>
        <color rgb="FF2D2530"/>
        <rFont val="Calibri"/>
        <family val="2"/>
        <scheme val="minor"/>
      </rPr>
      <t>ar</t>
    </r>
  </si>
  <si>
    <r>
      <t>T</t>
    </r>
    <r>
      <rPr>
        <sz val="8"/>
        <color rgb="FF121013"/>
        <rFont val="Calibri"/>
        <family val="2"/>
        <scheme val="minor"/>
      </rPr>
      <t>h</t>
    </r>
    <r>
      <rPr>
        <sz val="8"/>
        <color rgb="FF2E2630"/>
        <rFont val="Calibri"/>
        <family val="2"/>
        <scheme val="minor"/>
      </rPr>
      <t>e</t>
    </r>
    <r>
      <rPr>
        <sz val="8"/>
        <color rgb="FF121013"/>
        <rFont val="Calibri"/>
        <family val="2"/>
        <scheme val="minor"/>
      </rPr>
      <t>r</t>
    </r>
    <r>
      <rPr>
        <sz val="8"/>
        <color rgb="FF2E2630"/>
        <rFont val="Calibri"/>
        <family val="2"/>
        <scheme val="minor"/>
      </rPr>
      <t>en</t>
    </r>
  </si>
  <si>
    <t>Vadania</t>
  </si>
  <si>
    <t>Ghaundar</t>
  </si>
  <si>
    <t>Chenzira</t>
  </si>
  <si>
    <t>Glaurach</t>
  </si>
  <si>
    <r>
      <t>Ve</t>
    </r>
    <r>
      <rPr>
        <sz val="8"/>
        <color rgb="FF141216"/>
        <rFont val="Calibri"/>
        <family val="2"/>
        <scheme val="minor"/>
      </rPr>
      <t>it</t>
    </r>
  </si>
  <si>
    <r>
      <t>Vari</t>
    </r>
    <r>
      <rPr>
        <sz val="8"/>
        <color rgb="FF453C4D"/>
        <rFont val="Calibri"/>
        <family val="2"/>
        <scheme val="minor"/>
      </rPr>
      <t>s</t>
    </r>
  </si>
  <si>
    <t>Valanthe</t>
  </si>
  <si>
    <t>Guldor</t>
  </si>
  <si>
    <t>Chessintra</t>
  </si>
  <si>
    <t>Helviiryn</t>
  </si>
  <si>
    <r>
      <t>V</t>
    </r>
    <r>
      <rPr>
        <sz val="8"/>
        <color rgb="FF443B4D"/>
        <rFont val="Calibri"/>
        <family val="2"/>
        <scheme val="minor"/>
      </rPr>
      <t>o</t>
    </r>
    <r>
      <rPr>
        <sz val="8"/>
        <color rgb="FF141216"/>
        <rFont val="Calibri"/>
        <family val="2"/>
        <scheme val="minor"/>
      </rPr>
      <t>n</t>
    </r>
    <r>
      <rPr>
        <sz val="8"/>
        <color rgb="FF2D2530"/>
        <rFont val="Calibri"/>
        <family val="2"/>
        <scheme val="minor"/>
      </rPr>
      <t>da</t>
    </r>
    <r>
      <rPr>
        <sz val="8"/>
        <color rgb="FF141216"/>
        <rFont val="Calibri"/>
        <family val="2"/>
        <scheme val="minor"/>
      </rPr>
      <t>l</t>
    </r>
  </si>
  <si>
    <r>
      <t>Xa</t>
    </r>
    <r>
      <rPr>
        <sz val="8"/>
        <color rgb="FF121015"/>
        <rFont val="Calibri"/>
        <family val="2"/>
        <scheme val="minor"/>
      </rPr>
      <t>n</t>
    </r>
    <r>
      <rPr>
        <sz val="8"/>
        <color rgb="FF2F2631"/>
        <rFont val="Calibri"/>
        <family val="2"/>
        <scheme val="minor"/>
      </rPr>
      <t>a</t>
    </r>
    <r>
      <rPr>
        <sz val="8"/>
        <color rgb="FF121015"/>
        <rFont val="Calibri"/>
        <family val="2"/>
        <scheme val="minor"/>
      </rPr>
      <t>p</t>
    </r>
    <r>
      <rPr>
        <sz val="8"/>
        <color rgb="FF2F2631"/>
        <rFont val="Calibri"/>
        <family val="2"/>
        <scheme val="minor"/>
      </rPr>
      <t>h</t>
    </r>
    <r>
      <rPr>
        <sz val="8"/>
        <color rgb="FF121015"/>
        <rFont val="Calibri"/>
        <family val="2"/>
        <scheme val="minor"/>
      </rPr>
      <t>i</t>
    </r>
    <r>
      <rPr>
        <sz val="8"/>
        <color rgb="FF2F2631"/>
        <rFont val="Calibri"/>
        <family val="2"/>
        <scheme val="minor"/>
      </rPr>
      <t>a</t>
    </r>
  </si>
  <si>
    <t>Dhaunae</t>
  </si>
  <si>
    <t>Hune</t>
  </si>
  <si>
    <t>Gwylyss</t>
  </si>
  <si>
    <t>Dilynrae</t>
  </si>
  <si>
    <t>Hunzrin</t>
  </si>
  <si>
    <t>Hadrogh</t>
  </si>
  <si>
    <t>Drada</t>
  </si>
  <si>
    <t>Hyluan</t>
  </si>
  <si>
    <t>Hatch'net</t>
  </si>
  <si>
    <t>Drisinil</t>
  </si>
  <si>
    <t>Icharyd</t>
  </si>
  <si>
    <t>Honemmeth</t>
  </si>
  <si>
    <t>Eclavdra</t>
  </si>
  <si>
    <t>Ilaleztice</t>
  </si>
  <si>
    <t>Houndaer</t>
  </si>
  <si>
    <t>Elerra</t>
  </si>
  <si>
    <t>Illistyn</t>
  </si>
  <si>
    <t>Ildan</t>
  </si>
  <si>
    <t>Elvanshalee</t>
  </si>
  <si>
    <t>Illykur</t>
  </si>
  <si>
    <t>Ilmryn</t>
  </si>
  <si>
    <t>Elvraema</t>
  </si>
  <si>
    <t>Jhalavar</t>
  </si>
  <si>
    <t>Ilphrin</t>
  </si>
  <si>
    <t>Erakasyne</t>
  </si>
  <si>
    <t>Jusztiirn</t>
  </si>
  <si>
    <t>Imbros</t>
  </si>
  <si>
    <t>Ereldra</t>
  </si>
  <si>
    <t>Keteeruae</t>
  </si>
  <si>
    <t>Irennan</t>
  </si>
  <si>
    <t>Faeryl</t>
  </si>
  <si>
    <t>Khalazza</t>
  </si>
  <si>
    <t>Istolil</t>
  </si>
  <si>
    <t>Felyndiira</t>
  </si>
  <si>
    <t>Istorvir</t>
  </si>
  <si>
    <t>Kront'tane</t>
  </si>
  <si>
    <t>Iymril</t>
  </si>
  <si>
    <t>Filfaere</t>
  </si>
  <si>
    <t>Lhalabar</t>
  </si>
  <si>
    <t>Jaezred</t>
  </si>
  <si>
    <t>G'eldriia</t>
  </si>
  <si>
    <t>Lueltar</t>
  </si>
  <si>
    <t>Jalynfein</t>
  </si>
  <si>
    <t>Gaussra</t>
  </si>
  <si>
    <t>Mizzrym</t>
  </si>
  <si>
    <t>Jeggred</t>
  </si>
  <si>
    <t>Ghilanna</t>
  </si>
  <si>
    <t>Mlezziir</t>
  </si>
  <si>
    <t>Jevan</t>
  </si>
  <si>
    <t>Greyanna</t>
  </si>
  <si>
    <t>Naerth</t>
  </si>
  <si>
    <t>Jhaamdath</t>
  </si>
  <si>
    <t>Gurina</t>
  </si>
  <si>
    <t>Nirinath</t>
  </si>
  <si>
    <t>Jhaldrym</t>
  </si>
  <si>
    <t>Haelra</t>
  </si>
  <si>
    <t>Olonrae</t>
  </si>
  <si>
    <t>Jivvin</t>
  </si>
  <si>
    <t>Halisstra</t>
  </si>
  <si>
    <t>Omriwin</t>
  </si>
  <si>
    <t>Jyslin</t>
  </si>
  <si>
    <t>Ilharess</t>
  </si>
  <si>
    <t>Philiom</t>
  </si>
  <si>
    <t>K'yorl</t>
  </si>
  <si>
    <t>Ilivarrra</t>
  </si>
  <si>
    <t>Quavein</t>
  </si>
  <si>
    <t>Kalannar</t>
  </si>
  <si>
    <t>Ilmra</t>
  </si>
  <si>
    <t>Rhomduil</t>
  </si>
  <si>
    <t>Kethan</t>
  </si>
  <si>
    <t>Imrae</t>
  </si>
  <si>
    <t>Rrostarr</t>
  </si>
  <si>
    <t>Kluthruel</t>
  </si>
  <si>
    <t>Jaelryn</t>
  </si>
  <si>
    <t>Seerear</t>
  </si>
  <si>
    <t>Kophyn</t>
  </si>
  <si>
    <t>Jezzara</t>
  </si>
  <si>
    <t>Ssambra</t>
  </si>
  <si>
    <t>Krenaste</t>
  </si>
  <si>
    <t>Jhaelryna</t>
  </si>
  <si>
    <t>T'orgh</t>
  </si>
  <si>
    <t>Krondorl</t>
  </si>
  <si>
    <t>Jhaelrynna</t>
  </si>
  <si>
    <t>T'sarran</t>
  </si>
  <si>
    <t>Kyorlin</t>
  </si>
  <si>
    <t>Jhalass</t>
  </si>
  <si>
    <t>Tanor'Thal</t>
  </si>
  <si>
    <t>Lesaonar</t>
  </si>
  <si>
    <t>Jhangara</t>
  </si>
  <si>
    <t>Telenna</t>
  </si>
  <si>
    <t>Lirdnolu</t>
  </si>
  <si>
    <t>Jhanniss</t>
  </si>
  <si>
    <t>Tlin'orzza</t>
  </si>
  <si>
    <t>Llaulmyn</t>
  </si>
  <si>
    <t>Jhulae</t>
  </si>
  <si>
    <t>Tlintarn</t>
  </si>
  <si>
    <t>Malaggar</t>
  </si>
  <si>
    <t>Khaless</t>
  </si>
  <si>
    <t>Tuin</t>
  </si>
  <si>
    <t>Micarlin</t>
  </si>
  <si>
    <t>Kiaran</t>
  </si>
  <si>
    <t>Uloavae</t>
  </si>
  <si>
    <t>Minolin</t>
  </si>
  <si>
    <t>Laele</t>
  </si>
  <si>
    <t>Vrammyr</t>
  </si>
  <si>
    <t>Molvayas</t>
  </si>
  <si>
    <t>Vrinn</t>
  </si>
  <si>
    <t>Morennel</t>
  </si>
  <si>
    <t>Larynda</t>
  </si>
  <si>
    <t>Waeglossz</t>
  </si>
  <si>
    <t>Nadal</t>
  </si>
  <si>
    <t>LiNeerlay</t>
  </si>
  <si>
    <t>Xiltyn</t>
  </si>
  <si>
    <t>Nalfein</t>
  </si>
  <si>
    <t>Lledrith</t>
  </si>
  <si>
    <t>Yauntyrr</t>
  </si>
  <si>
    <t>Narissorin</t>
  </si>
  <si>
    <t>Llolfaen</t>
  </si>
  <si>
    <t>Yauthlo</t>
  </si>
  <si>
    <t>Narlros</t>
  </si>
  <si>
    <t>Lualyrr</t>
  </si>
  <si>
    <t>Yril'Lysaen</t>
  </si>
  <si>
    <t>Nilonim</t>
  </si>
  <si>
    <t>Lythrana</t>
  </si>
  <si>
    <t>Zaphresz</t>
  </si>
  <si>
    <t>Nimruil</t>
  </si>
  <si>
    <t>Malice</t>
  </si>
  <si>
    <t>Zauviir</t>
  </si>
  <si>
    <t>Numrini'th</t>
  </si>
  <si>
    <t>Maya</t>
  </si>
  <si>
    <t>Zolond</t>
  </si>
  <si>
    <t>Nyloth</t>
  </si>
  <si>
    <t>Menzoberra</t>
  </si>
  <si>
    <t>Nym</t>
  </si>
  <si>
    <t>Mez'Barris</t>
  </si>
  <si>
    <t>Omareth</t>
  </si>
  <si>
    <t>Orgoloth</t>
  </si>
  <si>
    <t>Miz'ri</t>
  </si>
  <si>
    <t>Ornaryn</t>
  </si>
  <si>
    <t>Pharaun</t>
  </si>
  <si>
    <t>Myrymma</t>
  </si>
  <si>
    <t>Pharius</t>
  </si>
  <si>
    <t>Narcelia</t>
  </si>
  <si>
    <t>Quave</t>
  </si>
  <si>
    <t>Nathrae</t>
  </si>
  <si>
    <t>Quendar</t>
  </si>
  <si>
    <t>Nedylene</t>
  </si>
  <si>
    <t>Quenthel</t>
  </si>
  <si>
    <t>Nendra</t>
  </si>
  <si>
    <t>Quevven</t>
  </si>
  <si>
    <t>Nizana</t>
  </si>
  <si>
    <t>Ranaghar</t>
  </si>
  <si>
    <t>Nulliira</t>
  </si>
  <si>
    <t>Relonor</t>
  </si>
  <si>
    <t>Olorae</t>
  </si>
  <si>
    <t>Riklaunim</t>
  </si>
  <si>
    <t>Pellanistra</t>
  </si>
  <si>
    <t>Rinnill</t>
  </si>
  <si>
    <t>Phaere</t>
  </si>
  <si>
    <t>Ristel</t>
  </si>
  <si>
    <t>Phyrra</t>
  </si>
  <si>
    <t>Ruathym</t>
  </si>
  <si>
    <t>Qilue</t>
  </si>
  <si>
    <t>Ryld</t>
  </si>
  <si>
    <t>Quarra</t>
  </si>
  <si>
    <t>Ryltar</t>
  </si>
  <si>
    <t>Rauva</t>
  </si>
  <si>
    <t>Sabal</t>
  </si>
  <si>
    <t>Rilrae</t>
  </si>
  <si>
    <t>Selakiir</t>
  </si>
  <si>
    <t>Sabrae</t>
  </si>
  <si>
    <t>Seldszar</t>
  </si>
  <si>
    <t>Saradreza</t>
  </si>
  <si>
    <t>Sassandra</t>
  </si>
  <si>
    <t>Sengo</t>
  </si>
  <si>
    <t>Schezalle</t>
  </si>
  <si>
    <t>Solaufein</t>
  </si>
  <si>
    <t>Shimyra</t>
  </si>
  <si>
    <t>Sorn</t>
  </si>
  <si>
    <t>ShriNeerune</t>
  </si>
  <si>
    <t>Syrdar</t>
  </si>
  <si>
    <t>Shulvallriel</t>
  </si>
  <si>
    <t>Szordrin</t>
  </si>
  <si>
    <t>Shurdriira</t>
  </si>
  <si>
    <t>Taldinyon</t>
  </si>
  <si>
    <t>Shurraenil</t>
  </si>
  <si>
    <t>Tarlyn</t>
  </si>
  <si>
    <t>Shyntlara</t>
  </si>
  <si>
    <t>Tathlyn</t>
  </si>
  <si>
    <t>SiNafay</t>
  </si>
  <si>
    <t>Tazennin</t>
  </si>
  <si>
    <t>Sindyrrith</t>
  </si>
  <si>
    <t>Tebryn</t>
  </si>
  <si>
    <t>Solenzara</t>
  </si>
  <si>
    <t>Tolokoph</t>
  </si>
  <si>
    <t>Ssapriina</t>
  </si>
  <si>
    <t>Torrellan</t>
  </si>
  <si>
    <t>T'risstree</t>
  </si>
  <si>
    <t>Trelgath</t>
  </si>
  <si>
    <t>Talabrina</t>
  </si>
  <si>
    <t>Tsabrak</t>
  </si>
  <si>
    <t>Talice</t>
  </si>
  <si>
    <t>Urlryn</t>
  </si>
  <si>
    <t>Tallrene</t>
  </si>
  <si>
    <t>Valas</t>
  </si>
  <si>
    <t>Thalra</t>
  </si>
  <si>
    <t>Veldrin</t>
  </si>
  <si>
    <t>Thirza</t>
  </si>
  <si>
    <t>Velkyn</t>
  </si>
  <si>
    <t>Thraele</t>
  </si>
  <si>
    <t>Vhurdaer</t>
  </si>
  <si>
    <t>Triel</t>
  </si>
  <si>
    <t>Vhurindrar</t>
  </si>
  <si>
    <t>Ulitree</t>
  </si>
  <si>
    <t>Vielyn</t>
  </si>
  <si>
    <t>Ulviirala</t>
  </si>
  <si>
    <t>Vlondril</t>
  </si>
  <si>
    <t>Umrae</t>
  </si>
  <si>
    <t>Vorn</t>
  </si>
  <si>
    <t>Vuzlyn</t>
  </si>
  <si>
    <t>Urmelena</t>
  </si>
  <si>
    <t>Welverin</t>
  </si>
  <si>
    <t>Vhondryl</t>
  </si>
  <si>
    <t>Xarann</t>
  </si>
  <si>
    <t>Viconia</t>
  </si>
  <si>
    <t>Xundus</t>
  </si>
  <si>
    <t>Vierna</t>
  </si>
  <si>
    <t>Yazston</t>
  </si>
  <si>
    <t>Vornalla</t>
  </si>
  <si>
    <t>Yuimmar</t>
  </si>
  <si>
    <t>Waerva</t>
  </si>
  <si>
    <t>Zaknafein</t>
  </si>
  <si>
    <t>Wuyondra</t>
  </si>
  <si>
    <t>Zeerith</t>
  </si>
  <si>
    <t>Xalyth</t>
  </si>
  <si>
    <t>Zyn</t>
  </si>
  <si>
    <t>Xullrae</t>
  </si>
  <si>
    <t>Xune</t>
  </si>
  <si>
    <t>Yasrena</t>
  </si>
  <si>
    <t>Yvonnel</t>
  </si>
  <si>
    <t>Z'ress</t>
  </si>
  <si>
    <t>Zarra</t>
  </si>
  <si>
    <t>Zebeyana</t>
  </si>
  <si>
    <t>Zelpassa</t>
  </si>
  <si>
    <t>Zendalure</t>
  </si>
  <si>
    <t>Zesstra</t>
  </si>
  <si>
    <t>Zilvra</t>
  </si>
  <si>
    <t>Alert</t>
  </si>
  <si>
    <t>Athlete</t>
  </si>
  <si>
    <t>Actor</t>
  </si>
  <si>
    <t>Defensive Duelist</t>
  </si>
  <si>
    <t>Dungeon Delver</t>
  </si>
  <si>
    <t>Durable</t>
  </si>
  <si>
    <t>Elemental Adept</t>
  </si>
  <si>
    <t>Grappler</t>
  </si>
  <si>
    <t>Great Weapon Master</t>
  </si>
  <si>
    <t>Heavily Armored</t>
  </si>
  <si>
    <t>Heavy Armor Master</t>
  </si>
  <si>
    <t>Inspiring Leader</t>
  </si>
  <si>
    <t>Keen Mind</t>
  </si>
  <si>
    <t>Lightly Armored</t>
  </si>
  <si>
    <t>Linguist</t>
  </si>
  <si>
    <t>Lucky</t>
  </si>
  <si>
    <t>Mage Slayer</t>
  </si>
  <si>
    <t>Magic Initiate</t>
  </si>
  <si>
    <t>Martial Adept</t>
  </si>
  <si>
    <t>Medium Armor Master</t>
  </si>
  <si>
    <t>Mobile</t>
  </si>
  <si>
    <t>Moderately Armored</t>
  </si>
  <si>
    <t>Mounted Combatant</t>
  </si>
  <si>
    <t>Observant</t>
  </si>
  <si>
    <t>Polearm Master</t>
  </si>
  <si>
    <t>Resilient</t>
  </si>
  <si>
    <t>Ritual Caster</t>
  </si>
  <si>
    <t>Savage Attacker</t>
  </si>
  <si>
    <t>Sentinel</t>
  </si>
  <si>
    <t>Sharpshooter</t>
  </si>
  <si>
    <t>Shield Master</t>
  </si>
  <si>
    <t>Skilled</t>
  </si>
  <si>
    <t>Skulker</t>
  </si>
  <si>
    <t>Spell Sniper</t>
  </si>
  <si>
    <t>Tavern Brawler</t>
  </si>
  <si>
    <t>Tough</t>
  </si>
  <si>
    <t>War Caster</t>
  </si>
  <si>
    <t>Weapon Master</t>
  </si>
  <si>
    <t>Explorer's Pack</t>
  </si>
  <si>
    <t>Free Points</t>
  </si>
  <si>
    <t>Stonecunning</t>
  </si>
  <si>
    <t>Dwarven Armor Training</t>
  </si>
  <si>
    <t>Elf Weapon Training</t>
  </si>
  <si>
    <t>Halfling Nimbleness</t>
  </si>
  <si>
    <t>Naturally Stealthy</t>
  </si>
  <si>
    <t>Stout Resilience</t>
  </si>
  <si>
    <t>Gnome Cunning</t>
  </si>
  <si>
    <t>Natural Illusionist</t>
  </si>
  <si>
    <t>Speak with Small Beasts</t>
  </si>
  <si>
    <t>Artificer's Lore</t>
  </si>
  <si>
    <t>Tinker</t>
  </si>
  <si>
    <t>Keen Senses</t>
  </si>
  <si>
    <t>Racial Trait 5</t>
  </si>
  <si>
    <t>Relentless Endurance</t>
  </si>
  <si>
    <t>Savage Attacks</t>
  </si>
  <si>
    <t>Hellish Resistance</t>
  </si>
  <si>
    <t>Infernal Legacy</t>
  </si>
  <si>
    <t>Breath Weapon</t>
  </si>
  <si>
    <t>Damage Resistance</t>
  </si>
  <si>
    <t>Draconic Ancestry</t>
  </si>
  <si>
    <t>Drow Weapon Training</t>
  </si>
  <si>
    <t>Drow Magic</t>
  </si>
  <si>
    <t>Sun Sensitivity</t>
  </si>
  <si>
    <t>Class Skill</t>
  </si>
  <si>
    <t>Racial Skill</t>
  </si>
  <si>
    <t>Background Skill</t>
  </si>
  <si>
    <t>Free Skill</t>
  </si>
  <si>
    <t>Class skill points</t>
  </si>
  <si>
    <t>Main Class</t>
  </si>
  <si>
    <t>Выбранный класс</t>
  </si>
  <si>
    <t>ST Str</t>
  </si>
  <si>
    <t>ST Dex</t>
  </si>
  <si>
    <t>ST Con</t>
  </si>
  <si>
    <t>ST Int</t>
  </si>
  <si>
    <t>ST Wis</t>
  </si>
  <si>
    <t>ST Cha</t>
  </si>
  <si>
    <t>Mod</t>
  </si>
  <si>
    <t>Prof</t>
  </si>
  <si>
    <t>Skills</t>
  </si>
  <si>
    <t>Abilites</t>
  </si>
  <si>
    <t>Base Information</t>
  </si>
  <si>
    <t>Personality Characteristics</t>
  </si>
  <si>
    <t>Class Traits</t>
  </si>
  <si>
    <t>Total</t>
  </si>
  <si>
    <t>Class Specialty Name</t>
  </si>
  <si>
    <t>College of</t>
  </si>
  <si>
    <t>Path of</t>
  </si>
  <si>
    <t>Domain of</t>
  </si>
  <si>
    <t>Circle</t>
  </si>
  <si>
    <t>Martial Archetype</t>
  </si>
  <si>
    <t>Oath of</t>
  </si>
  <si>
    <t>Tradition of</t>
  </si>
  <si>
    <t>Ranger Archetype</t>
  </si>
  <si>
    <t>Rogue Archetype</t>
  </si>
  <si>
    <t>Power Source</t>
  </si>
  <si>
    <t>Pact of</t>
  </si>
  <si>
    <t>Total LVL</t>
  </si>
  <si>
    <t>ST1</t>
  </si>
  <si>
    <t>ST2</t>
  </si>
  <si>
    <t>Saving Throw 1</t>
  </si>
  <si>
    <t>Saving Throw 2</t>
  </si>
  <si>
    <t>JoT</t>
  </si>
  <si>
    <t>Expert</t>
  </si>
  <si>
    <t>total</t>
  </si>
  <si>
    <t>misc</t>
  </si>
  <si>
    <t>prof</t>
  </si>
  <si>
    <t>mod</t>
  </si>
  <si>
    <t>Unarmored Defense (Wis)</t>
  </si>
  <si>
    <t>Unarmored Defense (Con)</t>
  </si>
  <si>
    <t>Improved Ability Score</t>
  </si>
  <si>
    <t>Rage</t>
  </si>
  <si>
    <t>Bardic Inspiration (d6)</t>
  </si>
  <si>
    <t>Divine Domain</t>
  </si>
  <si>
    <t>Druidic language</t>
  </si>
  <si>
    <t>Second Wind</t>
  </si>
  <si>
    <t>Martial Arts</t>
  </si>
  <si>
    <t>Lay on Hands</t>
  </si>
  <si>
    <t>Divine Sense</t>
  </si>
  <si>
    <t>Natural Explorer</t>
  </si>
  <si>
    <t>Favored Enemy</t>
  </si>
  <si>
    <t>Expertise</t>
  </si>
  <si>
    <t>Sneak Attack</t>
  </si>
  <si>
    <t>Thieves' Cant</t>
  </si>
  <si>
    <t>Sorcerous Origin</t>
  </si>
  <si>
    <t>Otherworldly Patron</t>
  </si>
  <si>
    <t>Pact Magic</t>
  </si>
  <si>
    <t>Arcane Recovery</t>
  </si>
  <si>
    <t>Danger Sense</t>
  </si>
  <si>
    <t>Reckless Attack</t>
  </si>
  <si>
    <t>Channel Divinity (1/rest)</t>
  </si>
  <si>
    <t>Divine Domain feature</t>
  </si>
  <si>
    <t>Wild Shape</t>
  </si>
  <si>
    <t>Druid Circle</t>
  </si>
  <si>
    <t>Unarmored Movement</t>
  </si>
  <si>
    <t>Divine Smite'</t>
  </si>
  <si>
    <t>You have disadvantage when you use a lance to attack a target within 5 feet of you. Also, a lance requires two hands to wield when you aren’t mounted.</t>
  </si>
  <si>
    <t xml:space="preserve">Large or smaller creature hit by a net is restrained until it is freed. A net has no effect on creatures that are formless, or creatures that are Huge or larger. A creature can use its action to make a DC 10 Strength check, freeing itself or another creature within its reach on a success. Dealing 5 slashing damage to the net (AC 10) also frees the creature without harming it, ending the effect and destroying the net. </t>
  </si>
  <si>
    <t>When you use an action, bonus action, or reaction to attack with a net, you can make only one attack regardless of the number of attacks you can normally make</t>
  </si>
  <si>
    <t>Bonus Feat</t>
  </si>
  <si>
    <t>Spellcasting (Wiz)</t>
  </si>
  <si>
    <t>Spellcasting (Sor)</t>
  </si>
  <si>
    <t>Spellcasting (Pal)</t>
  </si>
  <si>
    <t>Spellcasting (Rng)</t>
  </si>
  <si>
    <t>Spellcasting (EK)</t>
  </si>
  <si>
    <t>Spellcasting (AT)</t>
  </si>
  <si>
    <t>Spellcasting (Warlock)</t>
  </si>
  <si>
    <t>Spellcasting (Divine)</t>
  </si>
  <si>
    <t>Fighting Style (f)</t>
  </si>
  <si>
    <t>Fighting Style (p)</t>
  </si>
  <si>
    <t>Fighting Style (r)</t>
  </si>
  <si>
    <t>Jack of Trades</t>
  </si>
  <si>
    <t>Cantrips</t>
  </si>
  <si>
    <t>Known</t>
  </si>
  <si>
    <t>Slots</t>
  </si>
  <si>
    <t>Number of Uses</t>
  </si>
  <si>
    <t>Bardic Inspiration</t>
  </si>
  <si>
    <t>Song of Rest</t>
  </si>
  <si>
    <t>Channel Divinity</t>
  </si>
  <si>
    <t>Beast Shape Max. CR</t>
  </si>
  <si>
    <t>Moon Shape Max. CR</t>
  </si>
  <si>
    <t>Limitations</t>
  </si>
  <si>
    <t>1/4</t>
  </si>
  <si>
    <t>No Flying/Swimming</t>
  </si>
  <si>
    <t>1/2</t>
  </si>
  <si>
    <t>No Flying</t>
  </si>
  <si>
    <t>Action Surge</t>
  </si>
  <si>
    <t>Indomitable</t>
  </si>
  <si>
    <t>Ki</t>
  </si>
  <si>
    <t>Movement</t>
  </si>
  <si>
    <t>10ft</t>
  </si>
  <si>
    <t>15ft</t>
  </si>
  <si>
    <t>20ft</t>
  </si>
  <si>
    <t>25ft</t>
  </si>
  <si>
    <t>30ft</t>
  </si>
  <si>
    <t>3d6</t>
  </si>
  <si>
    <t>4d6</t>
  </si>
  <si>
    <t>5d6</t>
  </si>
  <si>
    <t>6d6</t>
  </si>
  <si>
    <t>7d6</t>
  </si>
  <si>
    <t>8d6</t>
  </si>
  <si>
    <t>9d6</t>
  </si>
  <si>
    <t>10d6</t>
  </si>
  <si>
    <t>Sorcery Points</t>
  </si>
  <si>
    <t>Invocations</t>
  </si>
  <si>
    <t>Slot Level</t>
  </si>
  <si>
    <t>Rages</t>
  </si>
  <si>
    <t>Rage Damage</t>
  </si>
  <si>
    <t>Brutal Critical</t>
  </si>
  <si>
    <t>+1</t>
  </si>
  <si>
    <t>+2</t>
  </si>
  <si>
    <t>+3</t>
  </si>
  <si>
    <t>Unlimited</t>
  </si>
  <si>
    <t>.</t>
  </si>
  <si>
    <t>Spell</t>
  </si>
  <si>
    <t>level</t>
  </si>
  <si>
    <t>Cast Time</t>
  </si>
  <si>
    <t>Components</t>
  </si>
  <si>
    <t>Duration</t>
  </si>
  <si>
    <t>Bard Spells</t>
  </si>
  <si>
    <t>List</t>
  </si>
  <si>
    <t>Cleric Spells</t>
  </si>
  <si>
    <t>Druid Spells</t>
  </si>
  <si>
    <t>Paladin Spells</t>
  </si>
  <si>
    <t>Ranger Spells</t>
  </si>
  <si>
    <t>Sorcerer Spells</t>
  </si>
  <si>
    <t>Warlock Spells</t>
  </si>
  <si>
    <t>Wizard Spells</t>
  </si>
  <si>
    <t>Acid Splash</t>
  </si>
  <si>
    <t>Conjuration cantrip</t>
  </si>
  <si>
    <t>1 action</t>
  </si>
  <si>
    <t>60 feet</t>
  </si>
  <si>
    <t>V, S</t>
  </si>
  <si>
    <t>Instantaneous</t>
  </si>
  <si>
    <t>You hurl a bubble of acid.  Choose one creature within range, or choose two creatures within range that are within 5' of each other.  A target must succeed on a Dexterity saving throw or take 1d6 acid damage.
This spell's damage increases by 1d6 when you reach 5th level (2d6), 11th level (3d6), and 17th level (4d6).</t>
  </si>
  <si>
    <t>0 Cantrip</t>
  </si>
  <si>
    <t>Blade Ward
Dancing Lights
Friends
Light
Mage Hand
Mending
Message
Minor Illusion
Prestidigitation
True Strike
Vicious Mockery</t>
  </si>
  <si>
    <t>Guidance
Light
Mending
Resistance
Sacred Flame
Spare the Dying
Thaumaturgy</t>
  </si>
  <si>
    <t>Druidcraft
Guidance
Mending
Poison Spray
Produce Flame
Resistance
Shillelagh
Thorn Whip</t>
  </si>
  <si>
    <t>Acid Splash
Blade Ward
Chill Touch
Dancing Lights
Fire Bolt
Friends
Light
Mage Hand
Mending
Message
Minor Illusion
Poison Spray
Prestidigitation
Ray of Frost
Shocking Grasp
True Strike</t>
  </si>
  <si>
    <t>Blade Ward
Chill Touch
Eldritch Blast
Friends
Mage Hand
Minor Illusion
Poison Spray
Prestidigitation
True Strike</t>
  </si>
  <si>
    <t>Aid</t>
  </si>
  <si>
    <t>2nd-level abjuration</t>
  </si>
  <si>
    <t>30 feet</t>
  </si>
  <si>
    <t>V, S, M (a tiny strip o f white cloth)</t>
  </si>
  <si>
    <t>8 hours</t>
  </si>
  <si>
    <t>Your spell bolsters your allies with toughness and resolve. Choose up to three creatures within range. Each target’s hit point maximum and current hit points increase by 5 for the duration.
At Higher Levels. When you cast this spell using a spell slot o f 3rd level or higher, a target’s hit points increase by an additional 5 for each slot level above 2nd.</t>
  </si>
  <si>
    <t>1st Level</t>
  </si>
  <si>
    <t>Animal Friendship
Bane
Charm Person
Comprehend Languages
Cure Wounds
Detect Magic
Disguise Self
Dissonant Whispers
Faerie Fire
Feather Fall
Healing Word
Heroism
Identify
Illusory Script
Longstrider
Silent Image
Sleep
Speak with Animals
Tasha's Hideous Laughter
Thunderwave
Unseen Servant</t>
  </si>
  <si>
    <t>Bane
Bless
Command
Create or Destroy Water
Cure Wounds
Detect Evil and Good
Detect Magic
Detect Poison and Disease
Guiding Bolt
Healing Word
Inflict Wounds
Protection from
Evil and Good
Purify Food and Drink
Sanctuary
Shield of Faith</t>
  </si>
  <si>
    <t>Animal Friendship
Charm Person
Create or Destroy Water
Cure Wounds
Detect Magic
Detect Poison and Disease
Entangle
Faerie Fire
Fog Cloud
Goodberry
Healing Word
Jump
Longstrider
Purify Food and Drink
Speak with Animals
Thunderwave</t>
  </si>
  <si>
    <t>Bless
Command
Compelled Duel
Cure Wounds
Detect Evil and Good
Detect Magic
Detect Poison and Disease
Divine Favor
Heroism
Protection from
Evil and Good
Purify Food and Drink
Searing Smite
Shield of Faith
Thunderous Smite
Wrathful Smite</t>
  </si>
  <si>
    <t>Alarm
Animal Friendship
Cure Wounds
Detect Magic
Detect Poison and Disease
Ensnaring Strike
Fog Cloud
Goodberry
Hail of Thorns
Hunter’s Mark
Jump
Longstrider
Speak with Animals</t>
  </si>
  <si>
    <t>Burning Hands
Charm Person
Chromatic Orb
Color Spray
Comprehend Languages
Detect Magic
Disguise Self
Expeditious Retreat
False Life
Feather Fall
Fog Cloud
Jump
Mage Armor
Magic Missile
Ray of Sickness
Shield
Silent Image
Sleep
Thunderwave
Witch Bolt</t>
  </si>
  <si>
    <t>Armor of Agathys
Arms of Hadar
Charm Person
Comprehend Languages
Expeditious Retreat
Hellish Rebuke
Hex
Illusory Script
Protection from
Evil and Good
Unseen Servant
Witch Bolt</t>
  </si>
  <si>
    <t>Alarm
Burning Hands
Charm Person
Chromatic Orb
Color Spray
Comprehend Languages
Detect Magic
Disguise Self
Expeditious Retreat
False Life
Feather Fall
Find Familiar
Fog Cloud
Grease
Identify
Illusory Script
Jump
Longstrider
Mage Armor
Magic Missile
Protection from
Evil and Good
Ray of Sickness
Shield
Silent Image
Sleep
Tasha’s Hideous Laughter
Tenser’s Floating Disk
Thunderwave
Unseen Servant
Witch Bolt</t>
  </si>
  <si>
    <t>Alarm</t>
  </si>
  <si>
    <t>1st-level abjuration (ritual)</t>
  </si>
  <si>
    <t>1 minute</t>
  </si>
  <si>
    <t>V, S, M (a tiny bell and a piece of fine silver wire)</t>
  </si>
  <si>
    <t>You set an alarm against unwanted intrusion. Choose a door, a window, or an area within range that is no larger than a 20-foot cube. Until the spell ends, an alarm alerts you whenever a Tiny or larger creature touches or enters the warded area. When you cast the spell, you can designate creatures that won’t set off the alarm. You also choose whether the alarm is mental or audible. A mental alarm alerts you with a ping in your mind if you are within 1 mile o f the warded area. This ping awakens you if you are sleeping. An audible alarm produces the sound of a hand bell for 10 seconds within 60 feet.</t>
  </si>
  <si>
    <t>2nd Level</t>
  </si>
  <si>
    <t>Animal Messenger
Blindness/Deafness
Calm Emotions
Cloud of Daggers
Crown of Madness
Detect Thoughts
Enhance Ability
Enthrall
Heat Metal
Hold Person
Invisibility
Knock
Lesser Restoration
Locate Animals or Plants
Locate Object
Magic Mouth
Phantasmal Force
See Invisibility
Shatter
Silence
Suggestion
Zone of Truth</t>
  </si>
  <si>
    <t>Aid
Augury
Blindness/Deafness
Calm Emotions
Continual Flame
Enhance Ability
Find Traps
Gentle Repose
Hold Person
Lesser Restoration
Locate Object
Prayer of Healing
Protection from Poison
Silence
Spiritual Weapon
Warding Bond
Zone of Truth</t>
  </si>
  <si>
    <t>Animal Messenger
Barkskin
Beast Sense
Darkvision
Enhance Ability
Find Traps
Flame Blade
Flaming Sphere
Gust of Wind
Heat Metal
Hold Person
Lesser Restoration
Locate Animals or Plants
Locate Object
Moonbeam
Pass without Trace
Protection from Poison
Spike Growth</t>
  </si>
  <si>
    <t>Aid
Branding Smite
Find Steed
Lesser Restoration
Locate Object
Magic Weapon
Protection from Poison
Zone of Truth</t>
  </si>
  <si>
    <t>Animal Messenger
Barkskin
Beast Sense
Cordon of Arrows
Darkvision
Find Traps
Lesser Restoration
Locate Animals or Plants
Locate Object
Pass without Trace
Protection from Poison
Silence
Spike Growth</t>
  </si>
  <si>
    <t>Alter Self
Blindness/Deafness
Blur
Cloud of Daggers
Crown of Madness
Darkness
Darkvision
Detect Thoughts
Enhance Ability
Enlarge/Reduce
Gust of Wind
Hold Person
Invisibility
Knock
Levitate
Mirror Image
Misty Step
Phantasmal Force
Scorching Ray
See Invisibility
Shatter
Spider Climb
Suggestion
Web</t>
  </si>
  <si>
    <t>Cloud of Daggers
Crown of Madness
Darkness
Enthrall
Hold Person
Invisibility
Mirror Image
Misty Step
Ray of Enfeeblement
Shatter
Spider Climb
Suggestion</t>
  </si>
  <si>
    <t>Alter Self
Arcane Lock
Blindness/Deafness
Blur
Cloud of Daggers
Continual Flame
Crown of Madness
Darkness
Darkvision
Detect Thoughts
Enlarge/Reduce
Flaming Sphere
Gentle Repose
Gust of Wind
Hold Person
Invisibility
Knock
Levitate
Locate Object
Magic Mouth
Magic Weapon
Melf’s Acid Arrow
Mirror Image
Misty Step
Nystul’s Magic Aura
Phantasmal Force
Ray of Enfeeblement
Rope Trick
Scorching Ray
See Invisibility
Shatter
Spider Climb
Suggestion
Web</t>
  </si>
  <si>
    <t>Alter Self</t>
  </si>
  <si>
    <t>2nd-level transmutation</t>
  </si>
  <si>
    <t>Self</t>
  </si>
  <si>
    <t>Concentration, up to 1 hour</t>
  </si>
  <si>
    <t>You assume a different form. When you cast the spell, choose one of the following options, the effects of which last for the duration of the spell. While the spell lasts, you can end one option as an action to gain the benefits of a different one.
Aquatic Adaptation. You adapt your body to an aquatic environment, sprouting gills and growing webbing between your fingers. You can breathe underwater and gain a swimming speed equal to your walking speed.
Change Appearance. You transform your appearance. You decide what you look like, including your height, weight, facial features, sound of your voice, hair length, coloration, and distinguishing characteristics, if any. You can make yourself appear as a member of another race, though none of your statistics change. You also
can’t appear as a creature of a different size than you, and your basic shape stays the same; if you're bipedal, you can’t use this spell to become quadrupedal, for
instance. At any time for the duration of the spell, you can use your action to change your appearance in this way again.
Natural Weapons. You grow claws, fangs, spines, horns, or a different natural weapon of your choice. Your unarmed strikes deal 1d6 bludgeoning, piercing, or slashing damage, as appropriate to the natural weapon you chose, and you are proficient with your unarmed strikes. Finally, the natural weapon is magic and you have a +1 bonus to the attack and damage rolls you make using it.</t>
  </si>
  <si>
    <t>3rd Level</t>
  </si>
  <si>
    <t>Bestow Curse
Clairvoyance
Dispel Magic
Fear
Feign Death
Glyph o f Warding
Hypnotic Pattern
Leomund’s Tiny Hut
Major Image
Nondetection
Plant Growth
Sending
Speak with Dead
Speak with Plants
Stinking Cloud
Tongues</t>
  </si>
  <si>
    <t>Animate Dead
Beacon of Hope
Bestow Curse
Clairvoyance
Create Food and Water
Daylight
Dispel Magic
Feign Death
Glyph of Warding
Magic Circle
Mass Healing Word
Meld into Stone
Protection from Energy
Remove Curse
Revivify
Sending
Speak with Dead
Spirit Guardians
Tongues
Water Walk</t>
  </si>
  <si>
    <t>Call Lightning
Conjure Animals
Daylight
Dispel Magic
Feign Death
Meld into Stone
Plant Growth
Protection from Energy
Sleet Storm
Speak with Plants
Water Breathing
Water Walk
Wind Wall</t>
  </si>
  <si>
    <t>Aura of Vitality
Blinding Smite
Create Food and Water
Crusader's Mantle
Daylight
Dispel Magic
Elemental Weapon
Magic Circle
Remove Curse
Revivify</t>
  </si>
  <si>
    <t>Conjure Animals
Conjure Barrage
Daylight
Lightning Arrow
Nondetection
Plant Growth
Protection from Energy
Speak with Plants
Water Breathing
Water Walk
Wind Wall</t>
  </si>
  <si>
    <t>Blink
Clairvoyance
Counterspell
Daylight
Dispel Magic
Fear
Fireball
Fly
Gaseous Form
Haste
Hypnotic Pattern
Lightning Bolt
Major Image
Protection from Energy
Sleet Storm
Slow
Stinking Cloud
Tongues
Water Breathing
Water Walk</t>
  </si>
  <si>
    <t>Counterspell
Dispel Magic
Fear
Fly
Gaseous Form
Hunger of Hadar
Hypnotic Pattern
Magic Circle
Major Image
Remove Curse
Tongues
Vampiric Touch</t>
  </si>
  <si>
    <t>Animate Dead
Bestow Curse
Blink
Clairvoyance
Counterspell
Dispel Magic
Fear
Feign Death
Fireball
Fly
Gaseous Form
Glyph of Warding
Haste
Hypnotic Pattern
Leomund’s Tiny Hut
Lightning Bolt
Magic Circle
Major Image
Nondetection
Phantom Steed
Protection from Energy
Remove Curse
Sending
Sleet Storm
Slow
Stinking Cloud
Tongues
Vampiric Touch
Water Breathing</t>
  </si>
  <si>
    <t>Animal Friendship</t>
  </si>
  <si>
    <t>1st-level enchantment</t>
  </si>
  <si>
    <t>V, S, M (a morsel of food)</t>
  </si>
  <si>
    <t>24 hours</t>
  </si>
  <si>
    <t>This spell lets you convince a beast that you mean it no harm. Choose a beast that you can see within range. It must see and hear you. If the beast’s Intelligence is 4 or higher, the spell fails. Otherwise, the beast must succeed on a Wisdom saving throw or be charmed by you for the spell’s duration. If you or one of your companions harms the target, the spells ends.
At Higher Levels. When you cast this spell using a spell slot o f 2nd level or higher, you can affect one additional beast for each slot level above 1st.</t>
  </si>
  <si>
    <t>4th Level</t>
  </si>
  <si>
    <t>Compulsion
Confusion
Dimension Door
Freedom of Movement
Greater Invisibility
Hallucinatory Terrain
Locate Creature
Polymorph</t>
  </si>
  <si>
    <t>Banishment
Control Water
Death Ward
Divination
Freedom of Movement
Guardian of Faith
Locate Creature
Stone Shape</t>
  </si>
  <si>
    <t>Blight
Confusion
Conjure Minor Elementals
Conjure Woodland Beings
Control Water
Dominate Beast
Freedom of Movement
Giant Insect
Grasping Vine
Hallucinatory Terrain
Ice Storm
Locate Creature
Polymorph
Stone Shape
Stoneskin
Wall of Fire</t>
  </si>
  <si>
    <t>Aura of Life
Aura of Purity
Banishment
Death Ward
Locate Creature
Staggering Smite</t>
  </si>
  <si>
    <t>Conjure Woodland Beings
Freedom of Movement
Grasping Vine
Locate Creature
Stoneskin</t>
  </si>
  <si>
    <t>Banishment
Blight
Confusion
Dimension Door
Dominate Beast
Greater Invisibility
Ice Storm
Polymorph
Stoneskin
Wall of Fire</t>
  </si>
  <si>
    <t>Banishment
Blight
Dimension Door
Hallucinatory Terrain</t>
  </si>
  <si>
    <t>Arcane Eye
Banishment
Blight
Confusion
Conjure Minor Elementals
Control Water
Dimension Door
Evard's Black Tentacles
Fabricate
Fire Shield
Greater Invisibility
Hallucinatory Terrain
Ice Storm
Leomund’s Secret Chest
Locate Creature
Mordenkainen’s
Faithful Hound
Mordenkainen’s
Private Sanctum
Otiluke’s Resilient Sphere
Phantasmal Killer
Polymorph
Stone Shape
Stoneskin
Wall of Fire</t>
  </si>
  <si>
    <t>Animal Messenger</t>
  </si>
  <si>
    <t>2nd-level enchantment (ritual)</t>
  </si>
  <si>
    <t>By means o f this spell, you use an animal to deliver a message. Choose a Tiny beast you can see within range, such as a squirrel, a blue jay, or a bat. You specify a location, which you must have visited, and a recipient who matches a general description, such as “a man or woman dressed in the uniform of the town guard” or “a red-haired dwarf wearing a pointed hat.” You also speak a message o f up to twenty-five words. The target beast travels for the duration of the spell toward the specified location, covering about 50 miles per 24 hours for a flying messenger, or 25 miles for other animals. When the messenger arrives, it delivers your message to the creature that you described, replicating the sound of your voice. The messenger speaks only to a creature matching the description you gave. If the messenger doesn’t reach its destination before the spell ends, the message is lost, and the beast makes its way back to where you cast this spell.
At Higher Levels. If you cast this spell using a spell slot of 3nd level or higher, the duration of the spell increases by 48 hours for each slot level above 2nd.</t>
  </si>
  <si>
    <t>5th Level</t>
  </si>
  <si>
    <t>Animate Objects
Awaken
Dominate Person
Dream
Geas
Greater Restoration
Hold Monster
Legend Lore
Mass Cure Wounds
Mislead
Modify Memory
Planar Binding
Raise Dead
Scrying
Seeming
Teleportation Circle</t>
  </si>
  <si>
    <t>Commune
Contagion
Dispel Evil and Good
Flame Strike
Geas
Greater Restoration
Hallow
Insect Plague
Legend Lore
Mass Cure Wounds
Planar Binding
Raise Dead
Scrying</t>
  </si>
  <si>
    <t>Antilife Shell
Awaken
Commune with Nature
Conjure Elemental
Contagion
Geas
Greater Restoration
Insect Plague
Mass Cure Wounds
Planar Binding
Reincarnate
Scrying
Tree Stride
Wall of Stone</t>
  </si>
  <si>
    <t>Banishing Smite
Circle of Power
Destructive Smite
Dispel Evil and Good
Geas
Raise Dead</t>
  </si>
  <si>
    <t>Commune with Nature
Conjure Volley
Swift Quiver
Tree Stride</t>
  </si>
  <si>
    <t>Animate Objects
Cloudkill
Cone of Cold
Creation
Dominate Person
Hold Monster
Insect Plague
Seeming
Telekinesis
Teleportation Circle
Wall of Stone</t>
  </si>
  <si>
    <t>Contact Other Plane
Dream
Hold Monster
Scrying</t>
  </si>
  <si>
    <t>Animate Objects
Bigby’s Hand
CloudkilI
Cone of Cold
Conjure Elemental
Contact Other Plane
Creation
Dominate Person
Dream
Geas
Hold Monster
Legend Lore
Mislead
Modify Memory
Passwall
Planar Binding
Rary’s Telepathic Bond
Scrying
Seeming
Telekinesis
Teleportation Circle
Wall of Force
Wall of Stone</t>
  </si>
  <si>
    <t>Animal Shapes</t>
  </si>
  <si>
    <t>8th-level transmutation</t>
  </si>
  <si>
    <t>Concentration, up to 24 hours</t>
  </si>
  <si>
    <t>Your magic turns others into beasts. Choose any number of willing creatures that you can see within range. You transform each target into the form of a Large or smaller beast with a challenge rating of 4 or lower. On subsequent turns, you can use your action to transform affected creatures into new forms. The transformation lasts for the duration for each target, or until the target drops to 0 hit points or dies. You can choose a different form for each target. A target’s game statistics are replaced by the statistics of the chosen beast, though the target retains its alignment and Intelligence, Wisdom, and Charisma scores. The target assumes the hit points of its new form, and when it reverts to its normal form, it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or cast spells. The target’s gear melds into the new form. The target can’t activate, wield, or otherwise benefit from any of its equipment.</t>
  </si>
  <si>
    <t>6th Level</t>
  </si>
  <si>
    <t>Eyebite
Find the Path
Guards and Wards
Mass Suggestion
Otto’s Irresistible Dance
Programmed Illusion
True Seeing</t>
  </si>
  <si>
    <t>Blade Barrier
Create Undead
Find the Path
Forbiddance
Harm
Heal
Heroes’ Feast
Planar Ally
True Seeing
Word of Recall</t>
  </si>
  <si>
    <t>Conjure Fey
Find the Path
Heal
Heroes’ Feast
Move Earth
Sunbeam
Transport via Plants
Wall of Thorns
Wind Walk</t>
  </si>
  <si>
    <t>Arcane Gate
Chain Lightning
Circle of Death
Disintegrate
Eyebite
Globe of Invulnerability
Mass Suggestion
Move Earth
Sunbeam
True Seeing</t>
  </si>
  <si>
    <t>Arcane Gate
Circle of Death
Conjure Fey
Create Undead
Eyebite
Flesh to Stone
Mass Suggestion
True Seeing</t>
  </si>
  <si>
    <t>Arcane Gate
Chain Lightning
Circle of Death
Contingency
Create Undead
Disintegrate
Drawmij’s Instant
Summons
Eyebite
Flesh to Stone
Globe of Invulnerability
Guards and Wards
Magic Jar
Mass Suggestion
Move Earth
Otiluke’s Freezing Sphere
Otto’s Irresistible Dance
Programmed Illusion
Sunbeam
True Seeing
Wall of Ice</t>
  </si>
  <si>
    <t>Animate Dead</t>
  </si>
  <si>
    <t>3rd-level necromancy</t>
  </si>
  <si>
    <t>10 feet</t>
  </si>
  <si>
    <t>V, S, M (a drop of blood, a piece of flesh, and a pinch of bone dust)</t>
  </si>
  <si>
    <t>This spell creates an undead servant. Choose a pile of bones or a corpse of a Medium or Small humanoid within range. Your spell imbues the target with a foul mimicry of life, raising it as an undead creature. The target becomes a skeleton if you chose bones or a zombie if you chose a corpse (the DM has the creature’s game statistics). On each of your turns, you can use a bonus action to mentally command any creature you made with this spell if the creature is within 60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you’ve given it. To maintain control of the creature for another 24 hours, you must cast this spell on the creature again before the current 24-hour period ends. This use of the spell reasserts your control over up to four creatures you have animated with this spell, rather than animating a new one.
At Higher Levels. When you cast this spell using a spell slot of 4th level or higher, you animate or reassert control over two additional undead creatures for each slot level above 3rd. Each of the creatures must come from a different corpse or pile of bones.</t>
  </si>
  <si>
    <t>7th Level</t>
  </si>
  <si>
    <t>Etherealness
Forcecage
Mirage Arcane
Mordenkainen’s
Magnificent Mansion
Mordenkainen’s Sword
Project Image
Regenerate
Resurrection
Symbol
Teleport</t>
  </si>
  <si>
    <t>Conjure Celestial
Divine Word
Etherealness
Fire Storm
Plane Shift
Regenerate
Resurrection
Symbol</t>
  </si>
  <si>
    <t>Fire Storm
Mirage Arcane
Plane Shift
Regenerate
Reverse Gravity</t>
  </si>
  <si>
    <t>Delayed Blast Fireball
Etherealness
Finger of Death
Fire Storm
Plane Shift
Prismatic Spray
Reverse Gravity
Teleport</t>
  </si>
  <si>
    <t>Etherealness
Finger of Death
Forcecage
Plane Shift</t>
  </si>
  <si>
    <t>Delayed Blast Fireball
Etherealness
Finger of Death
Forcecage
Mirage Arcane
Mordenkainen's
Magnificent Mansion
Mordenkainen’s Sword
Plane Shift
Prismatic Spray
Project Image
Reverse Gravity
Sequester
Simulacrum
Symbol
Teleport</t>
  </si>
  <si>
    <t>Animate Objects</t>
  </si>
  <si>
    <t>5th-level transmutation</t>
  </si>
  <si>
    <t>120 feet</t>
  </si>
  <si>
    <t>Concentration, up to 1 minute</t>
  </si>
  <si>
    <t>Objects come to life at your command. Choose up to
ten nonmagical objects within range that are not being
worn or carried. Medium targets count as two objects,
Large targets count as four objects, Huge targets
count as eight objects. You can’t animate any object
larger than Huge. Each target animates and becomes a
creature under your control until the spell ends or until
reduced to 0 hit points.
As a bonus action, you can mentally command any
creature you made with this spell if the creature is
within 500 feet o f you (if you control multiple creatures,
you can command any or all o f them at the same time,
issuing the same command to each one). You decide
what action the creature w 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A n i m a t e d O b j e c t S t a t i s t i c s
Size HP AC Attack Str Dex
Tiny 20 18 +8 to hit, 1d4 + 4 damage 4 18
Small 25 16 +6 to hit, 1d8 + 2 damage 6 14
Medium 40 13 +5 to hit, 2d6 + 1 damage 10 12
Large 50 10 +6 to hit, 2d10 + 2 damage 14 10
Huge 80 10 +8 to hit, 2d12 + 4 damage 18 6
An animated object is a construct with AC, hit points,
attacks, Strength, and Dexterity determined by its size.
Its Constitution is 10 and its Intelligence and Wisdom
are 3, and its Charisma is 1. Its speed is 30 feet; if the
object lacks legs or other appendages it can use for
locomotion, it instead has a flying speed o f 30 feet and
can hover. If the object is securely attached to a surface
or a larger object, such as a chain bolted to a wall, its
speed is 0. It has blindsight with a radius o f 30 feet and
is blind beyond that distance. When the animated object
drops to 0 hit points, it reverts to its original object
form, and any remaining damage carries over to its
original object form.
If you command an object to attack, it can make a
single melee attack against a creature within 5 feet
o f it. It makes a slam attack with an attack bonus and
bludgeoning damage determined by its size. The DM
might rule that a specific object inflicts slashing or
piercing damage based on its form.
At Higher Levels. If you cast this spell using a
spell slot o f 6th level or higher, you can animate two
additional objects for each slot level above 5th.</t>
  </si>
  <si>
    <t>8th Level</t>
  </si>
  <si>
    <t>Dominate Monster
Feeblemind
Glibness
Mind Blank
Power Word Stun</t>
  </si>
  <si>
    <t>Antimagic Field
Control Weather
Earthquake
Holy Aura</t>
  </si>
  <si>
    <t>Animal Shapes
Antipathy/Sympathy
Control Weather
Earthquake
Feeblemind
Sunburst
Tsunami</t>
  </si>
  <si>
    <t>Dominate Monster
Earthquake
Incendiary Cloud
Power Word Stun
Sunburst</t>
  </si>
  <si>
    <t>Demiplane
Dominate Monster
Feeblemind
Glibness
Power Word Stun</t>
  </si>
  <si>
    <t>Antimagic Field
Antipathy/Sympathy
Clone
Control Weather
Demiplane
Dominate Monster
Feeblemind
Incendiary Cloud
Maze
Mind Blank
Power Word Stun
Sunburst
Telepathy
Trap the Soul</t>
  </si>
  <si>
    <t>Antilife Shell</t>
  </si>
  <si>
    <t>5th-level abjuration</t>
  </si>
  <si>
    <t>Self (10-foot radius)</t>
  </si>
  <si>
    <t>A shimmering barrier extends out from you in a 10-foot radius and moves with you, remaining centered on you and hedging out creatures other than undead and constructs. The barrier lasts for the duration. The barrier prevents an affected creature from passing or reaching through. An affected creature can cast spells or make attacks with ranged or reach weapons through the barrier. If you move so that an affected creature is forced to pass through the barrier, the spell ends.</t>
  </si>
  <si>
    <t>9th Level</t>
  </si>
  <si>
    <t>Foresight
Power Word Heal
Power Word Kill
True Polymorph</t>
  </si>
  <si>
    <t>Astral Projection
Gate
Mass Heal
True Resurrection</t>
  </si>
  <si>
    <t>Foresight
Shapechange
Storm of Vengeance
True Resurrection</t>
  </si>
  <si>
    <t>Gate
Meteor Swarm
Power Word Kill
Time Stop
Wish</t>
  </si>
  <si>
    <t>Astral Projection
Foresight
Imprisonment
Power Word Kill
True Polymorph</t>
  </si>
  <si>
    <t>Astral Projection
Foresight
Gate
Imprisonment
Meteor Swarm
Power Word Kill
Prismatic Wall
Shapechange
Time Stop
True Polymorph
Weird
Wish</t>
  </si>
  <si>
    <t>Antimagic Field</t>
  </si>
  <si>
    <t>8th-level abjuration</t>
  </si>
  <si>
    <t>V, S, M (a pinch of powdered iron or iron filings)</t>
  </si>
  <si>
    <t>A 10-foot-radius invisible sphere o f antimagic surrounds
you. This area is divorced from the magical energy that
suffuses the multiverse. Within the sphere, spells can’t
be cast, summoned creatures disappear, and even m agic
items become mundane. Until the spell ends, the sphere
moves with you, centered on you.
Spells and other magical effects, except those created
by an artifact or a deity, are suppressed in the sphere
and can’t protrude into it. A slot expended to cast
a suppressed spell is consumed. While an effect is
suppressed, it doesn’t function, but the time it spends
suppressed counts against its duration.
Targeted Effects. Spells and other magical effects,
such as magic missile and charm person, that target
a creature or an object in the sphere have no effect
on that target.
Areas o f Magic. The area o f another spell or magical
effect, such as fireball, can’t extend into the sphere.
If the sphere overlaps an area o f magic, the part of
the area that is covered by the sphere is suppressed.
For example, the flames created by a wall o f fire are
suppressed within the sphere, creating a gap in the wall
if the overlap is large enough.
Spells. Any active spell or other magical effect on a
creature or an object in the sphere is suppressed while
the creature or object is in it.
Magic Items. The properties and powers of
magic items are suppressed in the sphere. For
example, a + 1 longsword in the sphere functions as a
nonmagical longsword.
A magic weapon’s properties and powers are
suppressed if it is used against a target in the sphere or
wielded by an attacker in the sphere. If a magic w eapon
or a piece o f magic ammunition fully leaves the sphere
(for example, if you fire a magic arrow or throw a magic
spear at a target outside the sphere), the magic o f the
item ceases to be suppressed as soon as it exits.
Magical Travel. Teleportation and planar travel
fail to work in the sphere, whether the sphere is the
destination or the departure point for such magical
travel. A portal to another location, world, or plane of
existence, as w ell as an opening to an extradimensional
space such as that created by the rope trick spell,
temporarily closes while in the sphere.
Creatures and Objects. A creature or object
summoned or created by m agic temporarily winks out
o f existence in the sphere. Such a creature instantly
reappears once the space the creature occupied is no
longer within the sphere.
Dispel Magic. Spells and magical effects such as
dispel magic have no effect on the sphere. Likewise, the
spheres created by different antimagic field spells don’t
nullify each other.</t>
  </si>
  <si>
    <t>Antipathy/Sympathy</t>
  </si>
  <si>
    <t>8th-level enchantment</t>
  </si>
  <si>
    <t>1 hour</t>
  </si>
  <si>
    <t>V, S, M (either a lump of alum soaked in vinegar for the antipathy effect or a drop of honey for the sympathy effect)</t>
  </si>
  <si>
    <t>10 days</t>
  </si>
  <si>
    <t>This spell attracts or repels creatures o f your choice.
You target something within range, either a Huge or
smaller object or creature or an area that is no larger
than a 200-foot cube. Then specify a kind o f intelligent
creature, such as red dragons, goblins, or vampires.
You invest the target with an aura that either attracts or
repels the specified creatures for the duration. Choose
antipathy or sympathy as the aura’s effect.
Antipathy. The enchantment causes creatures o f the
kind you designated to feel an intense urge to leave the
area and avoid the target. When such a creature can
see the target or comes within 60 feet o f it, the creature
must succeed on a W isdom saving throw or b ecome
frightened. The creature remains frightened while it can
see the target or is within 60 feet of it. While frightened
by the target, the creature must use its movement to
move to the nearest safe spot from which it can’t see
the target. If the creature moves more than 60 feet from
the target and can’t see it, the creature is no longer
frightened, but the creature becomes frightened again if
it regains sight o f the target or moves within 60 feet o f it.
Sympathy. The enchantment causes the specified
creatures to feel an intense urge to approach the target
while within 60 feet o f it or able to see it. When such a
creature can see the target or comes within 60 feet o f it,
the creature must succeed on a W isdom saving throw or
use its movement on each o f its turns to enter the area
or move within reach o f the target. When the creature
has done so, it can’t w illingly m ove away from the target.
If the target damages or otherwise harms an affected
creature, the affected creature can make a W isdom
saving throw to end the effect, as described below.
Ending the Effect. If an affected creature ends its
turn while not within 60 feet o f the target or able to see
it, the creature makes a Wisdom saving throw. On a
successful save, the creature is no longer affected by
the target and recognizes the feeling o f repugnance or
attraction as magical. In addition, a creature affected by
the spell is allowed another Wisdom saving throw every
24 hours while the spell persists.
A creature that successfully saves against this effect
is immune to it for 1 minute, after which time it can be
affected again.</t>
  </si>
  <si>
    <t>Arcane Eye</t>
  </si>
  <si>
    <t>4th-level divination</t>
  </si>
  <si>
    <t>V, S, M (a bit of bat fur)</t>
  </si>
  <si>
    <t>You create an invisible, magical eye within range that hovers in the air for the duration.
You mentally receive visual information from the eye, which has normal vision and darkvision out to 30 feet. The eye can look in every direction.
As an action, you can move the eye up to 30 feet in any direction. There is no limit to how far away from you the eye can move, but it can’t enter another plane of existence. A solid barrier blocks the eye’s movement, but the eye can pass through an opening as small as 1 inch in diameter.</t>
  </si>
  <si>
    <t>Arcane Gate</t>
  </si>
  <si>
    <t>6th-level conjuration</t>
  </si>
  <si>
    <t>500 feet</t>
  </si>
  <si>
    <t>Concentration, up to 10 minutes</t>
  </si>
  <si>
    <t>You create linked teleportation portals that remain open for the duration. Choose two points on the ground that you can see, one point within 10 feet of you and one point within 500 feet of you. A circular portal, 10 feet in diameter, opens over each point. If the portal would open in the space occupied by a creature, the spell fails, and the casting is lost.
The portals are two-dimensional glowing rings filled with mist, hovering inches from the ground and perpendicular to it at the points you choose. A ring is visible only from one side (your choice), which is the side that functions as a portal.
Any creature or object entering the portal exits from the other portal as if the two were adjacent to each other; passing through a portal from the nonportal side has no effect. The mist that fills each portal is opaque and blocks vision through it. On your turn, you can rotate the rings as a bonus action so that the active side faces in a different direction.</t>
  </si>
  <si>
    <t>Arcane Lock</t>
  </si>
  <si>
    <t>Touch</t>
  </si>
  <si>
    <t>V, S, M (gold dust worth at least 25 gp, which the spell consumes)</t>
  </si>
  <si>
    <t>Until dispelled</t>
  </si>
  <si>
    <t>You touch a closed door, window, gate, chest, or other entryway, and it becomes locked for the duration. You and the creatures you designate when you cast this spell can open the object normally. You can also set a password that, when spoken within 5 feet of the object, suppresses this spell for 1 minute. Otherwise, it is impassable until it is broken or the spell is dispelled or suppressed. Casting knock on the object suppresses arcane lock for 10 minutes.
While affected by this spell, the object is more difficult to break or force open; the DC to break it or pick any locks on it increases by 10.</t>
  </si>
  <si>
    <t>Armor of Agathys</t>
  </si>
  <si>
    <t>1st-level abjuration</t>
  </si>
  <si>
    <t>V, S, M (a cup of water)</t>
  </si>
  <si>
    <t>A protective magical force surrounds you, manifesting as a spectral frost that covers you and your gear. You gain 5 temporary hit points for the duration. If a creature hits you with a melee attack while you have these hit points, the creature takes 5 cold damage.
At Higher Levels. When you cast this spell using a spell slot o f 2nd level or higher, both the temporary hit points and the cold damage increase by 5 for each slot level above 1st.</t>
  </si>
  <si>
    <t>Arms of Hadar</t>
  </si>
  <si>
    <t>1st-level conjuration</t>
  </si>
  <si>
    <t>You invoke the power o f Hadar, the Dark Hunger. Tendrils of dark energy erupt from you and batter all creatures within 10 feet of you. Each creature in that area must make a Strength saving throw. On a failed save, a target takes 2d6 necrotic damage and can’t take reactions until its next turn. On a successful save, the creature takes half damage, but suffers no other effect.
At Higher Levels. When you cast this spell using a spell slot of 2nd level or higher, the damage increases by 1d6 for each slot level above 1st.</t>
  </si>
  <si>
    <t>Astral Projection</t>
  </si>
  <si>
    <t>9th-level necromancy</t>
  </si>
  <si>
    <t>V, S, M (for each creature you affect with this spell, you must provide one jacinth worth at least 1,000 gp and one ornately carved bar of silver worth at least 100 gp, all of which the spell consumes)</t>
  </si>
  <si>
    <t>You and up to eight willing creatures within range
project your astral bodies into the Astral Plane (the
spell fails and the casting is wasted if you are already
on that plane). The material body you leave behind is
unconscious and in a state o f suspended animation; it
doesn’t need food or air and doesn’t age.
Your astral body resembles your m ortal form in
almost every way, replicating your game statistics and
possessions. The principal difference is the addition o f
a silvery cord that extends from between your shoulder
blades and trails behind you, fading to invisibility after
1 foot. This cord is your tether to your material body. As
long as the tether remains intact, you can find your way
home. If the cord is cut—something that can happen
only when an effect specifically states that it does—your
soul and body are separated, killing you instantly.
Your astral form can freely travel through the Astral
Plane and can pass through portals there leading to any
other plane. If you enter a new plane or return to the
plane you were on when casting this spell, your body and
possessions are transported along the silver cord, allowing
you to re-enter your body as you enter the new plane.
Your astral form is a separate incarnation. Any damage
or other effects that apply to it have no effect on your
physical body, nor do they persist when you return to it.
The spell ends for you and your companions when
you use your action to dismiss it. When the spell ends,
the affected creature returns to its physical body,
and it awakens.
The spell might also end early for you or one o f your
companions. A successful dispel magic spell used
against an astral or physical body ends the spell for that
creature. If a creature’s original body or its astral form
drops to 0 hit points, the spell ends for that creature. If
the spell ends and the silver cord is intact, the cord pulls
the creature’s astral form back to its body, ending its
state o f suspended animation.
If you are returned to your body prematurely, your
companions remain in their astral forms and must find
their own way back to their bodies, usually by dropping
to 0 hit points.</t>
  </si>
  <si>
    <t>Augury</t>
  </si>
  <si>
    <t>2nd-level divination (ritual)</t>
  </si>
  <si>
    <t>V, S, M (specially marked sticks, bones, or similar tokens worth at least 25 gp)</t>
  </si>
  <si>
    <t>By casting gem-inlaid sticks, rolling dragon bones, laying out ornate cards, or employing some other divining tool, you receive an omen from an otherworldly entity  about the results of a specific course of action that you plan to take within the next 30 minutes. The DM chooses from the following possible omens:
• Weal, for good results
• Woe, for bad results
• Weal and woe, for both good and bad results
• Nothing, for results that aren’t especially good or bad
The spell doesn’t take into account any possible circumstances that might change the outcome, such as the casting of additional spells or the loss or gain of a companion. If you cast the spell two or more times before completing your next long rest, there is a cumulative 25 percent chance for each casting after the first that you get a random reading. The DM makes this roll in secret.</t>
  </si>
  <si>
    <t>Aura of Life</t>
  </si>
  <si>
    <t>4th-level abjuration</t>
  </si>
  <si>
    <t>Self (30-foot radius)</t>
  </si>
  <si>
    <t>V</t>
  </si>
  <si>
    <t>Life-preserving energy radiates from you in an aura with a 30-foot radius. Until the spell ends, the aura moves with you, centered on you. Each nonhostile creature in the aura (including you) has resistance to necrotic damage, and its hit point maximum can't be reduced. In addition, a nonhostile, living creature regains 1 hit point when it starts its turn in the aura with 0 hit points.</t>
  </si>
  <si>
    <t>Aura of Purity</t>
  </si>
  <si>
    <t>Purifying energy radiates from you in an aura with a 30-foot radius. Until the spell ends, the aura moves with you, centered on you. Each nonhostile creature in the aura (including you) can’t become diseased, has resistance to poison damage, and has advantage on saving throws against effects that cause any of the following conditions: blinded, charmed, deafened, frightened, paralyzed, poisoned, and stunned.</t>
  </si>
  <si>
    <t>Aura of Vitality</t>
  </si>
  <si>
    <t>3rd-level evocation</t>
  </si>
  <si>
    <t>Healing energy radiates from you in an aura with a 30-foot radius. Until the spell ends, the aura moves with you, centered on you. You can use a bonus action to cause one creature in the aura (including you) to regain 2d6 hit points.</t>
  </si>
  <si>
    <t>Awaken</t>
  </si>
  <si>
    <t>V, S, M (an agate worth at least 1,000 gp, which the spell consumes)</t>
  </si>
  <si>
    <t>After spending the casting time tracing magical pathways within a precious gemstone, you touch a Huge or smaller beast or plant. The target must have either no Intelligence score or an Intelligence of 3 or less. The target gains an Intelligence of 10. The target also gains the ability to speak one language you know. If the target is a plant, it gains the ability to move its limbs, roots, vines, creepers, and so forth, and it gains senses similar to a human’s. Your DM chooses statistics appropriate for the awakened plant, such as the statistics for the awakened shrub or the awakened tree.
The awakened beast or plant is charmed by you for 30 days or until you or your companions do anything harmful to it. When the charmed condition ends, the awakened creature chooses whether to remain friendly to you, based on how you treated it while it was charmed.</t>
  </si>
  <si>
    <t>Bane</t>
  </si>
  <si>
    <t>V, S, M (a drop o f blood)</t>
  </si>
  <si>
    <t>Up to three creatures of your choice that you can see within range must make Charisma saving throws. Whenever a target that fails this saving throw makes an attack roll or a saving throw before the spell ends, the target must roll a d4 and subtract the number rolled from the attack roll or saving throw.
At Higher Levels. When you cast this spell using a spell slot of 2nd level or higher, you can target one additional creature for each slot level above 1st.</t>
  </si>
  <si>
    <t>Banishing Smite</t>
  </si>
  <si>
    <t>1 bonus action</t>
  </si>
  <si>
    <t>The next time you hit a creature with a w eapon attack before this spell ends, your weapon crackles with force, and the attack deals an extra 5d10 force damage to the target. Additionally, if this attack reduces the target to 50 hit points or fewer, you banish it. If the target is native to a different plane of existence than the one you’re on, the target disappears, returning to its home plane. If the target is native to the plane you’re on, the creature vanishes into a harmless demiplane. While there, the target is incapacitated. It remains there until the spell ends, at which point the target reappears in the space it left or in the nearest unoccupied space if that space is occupied.</t>
  </si>
  <si>
    <t>Banishment</t>
  </si>
  <si>
    <t>V, S, M (an item distasteful to the target)</t>
  </si>
  <si>
    <t>You attempt to send one creature that you can see within range to another plane of existence. The target must succeed on a Charisma saving throw or be banished. If the target is native to the plane o f existence you’re on, you banish the target to a harmless demiplane. While there, the target is incapacitated. The target remains there until the spell ends, at which point the target reappears in the space it left or in the nearest unoccupied space if that space is occupied. If the target is native to a different plane of existence than the one you’re on, the target is banished with a faint popping noise, returning to its home plane. If the spell ends before 1 minute has passed, the target reappears in the space it left or in the nearest unoccupied space if that space is occupied. Otherwise, the target doesn't return.
At Higher Levels. When you cast this spell using a spell slot of 5th level or higher, you can target one additional creature for each slot level above 4th.</t>
  </si>
  <si>
    <t>Barkskin</t>
  </si>
  <si>
    <t>V, S, M (a handful o f oak bark)</t>
  </si>
  <si>
    <t>You touch a w illing creature. Until the spell ends, the target’s skin has a rough, bark-like appearance, and the target’s AC can’t be less than 16, regardless of what kind of armor it is wearing.</t>
  </si>
  <si>
    <t>Beacon of Hope</t>
  </si>
  <si>
    <t>3rd-level abjuration</t>
  </si>
  <si>
    <t>This spell bestows hope and vitality. Choose any number of creatures within range. For the duration, each target has advantage on Wisdom saving throws and death saving throws, and regains the maximum number of hit points possible from any healing.</t>
  </si>
  <si>
    <t>Beast Sense</t>
  </si>
  <si>
    <t>S</t>
  </si>
  <si>
    <t>You touch a willing beast. For the duration of the spell, you can use your action to see through the beast’s eyes and hear what it hears, and continue to do so until you use your action to return to your normal senses. While perceiving through the beast’s senses, you gain the benefits of any special senses possessed by that creature, though you are blinded and deafened to your own surroundings.</t>
  </si>
  <si>
    <t>Bestow Curse</t>
  </si>
  <si>
    <t>You touch a creature, and that creature must succeed
on a W isdom saving throw or become cursed for the
duration o f the spell. When you cast this spell, choose
the nature o f the curse from the following options:
• Choose one ability score. While cursed, the target
has disadvantage on ability checks and saving throws
made with that ability score.
• While cursed, the target has disadvantage on attack
rolls against you.
• While cursed, the target must make a W isdom saving
throw at the start o f each o f its turns. If it fails, it
wastes its action that turn doing nothing.
• While the target is cursed, your attacks and spells
deal an extra 1d8 necrotic damage to the target.
A remove curse spell ends this effect. At the DM’s
option, you may choose an alternative curse effect, but
it should be no more powerful than those described
above. The DM has final say on such a curse’s effect.
At Higher Levels. If you cast this spell using a spell
slot o f 4th level or higher, the duration is concentration,
up to 10 minutes. If you use a spell slot o f 5th level or
higher, the duration is 8 hours. If you use a spell slot of
7th level or higher, the duration is 24 hours. If you use
a 9th level spell slot, the spell lasts until it is dispelled.
Using a spell slot o f 5th level or higher grants a duration
that doesn’t require concentration.</t>
  </si>
  <si>
    <t>Bigby's Hand</t>
  </si>
  <si>
    <t>5th-level evocation</t>
  </si>
  <si>
    <t>V, S, M (an eggshell and a snakeskin glove)</t>
  </si>
  <si>
    <t>You create a Large hand o f shimmering, translucent
force in an unoccupied space that you can see within
range. The hand lasts for the spell’s duration, and it
moves at your command, mimicking the movements of
your own hand.
The hand is an object that has AC 20 and hit points
equal to your hit point maximum. If it drops to 0 hit
points, the spell ends. It has a Strength o f 26 (+8) and a
Dexterity o f 10 (+0). The hand doesn’t fill its space.
When you cast the spell and as a bonus action on your
subsequent turns, you can move the hand up to 60 feet
and then cause one o f the following effects with it.
Clenched Fist. The hand strikes one creature or
object within 5 feet o f it. Make a melee spell attack for
the hand using your game statistics. On a hit, the target
takes 4d8 force damage.
Forceful Hand. The hand attempts to push a creature
within 5 feet of it in a direction you choose. Make
a check with the hand’s Strength contested by the
Strength (Athletics) check o f the target. If the target is
Medium or smaller, you have advantage on the check. If
you succeed, the hand pushes the target up to 5 feet plus
a number of feet equal to five times your spellcasting
ability modifier. The hand moves with the target to
remain within 5 feet o f it.
Grasping Hand. The hand attempts to grapple a Huge
or smaller creature within 5 feet o f it. You use the hand’s
Strength score to resolve the grapple. If the target is
Medium or smaller, you have advantage on the check.
While the hand is grappling the target, you can use a
bonus action to have the hand crush it. When you do
so, the target takes bludgeoning damage equal to 2d6 +
your spellcasting ability modifier.
Interposing Hand. The hand interposes itself
between you and a creature you choose until you give
the hand a different command. The hand moves to stay
between you and the target, providing you with half
cover against the target. The target can't move through
the hand’s space if its Strength score is less than or
equal to the hand’s Strength score. If its Strength score
is higher than the hand’s Strength score, the target can
move toward you through the hand’s space, but that
space is difficult terrain for the target.
At Higher Levels. When you cast this spell using a
spell slot of 6th level or higher, the damage from the
clenched fist option increases by 2d8 and the damage
from the grasping hand increases by 2d6 for each slot
level above 5th.</t>
  </si>
  <si>
    <t>Blade Barrier</t>
  </si>
  <si>
    <t>6th-level evocation</t>
  </si>
  <si>
    <t>90 feet</t>
  </si>
  <si>
    <t>You create a vertical wall of whirling, razor-sharp blades made of magical energy. The wall appears within range and lasts for the duration. You can make a straight wall up to 100 feet long, 20 feet high, and 5 feet thick, or a ringed wall up to 60 feet in diameter, 20 feet high, and 5 feet thick. The wall provides three-quarters cover to creatures behind it, and its space is difficult terrain.
When a creature enters the wall’s area for the first time on a turn or starts its turn there, the creature must make a Dexterity saving throw. On a failed save, the creature takes 6d10 slashing damage. On a successful save, the creature takes half as much damage.</t>
  </si>
  <si>
    <t>Blade Ward</t>
  </si>
  <si>
    <t>Abjuration cantrip</t>
  </si>
  <si>
    <t>1 round</t>
  </si>
  <si>
    <t>You extend your hand and trace a sigil of warding in the air. Until the end of your next turn, you have resistance against bludgeoning, piercing, and slashing damage dealt by weapon attacks.</t>
  </si>
  <si>
    <t>Bless</t>
  </si>
  <si>
    <t>V, S, M (a sprinkling of holy water)</t>
  </si>
  <si>
    <t>You bless up to three creatures of your choice within range. Whenever a target makes an attack roll or a saving throw before the spell ends, the target can roll a d4 and add the number rolled to the attack roll or saving throw.
At Higher Levels. When you cast this spell using a spell slot of 2nd level or higher, you can target one additional creature for each slot level above 1st.</t>
  </si>
  <si>
    <t>Blight</t>
  </si>
  <si>
    <t>4th-level necromancy</t>
  </si>
  <si>
    <t>Necromantic energy washes over a creature of your choice that you can see within range, draining moisture and vitality from it. The target must make a Constitution saving throw. The target takes 8d8 necrotic damage on a failed save, or half as much damage on a successful one. This spell has no effect on undead or constructs. 
If you target a plant creature or a magical plant, it makes the saving throw with disadvantage, and the spell deals maximum damage to it.
If you target a nonmagical plant that isn’t a creature, such as a tree or shrub, it doesn’t make a saving throw; it simply withers and dies.
At Higher Levels. When you cast this spell using a spell slot of 5th level or higher, the damage increases by 1d8 for each slot level above 4th.</t>
  </si>
  <si>
    <t>Blinding Smite</t>
  </si>
  <si>
    <t>The next time you hit a creature with a melee weapon attack during this spell’s duration, your weapon flares with bright light, and the attack deals an extra 3d8 radiant damage to the target. Additionally, the target must succeed on a Constitution saving throw or be blinded until the spell ends.
A creature blinded by this spell makes another Constitution saving throw at the end of each of its turns. On a successful save, it is no longer blinded.</t>
  </si>
  <si>
    <t>Blindness/Deafness</t>
  </si>
  <si>
    <t>2nd-level necromancy</t>
  </si>
  <si>
    <t>You can blind or deafen a foe. Choose one creature that you can see within range to make a Constitution saving throw. If it fails, the target is either blinded or deafened (your choice) for the duration. At the end of each of its turns, the target can make a Constitution saving throw. On a success, the spell ends.
At Higher Levels. When you cast this spell using a spell slot of 3rd level or higher, you can target one additional creature for each slot level above 2nd.</t>
  </si>
  <si>
    <t>Blink</t>
  </si>
  <si>
    <t>3rd-level transmutation</t>
  </si>
  <si>
    <t>Roll a d20 at the end of each of your turns for the duration of the spell. On a roll of 11 or higher, you vanish from your current plane of existence and appear in the Ethereal Plane (the spell fails and the casting is wasted if you were already on that plane). At the start of your next turn, and when the spell ends if you are on the Ethereal Plane, you return to an unoccupied space of your choice that you can see within 10 feet of the space you vanished from. If no unoccupied space is available within that range, you appear in the nearest unoccupied space (chosen at random if more than one space is equally near). You can dismiss this spell as an action.
While on the Ethereal Plane, you can see and hear the plane you originated from, which is cast in shades of gray, and you can’t see anything there more than 60 feet away. You can only affect and be affected by other creatures on the Ethereal Plane. Creatures that aren’t there can’t perceive you or interact with you, unless they have the ability to do so.</t>
  </si>
  <si>
    <t>Blur</t>
  </si>
  <si>
    <t>2nd-level illusion</t>
  </si>
  <si>
    <t>Your body becomes blurred, shifting and wavering to all who can see you. For the duration, any creature has disadvantage on attack rolls against you. An attacker is immune to this effect if it doesn’t rely on sight, as with blindsight, or can see through illusions, as with truesight.</t>
  </si>
  <si>
    <t>Branding Smite</t>
  </si>
  <si>
    <t>2nd-level evocation</t>
  </si>
  <si>
    <t>The next time you hit a creature with a weapon attack before this spell ends, the weapon gleams with astral radiance as you strike. The attack deals an extra 2d6 radiant damage to the target, which becomes visible if it’s invisible, and the target sheds dim light in a 5-foot radius and can’t become invisible until the spell ends.
At Higher Levels. When you cast this spell using a spell slot o f 3rd level or higher, the extra damage increases by 1d6 for each slot level above 2nd.</t>
  </si>
  <si>
    <t>Burning Hands</t>
  </si>
  <si>
    <t>1st-level evocation</t>
  </si>
  <si>
    <t>Self (15-foot cone)</t>
  </si>
  <si>
    <t>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</si>
  <si>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Call Lightning</t>
  </si>
  <si>
    <t>3rd-level conjuration</t>
  </si>
  <si>
    <t>A storm cloud appears in the shape o f a cylinder that
is 10 feet tall with a 60-foot radius, centered on a point
you can see 100 feet directly above you. The spell fails
if you can’t see a point in the air where the storm cloud
could appear (for example, if you are in a room that can’t
accommodate the cloud).
When you cast the spell, choose a point you can see
within range. A bolt o f lightning flashes down from the
cloud to that point. Each creature within 5 feet o f that
point must make a Dexterity saving throw. A creature
takes 3d10 lightning damage on a failed save, or half
as much damage on a successful one. On each o f your
turns until the spell ends, you can use your action to call
down lightning in this way again, targeting the same
point or a different one.
If you are outdoors in stormy conditions when you
cast this spell, the spell gives you control over the
existing storm instead of creating a new one. Under
such conditions, the spell’s damage increases by 1d10.
At Higher Levels. When you cast this spell using a
spell slot of 4th or higher level, the damage increases by
1d10 for each slot level above 3rd.</t>
  </si>
  <si>
    <t>Calm Emotions</t>
  </si>
  <si>
    <t>2nd-level enchantment</t>
  </si>
  <si>
    <t>You attempt to suppress strong emotions in a group of people. Each humanoid in a 20-foot-radius sphere centered on a point you choose within range must make a Charisma saving throw; a creature can choose to fail this saving throw if it wishes. If a creature fails its saving throw, choose one of the following two effects.
You can suppress any effect causing a target to be charmed or frightened. When this spell ends, any suppressed effect resumes, provided that its duration has not expired in the meantime.
Alternatively, you can make a target indifferent about creatures of your choice that it is hostile toward. This indifference ends if the target is attacked or harmed by a spell or if it witnesses any of its friends being harmed. When the spell ends, the creature becomes hostile again, unless the DM rules otherwise.</t>
  </si>
  <si>
    <t>Chain Lightning</t>
  </si>
  <si>
    <t>150 feet</t>
  </si>
  <si>
    <t>V, S, M (a bit of fur; a piece of amber, glass, or a crystal rod; and three silver pins)</t>
  </si>
  <si>
    <t>You create a bolt of lightning that arcs toward a target of your choice that you can see within range. Three bolts then leap from that target to as many as three other targets, each of which must be within 30 feet of the first target. A target can be a creature or an object and can be targeted by only one of the bolts.
A target must make a Dexterity saving throw. The target takes 10d8 lightning damage on a failed save, or half as much damage on a successful one.
At Higher Levels. When you cast this spell using a spell slot of 7th level or higher, one additional bolt leaps from the first target to another target for each slot
level above 6th.</t>
  </si>
  <si>
    <t>Charm Person</t>
  </si>
  <si>
    <t>You attempt to charm a humanoid you can see within range. It must make a Wisdom saving throw, and does so with advantage if you or your companions are fighting it. If it fails the saving throw, it is charmed by you until the spell ends or until you or your companions do anything harmful to it. The charmed creature regards you as a friendly acquaintance. When the spell ends, the creature knows it was charmed by you.
At Higher Levels. When you cast this spell using a spell slot of 2nd level or higher, you can target one additional creature for each slot level above 1st. The creatures must be within 30 feet of each other when you target them.</t>
  </si>
  <si>
    <t>Chill Touch</t>
  </si>
  <si>
    <t>Necromancy cantrip</t>
  </si>
  <si>
    <t>You create a ghostly, skeletal hand in the space of a creature within range. Make a ranged spell attack against the creature to assail it with the chill of the grave. On a hit, the target takes 1d8 necrotic damage, and it can’t regain hit points until the start of your next turn. Until then, the hand clings to the target.
If you hit an undead target, it also has disadvantage on attack rolls against you until the end of your next turn.
This spell’s damage increases by 1d8 when you reach 5th level (2d8), 11th level (3d8), and 17th level (4d8).</t>
  </si>
  <si>
    <t>Chromatic Orb</t>
  </si>
  <si>
    <t>V, S, M (a diamond worth at least 50 gp)</t>
  </si>
  <si>
    <t>You hurl a 4-inch-diameter sphere of energy at a creature that you can see within range. You choose acid, cold, fire, lightning, poison, or thunder for the type of orb you create, and then make a ranged spell attack against the target. If the attack hits, the creature takes 3d8 damage of the type you chose.
At Higher Levels. When you cast this spell using a spell slot of 2nd level or higher, the damage increases by 1d8 for each slot level above 1st.</t>
  </si>
  <si>
    <t>Circle of Death</t>
  </si>
  <si>
    <t>6th-level necromancy</t>
  </si>
  <si>
    <t>V, S, M (the powder of a crushed black pearl worth at least 500 gp)</t>
  </si>
  <si>
    <t>A sphere o f negative energy ripples out in a 60-foot radius sphere from a point within range. Each creature in that area must make a Constitution saving throw. A target takes 8d6 necrotic damage on a failed save, or half as much damage on a successful one.
At Higher Levels. When you cast this spell using a spell slot of 7th level or higher, the damage increases by 2d6 for each slot level above 6th.</t>
  </si>
  <si>
    <t>Circle of Power</t>
  </si>
  <si>
    <t>Sel f (30-foot radius)</t>
  </si>
  <si>
    <t>Divine energy radiates from you, distorting and diffusing magical energy within 30 feet of you. Until the spell ends, the sphere moves with you, centered on you. For the duration, each friendly creature in the area (including you) has advantage on saving throws against spells and other magical effects. Additionally, when an affected creature succeeds on a saving throw made against a spell or magical effect that allows it to make a saving throw to take only half damage, it instead takes no damage if it succeeds on the saving throw.</t>
  </si>
  <si>
    <t>Clairvoyance</t>
  </si>
  <si>
    <t>3rd-level divination</t>
  </si>
  <si>
    <t>10 minutes</t>
  </si>
  <si>
    <t>1 mile</t>
  </si>
  <si>
    <t>V, S, M (a focus worth at least 100 gp, either a jeweled horn for hearing or a glass eye for seeing)</t>
  </si>
  <si>
    <t>You create an invisible sensor within range in a location familiar to you (a place you have visited or seen before) or in an obvious location that is unfamiliar to you (such as behind a door, around a corner, or in a grove of trees). The sensor remains in place for the duration, and it can’t be attacked or otherwise interacted with.
When you cast the spell, you choose seeing or hearing. You can use the chosen sense through the sensor as if you were in its space. As your action, you can switch between seeing and hearing.
A creature that can see the sensor (such as a creature benefiting from see invisibility or truesight) sees a luminous, intangible orb about the size of your fist.</t>
  </si>
  <si>
    <t>Clone</t>
  </si>
  <si>
    <t>8th-level necromancy</t>
  </si>
  <si>
    <t>V, S, M (a diamond worth at least 1,000 gp and at least 1 cubic inch of flesh of the creature that is to be cloned, which the spell consumes, and a vessel worth at least 2,000 gp that has a sealable lid and is large enough to hold a Medium creature, such as a huge urn, coffin, mud-filled cyst in the ground, or crystal container filled with salt water)</t>
  </si>
  <si>
    <t>This spell grows an inert duplicate of a living creature as a safeguard against death. This clone forms inside a sealed vessel and grows to full size and maturity after 120 days; you can also choose to have the clone be a younger version of the same creature. It remains inert and endures indefinitely, as long as its vessel remains undisturbed.
At any time after the clone matures, if the original creature dies, its soul transfers to the clone, provided that the soul is free and willing to return. The clone is physically identical to the original and has the same personality, memories, and abilities, but none of the original’s equipment. The original creature’s physical remains, if they still exist, become inert and can’t thereafter be restored to life, since the creature’s soul is elsewhere.</t>
  </si>
  <si>
    <t>Cloud of Daggers</t>
  </si>
  <si>
    <t>2nd-level conjuration</t>
  </si>
  <si>
    <t>V, S, M (a sliver of glass)</t>
  </si>
  <si>
    <t>You fill the air with spinning daggers in a cube 5 feet on each side, centered on a point you choose within range. A creature takes 4d4 slashing damage when it enters
the spell’s area for the first time on a turn or starts its turn there.
At Higher Levels. When you cast this spell using a spell slot of 3rd level or higher, the damage increases by 2d4 for each slot level above 2nd.</t>
  </si>
  <si>
    <t>Cloudkill</t>
  </si>
  <si>
    <t>5th-level conjuration</t>
  </si>
  <si>
    <t>You create a 20-foot-radius sphere of poisonous, yellowgreen fog centered on a point you choose within range. The fog spreads around corners. It lasts for the duration or until strong wind disperses the fog, ending the spell. Its area is heavily obscured.
When a creature enters the spell’s area for the first time on a turn or starts its turn there, that creature must make a Constitution saving throw. The creature takes
5d8 poison damage on a failed save, or half as much damage on a successful one. Creatures are affected even if they hold their breath or don’t need to breathe.
The fog moves 10 feet away from you at the start o f each o f your turns, rolling along the surface of the ground. The vapors, being heavier than air, sink to the lowest level o f the land, even pouring down openings.
At Higher Levels. When you cast this spell using a spell slot of 6th level or higher, the damage increases by 1d8 for each slot level above 5th.</t>
  </si>
  <si>
    <t>Color Spray</t>
  </si>
  <si>
    <t>1st-level illusion</t>
  </si>
  <si>
    <t>V, S, M (a pinch of powder or sand that is colored red, yellow, and blue)</t>
  </si>
  <si>
    <t>A dazzling array of flashing, colored light springs from your hand. Roll 6d10; the total is how many hit points of creatures this spell can effect. Creatures in a 15-foot cone originating from you are affected in ascending order of their current hit points (ignoring unconscious creatures and creatures that can’t see).
Starting with the creature that has the lowest current hit points, each creature affected by this spell is blinded until the spell ends. Subtract each creature’s hit points from the total before moving on to the creature with the next lowest hit points. A creature’s hit points must be equal to or less than the remaining total for that creature to be affected.
At Higher Levels. When you cast this spell using a spell slot of 2nd level or higher, roll an additional 2d10 for each slot level above 1st.</t>
  </si>
  <si>
    <t>Command</t>
  </si>
  <si>
    <t>You speak a one-word command to a creature you can
see within range. The target must succeed on a W isdom
saving throw or follow the command on its next turn.
The spell has no effect if the target is undead, if it
doesn’t understand your language, or if your command
is directly harmful to it.
Some typical commands and their effects follow. You
might issue a command other than one described here.
If you do so, the DM determines how the target behaves.
If the target can’t follow your command, the spell ends.
Approach. The target moves toward you by the
shortest and most direct route, ending its turn if it
moves within 5 feet o f you.
Drop. The target drops whatever it is holding and then
ends its turn.
Flee. The target spends its turn moving away from
you by the fastest available means.
Grovel. The target falls prone and then ends its turn.
Halt. The target doesn’t move and takes no actions.
A flying creature stays aloft, provided that it is able to
do so. If it must move to stay aloft, it flies the minimum
distance needed to remain in the air.
At Higher Levels. When you cast this spell using
a spell slot o f 2nd level or higher, you can affect one
additional creature for each slot level above 1st. The
creatures must be within 30 feet o f each other when
you target them.</t>
  </si>
  <si>
    <t>Commune</t>
  </si>
  <si>
    <t>5th-level divination (ritual)</t>
  </si>
  <si>
    <t>V, S, M (incense and a vial of holy or unholy water)</t>
  </si>
  <si>
    <t>You contact your deity or a divine proxy and ask up to three questions that can be answered with a yes or no. You must ask your questions before the spell ends. You
receive a correct answer for each question.
Divine beings aren’t necessarily omniscient, so you might receive “unclear” as an answer if a question pertains to information that lies beyond the deity’s knowledge. In a case where a one-word answer could be misleading or contrary to the deity’s interests, the DM might offer a short phrase as an answer instead.
If you cast the spell two or more times before finishing your next long rest, there is a cumulative 25 percent chance for each casting after the first that you get no answer. The DM makes this roll in secret.</t>
  </si>
  <si>
    <t>Commune with Nature</t>
  </si>
  <si>
    <t>You briefly become one with nature and gain knowledge
o f the surrounding territory. In the outdoors, the spell
gives you knowledge o f the land within 3 miles o f you.
In caves and other natural underground settings, the
radius is limited to 300 feet. The spell doesn’t function
where nature has been replaced by construction, such
as in dungeons and towns.
You instantly gain knowledge o f up to three facts of
your choice about any o f the following subjects as they
relate to the area:
• terrain and bodies o f water
• prevalent plants, minerals, animals, or peoples
• powerful celestials, fey, fiends, elementals, or undead
• influence from other planes o f existence
• buildings
For example, you could determine the location of
powerful undead in the area, the location o f major
sources o f safe drinking water, and the location o f any
nearby towns.</t>
  </si>
  <si>
    <t>Compelled Duel</t>
  </si>
  <si>
    <t>You attempt to compel a creature into a duel. One creature that you can see within range must make a Wisdom saving throw. On a failed save, the creature is drawn to you, compelled by your divine demand. For the duration, it has disadvantage on attack rolls against creatures other than you, and must make a Wisdom saving throw each time it attempts to move to a space that is more than 30 feet away from you; if it succeeds on this saving throw, this spell doesn’t restrict the target’s movement for that turn.
The spell ends if you attack any other creature, if you cast a spell that targets a hostile creature other than the target, if a creature friendly to you damages the target or casts a harmful spell on it, or if you end your turn more than 30 feet away from the target.</t>
  </si>
  <si>
    <t>Comprehend Languages</t>
  </si>
  <si>
    <t>1st-level divination (ritual)</t>
  </si>
  <si>
    <t>V, S, M (a pinch of soot and salt)</t>
  </si>
  <si>
    <t>For the duration, you understand the literal meaning of any spoken language that you hear. You also understand any written language that you see, but you must be touching the surface on which the words are written. It takes about 1 minute to read one page of text.
This spell doesn’t decode secret messages in a text or a glyph, such as an arcane sigil, that isn’t part of a written language.</t>
  </si>
  <si>
    <t>Compulsion</t>
  </si>
  <si>
    <t>4th-level enchantment</t>
  </si>
  <si>
    <t>Creatures of your choice that you can see within range and that can hear you must make a Wisdom saving throw. A target automatically succeeds on this saving throw if it can’t be charmed. On a failed save, a target is affected by this spell. Until the spell ends, you can use a bonus action on each of your turns to designate a direction that is horizontal to you. Each affected target must use as much of its movement as possible to move in that direction on its next turn. It can take its action before it moves. After moving in this way, it can make another Wisdom saving to try to end the effect.
A target isn’t compelled to move into an obviously deadly hazard, such as a fire or pit, but it will provoke opportunity attacks to move in the designated direction.</t>
  </si>
  <si>
    <t>Cone of Cold</t>
  </si>
  <si>
    <t>Self (60-foot cone)</t>
  </si>
  <si>
    <t>V, S, M (a small crystal or glass cone)</t>
  </si>
  <si>
    <t>A blast of cold air erupts from your hands. Each creature in a 60-foot cone must make a Constitution saving throw. A creature takes 8d8 cold damage on a failed save, or half as much damage on a successful one.
A creature killed by this spell becomes a frozen statue until it thaws.
At Higher Levels. When you cast this spell using a spell slot of 6th level or higher, the damage increases by 1d8 for each slot level above 5th.</t>
  </si>
  <si>
    <t>Confusion</t>
  </si>
  <si>
    <t>V, S, M (three nut shells)</t>
  </si>
  <si>
    <t>This spell assaults and twists creatures' minds,
spawning delusions and provoking uncontrolled action.
Each creature in a 10-foot-radius sphere centered on
a point you choose within range must succeed on a
Wisdom saving throw when you cast this spell or be
affected by it.
An affected target can’t take reactions and must roll
a d 10 at the start o f each o f its turns to determine its
behavior for that turn.
d10 Behavior
1 The creature uses all its movement to move in a
random direction. To determine the direction, roll
a d8 and assign a direction to each die face. The
creature doesn’t take an action this turn.
2-6 The creature doesn’t move or take actions this turn.
7-8 The creature uses its action to make a melee attack
against a randomly determined creature within its
reach. If there is no creature within its reach, the
creature does nothing this turn.
9-10 The creature can act and move normally.
At the end o f each o f its turns, an affected target can
make a W isdom saving throw. If it succeeds, this effect
ends for that target.
At Higher Levels. When you cast this spell using a
spell slot o f 5th level or higher, the radius of the sphere
increases by 5 feet for each slot level above 4th.</t>
  </si>
  <si>
    <t>Conjure Animals</t>
  </si>
  <si>
    <t>You summon fey spirits that take the form o f beasts and
appear in unoccupied spaces that you can see within
range. Choose one o f the following options for what
appears:
• One beast o f challenge rating 2 or lower
• Two beasts o f challenge rating 1 or lower
• Four beasts o f challenge rating 1/2 or lower
• Eight beasts o f challenge rating 1/4 or lower
Each beast is also considered fey, and it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5th-level slot, three times as many
with a 7th-level slot, and four times as many with a
9th-level slot.</t>
  </si>
  <si>
    <t>Conjure Barrage</t>
  </si>
  <si>
    <t>V, S, M (one piece of ammunition or a thrown weapon)</t>
  </si>
  <si>
    <t>You throw a nonmagical weapon or fire a piece of nonmagical ammunition into the air to create a cone of identical weapons that shoot forward and then disappear. Each creature in a 60-foot cone must succeed on a Dexterity saving throw. A creature takes 3d8 damage on a failed save, or half as much damage on a successful one. The damage type is the same as that of the weapon or ammunition used as a component.</t>
  </si>
  <si>
    <t>Conjure Celestial</t>
  </si>
  <si>
    <t>7th-level conjuration</t>
  </si>
  <si>
    <t>You summon a celestial of challenge rating 4 or lower, which appears in an unoccupied space that you can see within range. The celestial disappears when it drops to 0 hit points or when the spell ends. The celestial is friendly to you and your companions for the duration. Roll initiative for the celestial, which has its own turns. It obeys any verbal commands that you issue to it (no action required by you), as long as they don’t violate its alignment. If you don’t issue any commands to the celestial, it defends itself from hostile creatures but otherwise takes no actions. The DM has the celestial’s statistics.
At Higher Levels. When you cast this spell using a 9th-level spell slot, you summon a celestial of challenge rating 5 or lower.</t>
  </si>
  <si>
    <t>Conjure Elemental</t>
  </si>
  <si>
    <t>V, S, M (burning incense for air, soft clay for earth, sulfur and phosphorus for fire, or water and sand for water)</t>
  </si>
  <si>
    <t>You call forth an elemental servant. Choose an area o f air,
earth, fire, or water that fills a 10-foot cube within range.
An elemental o f challenge rating 5 or lower appropriate
to the area you chose appears in an unoccupied space
within 10 feet o f it. For example, a fire elemental
emerges from a bonfire, and an earth elemental rises
up from the ground. The elemental disappears when it
drops to 0 hit points or when the spell ends.
The elemental is friendly to you and your companions
for the duration. Roll initiative for the elemental, which
has its own turns. It obeys any verbal commands that
you issue to it (no action required by you). If you don’t
issue any commands to the elemental, it defends itself
from hostile creatures but otherwise takes no actions.
If your concentration is broken, the elemental doesn’t
disappear. Instead, you lose control o f the elemental,
it becomes hostile toward you and your companions,
and it might attack. An uncontrolled elemental can’t
be dismissed by you, and it disappears 1 hour after
you summoned it.
The DM has the elemental’s statistics.
At Higher Levels. When you cast this spell using
a spell slot o f 6th level or higher, the challenge rating
increases by 1 for each slot level above 5th.</t>
  </si>
  <si>
    <t>Conjure Fey</t>
  </si>
  <si>
    <t>You summon a fey creature o f challenge rating 6 or
lower, or a fey spirit that takes the form of a beast of
challenge rating 6 or lower. It appears in an unoccupied
space that you can see within range. The fey creature
disappears when it drops to 0 hit points or when
the spell ends.
The fey creature is friendly to you and your
companions for the duration. Roll initiative for the
creature, which has its own turns. It obeys any verbal
commands that you issue to it (no action required
by you), as long as they don't violate its alignment. If
you don’t issue any commands to the fey creature, it
defends itself from hostile creatures but otherwise
takes no actions.
If your concentration is broken, the fey creature
doesn’t disappear. Instead, you lose control o f the
fey creature, it becomes hostile toward you and your
companions, and it might attack. An uncontrolled fey
creature can't be dismissed by you, and it disappears 1
hour after you summoned it.
The DM has the fey creature’s statistics.
At Higher Levels. When you cast this spell using
a spell slot o f 7th level or higher, the challenge rating
increases by 1 for each slot level above 6th.</t>
  </si>
  <si>
    <t>Conjure Minor Elementals</t>
  </si>
  <si>
    <t>4th-level conjuration</t>
  </si>
  <si>
    <t>You summon elementals that appear in unoccupied
spaces that you can see within range. You choose one
the following options for what appears:
• One elemental o f challenge rating 2 or lower
• Two elementals o f challenge rating 1 or lower
• Four elementals o f challenge rating 1/2 or lower
• Eight elementals of challenge rating 1/4 or lower.
An elemental summoned by this spell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6th-level slot and three times as
many with an 8th-level slot.</t>
  </si>
  <si>
    <t>Conjure Volley</t>
  </si>
  <si>
    <t>V, S , M (one piece of ammunition or one thrown weapon)</t>
  </si>
  <si>
    <t>You fire a piece of nonmagical ammunition from a ranged weapon or throw a nonmagical weapon into the air and choose a point within range. Hundreds of duplicates of the ammunition or weapon fall in a volley from above and then disappear. Each creature in a 40-foot-radius. 20-foot-high cylinder centered on that point must make a Dexterity saving throw. A creature takes 8d8 damage on a failed save, or half as much damage on a successful one. The damage type is the same as that of the ammunition or weapon.</t>
  </si>
  <si>
    <t>Conjure Woodland Beings</t>
  </si>
  <si>
    <t>V, S, M (one holly berry per creature summoned)</t>
  </si>
  <si>
    <t>You summon fey creatures that appear in unoccupied
spaces that you can see within range. Choose one o f the
following options for what appears:
• One fey creature o f challenge rating 2 or lower
• Two fey creatures o f challenge rating 1 or lower
• Four fey creatures o f challenge rating 1/2 or lower
• Eight fey creatures o f challenge rating 1/4 or lower
A summoned creature disappears when it drops to 0 hit
points or when the spell ends.
The summoned creatures are friendly to you and your
companions. Roll initiative for the summoned creatures
as a group, which have their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6th-level slot and three times as
many with an 8th-level slot.</t>
  </si>
  <si>
    <t>Contact Other Plane</t>
  </si>
  <si>
    <t>You mentally contact a demigod, the spirit of a long-dead sage, or some other mysterious entity from another plane. Contacting this extraplanar intelligence can strain or even break your mind. When you cast this spell, make a DC 15 Intelligence saving throw. On a failure, you take 6d6 psychic damage and are insane until you finish a long rest. While insane, you can’t take actions, can’t understand what other creatures say, can’t read, and speak only in gibberish. A greater restoration spell cast on you ends this effect.
On a successful save, you can ask the entity up to five questions. You must ask your questions before the spell ends. The DM answers each question with one word, such as “yes,” “no,” “maybe,” “never,” “irrelevant,” or “unclear” (if the entity doesn’t know the answer to the question). If a one-word answer would be misleading, the DM might instead offer a short phrase as an answer.</t>
  </si>
  <si>
    <t>Contagion</t>
  </si>
  <si>
    <t>5th-level necromancy</t>
  </si>
  <si>
    <t>7 days</t>
  </si>
  <si>
    <t>Your touch inflicts disease. Make a melee spell attack
against a creature within your reach. On a hit, you afflict
the creature with a disease o f your choice from any o f
the ones described below.
At the end o f each o f the target’s turns, it must make
a Constitution saving throw. After failing three of
these saving throws, the disease’s effects last for the
duration, and the creature stops making these saves.
After succeeding on three o f these saving throws, the
creature recovers from the disease, and the spell ends.
Since this spell induces a natural disease in its
target, any effect that removes a disease or otherwise
ameliorates a disease’s effects apply to it.
Blinding Sickness. Pain grips the creature’s mind,
and its eyes turn milky white. The creature has
disadvantage on Wisdom checks and W isdom saving
throws and is blinded.
Filth Fever. A raging fever sweeps through the
creature’s body. The creature has disadvantage on
Strength checks, Strength saving throws, and attack
rolls that use Strength.
Flesh Rot. The creature’s flesh decays. The creature
has disadvantage on Charisma checks and vulnerability
to all damage.
Mindfire. The creature’s mind becomes feverish. The
creature has disadvantage on Intelligence checks and
Intelligence saving throws, and the creature behaves as
if under the effects o f the confusion spell during combat.
Seizure. The creature is overcome with shaking.
The creature has disadvantage on Dexterity checks,
Dexterity saving throws, and attack rolls that
use Dexterity.
Slimy Doom. The creature begins to bleed
uncontrollably. The creature has disadvantage on
Constitution checks and Constitution saving throws.
In addition, whenever the creature takes damage, it is
stunned until the end o f its next turn.</t>
  </si>
  <si>
    <t>Contingency</t>
  </si>
  <si>
    <t>V, S, M (a statuette of yourself carved from ivory and decorated with gems worth at least 1,500 gp)</t>
  </si>
  <si>
    <t>Choose a spell o f 5th level or lower that you can cast, that has a casting time of 1 action, and that can target you. You cast that spell—called the contingent spell—as part of casting contingency, expending spell slots for both, but the contingent spell doesn't come into effect. Instead, it takes effect when a certain circumstance occurs. You describe that circumstance when you cast the two spells. For example, a contingency cast with water breathing might stipulate that water breathing comes into effect when you are engulfed in water or a similar liquid.
The contingent spell takes effect immediately after the circumstance is met for the first time, whether or not you want it to. and then contingency ends.
The contingent spell takes effect only on you, even if it can normally target others. You can use only one contingency spell at a time. If you cast this spell again, the effect of another contingency spell on you ends. Also, contingency ends on you if its material component is ever not on your person.</t>
  </si>
  <si>
    <t>Continual Flame</t>
  </si>
  <si>
    <t>V, S, M (ruby dust worth 50 gp, which the spell consumes)</t>
  </si>
  <si>
    <t>A flame, equivalent in brightness to a torch, springs forth from an object that you touch. The effect looks like a regular flame, but it creates no heat and doesn’t use oxygen. A continual flame can be covered or hidden but not smothered or quenched.</t>
  </si>
  <si>
    <t>Control Water</t>
  </si>
  <si>
    <t>4th-level transmutation</t>
  </si>
  <si>
    <t>300 feet</t>
  </si>
  <si>
    <t>V, S , M (a drop of water and a pinch of dust)</t>
  </si>
  <si>
    <t>Until the spell ends, you control any freestanding water
inside an area you choose that is a cube up to 100 feet
on a side. You can choose from any o f the following
effects when you cast this spell. As an action on your
turn, you can repeat the same effect or choose a
different one.
Flood. You cause the water level o f all standing water in
the area to rise by as much as 20 feet. If the area includes
a shore, the flooding water spills over onto dry land.
If you choose an area in a large body o f water, you
instead create a 20-foot tall wave that travels from one
side o f the area to the other and then crashes down. Any
Huge or smaller vehicles in the wave’s path are carried
with it to the other side. Any Huge or smaller vehicles
struck by the wave have a 25 percent chance of capsizing.
The water level remains elevated until the spell ends
or you choose a different effect. If this effect produced
a wave, the wave repeats on the start o f your next turn
while the flood effect lasts.
Part Water. You cause water in the area to move
apart and create a trench. The trench extends across
the spell’s area, and the separated water forms a wall to
either side. The trench remains until the spell ends or
you choose a different effect. The water then slowly fills
in the trench over the course o f the next round until the
normal water level is restored.
Redirect Flow. You cause flowing water in the area
to move in a direction you choose, even if the water has
to flow over obstacles, up walls, or in other unlikely
directions. The water in the area moves as you direct
it, but once it moves beyond the spell’s area, it resumes
its flow based on the terrain conditions. The water
continues to move in the direction you chose until the
spell ends or you choose a different effect.
Whirlpool. This effect requires a body o f water
at least 50 feet square and 25 feet deep. You cause
a whirlpool to form in the center o f the area. The
whirlpool forms a vortex that is 5 feet w ide at the
base, up to 50 feet w ide at the top, and 25 feet tall. Any
creature or object in the water and within 25 feet o f the
vortex is pulled 10 feet toward it. A creature can swim
away from the vortex by m aking a Strength (Athletics)
check against your spell save DC.
When a creature enters the vortex for the first time on
a turn or starts its turn there, it must make a Strength
saving throw. On a failed save, the creature takes 2d8
bludgeoning damage and is caught in the vortex until
the spell ends. On a successful save, the creature takes
half damage, and isn’t caught in the vortex. A creature
caught in the vortex can use its action to try to swim
away from the vortex as described above, but has
disadvantage on the Strength (Athletics) check to do so.
The first time each turn that an object enters the
vortex, the object takes 2d8 bludgeoning damage; this
damage occurs each round it remains in the vortex.</t>
  </si>
  <si>
    <t>Control Weater</t>
  </si>
  <si>
    <t>8th-Ievel transmutation</t>
  </si>
  <si>
    <t>Self (5-mile radius)</t>
  </si>
  <si>
    <t>V, S, M (burning incense and bits of earth and wood mixed in water)</t>
  </si>
  <si>
    <t>Concentration, up to 8 hours</t>
  </si>
  <si>
    <t>You take control o f the weather within 5 miles o f you
for the duration. You must be outdoors to cast this spell.
Moving to a place where you don’t have a clear path to
the sky ends the spell early.
When you cast the spell, you change the current
weather conditions, which are determined by the DM
based on the climate and season. You can change
precipitation, temperature, and wind. It takes 1d4 x 10
minutes for the new conditions to take effect. Once they
do so, you can change the conditions again. When the
spell ends, the weather gradually returns to normal.
When you change the weather conditions, find a
current condition on the following tables and change its
stage by one, up or down. When changing the wind, you
can change its direction.
P r e c i p i t a t i o n
Stage Condition
1 Clear
2 Light clouds
3 Overcast or ground fog
4 Rain, hail, or snow
5 Torrential rain, driving hail, or blizzard
T e m p e r a t u r e
Stage Condition
1 Unbearable heat
2 Hot
3 Warm
4 Cool
5 Cold
6 Arctic cold
W i n d
Stage Condition
1 Calm
2 Moderate wind
3 Strong wind
4 Gale
5 Storm</t>
  </si>
  <si>
    <t>Cordon of Arrows</t>
  </si>
  <si>
    <t>5 feet</t>
  </si>
  <si>
    <t>V, S, M (four or more arrows or bolts)</t>
  </si>
  <si>
    <t>You plant four pieces o f nonmagical ammunition—arrows or crossbow bolts—in the ground within range and lay magic upon them to protect an area. Until the spell ends, whenever a creature other than you comes within 30 feet of the ammunition for the first time on a turn or ends its turn there, one piece of ammunition flies up to strike it. The creature must succeed on a Dexterity saving throw or take 1d6 piercing damage. The piece of ammunition is then destroyed. The spell ends when no ammunition remains.
When you cast this spell, you can designate any creatures you choose, and the spell ignores them.
At Higher Levels. When you cast this spell using a spell slot of 3rd level or higher, the amount of ammunition that can be affected increases by two for each slot level above 2nd.</t>
  </si>
  <si>
    <t>Counterspell</t>
  </si>
  <si>
    <t>1 reaction, which you take when you see a creature within 60 feet of you casting a spell</t>
  </si>
  <si>
    <t>You attempt to interrupt a creature in the process of casting a spell. If the creature is casting a spell of 3rd level or lower, its spell fails and has no effect. If it is casting a spell of 4th level or higher, make an ability check using your spellcasting ability. The DC equals 10 + the spell’s level. On a success, the  reature’s spell fails and has no effect.
At Higher Levels. When you cast this spell using a spell slot of 4th level or higher, the interrupted spell has no effect if its level is less than or equal to the level of the spell slot you used.</t>
  </si>
  <si>
    <t>Create Food and Water</t>
  </si>
  <si>
    <t>You create 45 pounds of food and 30 gallons of water on the ground or in containers within range, enough to sustain up to fifteen humanoids or five steeds for 24 hours. The food is bland but nourishing, and spoils if uneaten after 24 hours. The water is clean and doesn’t go bad.</t>
  </si>
  <si>
    <t>Create or Destroy Water</t>
  </si>
  <si>
    <t>1st-level transmutation</t>
  </si>
  <si>
    <t>V, S, M (a drop of water if creating water or a few grains of sand if destroying it)</t>
  </si>
  <si>
    <t>You either create or destroy water.
Create Water. You create up to 10 gallons of clean water within range in an open container. Alternatively, the water falls as rain in a 30-foot cube within range, extinguishing exposed flames in the area.
Destroy Water. You destroy up to 10 gallons of water in an open container within range. Alternatively, you destroy fog in a 30-foot cube within range.
At Higher Levels. When you cast this spell using a spell slot of 2nd level or higher, you create or destroy 10 additional gallons of water, or the size of the cube increases by 5 feet, for each slot level above 1st.</t>
  </si>
  <si>
    <t>Create Undead</t>
  </si>
  <si>
    <t>V, S, M (one clay pot filled with grave dirt, one clay pot filled with brackish water, and one 150 gp black onyx stone for each corpse)</t>
  </si>
  <si>
    <t>You can cast this spell only at night. Choose up to three
corpses o f Medium or Small humanoids within range.
Each corpse becomes a ghoul under your control. (The
DM has game statistics for these creatures.)
As a bonus action on each o f your turns, you can
mentally command any creature you animated with
this spell if the creature is within 120 feet o f you (if you
control multiple creatures, you can command any or all
o f them at the same time, issuing the same command to
each one). You decide what action the creature w 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 have
given it. To maintain control o f the creature for another
24 hours, you must cast this spell on the creature
before the current 24-hour period ends. This use
o f the spell reasserts your control over up to three
creatures you have animated with this spell, rather than
animating new ones.
At Higher Levels. When you cast this spell using a
7th-level spell slot, you can animate or reassert control
over four ghouls. When you cast this spell using an
8th-level spell slot, you can animate or reassert control
over five ghouls or two ghasts or wights. When you cast
this spell using a 9th-level spell slot, you can animate or
reassert control over six ghouls, three ghasts or wights,
or two mummies.</t>
  </si>
  <si>
    <t>Creation</t>
  </si>
  <si>
    <t>5th-level illusion</t>
  </si>
  <si>
    <t>V, S, M (a tiny piece of matter of the same type of the item you plan to create)</t>
  </si>
  <si>
    <t>You pull w isps of shadow material from the Shadowfell
to create a nonliving object of vegetable matter within
range: soft goods, rope, wood, or something similar. You
can also use this spell to create mineral objects such as
stone, crystal, or metal. The object created must be no
larger than a 5-foot cube, and the object must be o f a
form and material that you have seen before.
The duration depends on the object’s material. If
the object is composed o f multiple materials, use the
shortest duration.
Material Duration
Vegetable matter 1 day
Stone or crystal 12 hours
Precious metals 1 hour
Gems 10 minutes
Adamantine or mithral 1 minute
Using any material created by this spell as another
spell’s material component causes that spell to fail.
At Higher Levels. When you cast this spell using a
spell slot o f 6th level or higher, the cube increases by 5
feet for each slot level above 5th.</t>
  </si>
  <si>
    <t>Crown of Madness</t>
  </si>
  <si>
    <t>One humanoid of your choice that you can see within range must succeed on a Wisdom saving throw or become charmed by you for the duration. While the target is charmed in this way, a twisted crown of jagged iron appears on its head, and a madness glows in its eyes.
The charmed target must use its action before moving on each of its turns to make a melee attack against a creature other than itself that you mentally choose. The target can act normally on its turn if you choose no creature or if none are within its reach.
On your subsequent turns, you must use your action to maintain control over the target, or the spell ends. Also, the target can make a Wisdom saving throw at the end of each of its turns. On a success, the spell ends.</t>
  </si>
  <si>
    <t>Crusader's Mantle</t>
  </si>
  <si>
    <t>Holy power radiates from you in an aura with a 30-foot radius, awakening boldness in friendly creatures. Until the spell ends, the aura moves with you, centered on you. While in the aura, each nonhostile creature in the aura (including you) deals an extra 1d4 radiant damage when it hits with a weapon attack.</t>
  </si>
  <si>
    <t>Cure Wounds</t>
  </si>
  <si>
    <t>A creature you touch regains a number of hit points equal to 1d8 + your spellcasting ability modifier. This spell has no effect on undead or constructs.
At Higher Levels. When you cast this spell using a spell slot of 2nd level or higher, the healing increases by 1d8 for each slot level above 1st.</t>
  </si>
  <si>
    <t>Dancing Lights</t>
  </si>
  <si>
    <t>Evocation cantrip</t>
  </si>
  <si>
    <t>V, S, M (a bit of phosphorus or wychwood, or a glowworm)</t>
  </si>
  <si>
    <t>You create up to four torch-sized lights within range, making them appear as torches, lanterns, or glowing orbs that hover in the air for the duration. You can also combine the four lights into one glowing vaguely humanoid form of Medium size. Whichever form you choose, each light sheds dim light in a 10-foot radius.
As a bonus action on your turn, you can move the lights up to 60 feet to a new spot within range. A light must be within 20 feet of another light created by this spell, and a light winks out if it exceeds the spell’s range.</t>
  </si>
  <si>
    <t>Darkness</t>
  </si>
  <si>
    <t>V, M (bat fur and a drop of pitch or piece of coal)</t>
  </si>
  <si>
    <t>Magical darkness spreads from a point you choose within range to fill a 15-foot-radius sphere for the duration. The darkness spreads around corners. A creature with darkvision can’t see through this darkness, and nonmagical light can’t illuminate it.
If the point you choose is on an object you are holding or one that isn’t being worn or carried, the darkness emanates from the object and moves with it. Completely covering the source of the darkness with an opaque object, such as a bowl or a helm, blocks the darkness.
If any of this spell’s area overlaps with an area of light created by a spell of 2nd level or lower, the spell that created the light is dispelled.</t>
  </si>
  <si>
    <t>V, S, M (either a pinch of dried carrot or an agate)</t>
  </si>
  <si>
    <t>You touch a willing creature to grant it the ability to see in the dark. For the duration, that creature has darkvision out to a range of 60 feet.</t>
  </si>
  <si>
    <t>Daylight</t>
  </si>
  <si>
    <t>A 60-foot-radius sphere of light spreads out from a point you choose within range. The sphere is bright light and sheds dim light for an additional 60 feet.
If you chose a point on an object you are holding or one that isn’t being worn or carried, the light shines from the object and moves with it. Completely covering the affected object with an opaque object, such as a bowl or a helm, blocks the light.
If any of this spell’s area overlaps with an area of darkness created by a spell of 3rd level or lower, the spell that created the darkness is dispelled.</t>
  </si>
  <si>
    <t>Death Ward</t>
  </si>
  <si>
    <t>You touch a creature and grant it a measure of protection from death.
The first time the target would drop to 0 hit points as a result of taking damage, the target instead drops to 1 hit point, and the spell ends.
If the spell is still in effect when the target is subjected to an effect that would kill it instantaneously without dealing damage, that effect is instead negated against the target, and the spell ends.</t>
  </si>
  <si>
    <t>Delayed Blast Fireball</t>
  </si>
  <si>
    <t>7th-level evocation</t>
  </si>
  <si>
    <t>V, S, M (a tiny ball of bat guano and sulfur)</t>
  </si>
  <si>
    <t>A beam o f yellow light flashes from your pointing finger,
then condenses to linger at a chosen point within range
as a glowing bead for the duration. When the spell
ends, either because your concentration is broken or
because you decide to end it, the bead blossoms with a
low roar into an explosion o f flame that spreads around
corners. Each creature in a 20-foot-radius sphere
centered on that point must make a Dexterity saving
throw. A creature takes fire damage equal to the total
accumulated damage on a failed save, or half as much
damage on a successful one.
The spell’s base damage is 12d6. If at the end of
your turn the bead has not yet detonated, the damage
increases by 1d6.
If the glowing bead is touched before the interval
has expired, the creature touching it must make a
Dexterity saving throw. On a failed save, the spell ends
immediately, causing the bead to erupt in flame. On a
successful save, the creature can throw the bead up to
40 feet. When it strikes a creature or a solid object, the
spell ends, and the bead explodes.
The fire damages objects in the area and ignites
flammable objects that aren’t being w orn or carried.
At Higher Levels. When you cast this spell using
a spell slot o f 8th level or higher, the base damage
increases by 1d6 for each slot level above 7th.</t>
  </si>
  <si>
    <t>Demiplane</t>
  </si>
  <si>
    <t>8th-level conjuration</t>
  </si>
  <si>
    <t>You create a shadowy door on a flat solid surface that you can see within range. The door is large enough to allow Medium creatures to pass through unhindered. When opened, the door leads to a demiplane that appears to be an empty room 30 feet in each dimension, made of wood or stone. When the spell ends, the door disappears, and any creatures or objects inside the demiplane remain trapped there, as the door also disappears from the other side.
Each time you cast this spell, you can create a new demiplane, or have the shadowy door connect to a demiplane you created with a previous casting of this spell. Additionally, if you know the nature and contents of a demiplane created by a casting of this spell by another creature, you can have the shadowy door connect to its demiplane instead.</t>
  </si>
  <si>
    <t>Destructive Wave</t>
  </si>
  <si>
    <t>You strike the ground, creating a burst of divine energy that ripples outward from you. Each creature you choose within 30 feet of you must succeed on a Constitution saving throw or take 5d6 thunder damage, as well as 5d6 radiant or necrotic damage (your choice), and be knocked prone. A creature that succeeds on its saving throw takes half as much damage and isn’t knocked prone.</t>
  </si>
  <si>
    <t>Detect Evil and Good</t>
  </si>
  <si>
    <t>1st-level divination</t>
  </si>
  <si>
    <t>For the duration, you know if there is an aberration, celestial, elemental, fey, fiend, or undead within 30 feet of you, as well as where the creature is located. Similarly, you know if there is a place or object within 30 feet of you that has been magically consecrated or desecrated.
The spell can penetrate most barriers, but it is blocked by 1 foot of stone, 1 inch of common metal, a thin sheet of lead, or 3 feet of wood or dirt.</t>
  </si>
  <si>
    <t>Detect Magic</t>
  </si>
  <si>
    <t>For the duration, you sense the presence of magic within 30 feet of you. If you sense magic in this way, you can use your action to see a faint aura around any visible creature or object in the area that bears magic, and you learn its school of magic, if any.
The spell can penetrate most barriers, but it is blocked by 1 foot of stone, 1 inch of common metal, a thin sheet of lead, or 3 feet of wood or dirt.</t>
  </si>
  <si>
    <t>Detect Poison and Disease</t>
  </si>
  <si>
    <t>V, S, M (a yew leaf)</t>
  </si>
  <si>
    <t>For the duration, you can sense the presence and location of poisons, poisonous creatures, and diseases within 30 feet of you. You also identify the kind of poison, poisonous creature, or disease in each case.
The spell can penetrate most barriers, but it is blocked by 1 foot of stone, 1 inch of common metal, a thin sheet of lead, or 3 feet of wood or dirt.</t>
  </si>
  <si>
    <t>Detect Thoughts</t>
  </si>
  <si>
    <t>2nd-level divination</t>
  </si>
  <si>
    <t>V, S, M (a copper piece)</t>
  </si>
  <si>
    <t>For the duration, you can read the thoughts o f certain
creatures. When you cast the spell and as your action on
each turn until the spell ends, you can focus your mind
on any one creature that you can see within 30 feet of
you. If the creature you choose has an Intelligence of
3 or lower or doesn’t speak any language, the creature
is unaffected.
You initially learn the surface thoughts o f the
creature—what is most on its mind in that moment. As
an action, you can either shift your attention to another
creature’s thoughts or attempt to probe deeper into the
same creature’s mind. If you probe deeper, the target
must make a Wisdom saving throw. If it fails, you gain
insight into its reasoning (if any), its emotional state,
and something that looms large in its mind (such as
something it w orries over, loves, or hates). If it succeeds,
the spell ends. Either way, the target knows that you are
probing into its mind, and unless you shift your attention
to another creature’s thoughts, the creature can use
its action on its turn to make an Intelligence check
contested by your Intelligence check; if it succeeds,
the spell ends.
Questions verbally directed at the target creature
naturally shape the course o f its thoughts, so this spell
is particularly effective as part o f an interrogation.
You can also use this spell to detect the presence of
thinking creatures you can’t see. When you cast the
spell or as your action during the duration, you can
search for thoughts within 30 feet o f you. The spell can
penetrate barriers, but 2 feet o f rock, 2 inches o f any
metal other than lead, or a thin sheet o f lead blocks you.
You can’t detect a creature with an Intelligence o f 3 or
lower or one that doesn’t speak any language.
Once you detect the presence o f a creature in this way,
you can read its thoughts for the rest o f the duration as
described above, even if you can’t see it, but it must still
be within range.</t>
  </si>
  <si>
    <t>Dimension Door</t>
  </si>
  <si>
    <t>You teleport yourself from your current location to any other spot within range. You arrive at exactly the spot desired. It can be a place you can see, one you can visualize, or one you can describe by stating distance and direction, such as “ 200 feet straight downward” or “upward to the northwest at a 45-degree angle, 300 feet.”
You can bring along objects as long as their weight doesn’t exceed what you can carry. You can also bring one willing creature of your size or smaller who is carrying gear up to its carrying capacity. The creature must be within 5 feet of you when you cast this spell.
If you would arrive in a place already occupied by an object or a creature, you and any creature traveling with you each take 4d6 force damage, and the spell fails to
teleport you.</t>
  </si>
  <si>
    <t>Disguise Self</t>
  </si>
  <si>
    <t>You make yourself—including your clothing, armor, weapons, and other belongings on your person—look different until the spell ends or until you use your action to dismiss it. You can seem 1 foot shorter or taller and can appear thin, fat, or in between. You can’t change your body type, so you must adopt a form that has the same basic arrangement of limbs. Otherwise, the extent of the illusion is up to you.
The changes wrought by this spell fail to hold up to physical inspection. For example, if you use this spell to add a hat to your outfit, objects pass through the hat, and anyone who touches it would feel nothing or would feel your head and hair. If you use this spell to appear thinner than you are, the hand of someone who reaches out to touch you would bump into you while it was seemingly still in midair.
To discern that you are disguised, a creature can use its action to inspect your appearance and must succeed on an Intelligence (Investigation) check against your spell save DC.</t>
  </si>
  <si>
    <t>Disintegrate</t>
  </si>
  <si>
    <t>6th-level transmutation</t>
  </si>
  <si>
    <t>V, S, M (a lodestone and a pinch of dust)</t>
  </si>
  <si>
    <t>A thin green ray springs from your pointing finger to a
target that you can see within range. The target can be a
creature, an object, or a creation o f magical force, such
as the wall created by wall o f force.
A creature targeted by this spell must make a
Dexterity saving throw. On a failed save, the target takes
10d6 + 40 force damage. If this damage reduces the
target to 0 hit points, it is disintegrated.
A disintegrated creature and everything it is wearing
and carrying, except magic items, are reduced to a pile
o f fine gray dust. The creature can be restored to life
only by means o f a true resurrection or a wish spell.
This spell automatically disintegrates a Large or
smaller nonmagical object or a creation o f magical
force. If the target is a Huge or larger object or creation
o f force, this spell disintegrates a 10-foot-cube portion of
it. A m agic item is unaffected by this spell.
At Higher Levels. When you cast this spell using a
spell slot o f 7th level or higher, the damage increases by
3d6 for each slot level above 6th.</t>
  </si>
  <si>
    <t>Dispel Evil and Good</t>
  </si>
  <si>
    <t>V, S, M (holy water or powdered silver and iron)</t>
  </si>
  <si>
    <t>Shimmering energy surrounds and protects you from
fey, undead, and creatures originating from beyond the
Material Plane. For the duration, celestials, elementals,
fey, fiends, and undead have disadvantage on attack
rolls against you.
You can end the spell early by using either of the
following special functions.
Break Enchantment. As your action, you touch a
creature you can reach that is charmed, frightened, or
possessed by a celestial, an elemental, a fey, a fiend,
or an undead. The creature you touch is no longer
charmed, frightened, or possessed by such creatures.
Dismissal. As your action, make a melee spell attack
against a celestial, an elemental, a fey, a fiend, or an
undead you can reach. On a hit, you attempt to drive
the creature back to its home plane. The creature must
succeed on a Charisma saving throw or be sent back to
its home plane (if it isn't there already). If they aren’t on
their home plane, undead are sent to the Shadowfell,
and fey are sent to the Feywild.</t>
  </si>
  <si>
    <t>Dispel Magic</t>
  </si>
  <si>
    <t>Choose one creature, object, or magical effect within range. Any spell of 3rd level or lower on the target ends. For each spell of 4th level or higher on the target, make an ability check using your spellcasting ability. The DC equals 10 + the spell’s level. On a successful check, the spell ends.
At Higher Levels. When you cast this spell using a spell slot of 4th level or higher, you automatically end the effects of a spell on the target if the spell’s level is equal to or less than the level of the spell slot you used.</t>
  </si>
  <si>
    <t>Dissonant Whispers</t>
  </si>
  <si>
    <t>You whisper a discordant melody that only one creature of your choice within range can hear, wracking it with terrible pain. The target must make a Wisdom saving throw. On a failed save, it takes 3d6 psychic damage and must immediately use its reaction, if available, to move as far as its speed allows away from you. The creature doesn’t move into obviously dangerous ground, such as a fire or a pit. On a successful save, the target takes half as much damage and doesn’t have to move away. A deafened creature automatically succeeds on the save.
At Higher Levels. When you cast this spell using a spell slot of 2nd level or higher, the damage increases by 1d6 for each slot level above 1st.</t>
  </si>
  <si>
    <t>Divination</t>
  </si>
  <si>
    <t>4th-level divination (ritual)</t>
  </si>
  <si>
    <t>V, S, M (incense and a sacrificial offering appropriate to your religion, together worth at least 25 gp, which the spell consumes)</t>
  </si>
  <si>
    <t>Your magic and an offering put you in contact with a god or a god’s servants. You ask a single question concerning a specific goal, event, or activity to occur within 7 days. The DM offers a truthful reply. The reply might be a short phrase, a cryptic rhyme, or an omen.
The spell doesn’t take into account any possible circumstances that might change the outcome, such as the casting of additional spells or the loss or gain of a companion.
If you cast the spell two or more times before finishing your next long rest, there is a cumulative 25 percent chance for each casting after the first that you get a random reading. The DM makes this roll in secret.</t>
  </si>
  <si>
    <t>Divine Favor</t>
  </si>
  <si>
    <t>Your prayer empowers you with divine radiance. Until the spell ends, your weapon attacks deal an extra 1d4 radiant damage on a hit.</t>
  </si>
  <si>
    <t>Divine Word</t>
  </si>
  <si>
    <t>You utter a divine word, imbued with the power that
shaped the world at the dawn o f creation. Choose any
number o f creatures you can see within range. Each
creature that can hear you must make a Charisma
saving throw. On a failed save, a creature suffers an
effect based on its current hit points:
• 50 hit points or fewer: deafened for 1 minute
• 40 hit points or fewer: deafened and blinded for 10
minutes
• 30 hit points or fewer: blinded, deafened, and stunned
for 1 hour
• 20 hit points or fewer: killed instantly
Regardless o f its current hit points, a celestial, an
elemental, a fey, or a fiend that fails its save is forced
back to its plane o f origin (if it isn’t there already) and
can’t return to your current plane for 24 hours by any
means short o f a wish spell.</t>
  </si>
  <si>
    <t>Dominate Beast</t>
  </si>
  <si>
    <t>You attempt to beguile a beast that you can see within
range. It must succeed on a W isdom saving throw or be
charmed by you for the duration. If you or creatures that
are friendly to you are fighting it, it has advantage on the
saving throw.
While the beast is charmed, you have a telepathic link
with it as long as the two o 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 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5th-level spell slot, the duration is concentration, up
to 10 minutes. When you use a 6th-level spell slot,
the duration is concentration, up to 1 hour. When you
use a spell slot o f 7th level or higher, the duration is
concentration, up to 8 hours.</t>
  </si>
  <si>
    <t>Dominate Monster</t>
  </si>
  <si>
    <t>You attempt to beguile a creature that you can see
within range. It must succeed on a Wisdom saving
throw or be charmed by you for the duration. If you or
creatures that are friendly to you are fighting it, it has
advantage on the saving throw.
While the creature is charmed, you have a telepathic
link with it as long as the two of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9th-level spell slot, the duration is concentration,
up to 8 hours.</t>
  </si>
  <si>
    <t>Dominate Person</t>
  </si>
  <si>
    <t>5th-level enchantment</t>
  </si>
  <si>
    <t>You attempt to beguile a humanoid that you can see
within range. It must succeed on a W isdom saving
throw or be charmed by you for the duration. If you or
creatures that are friendly to you are fighting it, it has
advantage on the saving throw.
While the target is charmed, you have a telepathic link
with it as long as the two o 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using
a 6th-level spell slot, the duration is concentration,
up to 10 minutes. When you use a 7th-level spell slot,
the duration is concentration, up to 1 hour. When you
use a spell slot of 8th level or higher, the duration is
concentration, up to 8 hours.</t>
  </si>
  <si>
    <t>Drawmij’s Instant Summons</t>
  </si>
  <si>
    <t>6th-level conjuration (ritual)</t>
  </si>
  <si>
    <t>V, S, M (a sapphire worth 1,000 gp)</t>
  </si>
  <si>
    <t>You touch an object weighing 10 pounds or less whose longest dimension is 6 feet or less. The spell leaves an invisible mark on its surface and invisibly inscribes the name of the item on the sapphire you use as the material component. Each time you cast this spell, you must use a different sapphire.
At any time thereafter, you can use your action to speak the item’s name and crush the sapphire. The item instantly appears in your hand regardless of physical or planar distances, and the spell ends.
If another creature is holding or carrying the item, crushing the sapphire doesn’t transport the item to you, but instead you learn who the creature possessing the object is and roughly where that creature is located at that moment.
Dispel magic or a similar effect successfully applied to the sapphire ends this spell’s effect.</t>
  </si>
  <si>
    <t>Dream</t>
  </si>
  <si>
    <t>V, S, M (a handful of sand, a dab of ink, and a writing quill plucked from a sleeping bird)</t>
  </si>
  <si>
    <t>This spell shapes a creature’s dreams. Choose a
creature known to you as the target o f this spell. The
target must be on the same plane o f existence as you.
Creatures that don’t sleep, such as elves, can’t be
contacted by this spell. You, or a w illing creature you
touch, enters a trance state, acting as a m essenger.
While in the trance, the messenger is aware o f his or
her surroundings, but can’t take actions or move.
If the target is asleep, the messenger appears in the
target’s dreams and can converse with the target as
long as it remains asleep, through the duration o f the
spell. The messenger can also shape the environment
o f the dream, creating landscapes, objects, and other
images. The messenger can emerge from the trance at
any time, ending the effect o f the spell early. The target
recalls the dream perfectly upon waking. If the target is
awake when you cast the spell, the messenger knows it,
and can either end the trance (and the spell) or wait for
the target to fall asleep, at which point the messenger
appears in the target’s dreams.
You can make the messenger appear monstrous
and terrifying to the target. If you do, the messenger
can deliver a message o f no more than ten words and
then the target must make a W isdom saving throw. On
a failed save, echoes o f the phantasmal monstrosity
spawn a nightmare that lasts the duration o f the target’s
sleep and prevents the target from gaining any benefit
from that rest. In addition, when the target wakes up, it
takes 3d6 psychic damage.
If you have a body part, lock o f hair, clipping from a
nail, or similar portion o f the target’s body, the target
makes its saving throw with disadvantage.</t>
  </si>
  <si>
    <t>Druidcraft</t>
  </si>
  <si>
    <t>Transmutation cantrip</t>
  </si>
  <si>
    <t>Whispering to the spirits of nature, you create one of the following effects within range:
• You create a tiny, harmless sensory effect that predicts what the weather will be at your location for the next 24 hours. The effect might manifest as a golden orb for clear skies, a cloud for rain, falling snowflakes for snow, and so on. This effect persists for 1 round.
• You instantly make a flower blossom, a seed pod open, or a leaf bud bloom.
• You create an instantaneous, harmless sensory effect, such as falling leaves, a puff of wind, the sound of a small animal, or the faint odor of skunk. The effect must fit in a 5-foot cube.
• You instantly light or snuff out a candle, a torch, or a small campfire.</t>
  </si>
  <si>
    <t>Earthquake</t>
  </si>
  <si>
    <t>8th-level evocation</t>
  </si>
  <si>
    <t>V, S, M (a pinch of dirt, a piece of rock, and a lump of clay)</t>
  </si>
  <si>
    <t>You create a seismic disturbance at a point on the
ground that you can see within range. For the duration,
an intense tremor rips through the ground in a
100-foot-radius circle centered on that point and shakes
creatures and structures in contact with the ground
in that area.
The ground in the area becomes difficult terrain.
Each creature on the ground that is concentrating must
make a Constitution saving throw. On a failed save, the
creature’s concentration is broken.
When you cast this spell and at the end o f each turn
you spend concentrating on it, each creature on the
ground in the area must make a Dexterity saving throw.
On a failed save, the creature is knocked prone.
This spell can have additional effects depending on
the terrain in the area, as determined by the DM.
Fissures. Fissures open throughout the spell’s area at
the start o f your next turn after you cast the spell. A total
o f 1d6 such fissures open in locations chosen by the DM.
Each is 1d10 x 10 feet deep, 10 feet wide, and extends
from one edge o f the spell’s area to the opposite side.
A creature standing on a spot where a fissure opens
must succeed on a Dexterity saving throw or fall in. A
creature that successfully saves moves with the fissure’s
edge as it opens.
A fissure that opens beneath a structure causes it to
automatically collapse (see below).
Structures. The tremor deals 50 bludgeoning damage
to any structure in contact with the ground in the area
when you cast the spell and at the start o f each o f your
turns until the spell ends. If a structure drops to 0 hit
points, it collapses and potentially damages nearby
creatures. A creature within half the distance o f a
structure’s height must make a Dexterity saving throw.
On a failed save, the creature takes 5d6 bludgeoning
damage, is knocked prone, and is buried in the rubble,
requiring a DC 20 Strength (Athletics) check as an
action to escape. The DM can adjust the DC higher
or lower, depending on the nature o f the rubble. On
a successful save, the creature takes half as much
damage and doesn’t fall prone or become buried.</t>
  </si>
  <si>
    <t>Eldritch Blast</t>
  </si>
  <si>
    <t>A beam of crackling energy streaks toward a creature within range. Make a ranged spell attack against the target. On a hit, the target takes 1d10 force damage.
The spell creates more than one beam when you reach higher levels: two beams at 5th level, three beams at 11th level, and four beams at 17th level. You can direct the beams at the same target or at different ones. Make a separate attack roll for each beam.</t>
  </si>
  <si>
    <t>Elemental Weapon</t>
  </si>
  <si>
    <t>A nonmagical weapon you touch becomes a magic weapon. Choose one of the following damage types: acid, cold, fire, lightning, or thunder. For the duration, the weapon has a +1 bonus to attack rolls and deals an extra 1d4 damage of the chosen type when it hits.
At Higher Levels. When you cast this spell using a spell slot of 5th or 6th level, the bonus to attack rolls increases to +2 and the extra damage increases to 2d4. When you use a spell slot of 7th level or higher, the bonus increases to +3 and the extra damage increases to 3d4.</t>
  </si>
  <si>
    <t>Enhance Ability</t>
  </si>
  <si>
    <t>V, S, M (fur or a feather from a beast)</t>
  </si>
  <si>
    <t>Concentration, up to 1 hour.</t>
  </si>
  <si>
    <t>You touch a creature and bestow upon it a magical enhancement. Choose one of the following effects; the target gains that effect until the spell ends.
Bear’s Endurance. The target has advantage on Constitution checks. It also gains 2d6 temporary hit points, which are lost when the spell ends.
Bull’s Strength. The target has advantage on Strength checks, and his or her carrying capacity doubles.
Cat’s Grace. The target has advantage on Dexterity checks. It also doesn’t take damage from falling 20 feet or less if it isn’t incapacitated.
Eagle’s Splendor. The target has advantage on Charisma checks.
Fox’s Cunning. The target has advantage on Intelligence checks.
Owl’s Wisdom. The target has advantage on Wisdom checks.
At Higher Levels. When you cast this spell using a spell slot of 3rd level or higher, you can target one additional creature for each slot level above 2nd.</t>
  </si>
  <si>
    <t>Enlarge/Reduce</t>
  </si>
  <si>
    <t>V, S, M (a pinch of powdered iron)</t>
  </si>
  <si>
    <t>You cause a creature or an object you can see within
range to grow larger or smaller for the duration. Choose
either a creature or an object that is neither w orn
nor carried. If the target is unwilling, it can make a
Constitution saving throw. On a success, the spell
has no effect.
If the target is a creature, everything it is w earing and
carrying changes size with it. Any item dropped by an
affected creature returns to normal size at once.
Enlarge. The target’s size doubles in all dimensions,
and its weight is multiplied by eight. This growth
increases its size by one category—from Medium to
Large, for example. If there isn’t enough room for the
target to double its size, the creature or object attains
the maximum possible size in the space available.
Until the spell ends, the target also has advantage on
Strength checks and Strength saving throws. The
target’s weapons also grow to match its new size. While
these weapons are enlarged, the target’s attacks with
them deal 1d4 extra damage.
Reduce. The target’s size is halved in all dimensions,
and its weight is reduced to one-eighth o f normal. This
reduction decreases its size by one category—from
Medium to Small, for example. Until the spell ends,
the target also has disadvantage on Strength checks
and Strength saving throws. The target’s weapons also
shrink to match its new size. While these weapons are
reduced, the target’s attacks with them deal 1d4 less
damage (this can’t reduce the damage below 1).</t>
  </si>
  <si>
    <t>Ensnaring Strike</t>
  </si>
  <si>
    <t>The next time you hit a creature with a weapon attack before this spell ends, a writhing mass of thorny vines appears at the point of impact, and the target must succeed on a Strength saving throw or be restrained by the magical vines until the spell ends. A Large or larger creature has advantage on this saving throw. If the target succeeds on the save, the vines shrivel away.
While restrained by this spell, the target takes 1d6 piercing damage at the start of each of its turns. A creature restrained by the vines or one that can touch the creature can use its action to make a Strength check against your spell save DC. On a success, the target is freed.
At Higher Levels. If you cast this spell using a spell slot of 2nd level or higher, the damage increases by 1d6 for each slot level above 1st.</t>
  </si>
  <si>
    <t>Entangle</t>
  </si>
  <si>
    <t>Grasping weeds and vines sprout from the ground in a 20-foot square starting from a point within range. For the duration, these plants turn the ground in the area
into difficult terrain.
A creature in the area when you cast the spell must succeed on a Strength saving throw or be restrained by the entangling plants until the spell ends. A creature restrained by the plants can use its action to make a Strength check against your spell save DC. On a success, it frees itself.
When the spell ends, the conjured plants wilt away.</t>
  </si>
  <si>
    <t>Enthrall</t>
  </si>
  <si>
    <t>You weave a distracting string of words, causing creatures of your choice that you can see within range and that can hear you to make a Wisdom saving throw. Any creature that can’t be charmed succeeds on this saving throw automatically, and if you or your companions are fighting a creature, it has advantage on the save. On a failed save, the target has disadvantage on Wisdom (Perception) checks made to perceive any creature other than you until the spell ends or until the target can no longer hear you. The spell ends if you are incapacitated or can no longer speak.</t>
  </si>
  <si>
    <t>Etherealness</t>
  </si>
  <si>
    <t>7th-level transmutation</t>
  </si>
  <si>
    <t>Up to 8 hours</t>
  </si>
  <si>
    <t>You step into the border regions o f the Ethereal Plane,
in the area where it overlaps with your current plane.
You remain in the Border Ethereal for the duration or
until you use your action to dismiss the spell. During
this time, you can move in any direction. If you move
up or down, every foot o f movement costs an extra foot.
You can see and hear the plane you originated from, but
everything there looks gray, and you can’t see anything
more than 60 feet away.
While on the Ethereal Plane, you can only affect and
be affected by other creatures on that plane. Creatures
that aren't on the Ethereal Plane can’t perceive you and
can’t interact with you, unless a special ability or magic
has given them the ability to do so.
You ignore all objects and effects that aren’t on the
Ethereal Plane, allowing you to move through objects
you perceive on the plane you originated from.
When the spell ends, you immediately return to the
plane you originated from in the spot you currently
occupy. If you occupy the same spot as a solid object
or creature when this happens, you are immediately
shunted to the nearest unoccupied space that you
can occupy and take force damage equal to twice the
number o f feet you are moved.
This spell has no effect if you cast it while you are on
the Ethereal Plane or a plane that doesn’t border it, such
as one o f the Outer Planes.
At Higher Levels. When you cast this spell using
a spell slot of 8th level or higher, you can target up to
three willing creatures (including you) for each slot level
above 7th. The creatures must be within 10 feet o f you
when you cast the spell.</t>
  </si>
  <si>
    <t>Evard's Black Tentacles</t>
  </si>
  <si>
    <t>V, S, M (a piece of tentacle from a giant octopus or a giant squid)</t>
  </si>
  <si>
    <t>Squirming, ebony tentacles fill a 20-foot square on ground that you can see within range. For the duration, these tentacles turn the ground in the area into difficult terrain.
When a creature enters the affected area for the first time on a turn or starts its turn there, the creature must succeed on a Dexterity saving throw or take 3d6 bludgeoning damage and be restrained by the tentacles until the spell ends. A creature that starts its turn in the area and is already restrained by the tentacles takes 3d6 bludgeoning damage.
A creature restrained by the tentacles can use its action to make a Strength or Dexterity check (its choice) against your spell save DC. On a success, it frees itself.</t>
  </si>
  <si>
    <t>Expeditious Retreat</t>
  </si>
  <si>
    <t>This spell allows you to move at an incredible pace. When you cast this spell, and then as a bonus action on each of your turns until the spell ends, you can take the Dash action.</t>
  </si>
  <si>
    <t>Eyebite</t>
  </si>
  <si>
    <t>For the spell’s duration, your eyes become an inky void
imbued with dread power. One creature o f your choice
within 60 feet o f you that you can see must succeed
on a W isdom saving throw or be affected by one o f the
following effects o f your choice for the duration. On
each of your turns until the spell ends, you can use
your action to target another creature but can’t target
a creature again if it has succeeded on a saving throw
against this casting o f eyebite.
Asleep. The target falls unconscious. It w akes up if it
takes any damage or if another creature uses its action
to shake the sleeper awake.
Panicked. The target is frightened o f you. On each
o f its turns, the frightened creature must take the
Dash action and move away from you by the safest and
shortest available route, unless there is nowhere to
move. If the target moves to a place at least 60 feet away
from you where it can no longer see you, this effect ends.
Sickened. The target has disadvantage on attack rolls
and ability checks. At the end o f each o f its turns, it can
make another Wisdom saving throw. If it succeeds,
the effect ends.</t>
  </si>
  <si>
    <t>Fabricate</t>
  </si>
  <si>
    <t>You convert raw materials into products of the same material. For example, you can fabricate a wooden bridge from a clump of trees, a rope from a patch of hemp, and clothes from flax or wool.
Choose raw materials that you can see within range. You can fabricate a Large or smaller object (contained within a 10-foot cube, or eight connected 5-foot cubes), given a sufficient quantity o f raw material. If you are working with metal, stone, or another mineral substance, however, the fabricated object can be no larger than Medium (contained within a single 5-foot cube). The quality of objects made by the spell is commensurate with the quality of the raw materials.
Creatures or magic items can’t be created or transmuted by this spell. You also can’t use it to create items that ordinarily require a high degree of craftsmanship, such as jewelry, weapons, glass, or armor, unless you have proficiency with the type of artisan’s tools used to craft such objects.</t>
  </si>
  <si>
    <t>Faerie Fire</t>
  </si>
  <si>
    <t>Each object in a 20-foot cube within range is outlined in blue, green, or violet light (your choice). Any creature in the area when the spell is cast is also outlined in light if it fails a Dexterity saving throw. For the duration, objects and affected creatures shed dim light in a 10-foot radius.
Any attack roll against an affected creature or object has advantage if the attacker can see it, and the affected creature or object can’t benefit from being invisible.</t>
  </si>
  <si>
    <t>False Life</t>
  </si>
  <si>
    <t>1st-level necromancy</t>
  </si>
  <si>
    <t>V, S, M (a small amount of alcohol or distilled spirits)</t>
  </si>
  <si>
    <t>Bolstering yourself with a necromantic facsimile of life, you gain 1d4 + 4 temporary hit points for the duration. At Higher Levels. When you cast this spell using a spell slot of 2nd level or higher, you gain 5 additional temporary hit points for each slot level above 1st.</t>
  </si>
  <si>
    <t>3rd-level illusion</t>
  </si>
  <si>
    <t>Self (30-foot cone)</t>
  </si>
  <si>
    <t>V, S, M (a white feather or the heart of a hen)</t>
  </si>
  <si>
    <t>You project a phantasmal image of a creature’s worst fears. Each creature in a 30-foot cone must succeed on a Wisdom saving throw or drop whatever it is holding and become frightened for the duration.
While frightened by this spell, a creature must take the Dash action and move away from you by the safest available route on each of its turns, unless there is nowhere to move. If the creature ends its turn in a location where it doesn’t have line of sight to you, the creature can make a Wisdom saving throw. On a successful save, the spell ends for that creature.</t>
  </si>
  <si>
    <t>Feather Fall</t>
  </si>
  <si>
    <t>1 reaction, which you take when you or a creature within 60 feet of you falls</t>
  </si>
  <si>
    <t>V, M (a small feather or piece of down)</t>
  </si>
  <si>
    <t>Choose up to five falling creatures within range. A falling creature's rate of descent slows to 60 feet per round until the spell ends. If the creature lands before the spell ends, it takes no falling damage and can land on its feet, and the spell ends for that creature.</t>
  </si>
  <si>
    <t>Feeblemind</t>
  </si>
  <si>
    <t>V, S, M (a handful of clay, crystal, glass, or mineral spheres)</t>
  </si>
  <si>
    <t>You blast the mind of a creature that you can see within range, attempting to shatter its intellect and personality. The target takes 4d6 psychic damage and must make an Intelligence saving throw.
On a failed save, the creature’s Intelligence and Charisma scores become 1. The creature can’t cast spells, activate magic items, understand language, or communicate in any intelligible way. The creature can, however, identify its friends, follow them, and even protect them.
At the end of every 30 days, the creature can repeat its saving throw against this spell. If it succeeds on its saving throw, the spell ends. The spell can also be ended by greater restoration, heal, or wish.</t>
  </si>
  <si>
    <t>Feign Death</t>
  </si>
  <si>
    <t>3rd-level necromancy (ritual)</t>
  </si>
  <si>
    <t>V, S, M (a pinch o f graveyard dirt)</t>
  </si>
  <si>
    <t>You touch a willing creature and put it into a cataleptic state that is indistinguishable from death.
For the spell’s duration, or until you use an action to touch the target and dismiss the spell, the target appears dead to all outward inspection and to spells used to determine the target’s status. The target is blinded and incapacitated, and its speed drops to 0. The target has resistance to all damage except psychic damage. If the target is diseased or poisoned when you cast the spell, or becomes diseased or poisoned while under the spell’s effect, the disease and poison have no effect until the spell ends.</t>
  </si>
  <si>
    <t>Find Familiar</t>
  </si>
  <si>
    <t>1st-level conjuration (ritual)</t>
  </si>
  <si>
    <t>V, S, M (10 gp worth of charcoal, incense, and herbs that must be consumed by fire in a brass brazier)</t>
  </si>
  <si>
    <t>You gain the service o f a familiar, a spirit that takes an
animal form you choose: bat, cat, crab, frog (toad), hawk,
lizard, octopus, owl, poisonous snake, fish (quipper),
rat, raven, sea horse, spider, or w easel. Appearing in
an unoccupied space within range, the familiar has the
statistics o f the chosen form, though it is a celestial, fey,
or fiend (your choice) instead o f a beast.
Your familiar acts independently o f you, but it always
obeys your commands. In combat, it rolls its own
initiative and acts on its own turn. A familiar can’t
attack, but it can take other actions as normal.
When the familiar drops to 0 hit points, it disappears,
leaving behind no physical form. It reappears after you
cast this spell again
While your familiar is within 100 feet o f you, you
can communicate with it telepathically. Additionally,
as an action, you can see through your familiar’s eyes
and hear what it hears until the start o f your next turn,
gaining the benefits o f any special senses that the
familiar has. During this time, you are deaf and blind
with regard to your own senses.
As an action, you can temporarily dismiss your
familiar. It disappears into a pocket dimension where it
awaits your summons. Alternatively, you can dismiss it
forever. As an action while it is temporarily dismissed,
you can cause it to reappear in any unoccupied space
within 30 feet of you.
You can’t have more than one familiar at a time. If you
cast this spell while you already have a familiar, you
instead cause it to adopt a new form. Choose one o f the
forms from the above list. Your familiar transforms into
the chosen creature.
Finally, when you cast a spell with a range o f touch,
your familiar can deliver the spell as if it had cast the
spell. Your familiar must be within 100 feet o f you, and
it must use its reaction to deliver the spell when you cast
it. If the spell requires an attack roll, you use your attack
modifier for the roll.</t>
  </si>
  <si>
    <t>Find Steed</t>
  </si>
  <si>
    <t>You summon a spirit that assumes the form o f an
unusually intelligent, strong, and loyal steed, creating a
long-lasting bond with it. Appearing in an unoccupied
space within range, the steed takes on a form that you
choose, such as a warhorse, a pony, a camel, an elk, or
a mastiff. (Your DM might allow other animals to be
summoned as steeds.) The steed has the statistics o f the
chosen form, though it is a celestial, fey, or fiend (your
choice) instead of its normal type. Additionally, if your
steed has an Intelligence o f 5 or less, its Intelligence
becomes 6, and it gains the ability to understand one
language o f your choice that you speak.
Your steed serves you as a mount, both in combat and
out, and you have an instinctive bond with it that allows
you to fight as a seamless unit. While mounted on your
steed, you can make any spell you cast that targets only
you also target your steed.
When the steed drops to 0 hit points, it disappears,
leaving behind no physical form. You can also
dismiss your steed at any time as an action, causing
it to disappear. In either case, casting this spell
again summons the same steed, restored to its hit
point maximum.
While your steed is within 1 mile o f you, you can
communicate with it telepathically.
You can’t have more than one steed bonded by this
spell at a time. As an action, you can release the steed
from its bond at any time, causing it to disappear.</t>
  </si>
  <si>
    <t>Find the Path</t>
  </si>
  <si>
    <t>6th-level divination</t>
  </si>
  <si>
    <t>V, S, M (a set of divinatory tools—such as bones, ivory sticks, cards, teeth, or carved runes—worth 100 gp and an object from the location you wish to find)</t>
  </si>
  <si>
    <t>Concentration, up to 1 day</t>
  </si>
  <si>
    <t>This spell allows you to find the shortest, most direct physical route to a specific fixed location that you are familiar with on the same plane of existence. If you name a destination on another plane of existence, a destination that moves (such as a mobile fortress), or a destination that isn’t specific (such as “a green dragon’s lair”), the spell fails.
For the duration, as long as you are on the same plane of existence as the destination, you know how far it is and in what direction it lies. While you are traveling there, whenever you are presented with a choice of paths along the way, you automatically determine which path is the shortest and most direct route (but not necessarily the safest route) to the destination.</t>
  </si>
  <si>
    <t>Find Traps</t>
  </si>
  <si>
    <t>You sense the presence of any trap within range that is within line of sight. A trap, for the purpose of this spell, includes anything that would inflict a sudden or
unexpected effect you consider harmful or undesirable, which was specifically intended as such by its creator. Thus, the spell would sense an area affected by the alarm spell, a glyph of warding, or a mechanical pit trap, but it would not reveal a natural weakness in the floor, an unstable ceiling, or a hidden sinkhole.
This spell merely reveals that a trap is present. You don’t learn the location of each trap, but you do learn the general nature of the danger posed by a trap you sense.</t>
  </si>
  <si>
    <t>Finger of Death</t>
  </si>
  <si>
    <t>7th-level necromancy</t>
  </si>
  <si>
    <t>You send negative energy coursing through a creature that you can see within range, causing it searing pain. The target must make a Constitution saving throw. It takes 7d8 + 30 necrotic damage on a failed save, or half as much damage on a successful one.
A humanoid killed by this spell rises at the start of your next turn as a zombie that is permanently under your command, following your verbal orders to the best of its ability.</t>
  </si>
  <si>
    <t>Fireball</t>
  </si>
  <si>
    <t>A bright streak flashes from your pointing finger to a point you choose within range and then blossoms with a low roar into an explosion of flame. Each creature in a 20-foot-radius sphere centered on that point must make a Dexterity saving throw. A target takes 8d6 fire damage on a failed save, or half as much damage on a successful one.
The fire spreads around corners. It ignites flammable objects in the area that aren't being worn or carried.
At Higher Levels. When you cast this spell using a spell slot of 4th level or higher, the damage increases by 1d6 for each slot level above 3rd.</t>
  </si>
  <si>
    <t>Fire Bolt</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</si>
  <si>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</si>
  <si>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Fire Shield</t>
  </si>
  <si>
    <t>4th-level evocation</t>
  </si>
  <si>
    <t>V, S, M (a bit of phosphorus or a firefly)</t>
  </si>
  <si>
    <t>Thin and wispy flames wreathe your body for the duration, shedding bright light in a 10-foot radius and dim light for an additional 10 feet. You can end the spell early by using an action to dismiss it.
The flames provide you with a warm shield or a chill shield, as you choose. The warm shield grants you resistance to cold damage, and the chill shield grants you resistance to fire damage.
In addition, whenever a creature within 5 feet of you hits you with a melee attack, the shield erupts with flame. The attacker takes 2d8 fire damage from a warm shield, or 2d8 cold damage from a cold shield.</t>
  </si>
  <si>
    <t>Fire Storm</t>
  </si>
  <si>
    <t>A storm made up of sheets of roaring flame appears in a location you choose within range. The area of the storm consists of up to ten 10-foot cubes, which you can arrange as you wish. Each cube must have at least one face adjacent to the face of another cube. Each creature in the area must make a Dexterity saving throw. It takes 7d10 fire damage on a failed save, or half as much damage on a successful one.
The fire damages objects in the area and ignites flammable objects that aren't being worn or carried. If you choose, plant life in the area is unaffected by this spell.</t>
  </si>
  <si>
    <t>Flame Blade</t>
  </si>
  <si>
    <t>V, S, M (leaf of sumac)</t>
  </si>
  <si>
    <t>You evoke a fiery blade in your free hand. The blade is similar in size and shape to a scimitar, and it lasts for the duration. If you let go of the blade, it disappears, but you can evoke the blade again as a bonus action.
You can use your action to make a melee spell attack with the fiery blade. On a hit, the target takes 3d6 fire damage.
The flaming blade sheds bright light in a 10-foot radius and dim light for an additional 10 feet.
At Higher Levels. When you cast this spell using a spell slot of 4th level or higher, the damage increases by 1d6 for every two slot levels above 2nd.</t>
  </si>
  <si>
    <t>Flame Strike</t>
  </si>
  <si>
    <t>V, S, M (pinch of sulfur)</t>
  </si>
  <si>
    <t>A vertical column of divine fire roars down from the heavens in a location you specify. Each creature in a 10-foot-radius, 40-foot-high cylinder centered on a point within range must make a Dexterity saving throw. A creature takes 4d6 fire damage and 4d6 radiant damage on a failed save, or half as much damage on a successful one.
At Higher Levels. When you cast this spell using a spell slot of 6th level or higher, the fire damage or the radiant damage (your choice) increases by 1d6 for each slot level above 5th.</t>
  </si>
  <si>
    <t>Flaming Sphere</t>
  </si>
  <si>
    <t>V, S, M (a bit of tallow, a pinch of brimstone, and a dusting of powdered iron)</t>
  </si>
  <si>
    <t>A 5-foot-diameter sphere o f fire appears in an
unoccupied space o 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 ide. The sphere ignites flammable objects not
being w orn or carried, and it sheds bright light in a
20-foot radius and dim light for an additional 20 feet.
At Higher Levels. When you cast this spell using a
spell slot o f 3rd level or higher, the damage increases by
1d6 for each slot level above 2nd.</t>
  </si>
  <si>
    <t>Flesh to Stone</t>
  </si>
  <si>
    <t>V, S, M (a pinch of lime, water, and earth)</t>
  </si>
  <si>
    <t>You attempt to turn one creature that you can see within
range into stone. If the target’s body is made o f flesh, the
creature must make a Constitution saving throw. On a
failed save, it is restrained as its flesh begins to harden.
On a successful save, the creature isn’t affected.
A creature restrained by this spell must make another
Constitution saving throw at the end o f each o f its turns.
If it successfully saves against this spell three times, the
spell ends. If it fails its saves three times, it is turned
to stone and subjected to the petrified condition for the
duration. The successes and failures don’t need to be
consecutive; keep track o f both until the target collects
three o f a kind.
If the creature is physically broken while petrified,
it suffers from similar deformities if it reverts to its
original state.
If you maintain your concentration on this spell for the
entire possible duration, the creature is turned to stone
until the effect is removed.</t>
  </si>
  <si>
    <t>Fly</t>
  </si>
  <si>
    <t>V, S, M (a wing feather from any bird)</t>
  </si>
  <si>
    <t>You touch a willing creature. The target gains a flying speed of 60 feet for the duration. When the spell ends, the target falls if it is still aloft, unless it can stop the fall.
At Higher Levels. When you cast this spell using a spell slot of 4th level or higher, you can target one additional creature for each slot level above 3rd.</t>
  </si>
  <si>
    <t>Fog Cloud</t>
  </si>
  <si>
    <t>You create a 20-foot-radius sphere of fog centered on a point within range. The sphere spreads around corners, and its area is heavily obscured. It lasts for the duration or until a wind of moderate or greater speed (at least 10 miles per hour) disperses it.
At Higher Levels. When you cast this spell using a spell slot of 2nd level or higher, the radius of the fog increases by 20 feet for each slot level above 1st.</t>
  </si>
  <si>
    <t>Forbiddance</t>
  </si>
  <si>
    <t>6th-level abjuration (ritual)</t>
  </si>
  <si>
    <t>V, S, M (a sprinkling of holy water, rare incense, and powdered ruby worth at least 1,000 gp)</t>
  </si>
  <si>
    <t>1 day</t>
  </si>
  <si>
    <t>You create a ward against magical travel that protects
up to 40,000 square feet o f floor space to a height o f 30
feet above the floor. For the duration, creatures can’t
teleport into the area or use portals, such as those
created by the gate spell, to enter the area. The spell
proofs the area against planar travel, and therefore
prevents creatures from accessing the area by way of
the Astral Plane, Ethereal Plane, Feywild, Shadowfell,
or the plane shift spell.
In addition, the spell damages types o f creatures that
you choose when you cast it. Choose one or more o f the
following: celestials, elementals, fey, fiends, and undead.
When a chosen creature enters the spell’s area for the
first time on a turn or starts its turn there, the creature
takes 5d10 radiant or necrotic damage (your choice
when you cast this spell).
When you cast this spell, you can designate a
password. A creature that speaks the password as it
enters the area takes no damage from the spell.
The spell’s area can't overlap with the area o f another
forbiddance spell. If you cast forbiddance every day for
30 days in the same location, the spell lasts until it is
dispelled, and the material components are consumed
on the last casting.</t>
  </si>
  <si>
    <t>Forcecage</t>
  </si>
  <si>
    <t>100 feet</t>
  </si>
  <si>
    <t>V, S, M (ruby dust worth 1,500 gp)</t>
  </si>
  <si>
    <t>An immobile, invisible, cube-shaped prison composed of
magical force springs into existence around an area you
choose within range. The prison can be a cage or a solid
box, as you choose.
A prison in the shape o f a cage can be up to 20 feet on
a side and is made from 1/2-inch diameter bars spaced
1/2 inch apart.
A prison in the shape o f a box can be up to 10 feet on
a side, creating a solid barrier that prevents any matter
from passing through it and blocking any spells cast into
or out from the area.
When you cast the spell, any creature that is
completely inside the cage's area is trapped. Creatures
only partially within the area, or those too large to fit
inside the area, are pushed away from the center o f the
area until they are completely outside the area.
A creature inside the cage can’t leave it by nonmagical
means. If the creature tries to use teleportation or
interplanar travel to leave the cage, it must first make a
Charisma saving throw. On a success, the creature can
use that magic to exit the cage. On a failure, the creature
can't exit the cage and wastes the use o f the spell or
effect. The cage also extends into the Ethereal Plane,
blocking ethereal travel.
This spell can’t be dispelled by dispel magic.</t>
  </si>
  <si>
    <t>Foresight</t>
  </si>
  <si>
    <t>9th-level divination</t>
  </si>
  <si>
    <t>V, S, M (a hummingbird feather)</t>
  </si>
  <si>
    <t>You touch a willing creature and bestow a limited ability to see into the immediate future. For the duration, the target can’t be surprised and has advantage on attack rolls, ability checks, and saving throws. Additionally, other creatures have disadvantage on attack rolls against the target for the duration.
This spell immediately ends if you cast it again before its duration ends.</t>
  </si>
  <si>
    <t>Freedom of Movement</t>
  </si>
  <si>
    <t>V, S, M (a leather strap, bound around the arm or a similar appendage)</t>
  </si>
  <si>
    <t>You touch a willing creature. For the duration, the target’s movement is unaffected by difficult terrain, and spells and other magical effects can neither reduce the target’s speed nor cause the target to be paralyzed or restrained.
The target can also spend 5 feet of movement to automatically escape from nonmagical restraints, such as manacles or a creature that has it grappled. Finally, being underwater imposes no penalties on the target's movement or attacks.</t>
  </si>
  <si>
    <t>Friends</t>
  </si>
  <si>
    <t>Enchantment cantrip</t>
  </si>
  <si>
    <t>S, M (a small amount of makeup applied to the face as this spell is cast)</t>
  </si>
  <si>
    <t>For the duration, you have advantage on all Charisma checks directed at one creature of your choice that isn’t hostile toward you. When the spell ends, the creature realizes that you used magic to influence its mood and becomes hostile toward you. A creature prone to violence might attack you. Another creature might seek retribution in other ways (at the DM’s discretion), depending on the nature of your interaction with it.</t>
  </si>
  <si>
    <t>Gaseous Form</t>
  </si>
  <si>
    <t>V, S, M (a bit of gauze and a wisp of smoke)</t>
  </si>
  <si>
    <t>You transform a willing creature you touch, along with everything it’s wearing and carrying, into a misty cloud for the duration. The spell ends if the creature drops to 0 hit points. An incorporeal creature isn’t affected.
While in this form, the target’s only method of movement is a flying speed of 10 feet. The target can enter and occupy the space of another creature. The target has resistance to nonmagical damage, and it has advantage on Strength, Dexterity, and Constitution saving throws. The target can pass through small holes, narrow openings, and even mere cracks, though it treats liquids as though they were solid surfaces. The target can't fall and remains hovering in the air even when stunned or otherwise incapacitated.
While in the form of a misty cloud, the target can’t talk or manipulate objects, and any objects it was carrying or holding can’t be dropped, used, or otherwise interacted with. The target can’t attack or cast spells.</t>
  </si>
  <si>
    <t>Gate</t>
  </si>
  <si>
    <t>9th-level conjuration</t>
  </si>
  <si>
    <t>V, S, M (a diamond worth at least 5,000 gp)</t>
  </si>
  <si>
    <t>You conjure a portal linking an unoccupied space you
can see within range to a precise location on a different
plane o f existence. The portal is a circular opening,
which you can make 5 to 20 feet in diameter. You can
orient the portal in any direction you choose. The portal
lasts for the duration.
The portal has a front and a back on each plane where
it appears. Travel through the portal is possible only
by m oving through its front. Anything that does so is
instantly transported to the other plane, appearing in
the unoccupied space nearest to the portal.
Deities and other planar rulers can prevent portals
created by this spell from opening in their presence or
anywhere within their domains.
When you cast this spell, you can speak the name
o f a specific creature (a pseudonym, title, or nickname
doesn’t work). If that creature is on a plane other than
the one you are on, the portal opens in the named
creature’s immediate vicinity and draws the creature
through it to the nearest unoccupied space on your side
o f the portal. You gain no special power over the creature,
and it is free to act as the DM deems appropriate. It
might leave, attack you, or help you.</t>
  </si>
  <si>
    <t>Geas</t>
  </si>
  <si>
    <t>30 days</t>
  </si>
  <si>
    <t>You place a magical command on a creature that you can see within range, forcing it to carry out some service or refrain from some action or course of activity as you decide. If the creature can understand you, it must succeed on a Wisdom saving throw or become charmed by you for the duration. While the creature is charmed by you, it takes 5 d10 psychic damage each time it acts in a manner directly counter to your instructions, but no more than once each day. A creature that can't understand you is unaffected by the spell.
You can issue any command you choose, short of an activity that would result in certain death. Should you issue a suicidal command, the spell ends.
You can end the spell early by using an action to dismiss it. A remove curse, greater restoration, or wish spell also ends it.
At Higher Levels. When you cast this spell using a spell slot of 7th or 8th level, the duration is 1 year. When you cast this spell using a spell slot of 9th level, the spell lasts until it is ended by one of the spells</t>
  </si>
  <si>
    <t>Gentle Repose</t>
  </si>
  <si>
    <t>2nd-level necromancy (ritual)</t>
  </si>
  <si>
    <t>V, S, M (a pinch of salt and one copper piece placed on each of the corpse’s eyes, which must remain there for the duration)</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</si>
  <si>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</si>
  <si>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Giant Insect</t>
  </si>
  <si>
    <t>You transform up to ten centipedes, three spiders, five wasps, or one scorpion within range into giant versions of their natural forms for the duration. A centipede becomes a giant centipede, a spider becomes a giant spider, a wasp becomes a giant wasp, and a scorpion becomes a giant scorpion.
Each creature obeys your verbal commands, and in combat, they act on your turn each round. The DM has the statistics for these creatures and resolves their actions and movement.
A creature remains in its giant size for the duration, until it drops to 0 hit points, or until you use an action to dismiss the effect on it.
The DM might allow you to choose different targets. For example, if you transform a bee, its giant version might have the same statistics as a giant wasp.</t>
  </si>
  <si>
    <t>Glibness</t>
  </si>
  <si>
    <t>Until the spell ends, when you make a Charisma check, you can replace the number you roll with a 15. Additionally, no matter what you say, magic that would determine if you are telling the truth indicates that you are being truthful.</t>
  </si>
  <si>
    <t>Globe of Invulnerability</t>
  </si>
  <si>
    <t>6th-level abjuration</t>
  </si>
  <si>
    <t>V, S, M (a glass or crystal bead that shatters when the spell ends)</t>
  </si>
  <si>
    <t>An immobile, faintly shimmering barrier springs into existence in a 10-foot radius around you and remains for the duration.
Any spell of 5th level or lower cast from outside the barrier can't affect creatures or objects within it, even if the spell is cast using a higher level spell slot  Such a spell can target creatures and objects within the barrier, but the spell has no effect on them. Similarly, the area within the barrier is excluded from the areas affected by such spells.
At Higher Levels. When you cast this spell using a spell slot of 7th level or higher, the barrier blocks spells of one level higher for each slot level above 6th.</t>
  </si>
  <si>
    <t>Glyph of Warding</t>
  </si>
  <si>
    <t>V, S, M (incense and powdered diamond worth at least 200 gp, which the spell consumes)</t>
  </si>
  <si>
    <t>Until dispelled or triggered</t>
  </si>
  <si>
    <t>When you cast this spell, you inscribe a glyph that
harms other creatures, either upon a surface (such as
a table or a section o f floor or wall) or within an object
that can be closed (such as a book, a scroll, or a treasure
chest) to conceal the glyph. If you choose a surface, the
glyph can cover an area o f the surface no larger than
10 feet in diameter. If you choose an object, that object
must remain in its place; if the object is moved more
than 10 feet from where you cast this spell, the glyph is
broken, and the spell ends without being triggered.
The glyph is nearly invisible and requires a successful
Intelligence (Investigation) check against your spell save
DC to be found.
You decide what triggers the glyph when you cast
the spell. For glyphs inscribed on a surface, the most
typical triggers include touching or standing on the
glyph, removing another object covering the glyph,
approaching within a certain distance o f the glyph, or
manipulating the object on which the glyph is inscribed.
For glyphs inscribed within an object, the most common
triggers include opening that object, approaching within
a certain distance o f the object, or seeing or reading the
glyph. Once a glyph is triggered, this spell ends.
You can further refine the trigger so the spell activates
only under certain circumstances or according to
physical characteristics (such as height or weight),
creature kind (for example, the ward could be set to
affect aberrations or drow), or alignment. You can also
set conditions for creatures that don’t trigger the glyph,
such as those w ho say a certain password.
When you inscribe the glyph, choose explosive runes
or a spell glyph.
Explosive Runes. When triggered, the glyph erupts
with magical energy in a 20-foot-radius sphere centered
on the glyph. The sphere spreads around corners. Each
creature in the area must make a Dexterity saving
throw. A creature takes 5d8 acid, cold, fire, lightning, or
thunder damage on a failed saving throw (your choice
when you create the glyph), or half as much damage on a
successful one.
Spell Glyph. You can store a prepared spell of
3rd level or lower in the glyph by casting it as part
o f creating the glyph. The spell must target a single
creature or an area. The spell being stored has no
immediate effect when cast in this way. When the glyph
is triggered, the stored spell is cast. If the spell has a
target, it targets the creature that triggered the glyph.
If the spell affects an area, the area is centered on
that creature. If the spell summons hostile creatures
or creates harmful objects or traps, they appear as
close as possible to the intruder and attack it. If the
spell requires concentration, it lasts until the end o f its
full duration.
At Higher Levels. When you cast this spell using
a spell slot o f 4th level or higher, the damage o f an
explosive runes glyph increases by 1d8 for each slot
level above 3rd. If you create a spell glyph, you can store
any spell o f up to the same level as the slot you use for
the glyph o f warding.</t>
  </si>
  <si>
    <t>Goodberry</t>
  </si>
  <si>
    <t>V, S, M (a sprig of mistletoe)</t>
  </si>
  <si>
    <t>Up to ten berries appear in your hand and are infused with magic for the duration. A creature can use its action to eat one berry. Eating a berry restores 1 hit point, and the berry provides enough nourishment to sustain a creature for one day.
The berries lose their potency if they have not been consumed within 24 hours of the casting of this spell.</t>
  </si>
  <si>
    <t>Grasping Vine</t>
  </si>
  <si>
    <t>You conjure a vine that sprouts from the ground in an unoccupied space of your choice that you can see within range. When you cast this spell, you can direct the vine
to lash out at a creature within 30 feet of it that you can see. That creature must succeed on a Dexterity saving throw or be pulled 20 feet directly toward the vine.
Until the spell ends, you can direct the vine to lash out at the same creature or another one as a bonus action on each of your turns.</t>
  </si>
  <si>
    <t>Grease</t>
  </si>
  <si>
    <t>V, S, M (a bit of pork rind or butter)</t>
  </si>
  <si>
    <t>Slick grease covers the ground in a 10-foot square centered on a point within range and turns it into difficult terrain for the duration.
When the grease appears, each creature standing in its area must succeed on a Dexterity saving throw or fall prone. A creature that enters the area or ends its turn there must also succeed on a Dexterity saving throw or fall prone.</t>
  </si>
  <si>
    <t>Greater Invisibility</t>
  </si>
  <si>
    <t>4th-level illusion</t>
  </si>
  <si>
    <t>You or a creature you touch becomes invisible until the spell ends. Anything the target is wearing or carrying is invisible as long as it is on the target’s person.</t>
  </si>
  <si>
    <t>Greater Restoration</t>
  </si>
  <si>
    <t>V, S, M (diamond dust worth at least 100 gp, which the spell consumes)</t>
  </si>
  <si>
    <t>You imbue a creature you touch with positive energy to undo a debilitating effect. You can reduce the target’s exhaustion level by one, or end one of the following effects on the target:
• One effect that charmed or petrified the target
• One curse, including the target’s attunement to a cursed magic item
• Any reduction to one of the target’s ability scores
• One effect reducing the target’s hit point maximum</t>
  </si>
  <si>
    <t>Guardian of Faith</t>
  </si>
  <si>
    <t>A Large spectral guardian appears and hovers for the duration in an unoccupied space of your choice that you can see within range. The guardian occupies that space and is indistinct except for a gleaming sword and shield emblazoned with the symbol of your deity.
Any creature hostile to you that moves to a space within 10 feet of the guardian for the first time on a turn must succeed on a Dexterity saving throw. The creature takes 20 radiant damage on a failed save, or half as much damage on a successful one. The guardian vanishes when it has dealt a total of 60 damage.</t>
  </si>
  <si>
    <t>Guards and Wards</t>
  </si>
  <si>
    <t>V, S, M (burning incense, a small measure of brimstone and oil, a knotted string, a small amount of umber hulk blood, and a small silver rod worth at least 10 gp)</t>
  </si>
  <si>
    <t>You create a ward that protects up to 2,500 square feet
o f floor space (an area 50 feet square, or one hundred
5-foot squares or twenty-five 10-foot squares). The
warded area can be up to 20 feet tall, and shaped as you
desire. You can ward several stories of a stronghold by
dividing the area among them, as long as you can walk
into each contiguous area while you are casting the spell.
When you cast this spell, you can specify individuals
that are unaffected by any or all o f the effects that
you choose. You can also specify a password that,
when spoken aloud, makes the speaker immune to
these effects.
Guards and wards creates the following effects within
the warded area.
Corridors. Fog fills all the warded corridors, making
them heavily obscured. In addition, at each intersection
or branching passage offering a choice o f direction,
there is a 50 percent chance that a creature other than
you will believe it is going in the opposite direction from
the one it chooses.
Doors. All doors in the w arded area are magically
locked, as if sealed by an arcane lock spell. In addition,
you can cover up to ten doors with an illusion (equivalent
to the illusory object function o f the minor illusion spell)
to make them appear as plain sections o f wall.
Stairs. Webs fill all stairs in the warded area from top
to bottom, as the web spell. These strands regrow in 10
minutes if they are burned or torn away while guards
and wards lasts.
Other Spell Effect. You can place your choice o f one
o f the following magical effects within the w arded area
o f the stronghold.
• Place dancing lights in four corridors. You can designate
a simple program that the lights repeat as long as
guards and wards lasts.
• Place magic mouth in two locations.
• Place stinking cloud in two locations. The vapors
appear in the places you designate; they return within
10 minutes if dispersed by w ind while guards and
wards lasts.
• Place a constant gust o f wind in one corridor or room.
• Place a suggestion in one location. You select an area
o f up to 5 feet square, and any creature that enters
or passes through the area receives the suggestion
mentally.
The whole w arded area radiates magic. A dispel
magic cast on a specific effect, if successful, removes
only that effect.
You can create a permanently guarded and warded
structure by casting this spell there every day
for one year.</t>
  </si>
  <si>
    <t>Guidance</t>
  </si>
  <si>
    <t>Divination cantrip</t>
  </si>
  <si>
    <t>You touch one willing creature. Once before the spell ends, the target can roll a d4 and add the number rolled to one ability check of its choice. It can roll the die before or after making the ability check. The spell then ends.</t>
  </si>
  <si>
    <t>Guiding Bolt</t>
  </si>
  <si>
    <t>A flash of light streaks toward a creature of your choice within range. Make a ranged spell attack against the target. On a hit, the target takes 4d6 radiant damage, and the next attack roll made against this target before the end of your next turn has advantage, thanks to the mystical dim light glittering on the target until then.
At Higher Levels. When you cast this spell using a spell slot of 2nd level or higher, the damage increases by 1d6 for each slot level above 1st.</t>
  </si>
  <si>
    <t>Gust of Wind</t>
  </si>
  <si>
    <t>Self (60-foot line)</t>
  </si>
  <si>
    <t>V, S, M (a legume seed)</t>
  </si>
  <si>
    <t>A line of strong wind 60 feet long and 10 feet wide blasts from you in a direction you choose for the spell’s duration. Each creature that starts its turn in the line
must succeed on a Strength saving throw or be pushed 15 feet away from you in a direction following the line.
Any creature in the line must spend 2 feet of movement for every 1 foot it moves when moving closer to you.
The gust disperses gas or vapor, and it extinguishes candles, torches, and similar unprotected flames in the area. It causes protected flames, such as those of lanterns, to dance wildly and has a 50 percent chance to extinguish them.
As a bonus action on each of your turns before the spell ends, you can change the direction in which the line blasts from you.</t>
  </si>
  <si>
    <t>Hail of Thorns</t>
  </si>
  <si>
    <t>The next time you hit a creature with a ranged weapon attack before the spell ends, this spell creates a rain of thorns that sprouts from your ranged weapon or ammunition. In addition to the normal effect of the attack, the target of the attack and each creature within 5 feet of it must make a Dexterity saving throw. A creature takes 1d10 piercing damage on a failed save, or half as much damage on a successful one.
At Higher Levels. If you cast this spell using a spell slot of 2nd level or higher, the damage increases by 1d10 for each slot level above 1st (to a maximum of 6d10).</t>
  </si>
  <si>
    <t>Hallow</t>
  </si>
  <si>
    <t>V, S, M (herbs, oils, and incense worth at least 1,000 gp, which the spell consumes)</t>
  </si>
  <si>
    <t>Until Dispelled</t>
  </si>
  <si>
    <t>You touch a point and infuse an area around it with holy
(or unholy) power. The area can have a radius up to 60
feet, and the spell fails if the radius includes an area
already under the effect a hallow spell. The affected area
is subject to the following effects.
First, celestials, elementals, fey, fiends, and undead
can’t enter the area, nor can such creatures charm,
frighten, or p os sess creatures within it. Any creature
charmed, frightened, or pos sessed by such a creature
is no longer charmed, frightened, or possessed upon
entering the area. You can exclude one or more of those
types o f creatures from this effect.
Second, you can bind an extra effect to the area.
Choose the effect from the following list, or choose an
effect offered by the DM. Some o f these effects apply to
creatures in the area; you can designate whether the
effect applies to all creatures, creatures that follow a
specific deity or leader, or creatures o f a specific sort,
such as ores or trolls. When a creature that would be
affected enters the spell’s area for the first time on a
turn or starts its turn there, it can make a Charisma
saving throw. On a success, the creature ignores the
extra effect until it leaves the area.
Courage. Affected creatures can’t be frightened
while in the area.
Darkness. Darkness fills the area. Normal light,
as well as magical light created by spells o f a lower
level than the slot you used to cast this spell, can’t
illuminate the area.
Daylight. Bright light fills the area. Magical darkness
created by spells o f a lower level than the slot you used
to cast this spell can’t extinguish the light.
Energy Protection. Affected creatures in the area
have resistance to one damage type o f your choice,
except for bludgeoning, piercing, or slashing.
Energy Vulnerability. Affected creatures in the area
have vulnerability to one damage type of your choice,
except for bludgeoning, piercing, or slashing.
Everlasting Rest. Dead bodies interred in the area
can’t be turned into undead.
Extradimensional Interference. Affected creatures
can’t move or travel using teleportation or by
extradimensional or interplanar means.
Fear. Affected creatures are frightened
while in the area.
Silence. No sound can emanate from within the area,
and no sound can reach into it.
Tongues. Affected creatures can communicate with
any other creature in the area, even if they don’t share a
common language.</t>
  </si>
  <si>
    <t>Hallucinatory Terrain</t>
  </si>
  <si>
    <t>V, S, M (a stone, a twig, and a bit of green plant)</t>
  </si>
  <si>
    <t>You make natural terrain in a 150-foot cube in range look, sound, and smell like some other sort of natural terrain. Thus, open fields or a road can be made to resemble a swamp, hill, crevasse, or some other difficult or impassable terrain. A pond can be made to seem like a grassy meadow, a precipice like a gentle slope, or a rock-strewn gully like a wide and smooth road. Manufactured structures, equipment, and creatures within the area aren’t changed in appearance.
The tactile characteristics of the terrain are unchanged, so creatures entering the area are likely to see through the illusion. If the difference isn’t obvious by touch, a creature carefully examining the illusion can attempt an Intelligence (Investigation) check against your spell save DC to disbelieve it. A creature who discerns the illusion for what it is, sees it as a vague image superimposed on the terrain.</t>
  </si>
  <si>
    <t>Harm</t>
  </si>
  <si>
    <t>You unleash a virulent disease on a creature that you can see within range. The target must make a Constitution saving throw. On a failed save, it takes 14d6 necrotic damage, or half as much damage on a successful save. The damage can’t reduce the target’s hit points below 1. If the target fails the saving throw, its hit point maximum is reduced for 1 hour by an amount equal to the necrotic damage it took. Any effect that removes a disease allows a creature’s hit point maximum to return to normal before that time passes.</t>
  </si>
  <si>
    <t>Haste</t>
  </si>
  <si>
    <t>V, S, M (a shaving of licorice root)</t>
  </si>
  <si>
    <t>Choose a willing creature that you can see within range. Until the spell ends, the target’s speed is doubled, it gains a +2 bonus to AC, it has advantage on Dexterity saving throws, and it gains an additional action on each of its turns. That action can be used only to take the Attack (one weapon attack only), Dash, Disengage, Hide, or Use an Object action.
When the spell ends, the target can’t move or take actions until after its next turn, as a wave of lethargy sweeps over it.</t>
  </si>
  <si>
    <t>Heal</t>
  </si>
  <si>
    <t>Choose a creature that you can see within range. A surge of positive energy washes through the creature, causing it to regain 70 hit points. This spell also ends blindness, deafness, and any diseases affecting the target. This spell has no effect on constructs or undead.
At Higher Levels. When you cast this spell using a spell slot of 7th level or higher, the amount of healing increases by 10 for each slot level above 6th.</t>
  </si>
  <si>
    <t>Healing Word</t>
  </si>
  <si>
    <t>A creature of your choice that you can see within range regains hit points equal to 1d4 + your spellcasting ability modifier. This spell has no effect on undead or constructs.
At Higher Levels. When you cast this spell using a spell slot of 2nd level or higher, the healing increases by 1d4 for each slot level above 1st.</t>
  </si>
  <si>
    <t>Heat Metal</t>
  </si>
  <si>
    <t>V, S, M (a piece of iron and a flame)</t>
  </si>
  <si>
    <t>Choose a manufactured metal object, such as a metal weapon or a suit of heavy or medium metal armor, that you can see within range. You cause the object to glow red-hot. Any creature in physical contact with the object takes 2d8 fire damage when you cast the spell. Until the spell ends, you can use a bonus action on each of your subsequent turns to cause this damage again.
If a creature is holding or wearing the object and takes the damage from it, the creature must succeed on a Constitution saving throw or drop the object if it can. If it doesn’t drop the object, it has disadvantage on attack rolls and ability checks until the start of your next turn.
At Higher Levels. When you cast this spell using a spell slot of 3rd level or higher, the damage increases by 1d8 for each slot level above 2nd.</t>
  </si>
  <si>
    <t>Hellish Rebuke</t>
  </si>
  <si>
    <t>1 reaction, which you take in response to being damaged by a creature within 60 feet of you that you can see</t>
  </si>
  <si>
    <t>You point your finger, and the creature that damaged you is momentarily surrounded by hellish flames. The creature must make a Dexterity saving throw. It takes 2d10 fire damage on a failed save, or half as much damage on a successful one.
At Higher Levels. When you cast this spell using a spell slot of 2nd level or higher, the damage increases by 1d10 for each slot level above 1st.</t>
  </si>
  <si>
    <t>Heroes' Feast</t>
  </si>
  <si>
    <t>V, S, M (a gem-encrusted bowl worth at least 1,000 gp, which the spell consumes)</t>
  </si>
  <si>
    <t>You bring forth a great feast, including magnificent food and drink. The feast takes 1 hour to consume and disappears at the end of that time, and the beneficial effects don’t set in until this hour is over. Up to twelve other creatures can partake of the feast.
A creature that partakes of the feast gains several benefits. The creature is cured of all diseases and poison, becomes immune to poison and being frightened, and makes all Wisdom saving throws with advantage. Its hit point maximum also increases by 2d10, and it gains the same number of hit points. These benefits last for 24 hours.</t>
  </si>
  <si>
    <t>Heroism</t>
  </si>
  <si>
    <t>A willing creature you touch is imbued with bravery. Until the spell ends, the creature is immune to being frightened and gains temporary hit points equal to your spellcasting ability modifier at the start of each of its turns. When the spell ends, the target loses any remaining temporary hit points from this spell.
At Higher Levels. When you cast this spell using a spell slot of 2nd level or higher, you can target one additional creature for each slot level above 1st.</t>
  </si>
  <si>
    <t>Hex</t>
  </si>
  <si>
    <t>V, S, M (the petrified eye of a newt)</t>
  </si>
  <si>
    <t>You place a curse on a creature that you can see within range. Until the spell ends, you deal an extra 1d6 necrotic damage to the target whenever you hit it with an attack. Also, choose one ability when you cast the spell. The target has disadvantage on ability checks made with the chosen ability.
If the target drops to 0 hit points before this spell ends, you can use a bonus action on a subsequent turn of yours to curse a new creature. A remove curse cast on the target ends this spell early.
At Higher Levels. When you cast this spell using a spell slot of 3rd or 4th level, you can maintain your concentration on the spell for up to 8 hours. When you use a spell slot of 5th level or higher, you can maintain your concentration on the spell for up to 24 hours.</t>
  </si>
  <si>
    <t>Hold Monster</t>
  </si>
  <si>
    <t>V, S, M (a small, straight piece of iron)</t>
  </si>
  <si>
    <t>Choose a creature that you can see within range. The target must succeed on a Wisdom saving throw or be paralyzed for the duration. This spell has no effect on undead. At the end of each of its turns, the target can make another Wisdom saving throw. On a success, the spell ends on the target.
At Higher Levels. When you cast this spell using a spell slot of 6th level or higher, you can target one additional creature for each slot level above 5th. The creatures must be within 30 feet of each other when you target them.</t>
  </si>
  <si>
    <t>Hold Person</t>
  </si>
  <si>
    <t>Choose a humanoid that you can see within range. The target must succeed on a Wisdom saving throw or be paralyzed for the duration. At the end of each of its turns, the target can make another Wisdom saving throw. On a success, the spell ends on the target.
At Higher Levels. When you cast this spell using a spell slot of 3rd level or higher, you can target one additional humanoid for each slot level above 2nd. The humanoids must be within 30 feet of each other when you target them.</t>
  </si>
  <si>
    <t>Holy Aura</t>
  </si>
  <si>
    <t>V, S, M (a tiny reliquary worth at least 1,000 gp containing a sacred relic, such as a scrap of cloth from a saint’s robe or a piece of parchment from a religious text)</t>
  </si>
  <si>
    <t>Divine light washes out from you and coalesces in a soft radiance in a 30-foot radius around you. Creatures of your choice in that radius when you cast this spell shed dim light in a 5-foot radius and have advantage on all saving throws, and other creatures have disadvantage on attack rolls against them until the spell ends. In addition, when a fiend or an undead hits an affected creature with a melee attack, the aura flashes with brilliant light. The attacker must succeed on a Constitution saving throw or be blinded until the spell ends.</t>
  </si>
  <si>
    <t>Hunger of Hadar</t>
  </si>
  <si>
    <t>V, S, M (a pickled octopus tentacle)</t>
  </si>
  <si>
    <t>You open a gateway to the dark between the stars, a region infested with unknown horrors. A 20-foot-radius sphere of blackness and bitter cold appears, centered on a point with range and lasting for the duration. This void is filled with a cacophony of soft whispers and slurping noises that can be heard up to 30 feet away. No light, magical or otherwise, can illuminate the area, and creatures fully within the area are blinded.
The void creates a warp in the fabric of space, and the area is difficult terrain. Any creature that starts its turn in the area takes 2d6 cold damage. Any creature that ends its turn in the area must succeed on a Dexterity saving throw or take 2d6 acid damage as milky, otherworldly tentacles rub against it.</t>
  </si>
  <si>
    <t>Hunter's Mark</t>
  </si>
  <si>
    <t>You choose a creature you can see within range and mystically mark it as your quarry. Until the spell ends, you deal an extra 1d6 damage to the target whenever you hit it with a weapon attack, and you have advantage on any Wisdom (Perception) or Wisdom (Survival) check you make to find it. If the target drops to 0 hit points before this spell ends, you can use a bonus action on a subsequent turn of yours to mark a new creature.
At Higher Levels. When you cast this spell using a spell slot of 3rd or 4th level, you can maintain your concentration on the spell for up to 8 hours. When you use a spell slot of 5th level or higher, you can maintain your concentration on the spell for up to 24 hours.</t>
  </si>
  <si>
    <t>Hypnotic Pattern</t>
  </si>
  <si>
    <t>S, M (a glowing stick of incense or a crystal vial filled with phosphorescent material)</t>
  </si>
  <si>
    <t>You create a twisting pattern of colors that weaves through the air inside a 30-foot cube within range. The pattern appears for a moment and vanishes. Each creature in the area who sees the pattern must make a Wisdom saving throw. On a failed save, the creature becomes charmed for the duration. While charmed by this spell, the creature is incapacitated and has a speed of 0.
The spell ends for an affected creature if it takes any damage or if someone else uses an action to shake the creature out of its stupor.</t>
  </si>
  <si>
    <t>Ice Storm</t>
  </si>
  <si>
    <t>V, S, M (a pinch of dust and a few drops of water)</t>
  </si>
  <si>
    <t>A hail of rock-hard ice pounds to the ground in a 20-foot-radius, 40-foot-high cylinder centered on a point within range. Each creature in the cylinder must make a Dexterity saving throw. A creature takes 2d8 bludgeoning damage and 4d6 cold damage on a failed save, or half as much damage on a successful one.
Hailstones turn the storm's area of effect into difficult terrain until the end of your next turn.
At Higher Levels. When you cast this spell using a spell slot of 5th level or higher, the bludgeoning damage increases by 1d8 for each slot level above 4th.</t>
  </si>
  <si>
    <t>Identify</t>
  </si>
  <si>
    <t>V, S, M (a pearl worth at least 100 gp and an owl feather)</t>
  </si>
  <si>
    <t>You choose one object that you must touch throughout the casting of the spell. If it is a magic item or some other magic-imbued object, you learn its properties and how to use them, whether it requires attunement to use, and how many charges it has, if any. You learn whether any spells are affecting the item and what they are. If the item was created by a spell, you learn which spell created it.
If you instead touch a creature throughout the casting, you learn what spells, if any, are currently affecting it.</t>
  </si>
  <si>
    <t>Illusory Script</t>
  </si>
  <si>
    <t>1st-level illusion (ritual)</t>
  </si>
  <si>
    <t>S, M (a lead-based ink worth at least 10 gp, which the spell consumes)</t>
  </si>
  <si>
    <t>You write on parchment, paper, or some other suitable writing material and imbue it with a potent illusion that lasts for the duration.
To you and any creatures you designate when you cast the spell, the writing appears normal, written in your hand, and conveys whatever meaning you intended when you wrote the text. To all others, the writing appears as if it were written in an unknown or magical script that is unintelligible. Alternatively, you can cause the writing to appear to be an entirely different message, written in a different hand and language, though the language must be one you know.
Should the spell be dispelled, the original script and the illusion both disappear. A creature with truesight can read the hidden message.</t>
  </si>
  <si>
    <t>Imprisonment</t>
  </si>
  <si>
    <t>9th-level abjuration</t>
  </si>
  <si>
    <t>V, S, M (a vellum depiction or a carved statuette in the likeness of the target, and a special component that varies according to the version of the spell you choose, worth at least 500 gp per Hit Die of the target)</t>
  </si>
  <si>
    <t>You create a magical restraint to hold a creature that
you can see within range. The target must succeed on
a W isdom saving throw or be bound by the spell; if it
succeeds, it is immune to this spell if you cast it again.
While affected by this spell, the creature doesn't need
to breathe, eat, or drink, and it doesn’t age. Divination
spells can’t locate or perceive the target.
When you cast the spell, you choose one o f the
following forms o f imprisonment.
Burial. The target is entombed far beneath the earth
in a sphere o f magical force that is just large enough to
contain the target. Nothing can pass through the sphere,
nor can any creature teleport or use planar travel to get
into or out o f it.
The special component for this version o f the spell is a
small mithral orb.
Chaining. Heavy chains, firmly rooted in the ground,
hold the target in place. The target is restrained until
the spell ends, and it can’t move or be moved by any
means until then.
The special component for this version o f the spell is a
fine chain o f precious metal.
Hedged Prison. The spell transports the target into
a tiny demiplane that is warded against teleportation
and planar travel. The demiplane can be a labyrinth, a
cage, a tower, or any similar confined structure or area
o f your choice.
The special component for this version o f the spell is a
miniature representation o f the prison made from jade.
Minimus Containment. The target shrinks to a height
o f 1 inch and is imprisoned inside a gemstone or similar
object. Light can pass through the gemstone normally
(allowing the target to see out and other creatures to see
in), but nothing else can pass through, even by means of
teleportation or planar travel. The gemstone can’t be cut
or broken while the spell remains in effect.
The special component for this version o f the spell
is a large, transparent gemstone, such as a corundum,
diamond, or ruby.
Slumber. The target falls asleep and can’t be awoken.
The special component for this version o f the spell
consists o f rare soporific herbs.
Ending the Spell. During the casting o f the spell,
in any o f its versions, you can specify a condition that
will cause the spell to end and release the target. The
condition can be as specific or as elaborate as you
choose, but the DM must agree that the condition is
reasonable and has a likelihood o f coming to pass. The
conditions can be based on a creature’s name, identity,
or deity but otherwise must be based on observable
actions or qualities and not based on intangibles such as
level, class, or hit points.
A dispel magic spell can end the spell only if it is cast
as a 9th-level spell, targeting either the prison or the
special component used to create it.
You can use a particular special component to create
only one prison at a time. If you cast the spell again
using the same component, the target o f the first casting
is immediately freed from its binding.</t>
  </si>
  <si>
    <t>Incendiary Cloud</t>
  </si>
  <si>
    <t>A swirling cloud of smoke shot through with white-hot embers appears in a 20-foot-radius sphere centered on a point within range. The cloud spreads around corners and is heavily obscured. It lasts for the duration or until a wind of moderate or greater speed (at least 10 miles per hour) disperses it.
When the cloud appears, each creature in it must make a Dexterity saving throw. A creature takes 10d8 fire damage on a failed save, or half as much damage on a successful one. A creature must also make this saving throw when it enters the spell’s area for the first time on a turn or ends its turn there.
The cloud moves 10 feet directly away from you in a direction that you choose at the start of each of your turns.</t>
  </si>
  <si>
    <t>Inflict Wounds</t>
  </si>
  <si>
    <t>Make a melee spell attack against a creature you can reach. On a hit, the target takes 3d10 necrotic damage.
At Higher Levels. When you cast this spell using a spell slot of 2nd level or higher, the damage increases by 1d10 for each slot level above 1st.</t>
  </si>
  <si>
    <t>Insect Plague</t>
  </si>
  <si>
    <t>V, S, M (a few grains of sugar, some kernels of grain, and a smear of fat)</t>
  </si>
  <si>
    <t>Swarming, biting locusts fill a 20-foot-radius sphere centered on a point you choose within range. The sphere spreads around corners. The sphere remains for the duration, and its area is lightly obscured. The sphere’s area is difficult terrain.
When the area appears, each creature in it must make a Constitution saving throw. A creature takes 4d10 piercing damage on a failed save, or half as much damage on a successful one. A creature must also make this saving throw when it enters the spell’s area for the first time on a turn or ends its turn there.
At Higher Levels. When you cast this spell using a spell slot of 6th level or higher, the damage increases by 1d10 for each slot level above 5th.</t>
  </si>
  <si>
    <t>Invisibility</t>
  </si>
  <si>
    <t>V, S, M (an eyelash encased in gum arabic)</t>
  </si>
  <si>
    <t>A creature you touch becomes invisible until the spell ends. Anything the target is wearing or carrying is invisible as long as it is on the target’s person. The spell ends for a target that attacks or casts a spell.
At Higher Levels. When you cast this spell using a spell slot of 3rd level or higher, you can target one additional creature for each slot level above 2nd.</t>
  </si>
  <si>
    <t>Jump</t>
  </si>
  <si>
    <t>V, S, M (a grasshopper’s hind leg)</t>
  </si>
  <si>
    <t>You touch a creature. The creature’s jump distance is tripled until the spell ends.</t>
  </si>
  <si>
    <t>Knock</t>
  </si>
  <si>
    <t>Choose an object that you can see within range. The object can be a door, a box, a chest, a set of manacles, a padlock, or another object that contains a mundane or magical means that prevents access.
A target that is held shut by a mundane lock or that is stuck or barred becomes unlocked, unstuck, or unbarred. If the object has multiple locks, only one of them is unlocked.
If you choose a target that is held shut with arcane lock, that spell is suppressed for 10 minutes, during which time the target can be opened and shut normally. When you cast the spell, a loud knock, audible from as far away as 300 feet, emanates from the target object.</t>
  </si>
  <si>
    <t>Legend Lore</t>
  </si>
  <si>
    <t>5th-level divination</t>
  </si>
  <si>
    <t>V, S, M (incense worth at least 250 gp, which the spell consumes, and four ivory strips worth at least 50 gp each)</t>
  </si>
  <si>
    <t>Name or describe a person, place, or object. The spell brings to your mind a brief summary of the significant lore about the thing you named. The lore might consist of current tales, forgotten stories, or even secret lore that has never been widely known. If the thing you named isn’t of legendary importance, you gain no information. The more information you already have about the thing, the more precise and detailed the information you receive is.
The information you learn is accurate but might be couched in figurative language. For example, if you have a mysterious magic axe on hand, the spell might yield this information: “Woe to the evildoer whose hand touches the axe, for even the haft slices the hand of the evil ones. Only a true Child of Stone, lover and beloved of Moradin, may awaken the true powers of the axe, and only with the sacred word Rudnogg on the lips.”</t>
  </si>
  <si>
    <t>Leomund's Secret Chest</t>
  </si>
  <si>
    <t>V, S, M (an exquisite chest, 3 feet by 2 feet by 2 feet, constructed from rare materials worth at least 5,000 gp, and a Tiny replica made from the same materials worth at least 50 gp)</t>
  </si>
  <si>
    <t>You hide a chest, and all its contents, on the Ethereal Plane. You must touch the chest and the miniature replica that serves as a material component for the spell. The chest can contain up to 12 cubic feet of nonliving material (3 feet by 2 feet by 2 feet).
While the chest remains on the Ethereal Plane, you can use an action and touch the replica to recall the chest. It appears in an unoccupied space on the ground within 5 feet of you. You can send the chest back to the Ethereal Plane by using an action and touching both the chest and the replica.
After 60 days, there is a cumulative 5 percent chance per day that the spell's effect ends. This effect ends if you cast this spell again, if the smaller replica chest is destroyed, or if you choose to end the spell as an action. If the spell ends and the larger chest is on the Ethereal Plane, it is irretrievably lost.</t>
  </si>
  <si>
    <t>Leomund's Tiny Hut</t>
  </si>
  <si>
    <t>3rd-level evocation (ritual)</t>
  </si>
  <si>
    <t>Self (10-foot-radius hemisphere)</t>
  </si>
  <si>
    <t>V, S, M (a small crystal bead)</t>
  </si>
  <si>
    <t>A 10-foot-radius immobile dome of force springs into existence around and above you and remains stationary for the duration. The spell ends if you leave its area.
Nine creatures of Medium size or smaller can fit inside the dome with you. The spell fails if its area includes a larger creature or more than nine creatures. Creatures and objects within the dome when you cast this spell can move through it freely. All other creatures and objects are barred from passing through it. Spells and other magical effects can’t extend through the dome or be cast through it. The atmosphere inside the space is comfortable and dry, regardless of the weather outside.
Until the spell ends, you can command the interior to become dimly lit or dark. The dome is opaque from the outside, of any color you choose, but it is transparent from the inside.</t>
  </si>
  <si>
    <t>Lesser Restoration</t>
  </si>
  <si>
    <t>You touch a creature and can end either one disease or one condition afflicting it. The condition can be blinded, deafened, paralyzed, or poisoned.</t>
  </si>
  <si>
    <t>Levitate</t>
  </si>
  <si>
    <t>V, S, M (either a small leather loop or a piece of golden wire bent into a cup shape with a long shank on one end)</t>
  </si>
  <si>
    <t>One creature or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</si>
  <si>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V, M (a firefly or phosphorescent moss)</t>
  </si>
  <si>
    <t>You touch one object that is no larger than 10 feet in any dimension. Until the spell ends, the object sheds bright light in a 20-foot radius and dim light for an additional 20 feet. The light can be colored as you like. Completely covering the object with something opaque blocks the light. The spell ends if you cast it again or dismiss it as an action.
If you target an object held or worn by a hostile creature, that creature must succeed on a Dexterity saving throw to avoid the spell.</t>
  </si>
  <si>
    <t>Lightning Arrow</t>
  </si>
  <si>
    <t>The next time you make a ranged weapon attack during the spell’s duration, the weapon’s ammunition, or the weapon itself if it’s a thrown weapon, transforms into a bolt of lightning. Make the attack roll as normal. The target takes 4d8 lightning damage on a hit, or half as much damage on a miss, instead of the weapon’s normal damage.
Whether you hit or miss, each creature within 10 feet of the target must make a Dexterity saving throw. Each of these creatures takes 2d8 lightning damage on a failed save, or half as much damage on a successful one. The piece of ammunition or weapon then returns to its normal form.
At Higher Levels. When you cast this spell using a spell slot of 4th level or higher, the damage for both effects of the spell increases by 1d8 for each slot
level above 3rd.</t>
  </si>
  <si>
    <t>Lightning Bolt</t>
  </si>
  <si>
    <t>Self (100-foot line)</t>
  </si>
  <si>
    <t>V, S, M (a bit of fur and a rod of amber, crystal, or glass)</t>
  </si>
  <si>
    <t>A stroke of lightning forming a line 100 feet long and 5 feet wide blasts out from you in a direction you choose. Each creature in the line must make a Dexterity saving throw. A creature takes 8d6 lightning damage on a failed save, or half as much damage on a successful one.
The lightning ignites flammable objects in the area that aren’t being worn or carried.
At Higher Levels. When you cast this spell using a spell slot of 4th level or higher, the damage increases by 1d6 for each slot level above 3rd.</t>
  </si>
  <si>
    <t>Locate Animals or Plants</t>
  </si>
  <si>
    <t>V, S, M (a bit of fur from a bloodhound)</t>
  </si>
  <si>
    <t>Describe or name a specific kind of beast or plant. Concentrating on the voice of nature in your surroundings, you learn the direction and distance to the closest creature or plant of that kind within 5 miles, if any are present.</t>
  </si>
  <si>
    <t>Locate Creature</t>
  </si>
  <si>
    <t>Describe or name a creature that is familiar to you. You sense the direction to the creature’s location, as long as that creature is within 1,000 feet of you. If the creature is moving, you know the direction of its movement.
The spell can locate a specific creature known to you, or the nearest creature of a specific kind (such as a human or a unicorn), so long as you have seen such a creature up close—within 30 feet—at least once. If the creature you described or named is in a different form, such as being under the effects of a polymorph spell, this spell doesn’t locate the creature.
This spell can’t locate a creature if running water at least 10 feet wide blocks a direct path between you and the creature.</t>
  </si>
  <si>
    <t>Locate Object</t>
  </si>
  <si>
    <t>V, S, M (a forked twig)</t>
  </si>
  <si>
    <t>Describe or name an object that is familiar to you. You sense the direction to the object’s location, as long as that object is within 1,000 feet of you. If the object is in motion, you know the direction of its movement.
The spell can locate a specific object known to you, as long as you have seen it up close—within 30 feet—at least once. Alternatively, the spell can locate the nearest object of a particular kind, such as a certain kind of apparel, jewelry, furniture, tool, or weapon.
This spell can’t locate an object if any thickness of lead, even a thin sheet, blocks a direct path between you and the object.</t>
  </si>
  <si>
    <t>Longstrider</t>
  </si>
  <si>
    <t>V, S, M (a pinch o f dirt)</t>
  </si>
  <si>
    <t>You touch a creature. The target’s speed increases by 10 feet until the spell ends.
At Higher Levels. When you cast this spell using a spell slot of 2nd level or higher, you can target one additional creature for each slot level above 1st.</t>
  </si>
  <si>
    <t>Mage Armor</t>
  </si>
  <si>
    <t>V, S, M (a piece of cured leather)</t>
  </si>
  <si>
    <t>You touch a willing creature who isn’t wearing armor, and a protective magical force surrounds it until the spell ends. The target’s base AC becomes 13 + its Dexterity modifier. The spell ends if the target dons armor or if you dismiss the spell as an action.</t>
  </si>
  <si>
    <t>Mage Hand</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</si>
  <si>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</si>
  <si>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Magic Circle</t>
  </si>
  <si>
    <t>V, S, M (holy water or powdered silver and iron worth at least 100 gp, which the spell consumes)</t>
  </si>
  <si>
    <t>You create a 10-foot-radius, 20-foot-tall cylinder of magical energy centered on a point on the ground that you can see within range. Glowing runes appear wherever the cylinder intersects with the floor or other surface.
Choose one or more of the following types of creatures: celestials, elementals, fey, fiends, or undead. The circle affects a creature of the chosen type in the following ways:
• The creature can’t willingly enter the cylinder by nonmagical means. If the creature tries to use teleportation or interplanar travel to do so, it must first succeed on a Charisma saving throw.
• The creature has disadvantage on attack rolls against targets within the cylinder.
• Targets within the cylinder can’t be charmed, frightened, or possessed by the creature. When you cast this spell, you can elect to cause its magic to operate in the reverse direction, preventing a creature of the specified type from leaving the cylinder and protecting targets outside it.
At Higher Levels. When you cast this spell using a spell slot of 4th level or higher, the duration increases by 1 hour for each slot level above 3rd.</t>
  </si>
  <si>
    <t>Magic Jar</t>
  </si>
  <si>
    <t>V, S, M (a gem, crystal, reliquary, or some other ornamental container worth at least 500 gp)</t>
  </si>
  <si>
    <t>Your body falls into a catatonic state as your soul leaves
it and enters the container you used for the spell’s
material component. While your soul inhabits the
container, you are aware o f your surroundings as if you
were in the container’s space. You can’t move or use
reactions. The only action you can take is to project your
soul up to 100 feet out o f the container, either returning
to your living body (and ending the spell) or attempting
to pos sess a humanoids body.
You can attempt to pos sess any humanoid within
100 feet o f you that you can see (creatures warded by a
protection from evil and good or magic circle spell can’t
be possessed). The target must make a Charisma saving
throw. On a failure, your soul moves into the target’s
body, and the target’s soul becomes trapped in the
container. On a success, the target resists your efforts
to pos sess it, and you can’t attempt to pos sess it again
for 24 hours.
Once you pos sess a creature’s body, you control it.
Your game statistics are replaced by the statistics o f the
creature, though you retain your alignment and your
Intelligence, Wisdom, and Charisma scores. You retain
the benefit o f your own class features. If the target has
any class levels, you can’t use any o f its class features.
Meanwhile, the possessed creature’s soul can
perceive from the container using its own senses, but it
can’t move or take actions at all.
While possessing a body, you can use your action to
return from the host body to the container if it is within
100 feet o f you, returning the host creature’s soul to
its body. If the host body dies while you’re in it, the
creature dies, and you must make a Charisma saving
throw against your own spellcasting DC. On a success,
you return to the container if it is within 100 feet of you.
Otherwise, you die.
If the container is destroyed or the spell ends, your
soul immediately returns to your body. If your body is
more than 100 feet away from you or if your body is
dead when you attempt to return to it, you die. If another
creature’s soul is in the container when it is destroyed,
the creature’s soul returns to its body if the body is alive
and within 100 feet. Otherwise, that creature dies.
When the spell ends, the container is destroyed.</t>
  </si>
  <si>
    <t>Magic Missile</t>
  </si>
  <si>
    <t>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level above 1st.</t>
  </si>
  <si>
    <t>Magic Mouth</t>
  </si>
  <si>
    <t>2nd-level illusion (ritual)</t>
  </si>
  <si>
    <t>V, S, M (a small bit of honeycomb and jade dust worth at least 10 gp, which the spell consumes)</t>
  </si>
  <si>
    <t>You implant a message within an object in range, a message that is uttered when a trigger condition is met. Choose an object that you can see and that isn’t being worn or carried by another creature. Then speak the message, which must be 25 words or less, though it can be delivered over as long as 10 minutes. Finally, determine the circumstance that will trigger the spell to deliver your message.
When that circumstance occurs, a magical mouth appears on the object and recites the message in your voice and at the same volume you spoke. If the object you chose has a mouth or something that looks like a mouth (for example, the mouth of a statue), the magical mouth appears there so that the words appear to come from the object’s mouth. When you cast this spell, you can have the spell end after it delivers its message, or it can remain and repeat its message whenever the trigger occurs.
The triggering circumstance can be as general or as detailed as you like, though it must be based on visual or audible conditions that occur within 30 feet of the object. For example, you could instruct the mouth to speak when any creature moves within 30 feet of the object or when a silver bell rings within 30 feet of it.</t>
  </si>
  <si>
    <t>Magic Weapon</t>
  </si>
  <si>
    <t>You touch a nonmagical weapon. Until the spell ends, that weapon becomes a magic weapon with a +1 bonus to attack rolls and damage rolls.
At Higher Levels. When you cast this spell using a spell slot of 4th level or higher, the bonus increases to +2. When you use a spell slot of 6th level or higher, the bonus increases to +3.</t>
  </si>
  <si>
    <t>Major Image</t>
  </si>
  <si>
    <t>V, S, M (a bit of fleece)</t>
  </si>
  <si>
    <t>You create the image of an object, a creature, or some
other visible phenomenon that is no larger than a
20-foot cube. The image appears at a spot that you
can see within range and lasts for the duration. It
seems completely real, including sounds, smells, and
temperature appropriate to the thing depicted. You
can’t create sufficient heat or cold to cause damage, a
sound loud enough to deal thunder damage or deafen a
creature, or a smell that might sicken a creature (like a
troglodyte’s stench).
As long as you are within range o f the illusion, you
can use your action to cause the image to move to
any other spot within range. As the image changes
location, you can alter its appearance so that its
movements appear natural for the image. For example,
if you create an image o f a creature and move it, you
can alter the image so that it appears to be walking.
Similarly, you can cause the illusion to make different
sounds at different times, even making it carry on a
conversation, for example.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its other sensory
qualities become faint to the creature.
At Higher Levels. When you cast this spell using
a spell slot o f 6th level or higher, the spell lasts until
dispelled, without requiring your concentration.</t>
  </si>
  <si>
    <t>Mass Cure Wounds</t>
  </si>
  <si>
    <t>A wave of healing energy washes out from a point of your choice within range. Choose up to six creatures in a 30-foot-radius sphere centered on that point. Each target regains hit points equal to 3d8 + your spellcasting ability modifier. This spell has no effect on undead or constructs.
At Higher Levels. When you cast this spell using a spell slot of 6th level or higher, the healing increases by 1d8 for each slot level above 5th.</t>
  </si>
  <si>
    <t>Mass Heal</t>
  </si>
  <si>
    <t>A flood of healing energy flows from you into injured creatures around you. You restore up to 700 hit points, divided as you choose among any number of creatures that you can see within range. Creatures healed by this spell are also cured of all diseases and any effect making them blinded or deafened. This spell has no effect on undead or constructs.</t>
  </si>
  <si>
    <t>Mass Healing Word</t>
  </si>
  <si>
    <t>As you call out words of restoration, up to six creatures of your choice that you can see within range regain hit points equal to 1d4 + your spellcasting ability modifier. This spell has no effect on undead or constructs.
At Higher Levels. When you cast this spell using a spell slot of 4th level or higher, the healing increases by 1d4 for each slot level above 3rd.</t>
  </si>
  <si>
    <t>Mass Suggestion</t>
  </si>
  <si>
    <t>6th-level enchantment</t>
  </si>
  <si>
    <t>V, M (a snake’s tongue and either a bit of honeycomb or a drop of sweet oil)</t>
  </si>
  <si>
    <t>You suggest a course o f activity (limited to a sentence
or two) and magically influence up to twelve creatures
o f your choice that you can see within range and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automatically negates
the effect o f the spell.
Each target must make a Wisdom saving throw. On a
failed save, it pursues the course o f action you described
to the best o f its ability. The suggested course o f action
can continue for the entire duration. If the suggested
activity can be completed in a shorter time, the spell
ends w hen the subject finishes what it w as asked to do.
You can also specify conditions that w ill trigger a
special activity during the duration. For example, you
might suggest that a group o f soldiers give all their
money to the first beggar they meet. If the condition isn’t
met before the spell ends, the activity isn’t performed.
If you or any o f your companions damage a creature
affected by this spell, the spell ends for that creature.
At Higher Levels. When you cast this spell using
a 7th-level spell slot, the duration is 10 days. When
you use an 8th-level spell slot, the duration is 30 days.
When you use a 9th-level spell slot, the duration is a
year and a day.</t>
  </si>
  <si>
    <t>Maze</t>
  </si>
  <si>
    <t>You banish a creature that you can see within range into a labyrinthine demiplane. The target remains there for the duration or until it escapes the maze.
The target can use its action to attempt to escape. When it does so, it makes a DC 20 Intelligence check. If it succeeds, it escapes, and the spell ends (a minotaur or goristro demon automatically succeeds).
When the spell ends, the target reappears in the space it left or, if that space is occupied, in the nearest unoccupied space.</t>
  </si>
  <si>
    <t>Meld into Stone</t>
  </si>
  <si>
    <t>3rd-level transmutation (ritual)</t>
  </si>
  <si>
    <t>You step into a stone object or surface large enough to fully contain your body, melding yourself and all the equipment you carry with the stone for the duration. Using your movement, you step into the stone at a point you can touch. Nothing of your presence remains visible or otherwise detectable by nonmagical senses.
While merged with the stone, you can’t see what occurs outside it, and any Wisdom (Perception) checks you make to hear sounds outside it are made with disadvantage. You remain aware of the passage of time and can cast spells on yourself while merged in the stone. You can use your movement to leave the stone where you entered it, which ends the spell. You otherwise can’t move.
Minor physical damage to the stone doesn’t harm you, but its partial destruction or a change in its shape (to the extent that you no longer fit within it) expels you
and deals 6d6 bludgeoning damage to you. The stone’s complete destruction (or transmutation into a different substance) expels you and deals 50 bludgeoning damage to you. If expelled, you fall prone in an unoccupied space closest to where you first entered.</t>
  </si>
  <si>
    <t>Melf's Acid Arrow</t>
  </si>
  <si>
    <t>V, S, M (powdered rhubarb leaf and an adder’s stomach)</t>
  </si>
  <si>
    <t>A shimmering green arrow streaks toward a target within range and bursts in a spray of acid. Make a ranged spell attack against the target. On a hit, the target takes 4d4 acid damage immediately and 2d4 acid damage at the end of its next turn. On a miss, the arrow splashes the target with acid for half as much of the initial damage and no damage at the end of its next turn.
At Higher Levels. When you cast this spell using a spell slot of 3rd level or higher, the damage (both initial and later) increases by 1d4 for each slot level above 2nd.</t>
  </si>
  <si>
    <t>Mending</t>
  </si>
  <si>
    <t>V, S, M (two lodestones)</t>
  </si>
  <si>
    <t>This spell repairs a single break or tear in an object you touch, such as a broken chain link, two halves of a broken key, a torn cloak, or a leaking wineskin. As long as the break or tear is no larger than 1 foot in any dimension, you mend it. leaving no trace of the former damage.
This spell can physically repair a magic item or construct, but the spell can’t restore magic to such an object.</t>
  </si>
  <si>
    <t>Message</t>
  </si>
  <si>
    <t>V, S, M (a short piece of copper wire)</t>
  </si>
  <si>
    <t>You point your finger toward a creature within range and whisper a message. The target (and only the target) hears the message and can reply in a whisper that only you can hear.
You can cast this spell through solid objects if you are familiar with the target and know it is beyond the barrier. Magical silence. 1 foot of stone, 1 inch of common metal, a thin sheet of lead, or 3 feet of wood blocks the spell. The spell doesn’t have to follow a straight line and can travel freely around corners or through openings.</t>
  </si>
  <si>
    <t>Meteor Swarm</t>
  </si>
  <si>
    <t>9th-level evocation</t>
  </si>
  <si>
    <t>Blazing orbs of fire plummet to the ground at four different points you can see within range. Each creature in a 40-foot-radius sphere centered on each point you choose must make a Dexterity saving throw. The sphere spreads around corners. A creature takes 20d6 fire damage and 20d6 bludgeoning damage on a failed save, or half as much damage on a successful one. A creature in the area of more than one fiery burst is affected only once.
The spell damages objects in the area and ignites flammable objects that aren’t being worn or carried.</t>
  </si>
  <si>
    <t>Mind Blank</t>
  </si>
  <si>
    <t>Until the spell ends, one willing creature you touch is immune to psychic damage, any effect that would sense its emotions or read its thoughts, divination spells, and the charmed condition. The spell even foils wish spells and spells or effects of similar power used to affect the target’s mind or to gain information about the target.</t>
  </si>
  <si>
    <t>Minor Illusion</t>
  </si>
  <si>
    <t>Illusion cantrip</t>
  </si>
  <si>
    <t>S, M (a bit of fleece)</t>
  </si>
  <si>
    <t>You create a sound or an image of an object within range that lasts for the duration. The illusion also ends if you dismiss it as an action or cast this spell again.
If you create a sound, its volume can range from a whisper to a scream. It can be your voice, someone else’s voice, a lion’s roar, a beating of drums, or any other sound you choose. The sound continues unabated throughout the duration, or you can make discrete sounds at different times before the spell ends.
If you create an image of an object—such as a chair, muddy footprints, or a small chest—it must be no larger than a 5-foot cube. The image can’t create sound, light,
smell, or any other sensory effect. Physical interaction with the image reveals it to be an illusion, because things can pass through it.
If a creature uses its action to examine the sound or image, the creature can determine that it is an illusion with a successful Intelligence (Investigation) check against your spell save DC. If a creature discerns the illusion for what it is, the illusion becomes faint to the creature.</t>
  </si>
  <si>
    <t>Mirage Arcane</t>
  </si>
  <si>
    <t>7th-level illusion</t>
  </si>
  <si>
    <t>Sight</t>
  </si>
  <si>
    <t>You make terrain in an area up to 1 mile square look, sound, smell, and even feel like some other sort of terrain. The terrain’s general shape remains the same, however. Open fields or a road could be made to resemble a swamp, hill, crevasse, or some other difficult or impassable terrain. A pond can be made to seem like a grassy meadow, a precipice like a gentle slope, or a rock-strewn gully like a wide and smooth road.
Similarly, you can alter the appearance of structures, or add them where none are present. The spell doesn’t disguise, conceal, or add creatures.
The illusion includes audible, visual, tactile, and olfactory elements, so it can turn clear ground into difficult terrain (or vice versa) or otherwise impede movement through the area. Any piece of the illusory terrain (such as a rock or stick) that is removed from the spell’s area disappears immediately.
Creatures with truesight can see through the illusion to the terrain’s true form; however, all other elements of the illusion remain, so while the creature is aware of the illusion’s presence, the creature can still physically interact with the illusion.</t>
  </si>
  <si>
    <t>Mirror Image</t>
  </si>
  <si>
    <t>Three illusory duplicates of yourself appear in your space. Until the spell ends, the duplicates move with you and mimic your actions, shifting position so it’s impossible to track which image is real. You can use your action to dismiss the illusory duplicates.
Each time a creature targets you with an attack during the spell’s duration, roll a d20 to determine whether the attack instead targets one of your duplicates.
If you have three duplicates, you must roll a 6 or higher to change the attack’s target to a duplicate. With two duplicates, you must roll an 8 or higher. With one duplicate, you must roll an 11 or higher.
A duplicate’s AC equals 10 + your Dexterity modifier. If an attack hits a duplicate, the duplicate is destroyed. A duplicate can be destroyed only by an attack that hits it. It ignores all other damage and effects. The spell ends when all three duplicates are destroyed.
A creature is unaffected by this spell if it can’t see, if it relies on senses other than sight, such as blindsight, or if it can perceive illusions as false, as with truesight.</t>
  </si>
  <si>
    <t>Mislead</t>
  </si>
  <si>
    <t>You become invisible at the same time that an illusory double of you appears where you are standing. The double lasts for the duration, but the invisibility ends if
you attack or cast a spell.
You can use your action to move your illusory double up to twice your speed and make it gesture, speak, and behave in whatever way you choose.
You can see through its eyes and hear through its ears as if you were located where it is. On each of your turns as a bonus action, you can switch from using its senses to using your own, or back again. While you are using its senses, you are blinded and deafened in regard to your own surroundings.</t>
  </si>
  <si>
    <t>Misty Step</t>
  </si>
  <si>
    <t>Briefly surrounded by silvery mist, you teleport up to 30 feet to an unoccupied space that you can see.</t>
  </si>
  <si>
    <t>Modify Memory</t>
  </si>
  <si>
    <t>You attempt to reshape another creature’s memories.
One creature that you can see must make a W isdom
saving throw. If you are fighting the creature, it has
advantage on the saving throw. On a failed save, the
target becomes charmed by you for the duration. The
charmed target is incapacitated and unaware o f its
surroundings, though it can still hear you. If it takes any
damage or is targeted by another spell, this spell ends,
and none o f the target’s m emories are modified.
While this charm lasts, you can affect the target’s
memory o f an event that it experienced within the last
24 hours and that lasted no more than 10 minutes. You
can permanently eliminate all memory o f the event,
allow the target to recall the event with perfect clarity
and exacting detail, change its memory of the details of
the event, or create a memory of some other event.
You must speak to the target to describe how
its memories are affected, and it must be able to
understand your language for the modified memories to
take root. Its mind fills in any gaps in the details o f your
description. If the spell ends before you have finished
describing the modified memories, the creature’s
memory isn’t altered. Otherwise, the modified memories
take hold when the spell ends.
A modified memory doesn’t necessarily affect how a
creature behaves, particularly if the memory contradicts
the creature’s natural inclinations, alignment, or beliefs.
An illogical modified memory, such as implanting a
memory o f how much the creature enjoyed dousing
itself in acid, is dismissed, perhaps as a bad dream. The
DM might deem a modified memory too nonsensical to
affect a creature in a significant manner.
A remove curse or greater restoration spell cast on the
target restores the creature’s true memory.
At Higher Levels. If you cast this spell using a spell
slot o f 6th level or higher, you can alter the target’s
memories o f an event that took place up to 7 days ago
(6th level), 30 days ago (7th level), 1 year ago (8th level),
or any time in the creature’s past (9th level).</t>
  </si>
  <si>
    <t>Moonbeam</t>
  </si>
  <si>
    <t>V, S, M (several seeds of any moonseed plant and a piece of opalescent feldspar)</t>
  </si>
  <si>
    <t>A silvery beam of pale light shines down in a 5-footradius, 40-foot-high cylinder centered on a point within range. Until the spell ends, dim light fills the cylinder. When a creature enters the spell’s area for the first time on a turn or starts its turn there, it is engulfed in ghostly flames that cause searing pain, and it must make a Constitution saving throw. It takes 2d10 radiant damage on a failed save, or half as much damage on a successful one.
A shapechanger makes its saving throw with disadvantage. If it fails, it also instantly reverts to its original form and can’t assume a different form until it leaves the spell’s light.
On each of your turns after you cast this spell, you can use an action to move the beam 60 feet in any direction.
At Higher Levels. When you cast this spell using a spell slot of 3rd level or higher, the damage increases by 1d10 for each slot level above 2nd.</t>
  </si>
  <si>
    <t>Mordenkainen’s Faithful Hound</t>
  </si>
  <si>
    <t>V, S, M (a tiny silver whistle, a piece of bone, and a thread)</t>
  </si>
  <si>
    <t>You conjure a phantom watchdog in an unoccupied space that you can see within range, where it remains for the duration, until you dismiss it as an action, or until you move more than 100 feet away from it.
The hound is invisible to all creatures except you and can't be harmed. When a Small or larger creature comes within 30 feet of it without first speaking the password that you specify when you cast this spell, the hound starts barking loudly. The hound sees invisible creatures and can see into the Ethereal Plane. It ignores illusions.
At the start of each of your turns, the hound attempts to bite one creature within 5 feet of it that is hostile to you. The hound’s attack bonus is equal to your spellcasting ability modifier + your proficiency bonus. On a hit, it deals 4d8 piercing damage.</t>
  </si>
  <si>
    <t>Mordenkainen’s Magnificent Mansion</t>
  </si>
  <si>
    <t>V, S, M (a miniature portal carved from ivory, a small piece of polished marble, and a tiny silver spoon, each item worth at least 5 gp)</t>
  </si>
  <si>
    <t>You conjure an extradimensional dwelling in range
that lasts for the duration. You choose where its one
entrance is located. The entrance shimmers faintly
and is 5 feet w ide and 10 feet tall. You and any creature
you designate when you cast the spell can enter the
extradimensional dwelling as long as the portal remains
open. You can open or close the portal if you are within
30 feet o f it. While closed, the portal is invisible.
Beyond the portal is a magnificent foyer with
numerous chambers beyond. The atmosphere is clean,
fresh, and warm.
You can create any floor plan you like, but the space
can’t exceed 50 cubes, each cube being 10 feet on
each side. The place is furnished and decorated as
you choose. It contains sufficient food to serve a ninecourse
banquet for up to 100 people. A staff o f 100
near-transparent servants attends all who enter. You
decide the visual appearance o f these servants and their
attire. They are completely obedient to your orders.
Each servant can perform any task a normal human
servant could perform, but they can’t attack or take
any action that would directly harm another creature.
Thus the servants can fetch things, clean, mend, fold
clothes, light fires, serve food, pour wine, and so on.
The servants can go anywhere in the mansion but
can’t leave it. Furnishings and other objects created
by this spell dissipate into smoke if removed from the
mansion. When the spell ends, any creatures inside
the extradimensional space are expelled into the open
spaces nearest to the entrance.</t>
  </si>
  <si>
    <t>Mordenkainen’s Private Sanctum</t>
  </si>
  <si>
    <t>V, S, M (a thin sheet of lead, a piece of opaque glass, a wad of cotton or cloth, and powdered chrysolite)</t>
  </si>
  <si>
    <t>You make an area within range magically secure. The
area is a cube that can be as small as 5 feet to as large
as 100 feet on each side. The spell lasts for the duration
or until you use an action to dismiss it.
When you cast the spell, you decide what sort of
security the spell provides, choosing any or all o f the
following properties:
• Sound can't pass through the barrier at the edge of
the w arded area.
• The barrier o f the warded area appears dark and foggy,
preventing vision (including darkvision) through it.
• Sensors created by divination spells can’t appear
inside the protected area or pass through the barrier
at its perimeter.
• Creatures in the area can’t be targeted by divination
spells.
• Nothing can teleport into or out o f the warded area.
• Planar travel is blocked within the warded area.
Casting this spell on the same spot every day for a
year makes this effect permanent.
At Higher Levels. When you cast this spell using a
spell slot o f 5th level or higher, you can increase the size
o f the cube by 100 feet for each slot level beyond 4th.
Thus you could protect a cube that can be up to 200 feet
on one side by using a spell slot o f 5th level.</t>
  </si>
  <si>
    <t>Mordenkainen’s Sword</t>
  </si>
  <si>
    <t>V, S, M (a miniature platinum sword with a grip and pommel of copper and zinc, worth 250 gp)</t>
  </si>
  <si>
    <t>You create a sword-shaped plane of force that hovers within range. It lasts for the duration.
When the sword appears, you make a melee spell attack against a target of your choice within 5 feet of the sword. On a hit. the target takes 3d10 force damage.
Until the spell ends, you can use a bonus action on each of your turns to move the sword up to 20 feet to a spot you can see and repeat this attack against the same target or a different one.</t>
  </si>
  <si>
    <t>Move Earth</t>
  </si>
  <si>
    <t>V, S, M (an iron blade and a small bag containing a mixture of soils—clay, loam, and sand)</t>
  </si>
  <si>
    <t>Concentration, up to 2 hours</t>
  </si>
  <si>
    <t>Choose an area o f terrain no larger than 40 feet on a
side within range. You can reshape dirt, sand, or clay
in the area in any manner you choose for the duration.
You can raise or lower the area’s elevation, create or fill
in a trench, erect or flatten a wall, or form a pillar. The
extent o f any such changes can’t exceed half the area’s
largest dimension. So, if you affect a 40-foot square,
you can create a pillar up to 20 feet high, raise or lower
the square’s elevation by up to 20 feet, dig a trench up
to 20 feet deep, and so on. It takes 10 minutes for these
changes to complete.
At the end o f every 10 minutes you spend
concentrating on the spell, you can choose a new area of
terrain to affect.
Because the terrain’s transformation occurs slowly,
creatures in the area can’t usually be trapped or injured
by the ground’s movement.
This spell can’t manipulate natural stone or
stone construction. Rocks and structures shift to
accommodate the new terrain. If the way you shape
the terrain would make a structure unstable, it
might collapse.
Similarly, this spell doesn’t directly affect plant
growth. The moved earth carries any plants along with it.</t>
  </si>
  <si>
    <t>Nondetection</t>
  </si>
  <si>
    <t>V, S, M (a pinch of diamond dust worth 25 gp sprinkled over the target, which the spell consumes)</t>
  </si>
  <si>
    <t>For the duration, you hide a target that you touch from divination magic. The target can be a willing creature or a place or an object no larger than 10 feet in any dimension. The target can’t be targeted by any divination magic or perceived through magical scrying sensors.</t>
  </si>
  <si>
    <t>Nystul's Magic Aura</t>
  </si>
  <si>
    <t>V, S, M (a small square of silk)</t>
  </si>
  <si>
    <t>You place an illusion on a creature or an object
you touch so that divination spells reveal false
information about it. The target can be a willing
creature or an object that isn’t being carried or w orn by
another creature.
When you cast the spell, choose one or both o f the
following effects. The effect lasts for the duration. If you
cast this spell on the same creature or object every day
for 30 days, placing the same effect on it each time, the
illusion lasts until it is dispelled.
False Aura. You change the way the target appears
to spells and magical effects, such as detect magic,
that detect magical auras. You can make a nonmagical
object appear magical, a magical object appear
nonmagical, or change the object’s magical aura so that
it appears to belong to a specific school of magic that
you choose. When you use this effect on an object, you
can make the false magic apparent to any creature that
handles the item.
Mask. You change the way the target appears to spells
and magical effects that detect creature types, such as a
paladin’s Divine Sense or the trigger o f a symbol spell.
You choose a creature type and other spells and magical
effects treat the target as if it w ere a creature o f that
type or o f that alignment.</t>
  </si>
  <si>
    <t>Otiluke's Freezing Sphere</t>
  </si>
  <si>
    <t>V, S, M (a small crystal sphere)</t>
  </si>
  <si>
    <t>A frigid globe o f cold energy streaks from your fingertips
to a point o f your choice within range, where it explodes
in a 60-foot-radius sphere. Each creature within the
area must make a Constitution saving throw. On a
failed save, a creature takes 10d6 cold damage. On a
successful save, it takes half as much damage.
If the globe strikes a body o f water or a liquid that is
principally water (not including water-based creatures),
it freezes the liquid to a depth o f 6 inches over an area
30 feet square. This ice lasts for 1 minute. Creatures
that w ere swimming on the surface o f frozen water are
trapped in the ice. A trapped creature can use an action
to make a Strength check against your spell save DC
to break free.
You can refrain from firing the globe after completing
the spell, if you wish. A small globe about the size of
a sling stone, co o l to the touch, appears in your hand.
At any time, you or a creature you give the globe to
can throw the globe (to a range of 40 feet) or hurl it
with a sling (to the sling’s normal range). It shatters
on impact, with the same effect as the normal casting
o f the spell. You can also set the globe down without
shattering it. After 1 minute, if the globe hasn’t already
shattered, it explodes.
At Higher Levels. When you cast this spell using a
spell slot o f 7th level or higher, the damage increases by
1d6 for each slot level above 6th.</t>
  </si>
  <si>
    <t>Otiluke's Resilient Sphere</t>
  </si>
  <si>
    <t>V, S, M (a hemispherical piece of clear crystal and a matching hemispherical piece of gum arabic)</t>
  </si>
  <si>
    <t>A sphere of shimmering force encloses a creature or object of Large size or smaller within range. An unwilling creature must make a Dexterity saving throw. On a failed save, the creature is enclosed for the duration.
Nothing—not physical objects, energy, or other spell effects—can pass through the barrier, in or out, though a creature in the sphere can breathe there. The sphere is immune to all damage, and a creature or object inside can’t be damaged by attacks or effects originating from outside, nor can a creature inside the sphere damage anything outside it.
The sphere is weightless and just large enough to contain the creature or object inside. An enclosed creature can use its action to push against the sphere’s walls and thus roll the sphere at up to half the creature’s speed. Similarly, the globe can be picked up and moved by other creatures.
A disintegrate spell targeting the globe destroys it without harming anything inside it.</t>
  </si>
  <si>
    <t>Otto's Irresistible Dance</t>
  </si>
  <si>
    <t>Choose one creature that you can see within range. The target begins a comic dance in place: shuffling, tapping its feet, and capering for the duration. Creatures that can’t be charmed are immune to this spell.
A dancing creature must use all its movement to dance without leaving its space and has disadvantage on Dexterity saving throws and attack rolls. While the target is affected by this spell, other creatures have advantage on attack rolls against it. As an action, a dancing creature makes a Wisdom saving throw to regain control of itself. On a successful save, the spell ends.</t>
  </si>
  <si>
    <t>Pass without Trace</t>
  </si>
  <si>
    <t>V, S, M (ashes from a burned leaf of mistletoe and a sprig of spruce)</t>
  </si>
  <si>
    <t>A veil of shadows and silence radiates from you, masking you and your companions from detection. For the duration, each creature you choose within 30 feet of you (including you) has a +10 bonus to Dexterity (Stealth) checks and can’t be tracked except by magical means. A creature that receives this bonus leaves behind no tracks or other traces of its passage.</t>
  </si>
  <si>
    <t>Passwall</t>
  </si>
  <si>
    <t>V, S, M (a pinch of sesame seeds)</t>
  </si>
  <si>
    <t>A passage appears at a point of your choice that you can see on a wooden, plaster, or stone surface (such as a wall, a ceiling, or a floor) within range, and lasts for the duration. You choose the opening’s dimensions: up to 5 feet wide, 8 feet tall, and 20 feet deep. The passage creates no instability in a structure surrounding it.
When the opening disappears, any creatures or objects still in the passage created by the spell are safely ejected to an unoccupied space nearest to the surface on which you cast the spell.</t>
  </si>
  <si>
    <t>Phantasmal Force</t>
  </si>
  <si>
    <t>You craft an illusion that takes root in the mind o f a
creature that you can see within range. The target must
make an Intelligence saving throw. On a failed save, you
create a phantasmal object, creature, or other visible
phenomenon o f your choice that is no larger than a
10-foot cube and that is perceivable only to the target
for the duration. This spell has no effect on undead
or constructs.
The phantasm includes sound, temperature, and other
stimuli, also evident only to the creature.
The target can use its action to examine the phantasm
with an Intelligence (Investigation) check against your
spell save DC. If the check succeeds, the target realizes
that the phantasm is an illusion, and the spell ends.
While a target is affected by the spell, the target treats
the phantasm as if it were real. The target rationalizes
any illogical outcomes from interacting with the
phantasm. For example, a target attempting to walk
across a phantasmal bridge that spans a chasm falls
once it steps onto the bridge. If the target survives the
fall, it still believes that the bridge exists and comes up
with some other explanation for its fall—it w as pushed,
it slipped, or a strong wind might have knocked it off.
An affected target is so convinced o f the phantasm’s
reality that it can even take damage from the illusion. A
phantasm created to appear as a creature can attack the
target. Similarly, a phantasm created to appear as fire, a
pool o f acid, or lava can burn the target. Each round on
your turn, the phantasm can deal 1d6 psychic damage
to the target if it is in the phantasm’s area or within 5
feet o f the phantasm, provided that the illusion is o f a
creature or hazard that could logically deal damage,
such as by attacking. The target perceives the damage
as a type appropriate to the illusion.</t>
  </si>
  <si>
    <t>Phantasmal Killer</t>
  </si>
  <si>
    <t>You tap into the nightmares of a creature you can see within range and create an illusory manifestation of its deepest fears, visible only to that creature. The target must make a Wisdom saving throw. On a failed save, the target becomes frightened for the duration. At the start of each of the target’s turns before the spell ends, the target must succeed on a Wisdom saving throw or take 4d10 psychic damage. On a successful save, the spell ends.
At Higher Levels. When you cast this spell using a spell slot of 5th level or higher, the damage increases by 1d10 for each slot level above 4th.</t>
  </si>
  <si>
    <t>Phantom Steed</t>
  </si>
  <si>
    <t>3rd-level illusion (ritual)</t>
  </si>
  <si>
    <t>A Large quasi-real, horselike creature appears on the ground in an unoccupied space of your choice within range. You decide the creature’s appearance, but it is equipped with a saddle, bit, and bridle. Any of the equipment created by the spell vanishes in a puff of smoke if it is carried more than 10 feet away from the steed.
For the duration, you or a creature you choose can ride the steed. The creature uses the statistics for a riding horse, except it has a speed of 100 feet and can travel 10 miles in an hour, or 13 miles at a fast pace. When the spell ends, the steed gradually fades, giving the rider 1 minute to dismount. The spell ends if you use an action to dismiss it or if the steed takes any damage.</t>
  </si>
  <si>
    <t>Planar Ally</t>
  </si>
  <si>
    <t>You beseech an otherworldly entity for aid. The being
must be known to you: a god, a primordial, a demon
prince, or some other being o f cosmic power. That entity
sends a celestial, an elemental, or a fiend loyal to it to
aid you, making the creature appear in an unoccupied
space within range. If you know a specific creature’s
name, you can speak that name when you cast this spell
to request that creature, though you might get a different
creature anyway (DM’s choice).
When the creature appears, it is under no compulsion
to behave in any particular way. You can ask the
creature to perform a service in exchange for payment,
but it isn’t obliged to do so. The requested task could
range from simple (fly us across the chasm, or help us
fight a battle) to complex (spy on our enemies, or protect
us during our foray into the dungeon). You must be
able to communicate with the creature to bargain for
its services.
Payment can take a variety o f forms. A celestial might
require a sizable donation o f gold or m agic items to
an allied temple, while a fiend might demand a living
sacrifice or a gift o f treasure. Some creatures might
exchange their service for a quest undertaken by you.
As a rule o f thumb, a task that can be measured in
minutes requires a payment worth 100 gp per minute. A
task measured in hours requires 1,000 gp per hour. And
a task m easured in days (up to 10 days) requires 10,000
gp per day. The DM can adjust these payments based on
the circumstances under which you cast the spell. If the
task is aligned with the creature’s ethos, the payment
might be halved or even waived. Nonhazardous tasks
typically require only half the suggested payment, while
especially dangerous tasks might require a greater gift.
Creatures rarely accept tasks that seem suicidal.
After the creature completes the task, or when the
agreed-upon duration o f service expires, the creature
returns to its home plane after reporting back to you,
if appropriate to the task and if possible. If you are
unable to agree on a price for the creature’s service, the
creature immediately returns to its home plane.
A creature enlisted to join your group counts as
a member o f it, receiving a full share o f experience
points awarded.</t>
  </si>
  <si>
    <t>Planar Binding</t>
  </si>
  <si>
    <t>V, S, M (a jewel worth at least 1,000 gp, which the spell consumes)</t>
  </si>
  <si>
    <t>With this spell, you attempt to bind a celestial, an elemental, a fey, or a fiend to your service. The creature must be within range for the entire casting of the spell. (Typically, the creature is first summoned into the center of an inverted magic circle in order to keep it trapped while this spell is cast.) At the completion of the casting, the target must make a Charisma saving throw. On a failed save, it is bound to serve you for the duration. If the creature was summoned or created by another spell, that spell’s duration is extended to match the duration of this spell.
A bound creature must follow your instructions to the best of its ability. You might command the creature to accompany you on an adventure, to guard a location, or to deliver a message. The creature obeys the letter of your instructions, but if the creature is hostile to you, it strives to twist your words to achieve its own objectives. If the creature carries out your instructions completely before the spell ends, it travels to you to report this fact if you are on the same plane of existence. If you are on a different plane of existence, it returns to the place where you bound it and remains there until the spell ends.
At Higher Levels. When you cast this spell using a spell slot of a higher level, the duration increases to 10 days with a 6th-level slot, to 30 days with a 7th-level slot, to 180 days with an 8th-level slot, and to a year and a day with a 9th-level spell slot.</t>
  </si>
  <si>
    <t>Plane Shift</t>
  </si>
  <si>
    <t>V, S, M (a forked, metal rod worth at least 250 gp, attuned to a particular plane of existence)</t>
  </si>
  <si>
    <t>You and up to eight w illing creatures who link hands in
a circle are transported to a different plane o f existence.
You can specify a target destination in general terms,
such as the City o f Brass on the Elemental Plane of
Fire or the palace o f Dispater on the second level o f the
Nine Hells, and you appear in or near that destination.
If you are trying to reach the City o f Brass, for example,
you might arrive in its Street o f Steel, before its Gate of
Ashes, or looking at the city from across the Sea of Fire,
at the DM’s discretion.
Alternatively, if you know the sigil sequence of a
teleportation circle on another plane o f existence, this
spell can take you to that circle. If the teleportation
circle is too small to hold all the creatures you
transported, they appear in the closest unoccupied
spaces next to the circle.
You can use this spell to banish an unwilling creature
to another plane. Choose a creature within your reach
and make a melee spell attack against it. On a hit, the
creature must make a Charisma saving throw. If the
creature fails this save, it is transported to a random
location on the plane o f existence you specify. A creature
so transported must find its own way back to your
current plane of existence.</t>
  </si>
  <si>
    <t>Plant Growth</t>
  </si>
  <si>
    <t>1 action or 8 hours</t>
  </si>
  <si>
    <t>This spell channels vitality into plants within a specific area. There are two possible uses for the spell, granting either immediate or long-term benefits.
If you cast this spell using 1 action, choose a point within range. All normal plants in a 100-foot radius centered on that point become thick and overgrown. A creature moving through the area must spend 4 feet of movement for every 1 foot it moves.
You can exclude one or more areas of any size within the spell’s area from being affected.
If you cast this spell over 8 hours, you enrich the land. All plants in a half-mile radius centered on a point within range become enriched for 1 year. The plants
yield twice the normal amount of food when harvested.</t>
  </si>
  <si>
    <t>Poison Spray</t>
  </si>
  <si>
    <t>You extend your hand toward a creature you can see within range and project a puff of noxious gas from your palm. The creature must succeed on a Constitution saving throw or take 1d12 poison damage.
This spell’s damage increases by 1d12 when you reach 5th level (2d12), 11th level (3d12), and 17th level (4d12).</t>
  </si>
  <si>
    <t>Polymorph</t>
  </si>
  <si>
    <t>V, S, M (a caterpillar cocoon)</t>
  </si>
  <si>
    <t>This spell transforms a creature that you can see
within range into a new form. An unwilling creature
must make a W isdom saving throw to avoid the
effect. A shapechanger automatically succeeds on this
saving throw.
The transformation lasts for the duration, or until
the target drops to 0 hit points or dies. The new form
can be any beast whose challenge rating is equal to or
less than the target’s (or the target’s level, if it doesn't
have a challenge rating). The target’s game statistics,
including mental ability scores, are replaced by the
statistics o f the chosen beast. It retains its alignment
and personality.
The target assumes the hit points o f its new form.
When it reverts to its normal form, the creature
returns to the number o f hit points it had before it
transformed. If it reverts as a result o f dropping to
0 hit points, any excess damage carries over to its
normal form. As long as the excess damage doesn’t
reduce the creature’s normal form to 0 hit points, it isn’t
knocked unconscious.
The creature is limited in the actions it can perform by
the nature o f its new form, and it can’t speak, cast spells,
or take any other action that requires hands or speech.
The target’s gear melds into the new form. The
creature can’t activate, use, wield, or otherwise benefit
from any o f its equipment.</t>
  </si>
  <si>
    <t>Power Word Heal</t>
  </si>
  <si>
    <t>A wave of healing energy washes over the creature you touch. The target regains all its hit points. If the creature is charmed, frightened, paralyzed, or stunned, the condition ends. If the creature is prone, it can use its reaction to stand up. This spell has no effect on undead or constructs.</t>
  </si>
  <si>
    <t>Power Word Kill</t>
  </si>
  <si>
    <t>9th-level enchantment</t>
  </si>
  <si>
    <t>You utter a word of power that can compel one creature you can see within range to die instantly. If the creature you choose has 100 hit points or fewer, it dies. Otherwise, the spell has no effect.</t>
  </si>
  <si>
    <t>Power Word Stun</t>
  </si>
  <si>
    <t>You speak a word of power that can overwhelm the mind of one creature you can see within range, leaving it dumbfounded. If the target has 150 hit points or fewer, it is stunned. Otherwise, the spell has no effect.
The stunned target must make a Constitution saving throw at the end of each of its turns. On a successful save, this stunning effect ends.</t>
  </si>
  <si>
    <t>Prayer of Healing</t>
  </si>
  <si>
    <t>Up to six creatures of your choice that you can see within range each regain hit points equal to 2d8 + your spellcasting ability modifier. This spell has no effect on
undead or constructs.
At Higher Levels. When you cast this spell using a spell slot of 3rd level or higher, the healing increases by 1d8 for each slot level above 2nd.</t>
  </si>
  <si>
    <t>Prestidigitation</t>
  </si>
  <si>
    <t>Up to 1 hour</t>
  </si>
  <si>
    <t>This spell is a minor magical trick that novice spellcasters use for practice. You create one of the following magical effects within range:
• You create an instantaneous, harmless sensory effect, such as a shower of sparks, a puff of wind, faint musical notes, or an odd odor.
• You instantaneously light or snuff out a candle, a torch, or a small campfire.
• You instantaneously clean or soil an object no larger than 1 cubic foot.
• You chill, warm, or flavor up to 1 cubic foot of nonliving material for 1 hour.
• You make a color, a small mark, or a symbol appear on an object or a surface for 1 hour.
• You create a nonmagical trinket or an illusory image that can fit in your hand and that lasts until the end of your next turn.
If you cast this spell multiple times, you can have up to three of its non-instantaneous effects active at a time, and you can dismiss such an effect as an action.</t>
  </si>
  <si>
    <t>Prismatic Spray</t>
  </si>
  <si>
    <t>Eight multicolored rays o f light flash from your hand.
Each ray is a different color and has a different power
and purpose. Each creature in a 60-foot cone must
make a Dexterity saving throw. For each target, roll a d8
to determine which color ray affects it.
1. Red. The target takes 10d6 fire damage on a failed
save, or half as much damage on a successful one.
2. Orange. The target takes 10d6 acid damage on a
failed save, or half as much damage on a successful one.
3. Yellow. The target takes 10d6 lightning damage on a
failed save, or half as much damage on a successful one.
4. Green. The target takes 10d6 poison damage on a
failed save, or half as much damage on a successful one.
5. Blue. The target takes 10d6 cold damage on a failed
save, or half as much damage on a successful one.
6. Indigo. On a failed save, the target is restrained.
It must then make a Constitution saving throw at the
end o f each o f its turns. If it successfully saves three
times, the spell ends. If it fails its save three times,
it permanently turns to stone and is subjected to the
petrified condition. The successes and failures don’t
need to be consecutive; keep track o f both until the
target collects three o f a kind.
7. Violet. On a failed save, the target is blinded. It
must then make a W isdom saving throw at the start of
your next turn. A successful save ends the blindness. If
it fails that save, the creature is transported to another
plane o f existence of the DM’s choosing and is no longer
blinded. (Typically, a creature that is on a plane that isn’t
its home plane is banished home, while other creatures
are usually cast into the Astral or Ethereal planes.)
8. Special. The target is struck by two rays. Roll twice
more, rerolling any 8.</t>
  </si>
  <si>
    <t>Prismatic Wall</t>
  </si>
  <si>
    <t>A shimmering, multicolored plane o f light forms a
vertical opaque wall—up to 90 feet long, 30 feet high,
and 1 inch thick—centered on a point you can see
within range. Alternatively, you can shape the wall into
a sphere up to 30 feet in diameter centered on a point
you choose within range. The wall remains in place for
the duration. If you position the wall so that it passes
through a space occupied by a creature, the spell fails,
and your action and the spell slot are wasted.
The wall sheds bright light out to a range o f 100
feet and dim light for an additional 100 feet. You and
creatures you designate at the time you cast the spell
can pass through and remain near the wall without
harm. If another creature that can see the wall moves to
within 20 feet o f it or starts its turn there, the creature
must succeed on a Constitution saving throw or become
blinded for 1 minute.
The wall consists o f seven layers, each with a different
color. When a creature attempts to reach into or pass
through the wall, it does so one layer at a time through
all the wall’s layers. As it passes or reaches through
each layer, the creature must make a Dexterity saving
throw or be affected by that layer’s properties as
described below.
The wall can be destroyed, also one layer at a time, in
order from red to violet, by means specific to each layer.
Once a layer is destroyed, it remains so for the duration
o f the spell. A rod o f cancellation destroys a prismatic
wall, but an antimagic field has no effect on it.
1. Red. The creature takes 10d6 fire damage on a
failed save, or half as much damage on a successful one.
While this layer is in place, nonmagical ranged attacks
can’t pass through the wall. The layer can be destroyed
by dealing at least 25 cold damage to it.
2. Orange. The creature takes 10d6 acid damage on
a failed save, or half as much damage on a successful
one. While this layer is in place, magical ranged attacks
can’t pass through the wall. The layer is destroyed by
a strong wind.
3. Yellow. The creature takes 10d6 lightning damage
on a failed save, or half as much damage on a successful
one. This layer can be destroyed by dealing at least 60
force damage to it.
4. Green. The creature takes 10d6 poison damage on
a failed save, or half as much damage on a successful
one. A passwall spell, or another spell o f equal or
greater level that can open a portal on a solid surface,
destroys this layer.
5. Blue. The creature takes 10d6 cold damage on a
failed save, or half as much damage on a successful one.
This layer can be destroyed by dealing at least 25 fire
damage to it.
6. Indigo. On a failed save, the creature is restrained.
It must then make a Constitution saving throw at the
end o f each o f its turns. If it successfully saves three
times, the spell ends. If it fails its save three times,
it permanently turns to stone and is subjected to the
petrified condition. The successes and failures don’t
need to be consecutive; keep track of both until the
creature collects three of a kind.
While this layer is in place, spells can’t be cast
through the wall. The layer is destroyed by bright light
shed by a daylight spell or a similar spell o f equal or
higher level.
7. Violet. On a failed save, the creature is blinded. It
must then make a W isdom saving throw at the start of
your next turn. A successful save ends the blindness. If
it fails that save, the creature is transported to another
plane o f the DM’s choosing and is no longer blinded.
(Typically, a creature that is on a plane that isn’t its
home plane is banished home, while other creatures
are usually cast into the Astral or Ethereal planes.) This
layer is destroyed by a dispel magic spell or a similar
spell o f equal or higher level that can end spells and
magical effects.</t>
  </si>
  <si>
    <t>Produce Flame</t>
  </si>
  <si>
    <t>A flickering flame appears in your hand. The flame remains there for the duration and harms neither you nor your equipment. The flame sheds bright light in a 10-foot radius and dim light for an additional 10 feet. The spell ends if you dismiss it as an action or if you cast it again.
You can also attack with the flame, although doing so ends the spell. When you cast this spell, or as an action on a later turn, you can hurl the flame at a creature
within 30 feet of you. Make a ranged spell attack. On a hit, the target takes 1d8 fire damage.
This spell’s damage increases by 1d8 when you reach 5th level (2d8), 11th level (3d8), and 17th level (4d8).</t>
  </si>
  <si>
    <t>Programmed Illusion</t>
  </si>
  <si>
    <t>6th-level illusion</t>
  </si>
  <si>
    <t>V, S, M (a bit of fleece and jade dust worth at least 25 gp)</t>
  </si>
  <si>
    <t>You create an illusion of an object, a creature, or some other visible phenomenon within range that activates when a specific condition occurs. The illusion is imperceptible until then. It must be no larger than a 30-foot cube, and you decide when you cast the spell how the illusion behaves and what sounds it makes. This scripted performance can last up to 5 minutes.
When the condition you specify occurs, the illusion springs into existence and performs in the manner you described. Once the illusion finishes performing, it disappears and remains dormant for 10 minutes. After this time, the illusion can be activated again.
The triggering condition can be as general or as detailed as you like, though it must be based on visual or audible conditions that occur within 30 feet of the area. For example, you could create an illusion of yourself to appear and warn off others who attempt to open a trapped door, or you could set the illusion to trigger only when a creature says the correct word or phrase.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</si>
  <si>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Project Image</t>
  </si>
  <si>
    <t>500 miles</t>
  </si>
  <si>
    <t>V, S, M (a small replica of you made from materials worth at least 5 gp)</t>
  </si>
  <si>
    <t>You create an illusory copy of yourself that lasts for
the duration. The copy can appear at any location
within range that you have seen before, regardless o f
intervening obstacles. The illusion looks and sounds
like you but is intangible. If the illusion takes any
damage, it disappears, and the spell ends.
You can use your action to move this illusion up to
twice your speed, and make it gesture, speak, and
behave in whatever way you choose. It mimics your
mannerisms perfectly.
You can see through its eyes and hear through its
ears as if you were in its space. On your turn as a bonus
action, you can switch from using its senses to using
your own, or back again. While you are using its senses,
you are blinded and deafened in regard to your own
surroundings.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</si>
  <si>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Protection from Energy</t>
  </si>
  <si>
    <t>For the duration, the willing creature you touch has resistance to one damage type of your choice: acid, cold, fire, lightning, or thunder.</t>
  </si>
  <si>
    <t>Protection from Evil and Good</t>
  </si>
  <si>
    <t>V, S, M (holy water or powdered silver and iron, which the spell consumes)</t>
  </si>
  <si>
    <t>Concentration up to 10 minutes</t>
  </si>
  <si>
    <t>Until the spell ends, one willing creature you touch is protected against certain types of creatures: aberrations, celestials, elementals, fey, fiends, and undead.
The protection grants several benefits. Creatures of those types have disadvantage on attack rolls against the target. The target also can’t be charmed, frightened, or possessed by them. If the target is already charmed, frightened, or possessed by such a creature, the target has advantage on any new saving throw against the relevant effect.</t>
  </si>
  <si>
    <t>Protection from Poison</t>
  </si>
  <si>
    <t>You touch a creature. If it is poisoned, you neutralize the poison. If more than one poison afflicts the target, you neutralize one poison that you know is present, or you neutralize one at random.
For the duration, the target has advantage on saving throws against being poisoned, and it has resistance to poison damage.</t>
  </si>
  <si>
    <t>Purify Food and Drink</t>
  </si>
  <si>
    <t>1st-level transmutation (ritual)</t>
  </si>
  <si>
    <t>All nonmagical food and drink within a 5-foot-radius sphere centered on a point of your choice within range is purified and rendered free of poison and disease.</t>
  </si>
  <si>
    <t>Raise Dead</t>
  </si>
  <si>
    <t>V, S, M (a diamond worth at least 500 gp, which the spell consumes)</t>
  </si>
  <si>
    <t>You return a dead creature you touch to life, provided that it has been dead no longer than 10 days. If the creature’s soul is both willing and at liberty to rejoin the body, the creature returns to life with 1 hit point.
This spell also neutralizes any poisons and cures nonmagical diseases that affected the creature at the time it died. This spell doesn’t, however, remove magical diseases, curses, or similar effects; if these aren’t first removed prior to casting the spell, they take effect when the creature returns to life. The spell can’t return an undead creature to life.
This spell closes all mortal wounds, but it doesn’t restore missing body parts. If the creature is lacking body parts or organs integral for its survival—its head, for instance—the spell automatically fails.
Coming back from the dead is an ordeal. The target takes a -4 penalty to all attack rolls, saving throws, and ability checks. Every time the target finishes a long rest, the penalty is reduced by 1 until it disappears.</t>
  </si>
  <si>
    <t>Rary's Telepathic Bond</t>
  </si>
  <si>
    <t>V, S, M (pieces of eggshell from two different kinds of creatures)</t>
  </si>
  <si>
    <t>You forge a telepathic link among up to eight willing creatures of your choice within range, psychically linking each creature to all the others for the duration. Creatures with Intelligence scores of 2 or less aren’t affected by this spell.
Until the spell ends, the targets can communicate telepathically through the bond whether or not they have a common language. The communication is possible over any distance, though it can’t extend to other planes of existence.</t>
  </si>
  <si>
    <t>Ray of Enfeeblement</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</si>
  <si>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</si>
  <si>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Ray of Frost</t>
  </si>
  <si>
    <t>A frigid beam of blue-white light streaks toward a creature within range. Make a ranged spell attack against the target. On a hit, it takes 1d8 cold damage, and its speed is reduced by 10 feet until the start of your next turn.
The spell’s damage increases by 1d8 when you reach 5th level (2d8), 11th level (3d8), and 17th level (4d8).</t>
  </si>
  <si>
    <t>Ray of Sickness</t>
  </si>
  <si>
    <t>A ray of sickening greenish energy lashes out toward a creature within range. Make a ranged spell attack against the target. On a hit, the target takes 2d8 poison damage and must make a Constitution saving throw. On a failed save, it is also poisoned until the end of your next turn.
At Higher Levels. When you cast this spell using a spell slot of 2nd level or higher, the damage increases by 1d8 for each slot level above 1st.</t>
  </si>
  <si>
    <t>Regenerate</t>
  </si>
  <si>
    <t>V, S, M (a prayer wheel and holy water)</t>
  </si>
  <si>
    <t>You touch a creature and stimulate its natural healing ability. The target regains 4d8 + 15 hit points. For the duration of the spell, the target regains 1 hit point at the start of each of its turns (10 hit points each minute).
The target’s severed body members (fingers, legs, tails, and so on), if any, are restored after 2 minutes. If you have the severed part and hold it to the stump, the spell instantaneously causes the limb to knit to the stump.</t>
  </si>
  <si>
    <t>Reincarnate</t>
  </si>
  <si>
    <t>V, S, M (rare oils and unguents worth at least 1,000 gp, which the spell consumes)</t>
  </si>
  <si>
    <t>You touch a dead humanoid or a piece of a dead humanoid. Provided that the creature has been dead no longer than 10 days, the spell forms a new adult body for it and then calls the soul to enter that body. If the target’s soul isn’t free or willing to do so, the spell fails.
The magic fashions a new body for the creature to inhabit, which likely causes the creature’s race to change. The DM rolls a d100 and consults the following table to determine what form the creature takes when restored to life, or the DM chooses a form.
d100 Race
01-04 Dragonborn
05-13 Dwarf, hill
14-21 Dwarf, mountain
22-25 Elf, dark
26-34 Elf, high
35-42 Elf, wood
43-46 Gnome, forest
47-52 Gnome, rock
53-56 Half-elf
57-60 Half-orc
61-68 Halfling, lightfoot
69-76 Halfling, stout
77-96 Human
97-00 Tiefling
The reincarnated creature recalls its former life and experiences. It retains the capabilities it had in its original form, except it exchanges its original race for the new one and changes its racial traits accordingly.</t>
  </si>
  <si>
    <t>Remove Curse</t>
  </si>
  <si>
    <t>At your touch, all curses affecting one creature or object end. If the object is a cursed magic item, its curse remains, but the spell breaks its owner’s attunement to the object so it can be removed or discarded.</t>
  </si>
  <si>
    <t>Resistance</t>
  </si>
  <si>
    <t>V, S, M (a miniature cloak)</t>
  </si>
  <si>
    <t>You touch one willing creature. Once before the spell ends, the target can roll a d4 and add the number rolled to one saving throw of its choice. It can roll the die before or after making the saving throw. The spell then ends.</t>
  </si>
  <si>
    <t>Resurrection</t>
  </si>
  <si>
    <t>V, S, M (a diamond worth at least 1,000 gp, which the spell consumes)</t>
  </si>
  <si>
    <t>You touch a dead creature that has been dead for no more than a century, that didn’t die of old age, and that isn’t undead. If its soul is free and willing, the target returns to life with all its hit points.
This spell neutralizes any poisons and cures normal diseases afflicting the creature when it died. It doesn’t, however, remove magical diseases, curses, and the like; if such effects aren't removed prior to casting the spell, they afflict the target on its return to life. This spell closes all mortal wounds and restores any missing body parts.
Coming back from the dead is an ordeal. The target takes a -4 penalty to all attack rolls, saving throws, and ability checks. Every time the target finishes a long rest, the penalty is reduced by 1 until it disappears.
Casting this spell to restore life to a creature that has been dead for one year or longer taxes you greatly. Until you finish a long rest, you can’t cast spells again, and you have disadvantage on all attack rolls, ability checks, and saving throws.</t>
  </si>
  <si>
    <t>Reverse Gravity</t>
  </si>
  <si>
    <t>V, S, M (a lodestone and iron filings)</t>
  </si>
  <si>
    <t>This spell reverses gravity in a 50-foot-radius, 100-foot high cylinder centered on a point within range. All creatures and objects that aren’t somehow anchored to the ground in the area fall upward and reach the top of the area when you cast this spell. A creature can make a Dexterity saving throw to grab onto a fixed object it can reach, thus avoiding the fall.
If some solid object (such as a ceiling) is encountered in this fall, falling objects and creatures strike it just as they would during a normal downward fall. If an object or creature reaches the top of the area without striking anything, it remains there, oscillating slightly, for the duration.
At the end of the duration, affected objects and creatures fall back down.</t>
  </si>
  <si>
    <t>Revivify</t>
  </si>
  <si>
    <t>V, S, M (diamonds worth 300 gp, which the spell consumes)</t>
  </si>
  <si>
    <t>You touch a creature that has died within the last minute. That creature returns to life with 1 hit point. This spell can’t return to life a creature that has died of old age, nor can it restore any missing body parts.</t>
  </si>
  <si>
    <t>Rope Trick</t>
  </si>
  <si>
    <t>V, S, M (powdered corn extract and a twisted loop of parchment)</t>
  </si>
  <si>
    <t>You touch a length of rope that is up to 60 feet long. One end of the rope then rises into the air until the whole rope hangs perpendicular to the ground. At the upper end of the rope, an invisible entrance opens to an extradimensional space that lasts until the spell ends.
The extradimensional space can be reached by climbing to the top of the rope. The space can hold as many as eight Medium or smaller creatures. The rope can be pulled into the space, making the rope disappear from view outside the space.
Attacks and spells can’t cross through the entrance into or out of the extradimensional space, but those inside can see out of it as if through a 3-foot-by-5-foot window centered on the rope.
Anything inside the extradimensional space drops out when the spell ends.</t>
  </si>
  <si>
    <t>Sacred Flame</t>
  </si>
  <si>
    <t>Flame-like radiance descends on a creature that you can see within range. The target must succeed on a Dexterity saving throw or take 1d8 radiant damage. The target gains no benefit from cover for this saving throw.
The spell’s damage increases by 1d8 when you reach 5th level (2d8), 11th level (3d8), and 17th level (4d8).</t>
  </si>
  <si>
    <t>Sanctuary</t>
  </si>
  <si>
    <t>V, S, M (a small silver mirror)</t>
  </si>
  <si>
    <t>You ward a creature within range against attack. Until the spell ends, any creature who targets the warded creature with an attack or a harmful spell must first make a Wisdom saving throw. On a failed save, the creature must choose a new target or lose the attack or spell. This spell doesn’t protect the warded creature from area effects, such as the explosion of a fireball.
If the warded creature makes an attack or casts a spell that affects an enemy creature, this spell ends.</t>
  </si>
  <si>
    <t>Scorching Ray</t>
  </si>
  <si>
    <t>You create three rays of fire and hurl them at targets within range. You can hurl them at one target or several.
Make a ranged spell attack for each ray. On a hit, the target takes 2d6 fire damage.
At Higher Levels. When you cast this spell using a spell slot of 3rd level or higher, you create one additional ray for each slot level above 2nd.</t>
  </si>
  <si>
    <t>Scrying</t>
  </si>
  <si>
    <t>V, S, M (a focus worth at least 1,000 gp, such as a crystal ball, a silver mirror, or a font filled with holy water)</t>
  </si>
  <si>
    <t>You can see and hear a particular creature you choose
that is on the same plane o f existence as you. The target
must make a W isdom saving throw, which is modified
by how well you know the target and the sort of physical
connection you have to it. If a target knows you're
casting this spell, it can fail the saving throw voluntarily
if it wants to be observed.
Knowledge Save Modifier
Secondhand (you have heard of the target) +5
Firsthand (you have met the target) +0
Familiar (you know the target well) -5
Connection Save Modifier
Likeness or picture -2
Possession or garment -4
Body part, lock of hair, bit of nail, or the like -10
On a successful save, the target isn’t affected, and you
can’t use this spell against it again for 24 hours.
On a failed save, the spell creates an invisible sensor
within 10 feet of the target. You can see and hear through
the sensor as if you w ere there. The sensor moves with
the target, remaining within 10 feet o f it for the duration.
A creature that can see invisible objects sees the sensor
as a luminous orb about the size o f your fist.
Instead o f targeting a creature, you can choose a
location you have seen before as the target o f this spell.
When you do, the sensor appears at that location and
doesn’t move.</t>
  </si>
  <si>
    <t>Searing Smite</t>
  </si>
  <si>
    <t>The next time you hit a creature with a melee weapon attack during the spell’s duration, your weapon flares with white-hot intensity, and the attack deals an extra 1d6 fire damage to the target and causes the target to ignite in flames. At the start of each of its turns until the spell ends, the target must make a Constitution saving throw. On a failed save, it takes 1d6 fire damage. On a successful save, the spell ends. If the target or a creature within 5 feet of it uses an action to put out the flames, or if some other effect douses the flames (such as the target being submerged in water), the spell ends.
At Higher Levels. When you cast this spell using a spell slot of 2nd level or higher, the initial extra damage dealt by the attack increases by 1d6 for each slot level above 1st.</t>
  </si>
  <si>
    <t>See Invisibility</t>
  </si>
  <si>
    <t>V, S, M (a pinch of talc and a small sprinkling of powdered silver)</t>
  </si>
  <si>
    <t>For the duration, you see invisible creatures and objects as if they were visible, and you can see into the Ethereal Plane. Ethereal creatures and objects appear ghostly and translucent.</t>
  </si>
  <si>
    <t>Seeming</t>
  </si>
  <si>
    <t>This spell allows you to change the appearance o f any
number o f creatures that you can see within range. You
give each target you choose a new, illusory appearance.
An unwilling target can make a Charisma saving throw,
and if it succeeds, it is unaffected by this spell.
The spell disguises physical appearance as w ell as
clothing, armor, weapons, and equipment. You can make
each creature seem 1 foot shorter or taller and appear
thin, fat, or in between. You can’t change a target’s body
type, so you must choose a form that has the same
basic arrangement o f limbs. Otherwise, the extent of
the illusion is up to you. The spell lasts for the duration,
unless you use your action to dismiss it sooner.
The changes wrought by this spell fail to hold up to
physical inspection. For example, if you use this spell
to add a hat to a creature’s outfit, objects pass through
the hat, and anyone who touches it would feel nothing
or w ould feel the creature’s head and hair. If you use
this spell to appear thinner than you are, the hand of
someone w ho reaches out to touch you would bump into
you while it was seemingly still in midair.
A creature can use its action to inspect a target and
make an Intelligence (Investigation) check against your
spell save DC. If it succeeds, it becomes aware that the
target is disguised.</t>
  </si>
  <si>
    <t>Sending</t>
  </si>
  <si>
    <t>V, S, M (a short piece of fine copper wire)</t>
  </si>
  <si>
    <t>You send a short message of twenty-five words or less to a creature with which you are familiar. The creature hears the message in its mind, recognizes you as the sender if it knows you, and can answer in a like manner immediately. The spell enables creatures with Intelligence scores of at least 1 to understand the meaning of your message.
You can send the message across any distance and even to other planes of existence, but if the target is on a different plane than you, there is a 5 percent chance that the message doesn’t arrive.</t>
  </si>
  <si>
    <t>Sequester</t>
  </si>
  <si>
    <t>V, S, M (a powder composed of diamond, emerald, ruby, and sapphire dust worth at least 5,000 gp, which the spell consumes)</t>
  </si>
  <si>
    <t>By means of this spell, a willing creature or an object can be hidden away, safe from detection for the duration. When you cast the spell and touch the target, it becomes invisible and can’t be targeted by divination spells or perceived through scrying sensors created by divination spells.
If the target is a creature, it falls into a state of suspended animation. Time ceases to flow for it, and it doesn’t grow older.
You can set a condition for the spell to end early. The condition can be anything you choose, but it must occur or be visible within 1 mile of the target. Examples include “after 1,000 years” or “when the tarrasque awakens.” This spell also ends if the target takes any damage.</t>
  </si>
  <si>
    <t>Shapechange</t>
  </si>
  <si>
    <t>9th-level transmutation</t>
  </si>
  <si>
    <t>V, S, M (a jade circlet worth at least 1,500 gp, which you must place on your head before you cast the spell)</t>
  </si>
  <si>
    <t>You assume the form o f a different creature for the
duration. The new form can be o f any creature with
a challenge rating equal to your level or lower. The
creature can’t be a construct or an undead, and you
must have seen the sort o f creature at least once. You
transform into an average example o f that creature, one
without any c lass levels or the Spellcasting trait.
Your game statistics are replaced by the statistics
of the chosen creature, though you retain your
alignment and Intelligence, Wisdom, and Charisma
scores. You also retain all o f your skill and saving
throw proficiencies, in addition to gaining those o f the
creature. If the creature has the same proficiency as you
and the bonus listed in its statistics is higher than yours,
use the creature’s bonus in place o f yours. You can’t use
any legendary actions or lair actions o f the new form.
You assume the hit points and Hit Dice of the new
form. When you revert to your normal form, you
return to the number o f hit points you had before you
transformed. If you revert as a result o f dropping to
0 hit points, any excess damage carries over to your
normal form. As long as the excess damage doesn’t
reduce your normal form to 0 hit points, you aren’t
knocked unconscious.
You retain the benefit o f any features from your class,
race, or other source and can use them, provided that
your new form is physically capable o f doing so. You
can’t use any special senses you have (for example,
darkvision) unless your new form also has that sense.
You can only speak if the creature can normally speak.
When you transform, you choose whether your
equipment falls to the ground, merges into the new
form, or is worn by it. Worn equipment functions as
normal. The DM determines whether it is practical for
the new form to w ear a piece o f equipment, based on
the creature’s shape and size. Your equipment doesn’t
change shape or size to match the new form, and any
equipment that the new form can’t wear must either fall
to the ground or merge into your new form. Equipment
that merges has no effect in that state.
During this spell’s duration, you can use your action to
assume a different form following the same restrictions
and rules for the original form, with one exception: if
your new form has more hit points than your current
one, your hit points remain at their current value.</t>
  </si>
  <si>
    <t>Shatter</t>
  </si>
  <si>
    <t>V, S, M (a chip of mica)</t>
  </si>
  <si>
    <t>A sudden loud ringing noise, painfully intense, erupts from a point of your choice within range. Each creature in a 10-foot-radius sphere centered on that point must
make a Constitution saving throw. A creature takes 3d8 thunder damage on a failed save, or half as much damage on a successful one. A creature made of inorganic material such as stone, crystal, or metal has disadvantage on this saving throw.
A nonmagical object that isn’t being worn or carried also takes the damage if it’s in the spell's area.
At Higher Levels. When you cast this spell using a spell slot of 3rd level or higher, the damage increases by 1d8 for each slot level above 2nd.</t>
  </si>
  <si>
    <t>1 reaction, which you take when you are hit by an attack or targeted by the magic missile spell</t>
  </si>
  <si>
    <t>An invisible barrier of magical force appears and protects you. Until the start of your next turn, you have a +5 bonus to AC, including against the triggering attack, and you take no damage from magic missile.</t>
  </si>
  <si>
    <t>Shield of Faith</t>
  </si>
  <si>
    <t>V, S, M (a small parchment with a bit of holy text written on it)</t>
  </si>
  <si>
    <t>A shimmering field appears and surrounds a creature of your choice within range, granting it a +2 bonus to AC for the duration.</t>
  </si>
  <si>
    <t>Shillelagh</t>
  </si>
  <si>
    <t>V, S, M (mistletoe, a shamrock leaf, and a club or quarterstaff)</t>
  </si>
  <si>
    <t>The wood of a club or quarterstaff you are holding is imbued with nature’s power. For the duration, you can use your spellcasting ability instead of Strength for the attack and damage rolls of melee attacks using that weapon, and the weapon's damage die becomes a d8. The weapon also becomes magical, if it isn’t already. The spell ends if you cast it again or if you let go of the weapon.</t>
  </si>
  <si>
    <t>Shocking Grasp</t>
  </si>
  <si>
    <t>Lightning springs from your hand to deliver a shock to a creature you try to touch. Make a melee spell attack against the target. You have advantage on the attack roll if the target is wearing armor made of metal. On a hit, the target takes 1d8 lightning damage, and it can’t take reactions until the start of its next turn.
The spell’s damage increases by 1d8 when you reach 5th level (2d8), 11th level (3d8), and 17th level (4d8).</t>
  </si>
  <si>
    <t>Silence</t>
  </si>
  <si>
    <t>For the duration, no sound can be created within or pass through a 20-foot-radius sphere centered on a point you choose within range. Any creature or object entirely inside the sphere is immune to thunder damage, and creatures are deafened while entirely inside it. Casting a spell that includes a verbal component is impossible there.</t>
  </si>
  <si>
    <t>Silent Image</t>
  </si>
  <si>
    <t>You create the image of an object, a creature, or some other visible phenomenon that is no larger than a 15-foot cube. The image appears at a spot within range and lasts for the duration. The image is purely visual; it isn't accompanied by sound, smell, or other sensory effects.
You can use your action to cause the image to move to any spot within range. As the image changes location, you can alter its appearance so that its movements appear natural for the image. For example, if you create an image of a creature and move it, you can alter the image so that it appears to be walking.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t>
  </si>
  <si>
    <t>Simulacrum</t>
  </si>
  <si>
    <t>12 hours</t>
  </si>
  <si>
    <t>V, S, M (snow or ice in quantities sufficient to made a life-size copy of the duplicated creature; some hair, fingernail clippings, or other piece of that creature’s body placed inside the snow or ice; and powdered ruby worth 1,500 gp, sprinkled over the duplicate and consumed by the spell)</t>
  </si>
  <si>
    <t>You shape an illusory duplicate of one beast or humanoid that is within range for the entire casting time of the spell. The duplicate is a creature, partially real and formed from ice or snow, and it can take actions and otherwise be affected as a normal creature. It appears to be the same as the original, but it has half the creature’s hit point maximum and is formed without any equipment. Otherwise, the illusion uses all the statistics of the creature it duplicates.
The simulacrum is friendly to you and creatures you designate. It obeys your spoken commands, moving and acting in accordance with your wishes and acting on your turn in combat. The simulacrum lacks the ability to learn or become more powerful, so it never increases its level or other abilities, nor can it regain expended spell slots.
If the simulacrum is damaged, you can repair it in an alchemical laboratory, using rare herbs and minerals worth 100 gp per hit point it regains. The simulacrum lasts until it drops to 0 hit points, at which point it reverts to snow and melts instantly.
If you cast this spell again, any currently active duplicates you created with this spell are instantly destroyed.</t>
  </si>
  <si>
    <t>Sleep</t>
  </si>
  <si>
    <t>V, S, M (a pinch of fine sand, rose petals, or a cricket)</t>
  </si>
  <si>
    <t>This spell sends creatures into a magical slumber. Roll 5d8; the total is how many hit points of creatures this spell can affect. Creatures within 20 feet of a point you choose within range are affected in ascending order of their current hit points (ignoring unconscious creatures).
Starting with the creature that has the lowest current hit points, each creature affected by this spell falls unconscious until the spell ends, the sleeper takes damage, or someone uses an action to shake or slap the sleeper awake. Subtract each creature’s hit points from the total before moving on to the creature with the next lowest hit points. A creature’s hit points must be equal to or less than the remaining total for that creature to be affected.
Undead and creatures immune to being charmed aren’t affected by this spell.
At Higher Levels. When you cast this spell using a spell slot of 2nd level or higher, roll an additional 2d8 for each slot level above 1st.</t>
  </si>
  <si>
    <t>Sleet Storm</t>
  </si>
  <si>
    <t>Until the spell ends, freezing rain and sleet fall in a 20-foot-tall cylinder with a 40-foot radius centered on a point you choose within range. The area is heavily obscured, and exposed flames in the area are doused.
The ground in the area is covered with slick ice, making it difficult terrain. When a creature enters the spell’s area for the first time on a turn or starts its turn there, it must make a Dexterity saving throw. On a failed save, it falls prone.
If a creature is concentrating in the spell’s area, the creature must make a successful Constitution saving throw against your spell save DC or lose concentration.</t>
  </si>
  <si>
    <t>Slow</t>
  </si>
  <si>
    <t>V, S, M (a drop of molasses)</t>
  </si>
  <si>
    <t>You alter time around up to six creatures of your choice in a 40-foot cube within range. Each target must succeed on a Wisdom saving throw or be affected by this spell for the duration.
An affected target’s speed is halved, it takes a -2 penalty to AC and Dexterity saving throws, and it can’t use reactions. On its turn, it can use either an action or a bonus action, not both. Regardless of the creature’s abilities or magic items, it can’t make more than one melee or ranged attack during its turn.
If the creature attempts to cast a spell with a casting time of 1 action, roll a d20. On an 11 or higher, the spell doesn’t take effect until the creature’s next turn, and the creature must use its action on that turn to complete the spell. If it can’t, the spell is wasted.
A creature affected by this spell makes another Wisdom saving throw at the end of its turn. On a successful save, the effect ends for it.</t>
  </si>
  <si>
    <t>Spare the Dying</t>
  </si>
  <si>
    <t>You touch a living creature that has 0 hit points. The creature becomes stable. This spell has no effect on undead or constructs.</t>
  </si>
  <si>
    <t>Speak with Animals</t>
  </si>
  <si>
    <t>You gain the ability to comprehend and verbally communicate with beasts for the duration. The knowledge and awareness of many beasts is limited by their intelligence, but at minimum, beasts can give you information about nearby locations and monsters, including whatever they can perceive or have perceived within the past day. You might be able to persuade a beast to perform a small favor for you, at the DM’s discretion.</t>
  </si>
  <si>
    <t>Speak with Dead</t>
  </si>
  <si>
    <t>V, S, M (burning incense)</t>
  </si>
  <si>
    <t>You grant the semblance of life and intelligence to a corpse of your choice within range, allowing it to answer the questions you pose. The corpse must still have a mouth and can’t be undead. The spell fails if the corpse was the target of this spell within the last 10 days.
Until the spell ends, you can ask the corpse up to five questions. The corpse knows only what it knew in life, including the languages it knew. Answers are usually brief, cryptic, or repetitive, and the corpse is under no compulsion to offer a truthful answer if you are hostile to it or it recognizes you as an enemy. This spell doesn’t return the creature’s soul to its body, only its animating spirit. Thus, the corpse can’t learn new information, doesn’t comprehend anything that has happened since it died, and can’t speculate about future events.</t>
  </si>
  <si>
    <t>Speak with Plants</t>
  </si>
  <si>
    <t>You imbue plants within 30 feet o f you with limited
sentience and animation, giving them the ability
to communicate with you and follow your simple
commands. You can question plants about events in the
spell’s area within the past day, gaining information
about creatures that have passed, weather, and other
circumstances.
You can also turn difficult terrain caused by plant
growth (such as thickets and undergrowth) into ordinary
terrain that lasts for the duration. Or you can turn
ordinary terrain where plants are present into difficult
terrain that lasts for the duration, causing v ines and
branches to hinder pursuers, for example.
Plants might be able to perform other tasks on your
behalf, at the DM’s discretion. The spell doesn’t enable
plants to uproot themselves and move about, but they
can freely move branches, tendrils, and stalks.
If a plant creature is in the area, you can communicate
with it as if you shared a common language, but you
gain no magical ability to influence it.
This spell can cause the plants created by the entangle
spell to release a restrained creature.</t>
  </si>
  <si>
    <t>Spider Climb</t>
  </si>
  <si>
    <t>V, S, M (a drop of bitumen and a spider)</t>
  </si>
  <si>
    <t>Until the spell ends, one willing creature you touch gains the ability to move up, down, and across vertical surfaces and upside down along ceilings, while leaving its hands free. The target also gains a climbing speed equal to its walking speed.</t>
  </si>
  <si>
    <t>Spike Growth</t>
  </si>
  <si>
    <t>V, S, M (seven sharp thorns or seven small twigs, each sharpened to a point)</t>
  </si>
  <si>
    <t>The ground in a 20-foot radius centered on a point within range twists and sprouts hard spikes and thorns. The area becomes difficult terrain for the duration. When a creature moves into or within the area, it takes 2d4 piercing damage for every 5 feet it travels.
The transformation of the ground is camouflaged to look natural. Any creature that can’t see the area at the time the spell is cast must make a Wisdom (Perception) check against your spell save DC to recognize the terrain as hazardous before entering it.</t>
  </si>
  <si>
    <t>Spirit Guardians</t>
  </si>
  <si>
    <t>Self (15-foot radius)</t>
  </si>
  <si>
    <t>V, S, M (a holy symbol)</t>
  </si>
  <si>
    <t>You call forth spirits to protect you. They flit around you to a distance of 15 feet for the duration. If you are good or neutral, their spectral form appears angelic or fey (your choice). If you are evil, they appear fiendish.
When you cast this spell, you can designate any number of creatures you can see to be unaffected by it. An affected creature’s speed is halved in the area, and when the creature enters the area for the first time on a turn or starts its turn there, it must make a Wisdom saving throw. On a failed save, the creature takes 3d8 radiant damage (if you are good or neutral) or 3d8 necrotic damage (if you are evil). On a successful save, the creature takes half as much damage.
At Higher Levels. When you cast this spell using a spell slot of 4th level or higher, the damage increases by 1d8 for each slot level above 3rd.</t>
  </si>
  <si>
    <t>Spiritual Weapon</t>
  </si>
  <si>
    <t>You create a floating, spectral weapon within range that lasts for the duration or until you cast this spell again. When you cast the spell, you can make a melee spell attack against a creature within 5 feet of the weapon. On a hit, the target takes force damage equal to 1d8 + your spellcasting ability modifier.
As a bonus action on your turn, you can move the weapon up to 20 feet and repeat the attack against a creature within 5 feet of it.
The weapon can take whatever form you choose. Clerics of deities who are associated with a particular weapon (as St. Cuthbert is known for his mace and Thor for his hammer) make this spell’s effect resemble that weapon.
At Higher Levels. When you cast this spell using a spell slot of 3rd level or higher, the damage increases by 1d8 for every two slot levels above the 2nd.</t>
  </si>
  <si>
    <t>Staggering Smite</t>
  </si>
  <si>
    <t>The next time you hit a creature with a melee weapon attack during this spell’s duration, your weapon pierces both body and mind, and the attack deals an extra 4d6 psychic damage to the target. The target must make a Wisdom saving throw. On a failed save, it has disadvantage on attack rolls and ability checks, and can't take reactions, until the end of its next turn.</t>
  </si>
  <si>
    <t>Stinking Cloud</t>
  </si>
  <si>
    <t>V, S, M (a rotten egg or several skunk cabbage leaves)</t>
  </si>
  <si>
    <t>You create a 20-foot-radius sphere of yellow, nauseating gas centered on a point within range. The cloud spreads around corners, and its area is heavily obscured. The cloud lingers in the air for the duration.
Each creature that is completely within the cloud at the start of its turn must make a Constitution saving throw against poison. On a failed save, the creature spends its action that turn retching and reeling. Creatures that don’t need to breathe or are immune to poison automatically succeed on this saving throw.
A moderate wind (at least 10 miles per hour) disperses the cloud after 4 rounds. A strong wind (at least 20 miles per hour) disperses it after 1 round.</t>
  </si>
  <si>
    <t>Stone Shape</t>
  </si>
  <si>
    <t>V, S, M (soft clay, which must be worked into roughly the desired shape of the stone object)</t>
  </si>
  <si>
    <t>You touch a stone object of Medium size or smaller or a section of stone no more than 5 feet in any dimension and form it into any shape that suits your purpose. So, for example, you could shape a large rock into a weapon, idol, or coffer, or make a small passage through a wall, as long as the wall is less than 5 feet thick. You could also shape a stone door or its frame to seal the door shut. The object you create can have up to two hinges and a latch, but finer mechanical detail isn’t possible.</t>
  </si>
  <si>
    <t>Stoneskin</t>
  </si>
  <si>
    <t>V, S, M (diamond dust worth 100 gp, which the spell consumes)</t>
  </si>
  <si>
    <t>This spell turns the flesh of a willing creature you touch as hard as stone. Until the spell ends, the target has resistance to nonmagical bludgeoning, piercing, and slashing damage.</t>
  </si>
  <si>
    <t>Storm of Vengeance</t>
  </si>
  <si>
    <t>A churning storm cloud forms, centered on a point you
can see and spreading to a radius o f 360 feet. Lightning
flashes in the area, thunder booms, and strong winds
roar. Each creature under the cloud (no more than 5,000
feet beneath the cloud) when it appears must make a
Constitution saving throw. On a failed save, a creature
takes 2d6 thunder damage and becomes deafened
for 5 minutes.
Each round you maintain concentration on this spell,
the storm produces additional effects on your turn.
Round 2. Acidic rain falls from the cloud.
Each creature and object under the cloud takes
1d6 acid damage.
Round 3. You call six bolts o f lightning from the
cloud to strike six creatures or objects o f your choice
beneath the cloud. A given creature or object can’t be
struck by m ore than one bolt. A struck creature must
make a Dexterity saving throw. The creature takes
10d6 lightning damage on a failed save, or half as much
damage on a successful one.
Round 4. Hailstones rain down from the
cloud. Each creature under the cloud takes 2d6
bludgeoning damage.
Round 5-10. Gusts and freezing rain assail the
area under the cloud. The area becomes difficult
terrain and is heavily obscured. Each creature there
takes 1d6 cold damage. Ranged w eapon attacks in
the area are impossible. The w ind and rain count as
a severe distraction for the purposes o f maintaining
concentration on spells. Finally, gusts of strong wind
(ranging from 20 to 50 miles per hour) automatically
disperse fog, mists, and similar phenomena in the area,
whether mundane or magical.</t>
  </si>
  <si>
    <t>Suggestion</t>
  </si>
  <si>
    <t>You suggest a course of activity (limited to a sentence or two) and magically influence a creature you can see within range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ends the spell.
The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knight give her warhorse to the first beggar she meets. If the condition isn’t met before the spell expires, the activity isn’t performed. If you or any of your companions damage the target, the spell ends.</t>
  </si>
  <si>
    <t>Sunbeam</t>
  </si>
  <si>
    <t>V, S, M (a magnifying glass)</t>
  </si>
  <si>
    <t>A beam of brilliant light flashes out from your hand in a 5-foot-wide, 60-foot-long line. Each creature in the line must make a Constitution saving throw. On a failed save, a creature takes 6d8 radiant damage and is blinded until your next turn. On a successful save, it takes half as much damage and isn’t blinded by this spell. Undead and oozes have disadvantage on this saving throw.
You can create a new line of radiance as your action on any turn until the spell ends.
For the duration, a mote of brilliant radiance shines in your hand. It sheds bright light in a 30-foot radius and dim light for an additional 30 feet. This light is sunlight.</t>
  </si>
  <si>
    <t>Sunburst</t>
  </si>
  <si>
    <t>V, S, M (fire and a piece of sunstone)</t>
  </si>
  <si>
    <t>Brilliant sunlight flashes in a 60-foot radius centered on a point you choose within range. Each creature in that light must make a Constitution saving throw. On a failed save, a creature takes 12d6 radiant damage and is blinded for 1 minute. On a successful save, it takes half as much damage and isn’t blinded by this spell. Undead and oozes have disadvantage on this saving throw.
A creature blinded by this spell makes another Constitution saving throw at the end of each of its turns. On a successful save, it is no longer blinded.
This spell dispels any darkness in its area that was created by a spell.</t>
  </si>
  <si>
    <t>Swift Quiver</t>
  </si>
  <si>
    <t>V, S, M (a quiver containing at least one piece of ammunition)</t>
  </si>
  <si>
    <t>You transmute your quiver so it produces an endless supply of nonmagical ammunition, which seems to leap into your hand when you reach for it.
On each of your turns until the spell ends, you can use a bonus action to make two attacks with a weapon that uses ammunition from the quiver. Each time you make such a ranged attack, your quiver magically replaces the piece of ammunition you used with a similar piece of nonmagical ammunition. Any pieces of ammunition created by this spell disintegrate when the spell ends. If the quiver leaves your possession, the spell ends.</t>
  </si>
  <si>
    <t>Symbol</t>
  </si>
  <si>
    <t>7th-level abjuration</t>
  </si>
  <si>
    <t>V, S, M (mercury, phosphorus, and powdered diamond and opal with a total value of at least 1,000 gp, which the spell consumes)</t>
  </si>
  <si>
    <t>When you cast this spell, you inscribe a harmful glyph
either on a surface (such as a section o f floor, a wall, or
a table) or within an object that can be closed to conceal
the glyph (such as a book, a scroll, or a treasure chest).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requiring an Intelligence
(Investigation) check against your spell save
DC to find it.
You decide what triggers the glyph when you cast the
spell. For glyphs inscribed on a surface, the most typical
triggers include touching or stepping on the glyph,
removing another object covering it, approaching within
a certain distance o f it, or manipulating the object
that holds it. For glyphs inscribed within an object,
the most common triggers are opening the object,
approaching within a certain distance of it, or seeing or
reading the glyph.
You can further refine the trigger so the spell is
activated only under certain circumstances or according
to a creature’s physical characteristics (such as height
or weight), or physical kind (for example, the ward could
be set to affect hags or shapechangers). You can also
specify creatures that don’t trigger the glyph, such as
those who say a certain password.
When you inscribe the glyph, choose one o f the
options below for its effect. Once triggered, the glyph
glows, filling a 60-foot-radius sphere with dim light
for 10 minutes, after which time the spell ends. Each
creature in the sphere when the glyph activates is
targeted by its effect, as is a creature that enters the
sphere for the first time on a turn or ends its turn there.
Death. Each target must make a Constitution saving
throw, taking 10d 10 necrotic damage on a failed save, or
half as much damage on a successful save.
Discord. Each target must make a Constitution saving
throw. On a failed save, a target bickers and argues
with other creatures for 1 minute. During this time,
it is incapable o f meaningful communication and has
disadvantage on attack rolls and ability checks.
Fear. Each target must make a Wisdom saving throw
and becomes frightened for 1 minute on a failed save.
While frightened, the target drops whatever it is holding
and must move at least 30 feet away from the glyph on
each of its turns, if able.
Hopelessness. Each target must make a Charisma
saving throw. On a failed save, the target is
overwhelmed with despair for 1 minute. During this
time, it can’t attack or target any creature with harmful
abilities, spells, or other magical effects.
Insanity. Each target must make an Intelligence saving
throw. On a failed save, the target is driven insane for
1 minute. An insane creature can’t take actions, can't
understand what other creatures say, can’t read, and
speaks only in gibberish. The DM controls its movement,
which is erratic.
Pain. Each target must make a Constitution saving
throw and becomes incapacitated with excruciating pain
for 1 minute on a failed save.
Sleep. Each target must make a Wisdom saving throw
and falls unconscious for 10 minutes on a failed save. A
creature awakens if it takes damage or if someone uses
an action to shake or slap it awake.
Stunning. Each target must make a Wisdom saving
throw and becomes stunned for 1 minute on a failed save.</t>
  </si>
  <si>
    <t>Tasha's Hideous Laughter</t>
  </si>
  <si>
    <t>V, S, M (tiny tarts and a feather that is waved in the air)</t>
  </si>
  <si>
    <t>A creature of your choice that you can see within range perceives everything as hilariously funny and falls into fits of laughter if this spell affects it. The target
must succeed on a Wisdom saving throw or fall prone, becoming incapacitated and unable to stand up for the duration. A creature with an Intelligence score of 4 or less isn’t affected.
At the end of each of its turns, and each time it takes damage, the target can make another Wisdom saving throw. The target has advantage on the saving throw if it’s triggered by damage. On a success, the spell ends.</t>
  </si>
  <si>
    <t>Telekinesis</t>
  </si>
  <si>
    <t>You gain the ability to move or manipulate creatures
or objects by thought. When you cast the spell, and as
your action each round for the duration, you can exert
your will on one creature or object that you can see
within range, causing the appropriate effect below. You
can affect the same target round after round, or choose
a new one at any time. If you switch targets, the prior
target is no longer affected by the spell.
Creature. You can try to move a Huge or smaller
creature. Make an ability check with your spellcasting
ability contested by the creature’s Strength check. If
you win the contest, you move the creature up to 30 feet
in any direction, including upward but not beyond the
range o f this spell. Until the end o f your next turn, the
creature is restrained in your telekinetic grip. A creature
lifted upward is suspended in mid-air.
On subsequent rounds, you can use your action to
attempt to maintain your telekinetic grip on the creature
by repeating the contest.
Object. You can try to move an object that w eighs
up to 1,000 pounds. If the object isn’t being worn or
carried, you automatically move it up to 30 feet in any
direction, but not beyond the range o f this spell.
If the object is w orn or carried by a creature, you must
make an ability check with your spellcasting ability
contested by that creature’s Strength check. If you
succeed, you pull the object away from that creature and
can move it up to 30 feet in any direction but not beyond
the range o f this spell.
You can exert fine control on objects with your
telekinetic grip, such as manipulating a simple tool,
opening a door or a container, stowing or retrieving
an item from an open container, or pouring the
contents from a vial.</t>
  </si>
  <si>
    <t>Telepathy</t>
  </si>
  <si>
    <t>V, S, M (a pair of linked silver rings)</t>
  </si>
  <si>
    <t>You create a telepathic link between yourself and a willing creature with which you are familiar. The creature can be anywhere on the same plane of existence as you. The spell ends if you or the target are no longer on the same plane.
Until the spell ends, you and the target can instantaneously share words, images, sounds, and other sensory messages with one another through the link, and the target recognizes you as the creature it is communicating with. The spell enables a creature with an Intelligence score of at least 1 to understand the meaning of your words and take in the scope of any sensory messages you send to it.</t>
  </si>
  <si>
    <t>Teleport</t>
  </si>
  <si>
    <t>This spell instantly transports you and up to eight
willing creatures o f your choice that you can see within
range, or a single object that you can see within range,
to a destination you select. If you target an object, it
must be able to fit entirely inside a 10-foot cube, and it
can’t be held or carried by an unwilling creature.
The destination you choose must be known to you,
and it must be on the same plane o f existence as
you. Your familiarity with the destination determines
whether you arrive there successfully. The DM rolls
d 100 and consults the table.
Familiarity Mishap Similar Area Off Target On Target
Permanent circle — — — 01-100
Associated object — — — 01-100
Very familiar 01-05 06-13 14-24 25-100
Seen casually 01-33 34-43 44-53 54-100
Viewed once 01-43 44-53 54-73 74-100
Description 01-43 44-53 54-73 74-100
False destination 01-50 51-100 — —
Familiarity. “Permanent circle” means a permanent
teleportation circle whose sigil sequence you know.
“Associated object” means that you possess an object
taken from the desired destination within the last six
months, such as a book from a wizard’s library, bed
linen from a royal suite, or a chunk o f marble from a
lich’s secret tomb.
“Very familiar” is a place you have been very often, a
place you have carefully studied, or a place you can see
when you cast the spell. “Seen casually” is someplace
you have seen more than once but with which you aren’t
very familiar. “Viewed once” is a place you have seen
once, possibly using magic. “Description” is a place
whose location and appearance you know through
someone else’s description, perhaps from a map.
“False destination” is a place that doesn’t exist.
Perhaps you tried to scry an enemy’s sanctum but
instead viewed an illusion, or you are attempting to
teleport to a familiar location that no longer exists.
On Target. You and your group (or the target object)
appear where you want to.
Off Target. You and your group (or the target object)
appear a random distance away from the destination
in a random direction. Distance off target is 1d10 x
1d10 percent of the distance that was to be traveled.
For example, if you tried to travel 120 miles, landed off
target, and rolled a 5 and 3 on the two d 10s, then you
would be off target by 15 percent, or 18 miles. The DM
determines the direction off target randomly by rolling a
d8 and designating 1 as north, 2 as northeast, 3 as east,
and so on around the points o f the compass. If you w ere
teleporting to a coastal city and w ound up 18 miles out
at sea, you could be in trouble.
Similar Area. You and your group (or the target
object) wind up in a different area that’s visually or
thematically similar to the target area. If you are
heading for your home laboratory, for example, you
might wind up in another wizard’s laboratory or in
an alchemical supply shop that has many o f the same
tools and implements as your laboratory. Generally,
you appear in the closest similar place, but since the
spell has no range limit, you could conceivably wind up
anywhere on the plane.
Mishap. The spell’s unpredictable magic results in a
difficult journey. Each teleporting creature (or the target
object) takes 3d10 force damage, and the DM rerolls on
the table to see where you wind up (multiple mishaps
can occur, dealing damage each time).</t>
  </si>
  <si>
    <t>Teleportation Circle</t>
  </si>
  <si>
    <t>V, M (rare chalks and inks infused with precious gems with 50 gp, which the spell consumes)</t>
  </si>
  <si>
    <t>As you cast the spell, you draw a 10-foot-diameter
circle on the ground inscribed with sigils that link
your location to a permanent teleportation circle of
your choice w hose sigil sequence you know and that is
on the same plane o f existence as you. A shimmering
portal opens within the circle you drew and remains
open until the end o f your next turn. Any creature that
enters the portal instantly appears within 5 feet o f the
destination circle or in the nearest unoccupied space if
that space is occupied.
Many m ajor temples, guilds, and other important
places have permanent teleportation circles inscribed
somewhere within their confines. Each such circle
includes a unique sigil sequence—a string o f magical
runes arranged in a particular pattern. When you first
gain the ability to cast this spell, you learn the sigil
sequences for two destinations on the Material Plane,
determined by the DM. You can learn additional sigil
sequences during your adventures. You can commit
a new sigil sequence to memory after studying it
for 1 minute.
You can create a permanent teleportation circle by
casting this spell in the same location every day for one
year. You need not use the circle to teleport when you
cast the spell in this way.</t>
  </si>
  <si>
    <t>Tenser's Floating Disk</t>
  </si>
  <si>
    <t>V, S, M (a drop of mercury)</t>
  </si>
  <si>
    <t>This spell creates a circular, horizontal plane of force, 3 feet in diameter and 1 inch thick, that floats 3 feet above the ground in an unoccupied space of your choice that you can see within range. The disk remains for the duration, and can hold up to 500 pounds. If more weight is placed on it, the spell ends, and everything on the disk falls to the ground.
The disk is immobile while you are within 20 feet of it. If you move more than 20 feet away from it, the disk follows you so that it remains within 20 feet of you. It
can move across uneven terrain, up or down stairs, slopes and the like, but it can’t cross an elevation change of 10 feet or more. For example, the disk can’t move
across a 10-foot-deep pit, nor could it leave such a pit if it was created at the bottom.
If you move more than 100 feet from the disk (typically because it can’t move around an obstacle to follow you), the spell ends.</t>
  </si>
  <si>
    <t>Thaumaturgy</t>
  </si>
  <si>
    <t>Up to 1 minute</t>
  </si>
  <si>
    <t>You manifest a minor wonder, a sign of supernatural power, within range. You create one of the following magical effects within range:
• Your voice booms up to three times as loud as normal for 1 minute.
• You cause flames to flicker, brighten, dim, or change color for 1 minute.
• You cause harmless tremors in the ground for 1 minute.
• You create an instantaneous sound that originates from a point of your choice within range, such as a rumble of thunder, the cry of a raven, or ominous whispers.
• You instantaneously cause an unlocked door or window to fly open or slam shut.
• You alter the appearance of your eyes for 1 minute.
If you cast this spell multiple times, you can have up to three of its 1-minute effects active at a time, and you can dismiss such an effect as an action.</t>
  </si>
  <si>
    <t>Thorn Whip</t>
  </si>
  <si>
    <t>V, S, M (the stem of a plant with thorns)</t>
  </si>
  <si>
    <t>You create a long, vine-like whip covered in thorns that lashes out at your command toward a creature in range. Make a melee spell attack against the target. If the attack hits, the creature takes 1d6 piercing damage, and if the creature is Large or smaller, you pull the creature up to 10 feet closer to you.
This spell’s damage increases by 1d6 when you reach 5th level (2d6), 11th level (3d6), and 17th level (4d6).</t>
  </si>
  <si>
    <t>Thunderous Smite</t>
  </si>
  <si>
    <t>The first time you hit with a melee weapon attack during this spell’s duration, your weapon rings with thunder that is audible within 300 feet of you, and the attack deals an extra 2d6 thunder damage to the target. Additionally, if the target is a creature, it must succeed on a Strength saving throw or be pushed 10 feet away from you and knocked prone.</t>
  </si>
  <si>
    <t>Thunderwave</t>
  </si>
  <si>
    <t>Self (15-foot cube)</t>
  </si>
  <si>
    <t>A wave of thunderous force sweeps out from you. Each creature in a 15-foot cube originating from you must make a Constitution saving throw. On a failed save, a creature takes 2d8 thunder damage and is pushed 10 feet away from you. On a successful save, the creature takes half as much damage and isn’t pushed.
In addition, unsecured objects that are completely within the area of effect are automatically pushed 10 feet away from you by the spell’s effect, and the spell emits a thunderous boom audible out to 300 feet.
At Higher Levels. When you cast this spell using a spell slot of 2nd level or higher, the damage increases by 1d8 for each slot level above 1st.</t>
  </si>
  <si>
    <t>Time Stop</t>
  </si>
  <si>
    <t>You briefly stop the flow of time for everyone but yourself. No time passes for other creatures, while you take 1d4 + 1 turns in a row, during which you can use actions and move as normal.
This spell ends if one of the actions you use during this period, or any effects that you create during this period, affects a creature other than you or an object being worn or carried by someone other than you. In addition, the spell ends if you move to a place more than 1,000 feet from the location where you cast it.</t>
  </si>
  <si>
    <t>Tongues</t>
  </si>
  <si>
    <t>V, M (a small clay model of a ziggurat)</t>
  </si>
  <si>
    <t>This spell grants the creature you touch the ability to understand any spoken language it hears. Moreover, when the target speaks, any creature that knows at least one language and can hear the target understands what it says.</t>
  </si>
  <si>
    <t>Transport via Plants</t>
  </si>
  <si>
    <t>This spell creates a magical link between a Large or larger inanimate plant within range and another plant, at any distance, on the same plane of existence. You must have seen or touched the destination plant at least once before. For the duration, any creature can step into the target plant and exit from the destination plant by using 5 feet of movement.</t>
  </si>
  <si>
    <t>Tree Stride</t>
  </si>
  <si>
    <t>You gain the ability to enter a tree and move from inside it to inside another tree of the same kind within 500 feet. Both trees must be living and at least the same size as you. You must use 5 feet of movement to enter a tree. You instantly know the location of all other trees of the same kind within 500 feet and, as part of the move used to enter the tree, can either pass into one of those trees or step out of the tree you’re in. You appear in a spot of your choice within 5 feet of the  estination tree, using another 5 feet of movement. If you have no movement left, you appear within 5 feet of the tree you entered.
You can use this transportation ability once per round for the duration. You must end each turn outside a tree.</t>
  </si>
  <si>
    <t>True Polymorph</t>
  </si>
  <si>
    <t>V, S, M (a drop of mercury, a dollop of gum arabic, and a wisp of smoke)</t>
  </si>
  <si>
    <t>Choose one creature or nonmagical object that you
can see within range. You transform the creature into
a different creature, the creature into an object, or the
object into a creature (the object must be neither worn
nor carried by another creature). The transformation
lasts for the duration, or until the target drops to 0 hit
points or dies. If you concentrate on this spell for the full
duration, the transformation becomes permanent.
Shapechangers aren’t affected by this spell. An
unwilling creature can make a Wisdom saving throw,
and if it succeeds, it isn’t affected by this spell.
Creature into Creature. If you turn a creature into
another kind o f creature, the new form can be any kind
you choose whose challenge rating is equal to or less
than the target’s (or its level, if the target doesn’t have a
challenge rating). The target’s game statistics, including
mental ability scores, are replaced by the statistics of
the new form. It retains its alignment and personality.
The target assumes the hit points o f its new form,
and when it reverts to its normal form, the creature
returns to the number o f hit points it had before it
transformed. If it reverts as a result o f dropping to
0 hit points, any excess damage carries over to its
normal form. As long as the excess damage doesn’t
reduce the creature’s normal form to 0 hit points, it isn’t
knocked unconscious.
The creature is limited in the actions it can perform by
the nature o f its new form, and it can’t speak, cast spells,
or take any other action that requires hands or speech
unless its new form is capable o f such actions.
The target’s gear melds into the new form. The
creature can’t activate, use, wield, or otherwise benefit
from any o f its equipment.
Object into Creature. You can turn an object into
any kind o f creature, as long as the creature’s size
is no larger than the object’s size and the creature’s
challenge rating is 9 or lower. The creature is friendly to
you and your companions. It acts on each o f your turns.
You decide what action it takes and how it moves. The
DM has the creature’s statistics and resolves all o f its
actions and movement.
If the spell becomes permanent, you no longer control
the creature. It might remain friendly to you, depending
on how you have treated it.
Creature into Object. If you turn a creature into an
object, it transforms along with whatever it is wearing
and carrying into that form. The creature’s statistics
become those o f the object, and the creature has no
memory o f time spent in this form, after the spell ends
and it returns to its normal form.</t>
  </si>
  <si>
    <t>True Resurrection</t>
  </si>
  <si>
    <t>V, S, M (a sprinkle of holy water and diamonds worth at least 25,000 gp, which the spell consumes)</t>
  </si>
  <si>
    <t>You touch a creature that has been dead for no longer than 200 years and that died for any reason except old age. If the creature’s soul is free and willing, the creature is restored to life with all its hit points.
This spell closes all wounds, neutralizes any poison, cures all diseases, and lifts any curses affecting the creature when it died. The spell replaces damaged or missing organs and limbs.
The spell can even provide a new body if the original no longer exists, in which case you must speak the creature’s name. The creature then appears in an unoccupied space you choose within 10 feet of you.</t>
  </si>
  <si>
    <t>True Seeing</t>
  </si>
  <si>
    <t>V, S, M (an ointment for the eyes that costs 25 gp; is made from mushroom powder, saffron, and fat; and is consumed by the spell)</t>
  </si>
  <si>
    <t>This spell gives the willing creature you touch the ability to see things as they actually are. For the duration, the creature has truesight, notices secret doors hidden by magic, and can see into the Ethereal Plane, all out to a range of 120 feet.</t>
  </si>
  <si>
    <t>True Strike</t>
  </si>
  <si>
    <t>Concentration, up to 1 round</t>
  </si>
  <si>
    <t>You extend your hand and point a finger at a target in range. Your magic grants you a brief insight into the target’s defenses. On your next turn, you gain advantage on your first attack roll against the target, provided that this spell hasn’t ended.</t>
  </si>
  <si>
    <t>Tsunami</t>
  </si>
  <si>
    <t>Concentration, up to 6 rounds</t>
  </si>
  <si>
    <t>A wall of water springs into existence at a point you choose within range. You can make the wall up to 300 feet long, 300 feet high, and 50 feet thick. The wall lasts for the duration.
When the wall appears, each creature within its area must make a Strength saving throw. On a failed save, a creature takes 6d10 bludgeoning damage, or half as much damage on a successful save.
At the start of each of your turns after the wall appears, the wall, along with any creatures in it, moves 50 feet away from you. Any Huge or smaller creature inside the wall or whose space the wall enters when it moves must succeed on a Strength saving throw or take 5d10 bludgeoning damage. A creature can take this damage only once per round. At the end of the turn, the wall’s height is reduced by 50 feet, and the damage creatures take from the spell on subsequent rounds is reduced by 1d10. When the wall reaches 0 feet in height, the spell ends.
A creature caught in the wall can move by swimming. Because of the force of the wave, though, the creature must make a successful Strength (Athletics) check against your spell save DC in order to move at all. If it fails the check, it can’t move. A creature that moves out of the area falls to the ground.</t>
  </si>
  <si>
    <t>Unseen Servant</t>
  </si>
  <si>
    <t>V, S, M (a piece of string and a bit of wood)</t>
  </si>
  <si>
    <t>This spell creates an invisible, mindless, shapeless force that performs simple tasks at your command until the spell ends. The servant springs into existence in an unoccupied space on the ground within range. It has AC 10, 1 hit point, and a Strength of 2, and it can’t attack. If it drops to 0 hit points, the spell ends.
Once on each of your turns as a bonus action, you can mentally command the servant to move up to 15 feet and interact with an object. The servant can perform simple tasks that a human servant could do, such as fetching things, cleaning, mending, folding clothes, lighting fires, serving food, and pouring wine. Once you give the command, the servant performs the task to the best of its ability until it completes the task, then waits for your next command.
If you command the servant to perform a task that would move it more than 60 feet away from you, the spell ends.</t>
  </si>
  <si>
    <t>Vampiric Touch</t>
  </si>
  <si>
    <t>The touch of your shadow-wreathed hand can siphon life force from others to heal your wounds. Make a melee spell attack against a creature within your reach. On a hit, the target takes 3d6 necrotic damage, and you regain hit points equal to half the amount of necrotic damage dealt. Until the spell ends, you can make the attack again on each of your turns as an action.
At Higher Levels. When you cast this spell using a spell slot of 4th level or higher, the damage increases by 1d6 for each slot level above 3rd.</t>
  </si>
  <si>
    <t>Vicious Mockery</t>
  </si>
  <si>
    <t>You unleash a string of insults laced with subtle enchantments at a creature you can see within range. If the target can hear you (though it need not understand you), it must succeed on a Wisdom saving throw or take 1d4 psychic damage and have disadvantage on the next attack roll it makes before the end of its next turn.
This spell’s damage increases by 1d4 when you reach 5th level (2d4), 11th level (3d4), and 17th level (4d4).</t>
  </si>
  <si>
    <t>Wall of Fire</t>
  </si>
  <si>
    <t>V, S, M (a small piece o f phosphorus)</t>
  </si>
  <si>
    <t>You create a wall of fire on a solid surface within range. You can make the wall up to 60 feet long, 20 feet high, and 1 foot thick, or a ringed wall up to 20 feet in diameter, 20 feet high, and 1 foot thick. The wall is opaque and lasts for the duration.
When the wall appears, each creature within its area must make a Dexterity saving throw. On a failed save, a creature takes 5d8 fire damage, or half as much damage on a successful save.
One side of the wall, selected by you when you cast this spell, deals 5d8 fire damage to each creature that ends its turn within 10 feet of that side or inside the wall. A creature takes the same damage when it enters the wall for the first time on a turn or ends its turn there. The other side of the wall deals no damage.
At Higher Levels. When you cast this spell using a spell slot of 5th level or higher, the damage increases by 1d8 for each slot level above 4th.</t>
  </si>
  <si>
    <t>Wall of Force</t>
  </si>
  <si>
    <t>V, S, M (a pinch of powder made by crushing a clear gemstone)</t>
  </si>
  <si>
    <t>An invisible wall of force springs into existence at a point you choose within range. The wall appears in any orientation you choose, as a horizontal or vertical barrier or at an angle. It can be free floating or resting on a solid surface. You can form it into a hemispherical dome or a sphere with a radius of up to 10 feet, or you can shape a flat surface made up of ten 10-foot-by-10-foot panels. Each panel must be contiguous with another panel. In any form, the wall is 1/4 inch thick. It lasts for the duration. If the wall cuts through a creature’s space when it appears, the creature is pushed to one side of the wall (your choice which side).
Nothing can physically pass through the wall. It is immune to all damage and can’t be dispelled by dispel magic. A disintegrate spell destroys the wall instantly, however. The wall also extends into the Ethereal Plane, blocking ethereal travel through the wall.</t>
  </si>
  <si>
    <t>Wall of Ice</t>
  </si>
  <si>
    <t>V, S, M (a small piece of quartz)</t>
  </si>
  <si>
    <t>You create a wall of ice on a solid surface within range. You can form it into a hemispherical dome or a sphere with a radius of up to 10 feet, or you can shape a flat surface made up of ten 10-foot-square panels. Each panel must be contiguous with another panel. In any form, the wall is 1 foot thick and lasts for the duration.
If the wall cuts through a creature’s space when it appears, the creature within its area is pushed to one side of the wall and must make a Dexterity saving throw. On a failed save, the creature takes 10d6 cold damage, or half as much damage on a successful save.
The wall is an object that can be damaged and thus breached. It has AC 12 and 30 hit points per 10-foot section, and it is vulnerable to fire damage. Reducing a 10-foot section of wall to 0 hit points destroys it and leaves behind a sheet of frigid air in the space the wall occupied. A creature moving through the sheet of frigid
air for the first time on a turn must make a Constitution saving throw. That creature takes 5d6 cold damage on a failed save, or half as much damage on a successful one.
At Higher Levels. When you cast this spell using a spell slot of 7th level or higher, the damage the wall deals when it appears increases by 2d6, and the damage from passing through the sheet of frigid air increases by 1d6, for each slot level above 6th.</t>
  </si>
  <si>
    <t>Wall of Stone</t>
  </si>
  <si>
    <t>V, S, M (a small block o f granite)</t>
  </si>
  <si>
    <t>A nonmagical wall o f solid stone springs into existence
at a point you choose within range. The wall is 6 inches
thick and is composed o f ten 10-foot-by-10-foot panels.
Each panel must be contiguous with at least one other
panel. Alternatively, you can create 10-foot-by-20-foot
panels that are only 3 inches thick.
If the wall cuts through a creature’s space when it
appears, the creature is pushed to one side o f the wall
(your choice). If a creature w ould be surrounded on all
sides by the wall (or the wall and another solid surface),
that creature can make a Dexterity saving throw. On a
success, it can use its reaction to move up to its speed so
that it is no longer enclosed by the wall.
The wall can have any shape you desire, though it
can’t occupy the same space as a creature or object.
The wall doesn’t need to be vertical or rest on any firm
foundation. It must, however, merge with and be solidly
supported by existing stone. Thus, you can use this spell
to bridge a chasm or create a ramp.
If you create a span greater than 20 feet in length, you
must halve the size of each panel to create supports.
You can crudely shape the wall to create crenellations,
battlements, and so on.
The wall is an object made o f stone that can be
damaged and thus breached. Each panel has AC 15 and
30 hit points per inch o f thickness. Reducing a panel
to 0 hit points destroys it and might cause connected
panels to collapse at the DM’s discretion.
If you maintain your concentration on this spell for
its whole duration, the wall becomes permanent and
can’t be dispelled. Otherwise, the wall disappears when
the spell ends.</t>
  </si>
  <si>
    <t>Wall of Thorns</t>
  </si>
  <si>
    <t>V, S, M (a handful of thorns)</t>
  </si>
  <si>
    <t>You create a wall of tough, pliable, tangled brush bristling with needle-sharp thorns. The wall appears within range on a solid surface and lasts for the duration. You choose to make the wall up to 60 feet long, 10 feet high, and 5 feet thick or a circle that has a 20-foot diameter and is up to 20 feet high and 5 feet thick. The wall blocks line of sight.
When the wall appears, each creature within its area must make a Dexterity saving throw. On a failed save, a creature takes 7d8 piercing damage, or half as much damage on a successful save.
A creature can move through the wall, albeit slowly and painfully. For every 1 foot a creature moves through the wall, it must spend 4 feet of movement. Furthermore, the first time a creature enters the wall on a turn or ends its turn there, the creature must make a Dexterity saving throw. It takes 7d8 slashing damage on a failed save, or half as much damage on a successful one.
At Higher Levels. When you cast this spell using a spell slot of 7th level or higher, both types of damage increase by 1d8 for each slot level above 6th.</t>
  </si>
  <si>
    <t>Warding Bond</t>
  </si>
  <si>
    <t>V, S, M (a pair of platinum rings worth at least 50 gp each, which you and the target must wear for the duration)</t>
  </si>
  <si>
    <t>This spell wards a willing creature you touch and creates a mystic connection between you and the target until the spell ends. While the target is within 60 feet of you, it gains a +1 bonus to AC and saving throws, and it has resistance to all damage. Also, each time it takes damage, you take the same amount of damage.
The spell ends if you drop to 0 hit points or if you and the target become separated by more than 60 feet. It also ends if the spell is cast again on either of the connected creatures. You can also dismiss the spell as an action.</t>
  </si>
  <si>
    <t>Water Breathing</t>
  </si>
  <si>
    <t>V, S, M (a short reed or piece of straw)</t>
  </si>
  <si>
    <t>This spell grants up to ten willing creatures you can see within range the ability to breathe underwater until the spell ends. Affected creatures also retain their normal mode of respiration.</t>
  </si>
  <si>
    <t>Water Walk</t>
  </si>
  <si>
    <t>V, S, M (a piece of cork)</t>
  </si>
  <si>
    <t>This spell grants the ability to move across any liquid surface—such as water, acid, mud, snow, quicksand, or lava—as if it were harmless solid ground (creatures crossing molten lava can still take damage from the heat). Up to ten willing creatures you can see within range gain this ability for the duration.
If you target a creature submerged in a liquid, the spell carries the target to the surface of the liquid at a rate of 60 feet per round.</t>
  </si>
  <si>
    <t>Web</t>
  </si>
  <si>
    <t>V, S, M (a bit of spiderweb)</t>
  </si>
  <si>
    <t>You conjure a mass of thick, sticky webbing at a point of your choice within range. The webs fill a 20-foot cube from that point for the duration. The webs are difficult terrain and lightly obscure their area.
If the webs aren’t anchored between two solid masses (such as walls or trees) or layered across a floor, wall, or ceiling, the conjured web collapses on itself, and the spell ends at the start of your next turn. Webs layered over a flat surface have a depth of 5 feet.
Each creature that starts its turn in the webs or that enters them during its turn must make a Dexterity saving throw. On a failed save, the creature is restrained as long as it remains in the webs or until it breaks free.
A creature restrained by the webs can use its action to make a Strength check against your spell save DC. If it succeeds, it is no longer restrained.
The webs are flammable. Any 5-foot cube of webs exposed to fire burns away in 1 round, dealing 2d4 fire damage to any creature that starts its turn in the fire.</t>
  </si>
  <si>
    <t>Weird</t>
  </si>
  <si>
    <t>9th-level illusion</t>
  </si>
  <si>
    <t>Concentration, up to one minute</t>
  </si>
  <si>
    <t>Drawing on the deepest fears of a group of creatures, you create illusory creatures in their minds, visible only to them. Each creature in a 30-foot-radius sphere centered on a point of your choice within range must make a Wisdom saving throw. On a failed save, a creature becomes frightened for the duration. The illusion calls on the creature’s deepest fears, manifesting its worst nightmares as an implacable threat. At the start of each of the frightened creature’s turns, it must succeed on a Wisdom saving throw or take 4d10 psychic damage. On a successful save, the spell ends for that creature.</t>
  </si>
  <si>
    <t>Wind Walk</t>
  </si>
  <si>
    <t>V, S, M (fire and holy water)</t>
  </si>
  <si>
    <t>You and up to ten willing creatures you can see within range assume a gaseous form for the duration, appearing as wisps of cloud. While in this cloud form, a creature has a flying speed of 300 feet and has resistance to damage from nonmagical weapons. The only actions a creature can take in this form are the Dash action or to revert to its normal form. Reverting takes 1 minute, during which time a creature is incapacitated and can’t move. Until the spell ends, a creature can revert to cloud form, which also requires the 1-minute transformation.
If a creature is in cloud form and flying when the effect ends, the creature descends 60 feet per round for 1 minute until it lands, which it does safely. If it can’t land after 1 minute, the creature falls the remaining distance.</t>
  </si>
  <si>
    <t>Wind Wall</t>
  </si>
  <si>
    <t>V, S, M (a tiny fan and a feather of exotic origin)</t>
  </si>
  <si>
    <t>A wall of strong wind rises from the ground at a point you choose within range. You can make the wall up to 50 feet long, 15 feet high, and 1 foot thick. You can shape the wall in any way you choose so long as it makes one continuous path along the ground. The wall lasts for the duration.
When the wall appears, each creature within its area must make a Strength saving throw. A creature takes 3d8 bludgeoning damage on a failed save, or half as much damage on a successful one.
The strong wind keeps fog, smoke, and other gases at bay. Small or smaller flying creatures or objects can’t pass through the wall. Loose, lightweight materials brought into the wall fly upward. Arrows, bolts, and other ordinary projectiles launched at targets behind the wall are deflected upward and automatically miss. (Boulders hurled by giants or siege engines, and similar projectiles, are unaffected.) Creatures in gaseous form can’t pass through it.</t>
  </si>
  <si>
    <t>Wish</t>
  </si>
  <si>
    <t>Wish is the mightiest spell a mortal creature can
cast. By simply speaking aloud, you can alter the very
foundations o f reality in accord with your desires.
The basic use o f this spell is to duplicate any other
spell o f 8th level or lower. You don’t need to meet any
requirements in that spell, including costly components.
The spell simply takes effect.
Alternatively, you can create one o f the following
effects o f your choice:
• You create one object o f up to 25,000 gp in value that
isn’t a magic item. The object can be no more than
300 feet in any dimension, and it appears in an unoccupied
space you can see on the ground.
• You allow up to twenty creatures that you can see to
regain all hit points, and you end all effects on them
described in the greater restoration spell.
• You grant up to ten creatures that you can see resistance
to a damage type you choose.
• You grant up to ten creatures you can see immunity to
a single spell or other magical effect for 8 hours. For
instance, you could make yourself and all your companions
immune to a lich’s life drain attack.
• You undo a single recent event by forcing a reroll of
any roll made within the last round (including your
last turn). Reality reshapes itself to accommodate the
new result. For example, a wish spell could undo an
opponent’s successful save, a foe’s critical hit, or a
friend’s failed save. You can force the reroll to be made
with advantage or disadvantage, and you can choose
whether to use the reroll or the original roll.
You might be able to achieve something beyond the
scope o f the above examples. State your wish to the DM
as precisely as possible. The DM has great latitude in
ruling what occurs in such an instance; the greater the
wish, the greater the likelihood that something goes
wrong. This spell might simply fail, the effect you desire
might only be partly achieved, or you might suffer some
unforeseen consequence as a result o f how you worded
the wish. For example, wishing that a villain w ere dead
might propel you forward in time to a period when that
villain is no longer alive, effectively removing you from
the game. Similarly, wishing for a legendary magic item
or artifact might instantly transport you to the presence
o f the item’s current owner.
The stress o f casting this spell to produce any effect
other than duplicating another spell w eakens you. After
enduring that stress, each time you cast a spell until
you finish a long rest, you take 1d10 necrotic damage
per level o f that spell. This damage can’t be reduced or
prevented in any way. In addition, your Strength drops
to 3, if it isn’t 3 or lower already, for 2d4 days. For each
o f those days that you spend resting and doing nothing
more than light activity, your remaining recovery time
decreases by 2 days. Finally, there is a 33 percent
chance that you are unable to cast wish ever again if you
suffer this stress.</t>
  </si>
  <si>
    <t>Witch Bolt</t>
  </si>
  <si>
    <t>V, S, M (a twig from a tree that has been struck by lightning)</t>
  </si>
  <si>
    <t>A beam of crackling, blue energy lances out toward a creature within range, forming a sustained arc of lightning between you and the target. Make a ranged spell attack against that creature. On a hit, the target takes 1d12 lightning damage, and on each of your turns for the duration, you can use your action to deal 1d12 lightning damage to the target automatically. The spell ends if you use your action to do anything else. The spell also ends if the target is ever outside the spell’s range or if it has total cover from you.
At Higher Levels. When you cast this spell using a spell slot of 2nd level or higher, the initial damage increases by 1d12 for each slot level above 1st.</t>
  </si>
  <si>
    <t>Word of Recall</t>
  </si>
  <si>
    <t>You and up to five willing creatures within 5 feet of you instantly teleport to a previously designated sanctuary. You and any creatures that teleport with you appear in the nearest unoccupied space to the spot you designated when you prepared your sanctuary (see below). If you cast this spell without first preparing a sanctuary, the spell has no effect.
You must designate a sanctuary by casting this spell within a location, such as a temple, dedicated to or strongly linked to your deity. If you attempt to cast the spell in this manner in an area that isn’t dedicated to your deity, the spell has no effect.</t>
  </si>
  <si>
    <t>Wrathful Smite</t>
  </si>
  <si>
    <t>The next time you hit with a melee weapon attack during this spell’s duration, your attack deals an extra 1d6 psychic damage. Additionally, if the target is a creature, it must make a Wisdom saving throw or be frightened of you until the spell ends. As an action, the creature can make a Wisdom check against your spell save DC to steel its resolve and end this spell.</t>
  </si>
  <si>
    <t>Zone of Truth</t>
  </si>
  <si>
    <t>You create a magical zone that guards against deception in a 15-foot-radius sphere centered on a point of your choice within range. Until the spell ends, a creature that enters the spell’s area for the first time on a turn or starts its turn there must make a Charisma saving throw. On a failed save, a creature can’t speak a deliberate lie while in the radius. You know whether each creature succeeds or fails on its saving throw.
An affected creature is aware of the spell and can thus avoid answering questions to which it would normally respond with a lie. Such a creature can be evasive in its answers as long as it remains within the boundaries of the truth.</t>
  </si>
  <si>
    <t>VARIABLES</t>
  </si>
  <si>
    <t>Fighting style</t>
  </si>
  <si>
    <t>Wildmage</t>
  </si>
  <si>
    <t>Discredited academic</t>
  </si>
  <si>
    <t>Changeling</t>
  </si>
  <si>
    <t>Shapechanger</t>
  </si>
  <si>
    <t>Duplicity</t>
  </si>
  <si>
    <t>Shifter</t>
  </si>
  <si>
    <t>Orcish</t>
  </si>
  <si>
    <t>Beasthide</t>
  </si>
  <si>
    <t>Cliffwalk</t>
  </si>
  <si>
    <t>Longstride</t>
  </si>
  <si>
    <t>Longtooth</t>
  </si>
  <si>
    <t>Razorclaw</t>
  </si>
  <si>
    <t>Wildhunt</t>
  </si>
  <si>
    <t>Shifting (Cliffwalk)</t>
  </si>
  <si>
    <t>Shifting (Longstride)</t>
  </si>
  <si>
    <t>Shifting (Longtooth)</t>
  </si>
  <si>
    <t>Shifting (Razorclaw)</t>
  </si>
  <si>
    <t>Shifting (Wildhunt)</t>
  </si>
  <si>
    <t>Shifting (beasthide)</t>
  </si>
  <si>
    <t>Composite Plating</t>
  </si>
  <si>
    <t>Living Construct</t>
  </si>
  <si>
    <t>Carrying Capacity</t>
  </si>
  <si>
    <t xml:space="preserve"> Push, Drag, or Lift</t>
  </si>
  <si>
    <t>Simple</t>
  </si>
  <si>
    <t>Item 1</t>
  </si>
  <si>
    <t>Item 2</t>
  </si>
  <si>
    <t>Item 3</t>
  </si>
  <si>
    <t>Item 4</t>
  </si>
  <si>
    <t>Item 5</t>
  </si>
  <si>
    <t>Item 6</t>
  </si>
  <si>
    <t>Item 7</t>
  </si>
  <si>
    <t>holy symbol</t>
  </si>
  <si>
    <t>prayer book</t>
  </si>
  <si>
    <t>vestments</t>
  </si>
  <si>
    <t>common clothes</t>
  </si>
  <si>
    <t>belt pouch</t>
  </si>
  <si>
    <t>5 sticks incense</t>
  </si>
  <si>
    <t>crowbar</t>
  </si>
  <si>
    <t>dark common clothes with hood</t>
  </si>
  <si>
    <t>herbalism kit</t>
  </si>
  <si>
    <t>Money, gp</t>
  </si>
  <si>
    <t>Artisan's tools</t>
  </si>
  <si>
    <t>Shovel</t>
  </si>
  <si>
    <t>Iron pot</t>
  </si>
  <si>
    <t>scroll of pedigree</t>
  </si>
  <si>
    <t>fine clothes</t>
  </si>
  <si>
    <t>signet ring</t>
  </si>
  <si>
    <t>purse</t>
  </si>
  <si>
    <t>bottle of black ink</t>
  </si>
  <si>
    <t>quill</t>
  </si>
  <si>
    <t>small knife</t>
  </si>
  <si>
    <t>a letter from a dead colleague posing a question you have not yet been able to answe</t>
  </si>
  <si>
    <t>insignia of rank</t>
  </si>
  <si>
    <t>trophy taken form a fallen enemy</t>
  </si>
  <si>
    <t>gaming set</t>
  </si>
  <si>
    <t>tools of the con of your choice (ten stoppered bottles filled with colored liquid, a set of weighted dice, a deck of marked cards, or a signet ring of an imaginary duke)</t>
  </si>
  <si>
    <t>Item to choose 1</t>
  </si>
  <si>
    <t>Item to choose 2</t>
  </si>
  <si>
    <t xml:space="preserve"> favor of an admirer</t>
  </si>
  <si>
    <t>Letter of introduction from your guild</t>
  </si>
  <si>
    <t>traveler's clothes</t>
  </si>
  <si>
    <t>A scroll case stuffed full of notes from your studies or prayers</t>
  </si>
  <si>
    <t>winter blanket</t>
  </si>
  <si>
    <t>staff</t>
  </si>
  <si>
    <t>hunting trap</t>
  </si>
  <si>
    <t>a trophy from an animal you killed</t>
  </si>
  <si>
    <t>a lucky charm such as a rabbit foot or a small stone with a hole in the center (or you may roll for a random trinket on the Trinkets table in chapter 5)</t>
  </si>
  <si>
    <t>club</t>
  </si>
  <si>
    <t>silk rope (50ft)</t>
  </si>
  <si>
    <t>a token to remember your parents by</t>
  </si>
  <si>
    <t>pet mouse</t>
  </si>
  <si>
    <t>map of the city</t>
  </si>
  <si>
    <t>Clothes</t>
  </si>
  <si>
    <t>explorer's pack</t>
  </si>
  <si>
    <t>Pack 1</t>
  </si>
  <si>
    <t>Pack 2</t>
  </si>
  <si>
    <t>diplomat's pack</t>
  </si>
  <si>
    <t>musical instrument</t>
  </si>
  <si>
    <t>leather armor</t>
  </si>
  <si>
    <t>dagger</t>
  </si>
  <si>
    <t>scale mail</t>
  </si>
  <si>
    <t>chainmail</t>
  </si>
  <si>
    <t>priest's pack</t>
  </si>
  <si>
    <t>druidic focus</t>
  </si>
  <si>
    <t>dungeoneer's pack</t>
  </si>
  <si>
    <t>longbow</t>
  </si>
  <si>
    <t>burglar's pack</t>
  </si>
  <si>
    <t>thieves tools</t>
  </si>
  <si>
    <t>scholar's pack</t>
  </si>
  <si>
    <t>spellbook</t>
  </si>
  <si>
    <t>Pack 3</t>
  </si>
  <si>
    <t>Armor 1</t>
  </si>
  <si>
    <t>Armor 2</t>
  </si>
  <si>
    <t>Armor 3</t>
  </si>
  <si>
    <t>To choose</t>
  </si>
  <si>
    <t>arcane focus</t>
  </si>
  <si>
    <t>Quantity 1</t>
  </si>
  <si>
    <t>Quantity 2</t>
  </si>
  <si>
    <t>shield</t>
  </si>
  <si>
    <t>dart</t>
  </si>
  <si>
    <t>arrows</t>
  </si>
  <si>
    <t>Quantity 3</t>
  </si>
  <si>
    <t>Burglar's Pack</t>
  </si>
  <si>
    <t>backpack</t>
  </si>
  <si>
    <t>Bag of 1000 ball bearing</t>
  </si>
  <si>
    <t>bell</t>
  </si>
  <si>
    <t>candles</t>
  </si>
  <si>
    <t>string 10 ft</t>
  </si>
  <si>
    <t>hammer</t>
  </si>
  <si>
    <t>pilon</t>
  </si>
  <si>
    <t>hooded lanter</t>
  </si>
  <si>
    <t>flask of oil</t>
  </si>
  <si>
    <t>day ration</t>
  </si>
  <si>
    <t>linderbox</t>
  </si>
  <si>
    <t>waterskin</t>
  </si>
  <si>
    <t>hempen rope 50 ft</t>
  </si>
  <si>
    <t>chest</t>
  </si>
  <si>
    <t>case for maps and scrolls</t>
  </si>
  <si>
    <t>bottle of ink</t>
  </si>
  <si>
    <t>ink pen</t>
  </si>
  <si>
    <t>lamp</t>
  </si>
  <si>
    <t>sheet of paper</t>
  </si>
  <si>
    <t>vial of perfume</t>
  </si>
  <si>
    <t>sealing wax</t>
  </si>
  <si>
    <t>soap</t>
  </si>
  <si>
    <t>Diplomat's Pack</t>
  </si>
  <si>
    <t>Dungeoneer's Pack</t>
  </si>
  <si>
    <t>torch</t>
  </si>
  <si>
    <t>bedroll</t>
  </si>
  <si>
    <t>costume</t>
  </si>
  <si>
    <t>candle</t>
  </si>
  <si>
    <t>disguise kit</t>
  </si>
  <si>
    <t>Entertainer's Pack</t>
  </si>
  <si>
    <t>mess kit</t>
  </si>
  <si>
    <t>Priest's Pack</t>
  </si>
  <si>
    <t>blanket</t>
  </si>
  <si>
    <t>block of incense</t>
  </si>
  <si>
    <t>censer</t>
  </si>
  <si>
    <t>alms box</t>
  </si>
  <si>
    <t>tinderbox</t>
  </si>
  <si>
    <t>Scholar's Pack</t>
  </si>
  <si>
    <t>book of lore</t>
  </si>
  <si>
    <t>sheet of parchment</t>
  </si>
  <si>
    <t>little bag of sand</t>
  </si>
  <si>
    <t>Item 8</t>
  </si>
  <si>
    <t>Item 9</t>
  </si>
  <si>
    <t>Item 10</t>
  </si>
  <si>
    <t>Quantity 4</t>
  </si>
  <si>
    <t>Quantity 5</t>
  </si>
  <si>
    <t>Quantity 6</t>
  </si>
  <si>
    <t>Quantity 7</t>
  </si>
  <si>
    <t>Quantity 8</t>
  </si>
  <si>
    <t>Quantity 9</t>
  </si>
  <si>
    <t>Quantity 10</t>
  </si>
  <si>
    <t>Item 11</t>
  </si>
  <si>
    <t>Quantity 11</t>
  </si>
  <si>
    <t>Item 12</t>
  </si>
  <si>
    <t>Quantity 12</t>
  </si>
  <si>
    <t>Item 13</t>
  </si>
  <si>
    <t>Quantity 13</t>
  </si>
  <si>
    <t>Item 14</t>
  </si>
  <si>
    <t>Quantity 14</t>
  </si>
  <si>
    <t>Item 15</t>
  </si>
  <si>
    <t>Quantity 15</t>
  </si>
  <si>
    <t>Item 16</t>
  </si>
  <si>
    <t>Quantity 16</t>
  </si>
  <si>
    <t>Item 17</t>
  </si>
  <si>
    <t>Quantity 17</t>
  </si>
  <si>
    <t>Item 18</t>
  </si>
  <si>
    <t>Quantity 18</t>
  </si>
  <si>
    <t>Item 19</t>
  </si>
  <si>
    <t>Quantity 19</t>
  </si>
  <si>
    <t>Item 20</t>
  </si>
  <si>
    <t>Quantity 20</t>
  </si>
  <si>
    <t>Weapon 1</t>
  </si>
  <si>
    <t>Weapon 2</t>
  </si>
  <si>
    <t>Weapon 3</t>
  </si>
  <si>
    <t>Weapon 4</t>
  </si>
  <si>
    <t>Weapon 5</t>
  </si>
  <si>
    <t>Weapon 6</t>
  </si>
  <si>
    <t>Weapon 7</t>
  </si>
  <si>
    <t>Weapon 8</t>
  </si>
  <si>
    <t>Weapon 9</t>
  </si>
  <si>
    <t>Weapon 10</t>
  </si>
  <si>
    <t>Weapon 11</t>
  </si>
  <si>
    <t>Weapon 12</t>
  </si>
  <si>
    <t>Weapon 13</t>
  </si>
  <si>
    <t>Weapon 14</t>
  </si>
  <si>
    <t>Weapon 15</t>
  </si>
  <si>
    <t>Weapon 16</t>
  </si>
  <si>
    <t>Weapon 17</t>
  </si>
  <si>
    <t>Weapon 18</t>
  </si>
  <si>
    <t>Weapon 19</t>
  </si>
  <si>
    <t>Weapon 20</t>
  </si>
  <si>
    <t>Weapon 21</t>
  </si>
  <si>
    <t>Weapon 22</t>
  </si>
  <si>
    <t>Weapon 23</t>
  </si>
  <si>
    <t>Weapon 24</t>
  </si>
  <si>
    <t>Weapon 25</t>
  </si>
  <si>
    <t>Weapon 26</t>
  </si>
  <si>
    <t>Weapon 27</t>
  </si>
  <si>
    <t>Weapon 28</t>
  </si>
  <si>
    <t>Weapon 29</t>
  </si>
  <si>
    <t>Weapon 30</t>
  </si>
  <si>
    <t>Weapon 31</t>
  </si>
  <si>
    <t>Weapon 32</t>
  </si>
  <si>
    <t>Weapon 33</t>
  </si>
  <si>
    <t>Weapon 34</t>
  </si>
  <si>
    <t>Weapon 35</t>
  </si>
  <si>
    <t>Weapon 36</t>
  </si>
  <si>
    <t>Weapon 37</t>
  </si>
  <si>
    <t>Weapon 38</t>
  </si>
  <si>
    <t>Weapon 39</t>
  </si>
  <si>
    <t>Weapon 40</t>
  </si>
  <si>
    <t>Conditional weapon</t>
  </si>
  <si>
    <t>Bolts</t>
  </si>
  <si>
    <t>Arrows</t>
  </si>
  <si>
    <t>armor</t>
  </si>
  <si>
    <t>w1</t>
  </si>
  <si>
    <t>w2</t>
  </si>
  <si>
    <t>w3</t>
  </si>
  <si>
    <t>Javelins</t>
  </si>
  <si>
    <t>Condition</t>
  </si>
  <si>
    <t>Condition = true</t>
  </si>
  <si>
    <t>shortbow</t>
  </si>
  <si>
    <t>Light crossbow</t>
  </si>
  <si>
    <t>Heavy crossbow</t>
  </si>
  <si>
    <t>Hand crossbow</t>
  </si>
  <si>
    <t>bolts</t>
  </si>
  <si>
    <t>javelins</t>
  </si>
  <si>
    <t>Weapon 5 (conditional)</t>
  </si>
  <si>
    <t>armor 1</t>
  </si>
  <si>
    <t>weapon 1</t>
  </si>
  <si>
    <t>weapon 2</t>
  </si>
  <si>
    <t>weapon 3</t>
  </si>
  <si>
    <t>weapon 4</t>
  </si>
  <si>
    <t>weapon 5</t>
  </si>
  <si>
    <t>Item name</t>
  </si>
  <si>
    <t>Cost, gp</t>
  </si>
  <si>
    <t>wght</t>
  </si>
  <si>
    <t>cost</t>
  </si>
  <si>
    <t>qnt</t>
  </si>
  <si>
    <t>Chainmail</t>
  </si>
  <si>
    <t>Weapon 1 Variants</t>
  </si>
  <si>
    <t>Weapon 2 Variants</t>
  </si>
  <si>
    <t>Selectable items</t>
  </si>
  <si>
    <t>Essential items</t>
  </si>
  <si>
    <t>artisan's tools</t>
  </si>
  <si>
    <t>Selectable item</t>
  </si>
  <si>
    <t>Variant 1</t>
  </si>
  <si>
    <t>Variant 2</t>
  </si>
  <si>
    <t>Class tools</t>
  </si>
  <si>
    <t>Gaming Set</t>
  </si>
  <si>
    <t>Life</t>
  </si>
  <si>
    <t>Sunlight Sensitivity</t>
  </si>
  <si>
    <t>Charisma</t>
  </si>
  <si>
    <t>Wisdom</t>
  </si>
  <si>
    <t>Dexterity</t>
  </si>
  <si>
    <t>Intelligence</t>
  </si>
  <si>
    <t>Druidic</t>
  </si>
  <si>
    <t>Goat</t>
  </si>
  <si>
    <t>Musical Instrument</t>
  </si>
  <si>
    <t>Navigator's tools</t>
  </si>
  <si>
    <t>Copper</t>
  </si>
  <si>
    <t>Silver</t>
  </si>
  <si>
    <t>Gold</t>
  </si>
  <si>
    <t>location</t>
  </si>
  <si>
    <t>character</t>
  </si>
  <si>
    <t>Magic Items Equipped by Slot</t>
  </si>
  <si>
    <t>Belt/Waist Slot</t>
  </si>
  <si>
    <t>0 lbs</t>
  </si>
  <si>
    <t>Body Slot</t>
  </si>
  <si>
    <t>Chest/Torso Slot</t>
  </si>
  <si>
    <t>Eyes/Face Slot</t>
  </si>
  <si>
    <t>Feet Slot</t>
  </si>
  <si>
    <t>Hand Slot</t>
  </si>
  <si>
    <t>Head Slot</t>
  </si>
  <si>
    <t>Headband Slot</t>
  </si>
  <si>
    <t>Neck Slot</t>
  </si>
  <si>
    <t>Ring Slot (RH)</t>
  </si>
  <si>
    <t>Ring Slot (LH)</t>
  </si>
  <si>
    <t>Shoulder Slot</t>
  </si>
  <si>
    <t>Wrist/Arm Slot</t>
  </si>
  <si>
    <t>Total Weight Carried lbs</t>
  </si>
  <si>
    <t>mount</t>
  </si>
  <si>
    <t>vehicle</t>
  </si>
  <si>
    <t>storage</t>
  </si>
  <si>
    <t>name</t>
  </si>
  <si>
    <t>Aasimar</t>
  </si>
  <si>
    <t>Celestial Resistance</t>
  </si>
  <si>
    <t>Celestial Legacy</t>
  </si>
  <si>
    <t>Eladrin</t>
  </si>
  <si>
    <t>Fey Step</t>
  </si>
  <si>
    <t>race</t>
  </si>
  <si>
    <t>gender</t>
  </si>
  <si>
    <t>background</t>
  </si>
  <si>
    <t>Expertise1</t>
  </si>
  <si>
    <t>Expertise2</t>
  </si>
  <si>
    <t>Expertise3</t>
  </si>
  <si>
    <t>Expertise4</t>
  </si>
  <si>
    <t>Список классов и количество уровней</t>
  </si>
  <si>
    <t>Aarakocra</t>
  </si>
  <si>
    <t>Bullywug</t>
  </si>
  <si>
    <t>Gnol</t>
  </si>
  <si>
    <t>Deep Gnome</t>
  </si>
  <si>
    <t>Grimlock</t>
  </si>
  <si>
    <t>Hobgoblin</t>
  </si>
  <si>
    <t>Kenku</t>
  </si>
  <si>
    <t>Kobold</t>
  </si>
  <si>
    <t>Kuo-toa</t>
  </si>
  <si>
    <t>Lizardfolk</t>
  </si>
  <si>
    <t>Merfolk</t>
  </si>
  <si>
    <t>-2</t>
  </si>
  <si>
    <t>2</t>
  </si>
  <si>
    <t>-4</t>
  </si>
  <si>
    <t>Troglodyte</t>
  </si>
  <si>
    <t>Dive attack</t>
  </si>
  <si>
    <t>Amphibious</t>
  </si>
  <si>
    <t>Speak with Frogs and Toads</t>
  </si>
  <si>
    <t>Swamp Camouflage</t>
  </si>
  <si>
    <t>Standing Leap</t>
  </si>
  <si>
    <t>Auran</t>
  </si>
  <si>
    <t>Rampage</t>
  </si>
  <si>
    <t>Innate Spellcasting (deep gnome)</t>
  </si>
  <si>
    <t>Stone Camouflage</t>
  </si>
  <si>
    <t>Aquan</t>
  </si>
  <si>
    <t>Blind Senses</t>
  </si>
  <si>
    <t>Keen Hearing and Smell</t>
  </si>
  <si>
    <t>Martial Advantage</t>
  </si>
  <si>
    <t>Ambusher</t>
  </si>
  <si>
    <t>Mimicry</t>
  </si>
  <si>
    <t>Pack Tactics</t>
  </si>
  <si>
    <t>Otherworldly Perception</t>
  </si>
  <si>
    <t>Slippery</t>
  </si>
  <si>
    <t>Hold Breath</t>
  </si>
  <si>
    <t>Aggressive</t>
  </si>
  <si>
    <t>Nimble Escape</t>
  </si>
  <si>
    <t>Chameleon Skin</t>
  </si>
  <si>
    <t>Stench</t>
  </si>
  <si>
    <t>Language 3</t>
  </si>
  <si>
    <t>Standard Array</t>
  </si>
  <si>
    <t/>
  </si>
  <si>
    <t>Hadarai</t>
  </si>
  <si>
    <t>Archetype</t>
  </si>
  <si>
    <t>Skills and Saving Throws</t>
  </si>
  <si>
    <t>Primeval Awareness</t>
  </si>
  <si>
    <t>Ability Score Improvement</t>
  </si>
  <si>
    <t>Extra Attack</t>
  </si>
  <si>
    <t>Ranger Archetype Feature</t>
  </si>
  <si>
    <t>Land's Stride</t>
  </si>
  <si>
    <t>Hide in Plain Sight</t>
  </si>
  <si>
    <t>Vanish</t>
  </si>
  <si>
    <t>Feral Senses</t>
  </si>
  <si>
    <t>Foe Slayer</t>
  </si>
  <si>
    <t>Martial Archetype Feature</t>
  </si>
  <si>
    <t>Extra Attack (2)</t>
  </si>
  <si>
    <t>Extra Attack (3)</t>
  </si>
  <si>
    <t>Sacred Oath</t>
  </si>
  <si>
    <t>Divine Smite</t>
  </si>
  <si>
    <t>Primal Path</t>
  </si>
  <si>
    <t>Jack of All Trades</t>
  </si>
  <si>
    <t>Bard College</t>
  </si>
  <si>
    <t>Divine Domain Feature</t>
  </si>
  <si>
    <t>Monastic Tradition</t>
  </si>
  <si>
    <t>Deflect Missiles</t>
  </si>
  <si>
    <t>Roguish Archetype</t>
  </si>
  <si>
    <t>Metamagic</t>
  </si>
  <si>
    <t>Eldritch Invocations</t>
  </si>
  <si>
    <t>Pact Boon</t>
  </si>
  <si>
    <t>Spell caster Progression</t>
  </si>
  <si>
    <t xml:space="preserve">Spellcaster /3 </t>
  </si>
  <si>
    <t>Spell caster /2</t>
  </si>
  <si>
    <t>BARD</t>
  </si>
  <si>
    <t>DRUID</t>
  </si>
  <si>
    <t>FIGHTER</t>
  </si>
  <si>
    <t>MONK</t>
  </si>
  <si>
    <t>PALADIN</t>
  </si>
  <si>
    <t>RANGER</t>
  </si>
  <si>
    <t>ROGUE</t>
  </si>
  <si>
    <t>WARLOCK</t>
  </si>
  <si>
    <t>WIZARd</t>
  </si>
  <si>
    <t>BARBARIAN</t>
  </si>
  <si>
    <t>With backpack</t>
  </si>
  <si>
    <t>Without backpack</t>
  </si>
  <si>
    <t>Variant 3</t>
  </si>
  <si>
    <t>Variant 4</t>
  </si>
  <si>
    <t>Variant 5</t>
  </si>
  <si>
    <t>Ability Score minimum</t>
  </si>
  <si>
    <t>Strength or Dexterity</t>
  </si>
  <si>
    <t>Dexterity and Wisdom</t>
  </si>
  <si>
    <t>Strength and Charisma</t>
  </si>
  <si>
    <t>Simple Weapons</t>
  </si>
  <si>
    <t>Martial Weapons</t>
  </si>
  <si>
    <t>light armor</t>
  </si>
  <si>
    <t>one skill</t>
  </si>
  <si>
    <t>one musical instrument</t>
  </si>
  <si>
    <t>medium armor</t>
  </si>
  <si>
    <t>shields</t>
  </si>
  <si>
    <t>Shortswords</t>
  </si>
  <si>
    <t>thieve's tools</t>
  </si>
  <si>
    <t>Multiclassing</t>
  </si>
  <si>
    <t>Arcane Tradition Feature</t>
  </si>
  <si>
    <t>Spell Mastery</t>
  </si>
  <si>
    <t>Signature Spell</t>
  </si>
  <si>
    <t>Fast Movement</t>
  </si>
  <si>
    <t>Feral Instinct</t>
  </si>
  <si>
    <t>Relentless Rage</t>
  </si>
  <si>
    <t>Persistent Rage</t>
  </si>
  <si>
    <t>Indomitable Might</t>
  </si>
  <si>
    <t>Primal Champion</t>
  </si>
  <si>
    <t>Font of Inspiration</t>
  </si>
  <si>
    <t>Countercharm</t>
  </si>
  <si>
    <t>Bard College Feature</t>
  </si>
  <si>
    <t>Unarmored Defense</t>
  </si>
  <si>
    <t>Magical Secrets</t>
  </si>
  <si>
    <t>Superior Inspiration</t>
  </si>
  <si>
    <t>Divine Intervention</t>
  </si>
  <si>
    <t>Divine Intervention Improvement</t>
  </si>
  <si>
    <t>Wild Shape Improvement</t>
  </si>
  <si>
    <t>Druid Circle Feature</t>
  </si>
  <si>
    <t>Timeless Body</t>
  </si>
  <si>
    <t>Beast Spells</t>
  </si>
  <si>
    <t>Archdruid</t>
  </si>
  <si>
    <t>Stunning Strike</t>
  </si>
  <si>
    <t>Ki-Empowered Strikes</t>
  </si>
  <si>
    <t>Monastic Tradition Feature</t>
  </si>
  <si>
    <t>Evasion</t>
  </si>
  <si>
    <t>Stillness of Mind</t>
  </si>
  <si>
    <t>Unarmored Movement Improvement</t>
  </si>
  <si>
    <t>Purity of Body</t>
  </si>
  <si>
    <t>Tongue of the Sun and Moon</t>
  </si>
  <si>
    <t>Diamond Soul</t>
  </si>
  <si>
    <t>Empty Body</t>
  </si>
  <si>
    <t>Perfect Self</t>
  </si>
  <si>
    <t>Aura of Protection</t>
  </si>
  <si>
    <t>Sacred Oath Feature</t>
  </si>
  <si>
    <t>Aura improvements</t>
  </si>
  <si>
    <t>Cleansing Touch</t>
  </si>
  <si>
    <t>Improved Divine Smite</t>
  </si>
  <si>
    <t>Aura of Courage</t>
  </si>
  <si>
    <t>Uncanny Dodge</t>
  </si>
  <si>
    <t>Roguish Archetype Feature</t>
  </si>
  <si>
    <t>Reliable Talent</t>
  </si>
  <si>
    <t>Blindsense</t>
  </si>
  <si>
    <t>Slippery Mind</t>
  </si>
  <si>
    <t>Elusive</t>
  </si>
  <si>
    <t>Stroke of Luck</t>
  </si>
  <si>
    <t>Sorcerous Restoration</t>
  </si>
  <si>
    <t>Sorcerous Origin Feature</t>
  </si>
  <si>
    <t>Otherworldly Patron Feature</t>
  </si>
  <si>
    <t>Eldritch Master</t>
  </si>
  <si>
    <t>ARCHETYPE</t>
  </si>
  <si>
    <t>ARCHETYPE FEATURE</t>
  </si>
  <si>
    <t>School of Abjuration</t>
  </si>
  <si>
    <t>School of Conjuration</t>
  </si>
  <si>
    <t>School of Divination</t>
  </si>
  <si>
    <t>School of Enchantment</t>
  </si>
  <si>
    <t>School of Evocation</t>
  </si>
  <si>
    <t>School of Illusion</t>
  </si>
  <si>
    <t>School of Necromancy</t>
  </si>
  <si>
    <t>School of Transmutation</t>
  </si>
  <si>
    <t>Artificier</t>
  </si>
  <si>
    <t>College of Lore</t>
  </si>
  <si>
    <t>College of Valor</t>
  </si>
  <si>
    <t>Life Domain</t>
  </si>
  <si>
    <t>Light Domain</t>
  </si>
  <si>
    <t>Nature Domain</t>
  </si>
  <si>
    <t>Tempest Domain</t>
  </si>
  <si>
    <t>Knowledge Domain</t>
  </si>
  <si>
    <t>Trickery Domain</t>
  </si>
  <si>
    <t>War Domain</t>
  </si>
  <si>
    <t>Death Domain</t>
  </si>
  <si>
    <t>Circle of the Land</t>
  </si>
  <si>
    <t>Circle of the Moon</t>
  </si>
  <si>
    <t>Battlemaster</t>
  </si>
  <si>
    <t>Champion</t>
  </si>
  <si>
    <t>Eldritch Knight</t>
  </si>
  <si>
    <t>Way of the Open Hand</t>
  </si>
  <si>
    <t>Way of the Four Elements</t>
  </si>
  <si>
    <t>Way of Shadow</t>
  </si>
  <si>
    <t>Arctic</t>
  </si>
  <si>
    <t>Coast</t>
  </si>
  <si>
    <t>Desert</t>
  </si>
  <si>
    <t>Forest</t>
  </si>
  <si>
    <t>Grassland</t>
  </si>
  <si>
    <t>Mountain</t>
  </si>
  <si>
    <t>Swamp</t>
  </si>
  <si>
    <t>Underdark</t>
  </si>
  <si>
    <t>the Archfey</t>
  </si>
  <si>
    <t>the Fiend</t>
  </si>
  <si>
    <t>the Great Old One</t>
  </si>
  <si>
    <t>Pact of the Chain</t>
  </si>
  <si>
    <t>Pact of the Blade</t>
  </si>
  <si>
    <t>Pact of the Tome</t>
  </si>
  <si>
    <t>Path of the Berserker</t>
  </si>
  <si>
    <t>Path of the Totem Warrior</t>
  </si>
  <si>
    <t>Hunter</t>
  </si>
  <si>
    <t>Beast Master</t>
  </si>
  <si>
    <t>Thief</t>
  </si>
  <si>
    <t>Assasin</t>
  </si>
  <si>
    <t>Arcane Trickster</t>
  </si>
  <si>
    <t>Oath of Devotion</t>
  </si>
  <si>
    <t>Oath of the Ancients</t>
  </si>
  <si>
    <t>Oath of Vengeance</t>
  </si>
  <si>
    <t>Oathbreaker</t>
  </si>
  <si>
    <t>Draconic Bloodline</t>
  </si>
  <si>
    <t>Mystic Arcanum</t>
  </si>
  <si>
    <t>Fighting Style</t>
  </si>
  <si>
    <t>Destroy Undead</t>
  </si>
  <si>
    <t>Archery</t>
  </si>
  <si>
    <t>Defense</t>
  </si>
  <si>
    <t>Dueling</t>
  </si>
  <si>
    <t>Great Weapon Fighting</t>
  </si>
  <si>
    <t>Protection</t>
  </si>
  <si>
    <t>Two-Weapon Fighting</t>
  </si>
  <si>
    <t>none</t>
  </si>
  <si>
    <t>You can increase one ability score of your choice by 2, or you can increase two ability scores of your choice by 1. 
You cannot increase an ability score above 20 using this feature.</t>
  </si>
  <si>
    <t xml:space="preserve">  - Increase one ability score of your choice by 2, or increase two ability scores of your choice by 1.</t>
  </si>
  <si>
    <t>Always on the lookout for danger, you gain the following benefits:
• You gain a +5 bonus to initiative. 
• You can’t be surprised while you are conscious. 
• Other creatures don’t gain advantage on attack rolls against you as a result of being hidden from you.</t>
  </si>
  <si>
    <t xml:space="preserve">  - Gain a +5 bonus to initiative. 
  - You can’t be surprised while you are conscious. 
  - Other creatures don’t gain advantage on attack rolls against you as a result of being hidden from you.</t>
  </si>
  <si>
    <t>You have undergone extensive physical training to gain the following benefits:
• Increase your Strength or Dexterity score by 1, to a maximum of 20. 
• When you are prone, standing up uses only 5 feet of your movement.
• Climbing doesn’t halve your speed. 
• You can make a running long jump or a running high jump after moving only 5 feet on foot, rather than 10 feet.</t>
  </si>
  <si>
    <t xml:space="preserve">  - Increase your Strength or Dexterity score by 1, to a maximum of 20. 
  - When you are prone, standing up uses only 5 feet of your movement.
  - Climbing doesn’t halve your speed. 
  - You can make a running long jump or a running high jump after moving only 5 feet on foot, rather than 10 feet.</t>
  </si>
  <si>
    <t>Skilled at mimicry and dramatics, you gain the following benefits:
• Increase your Charisma score by 1, to a maximum of 20. 
• You have advantage on Charisma (Deception) and Charisma (Performance) checks when trying to pass yourself off as a different person. 
• You can mimic the speech of another person or the sounds made by other creatures. You must have heard the person speaking, or heard the creature make the sound, for at least 1 minute. A successful Wisdom (Insight) check contested by your Charisma (Deception) check allows a listener to determine that the effect is faked.</t>
  </si>
  <si>
    <t xml:space="preserve">  - Increase your Charisma score by 1, to a maximum of 20. 
  - Advantage on Charisma (Deception) and Charisma (Performance) checks when trying to pass as a different person. 
  - You can mimic the speech of another person or the sounds made by other creatures. You must have heard the person
     speaking, or heard the creature make the sound, for at least 1 minute. A successful Wisdom (Insight) check contested
     by your Charisma (Deception) check allows a listener to determine that the effect is faked.</t>
  </si>
  <si>
    <t>Charger</t>
  </si>
  <si>
    <t>When you use your action to Dash, you can use a bonus action to make one melee weapon attack or to shove a creature. 
If you move at least 10 feet in a straight line immediately before taking this bonus action, you either gain a +5 bonus to the attack’s damage roll (if you chose to make a melee attack and hit) or push the target up to 10 feet away from you (if you chose to shove and you succeed).</t>
  </si>
  <si>
    <t xml:space="preserve">  - When you use your action to Dash, you can use a bonus action to make one melee weapon attack or to shove a creature. 
  - If you move at least 10 feet in a straight line immediately before taking this bonus action, you either 
    - Gain a +5 bonus to the attack’s damage roll (if you chose to make a melee attack and hit) 
    - Push the target up to 10 feet away from you (if you chose to shove and you succeed).</t>
  </si>
  <si>
    <t>Crossbow Expert</t>
  </si>
  <si>
    <t>Thanks to extensive practice with the crossbow, you gain the following benefits:
• You ignore the loading quality of crossbows with which you are proficient. 
• Being within 5 feet of a hostile creature doesn’t impose disadvantage on your ranged attack rolls. 
• When you use the Attack action and attack with a one-handed weapon, you can use a bonus action to attack with a loaded hand crossbow you are holding.</t>
  </si>
  <si>
    <t xml:space="preserve">  - Ignore the loading quality of crossbows with which you are proficient. 
  - Being within 5 feet of a hostile creature doesn’t impose disadvantage on your ranged attack rolls. 
  - When you use the Attack action and attack with a one-handed weapon, you can use a bonus action to attack with a loaded
     hand crossbow you are holding.</t>
  </si>
  <si>
    <t>Dexterity 13 or higher</t>
  </si>
  <si>
    <t>When you are wielding a finesse weapon with which you are proficient and another creature hits you with a melee attack, you can use your reaction to add your proficiency bonus to your AC for that attack, potentially causing the attack to miss you.</t>
  </si>
  <si>
    <t xml:space="preserve">  - When wielding a finesse weapon with which you are proficient and another creature hits you with a melee attack,  you can
     use your reaction to add your proficiency bonus to your AC for that attack, potentially causing the attack to miss you.</t>
  </si>
  <si>
    <t>Dual Wielder</t>
  </si>
  <si>
    <t>You master fighting with two weapons, gaining the following benefits: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t>
  </si>
  <si>
    <t xml:space="preserve">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t>
  </si>
  <si>
    <t>Alert to the hidden traps and secret doors found in many dungeons, you gain the following benefits:
• You have advantage on Wisdom (Perception) and Intelligence (Investigation) checks made to detect the presence of secret doors. 
• You have advantage on saving throws made to avoid or resist traps. 
• You have resistance to the damage dealt by traps. 
• You can search for traps while traveling at a normal pace, instead of only at a slow pace.</t>
  </si>
  <si>
    <t xml:space="preserve">  - Advantage on Wisdom (Perception) and Intelligence (Investigation) checks made to detect the presence of secret doors. 
  - You have advantage on saving throws made to avoid or resist traps. 
  - You have resistance to the damage dealt by traps.
  - You can search for traps while traveling at a normal pace, instead of only at a slow pace.</t>
  </si>
  <si>
    <t>Hardy and resilient, you gain the following benefits:
• Increase your Constitution score by 1, to a maximum of 20.
• When you roll a Hit Die to regain hit points, the minimum number of hit points you regain from the roll equals twice your Constitution modifier (minimum of 2).</t>
  </si>
  <si>
    <t xml:space="preserve">  - Increase your Constitution score by 1, to a maximum of 20.
  - When you roll a Hit Die to regain hit points, the minimum number of hit points you regain from the roll equals twice your
     Constitution modifier (minimum of 2).</t>
  </si>
  <si>
    <t>The ability to cast at least one spell</t>
  </si>
  <si>
    <t>When you gain this feat, choose one of the following damage types: acid, cold, fire, lightning, or thunder. 
Spells you cast ignore resistance to damage of the chosen type. In addition, when you roll damage for a spell you cast that deals damage of that type, you can treat any 1 on a damage die as a 2. 
You can select this feat multiple times. Each time you do so, you must choose a different damage type.</t>
  </si>
  <si>
    <t xml:space="preserve">  - Choose one of the following damage types: acid, cold, fire, lightning, or thunder. 
  - Spells you cast ignore resistance to damage of the chosen type. 
  - When you roll damage for a spell you cast that deals damage of that type, treat any 1 on a damage die as a 2. </t>
  </si>
  <si>
    <t>Strength 13 or higher</t>
  </si>
  <si>
    <t>You’ve developed the skills necessary to hold your own in close-quarters grappling. You gain the following benefits: 
• You have advantage on attack rolls against a creature you are grappling. 
• You can use your action to try to pin a creature grappled by you. To do so, make another grapple check. If you succeed, you and the creature are both restrained until the grapple ends. 
• Creatures that are one size larger than you don’t automatically succeed on checks to escape your grapple.</t>
  </si>
  <si>
    <t xml:space="preserve">  - You have advantage on attack rolls against a creature you are grappling. 
  - You can use your action to try to pin a creature grappled by you. To do so, make another grapple check. If you succeed, you
     and the creature are both restrained until the grapple ends. 
  - Creatures that are one size larger than you don’t automatically succeed on checks to escape your grapple.</t>
  </si>
  <si>
    <t>You’ve learned to put the weight of a weapon to your advantage, letting its momentum empower your strikes. You gain the following benefits:
• On your turn, when you score a critical hit with a melee weapon or reduce a creature to 0 hit points with one, you can make one melee weapon attack as a bonus action. 
• Before you make a melee attack with a heavy weapon that you are proficient with, you can choose to take a -5 penalty to the attack roll. If the attack hits, you add +10 to the attack’s damage.</t>
  </si>
  <si>
    <t xml:space="preserve">  - On your turn, when you score a critical hit with a melee weapon or reduce a creature to 0 hit points with one,
     you can make one melee weapon attack as a bonus action. 
  - Before you make a melee attack with a heavy weapon that you are proficient with, you can choose to take a -5 penalty to
     the attack roll. If the attack hits, you add +10 to the attack’s damage.</t>
  </si>
  <si>
    <t>You are an able physician, allowing you to mend wounds quickly and get your allies back in the fight. You gain the following benefits:
• When you use a healer’s kit to stabilize a dying creature, that creature also regains 1 hit point. 
• As an action, you can spend one use of a healer’s kit to tend to a creature and restore 1d6 + 4 hit points to it, plus additional hit points equal to the creature’s maximum number of Hit Dice. The creature can’t regain hit points from this feat again until it finishes a short or long rest.</t>
  </si>
  <si>
    <t xml:space="preserve">  - When you use a healer’s kit to stabilize a dying creature, that creature also regains 1 hit point. 
  - As an action, you can spend one use of a healer’s kit to tend to a creature and restore 1d6+4 hit points to it, plus additional
     hit points equal to the creature’s maximum number of Hit Dice. The creature can’t regain hit points from this feat again until
     it finishes a short or long rest.</t>
  </si>
  <si>
    <t>Proficiency with medium armor</t>
  </si>
  <si>
    <t>You have trained to master the use of heavy armor, gaining the following benefits:
• Increase your Strength score by 1, to a maximum of 20. 
• You gain proficiency with heavy armor.</t>
  </si>
  <si>
    <t xml:space="preserve">  - Increase your Strength score by 1, to a maximum of 20. 
  - You gain proficiency with heavy armor.</t>
  </si>
  <si>
    <t>Proficiency with heavy armor</t>
  </si>
  <si>
    <t>You can use your armor to deflect strikes that would kill others. You gain the following benefits:
• Increase your Strength score by 1, to a maximum of 20. 
• While you are wearing heavy armor, bludgeoning, piercing, and slashing damage that you take from non magical weapons is reduced by 3.</t>
  </si>
  <si>
    <t xml:space="preserve">  - Increase your Strength score by 1, to a maximum of 20. 
  - While wearing heavy armor, bludgeoning, piercing, and slashing damage taken from non magical weapons is reduced by 3.</t>
  </si>
  <si>
    <t>Charisma 13 or higher</t>
  </si>
  <si>
    <t>You can spend 10 minutes inspiring your companions, shoring up their resolve to fight. When you do so, choose up to six friendly creatures (which can include yourself) within 30 feet of you who can see or hear you and who can understand you. Each creature can gain temporary hit points equal to your level + your Charisma modifier. A creature can’t gain temporary hit points from this feat again until it has finished a short or long rest.</t>
  </si>
  <si>
    <t xml:space="preserve">  - You can spend 10 minutes inspiring your companions, shoring up their resolve to fight. Choose up to 6 friendly creatures
     (which can include yourself) within 30 feet who can see or hear you and who  can understand you. Each creature can gain
     temporary hit points equal to your level + your Charisma modifier. A creature can’t gain temporary hit points from this
     feat again until it has finished a short or long rest.</t>
  </si>
  <si>
    <t>You have a mind that can track time, direction, and detail with uncanny precision. You gain the following benefits.
• Increase your Intelligence score by 1, to a maximum of 20. 
• You always know which way is north. 
• You always know the number of hours left before the next sunrise or sunset. 
• You can accurately recall anything you have seen or heard within the past month.</t>
  </si>
  <si>
    <t xml:space="preserve">  - Increase your Intelligence score by 1, to a maximum of 20. 
  - You always know which way is north. 
  - You always know the number of hours left before the next sunrise or sunset. 
  - You can accurately recall anything you have seen or heard within the past month.</t>
  </si>
  <si>
    <t>You have trained to master the use of light armor, gaining the following benefits:
• Increase your Strength or Dexterity score by 1, to a maximum of 20. 
• You gain proficiency with light armor.</t>
  </si>
  <si>
    <t xml:space="preserve">  - Increase your Strength or Dexterity score by 1, to a maximum of 20. 
  - You gain proficiency with light armor.</t>
  </si>
  <si>
    <t>You have studied languages and codes, gaining the following benefits:
• Increase your Intelligence score by 1, to a maximum of 20. 
• You learn three languages of your choice. 
• You can ably create written ciphers. Others can’t decipher a code you create unless you teach them, they succeed on an Intelligence check (DC = Intelligence score + your proficiency bonus), or they use magic to decipher it.</t>
  </si>
  <si>
    <t>You have inexplicable luck that seems to kick in at just the right moment. 
You have 3 luck points. Whenever you make an attack roll, an ability check, or a saving throw, you can spend one luck point to roll an additional d20. You can choose to spend one of your luck points after you roll the die, but before the outcome is determined. You choose which of the d20s is used for the attack roll, ability check, or saving throw. 
You can also spend one luck point when an attack roll is made against you. Roll a d20, and then choose whether the attack uses the attacker’s roll or yours. 
If more than one creature spends a luck point to influence the outcome of a roll, the points cancel each other out; no additional dice are rolled. 
You regain your expended luck points when you finish a long rest.</t>
  </si>
  <si>
    <t xml:space="preserve">  - You have 3 luck points. 
  - Whenever you make an attack roll, an ability check, or a saving throw, you can spend one luck point to roll an additional d20.
     You can choose to spend one of your luck points after you roll the die, but before the outcome is determined. You choose
     which of the d20s is used for the attack roll, ability check, or saving throw. 
  - You can also spend one luck point when an attack roll is made against you. Roll a d20, and then choose whether the attack
     uses the attacker’s roll or yours. 
  - If more than one creature spends a luck point to influence the outcome of a roll, the points cancel each other out; no
     additional dice are rolled. 
  - You regain your expended luck points when you finish a long rest.</t>
  </si>
  <si>
    <t>You have practiced techniques useful in melee combat against spellcasters, gaining the following benefits:
• When a creature within 5 feet of you casts a spell, you can use your reaction to make a melee weapon attack against that creature. 
• When you damage a creature that is concentrating on a spell, that creature has disadvantage on the saving throw it makes to maintain its concentration. 
• You have advantage on saving throws against spells cast by creatures within 5 feet of you.</t>
  </si>
  <si>
    <t xml:space="preserve">  - When a creature within 5 feet of you casts a spell, use your reaction to make a melee weapon attack against that creature. 
  - When you damage a creature that is concentrating on a spell, that creature has disadvantage on the saving throw it makes
     to maintain its concentration. 
  - You have advantage on saving throws against spells cast by creatures within 5 feet of you.</t>
  </si>
  <si>
    <t>Choose a class: bard, cleric, druid, sorcerer, warlock, or wizard. You learn two cantrips of your choice from that class’s spell list. 
In addition, choose one 1st-level spell from that same list. You learn that spell and can cast it at its lowest level. Once you cast it, you must finish a long rest before you can cast it again. 
Your spellcasting ability for these spells depends on the class you chose: Charisma for bard, sorcerer, or warlock; Wisdom for cleric or druid: or Intelligence for wizard.</t>
  </si>
  <si>
    <t xml:space="preserve">  - Choose a class: bard, cleric, druid, sorcerer, warlock, or wizard. 
  - You learn two cantrips of your choice from that class’s spell list. 
  - In addition, choose one 1st-level spell from that same list. You learn that spell and can cast it at its lowest level. Once you cast
     it, you must finish a long rest before you can cast it again. 
  - Your spellcasting ability for these spells depends on the class chosen: Charisma for bard, sorcerer, or warlock; Wisdom for
     cleric or druid: or Intelligence for wizard.</t>
  </si>
  <si>
    <t>You have martial training that allows you to perform special combat maneuvers. You gain the following benefits:
• You learn two maneuvers of your choice from among those available to the Battle Master archetype in the fighter class. If a maneuver you use requires your target to make a saving throw to resist the maneuver’s effects, the saving throw DC equals 8 + your proficiency bonus + your Strength or Dexterity modifier (your choice). 
• If you already have superiority dice, you gain one more; otherwise, you have one superiority die, which is a d6. This die is used to fuel your maneuvers. A superiority die is expended when you use it. You regain your expended superiority dice when you finish a short or long rest.</t>
  </si>
  <si>
    <t>You have practiced moving in medium armor to gain the following benefits:
• Wearing medium armor doesn’t impose disadvantage on your Dexterity (Stealth) checks. 
• When you wear medium armor, you can add 3, rather than 2, to your AC if you have a Dexterity of 16 or higher.</t>
  </si>
  <si>
    <t xml:space="preserve">  - Wearing medium armor doesn’t impose disadvantage on your Dexterity (Stealth) checks. 
  - When you wear medium armor, you add 3, rather than 2, to your AC if you have a Dexterity of 16 or higher.</t>
  </si>
  <si>
    <t>You are exceptionally speedy and agile. You gain the following benefits:
• Your speed increases by 10 feet.
• When you use the Dash action, difficult terrain doesn’t cost you extra movement on that turn. 
• When you make a melee attack against a creature, you don’t provoke opportunity attacks from that creature for the rest of the turn, whether you hit or not.</t>
  </si>
  <si>
    <t xml:space="preserve">  - Your speed increases by 10 feet.
  - When you use the Dash action, difficult terrain doesn’t cost you extra movement on that turn. 
  - When you make a melee attack against a creature, you don’t provoke opportunity attacks from that creature for the rest of
     the turn, whether you hit or not.</t>
  </si>
  <si>
    <t>Proficiency with light armor</t>
  </si>
  <si>
    <t>You have trained to master the use of medium armor and shields, gaining the following benefits:
• Increase your Strength or Dexterity score by 1, to a maximum of 20. 
• You gain proficiency with medium armor and shields.</t>
  </si>
  <si>
    <t xml:space="preserve">  - Increase your Strength or Dexterity score by 1, to a maximum of 20. 
  - You gain proficiency with medium armor and shields.</t>
  </si>
  <si>
    <t>You are a dangerous foe to face while mounted. While you are mounted and aren’t incapacitated, you gain the following benefits:
• You have advantage on melee attack rolls against any unmounted creature that is smaller than your mount. 
• You can force an attack targeted at your mount to target you instead. 
• If your mount is subjected to an effect that allows it to  make a Dexterity saving throw to take only half damage, it instead takes no damage if it succeeds on the saving throw, and only half damage if it fails.</t>
  </si>
  <si>
    <t xml:space="preserve">  - You have advantage on melee attack rolls against any unmounted creature that is smaller than your mount. 
  - You can force an attack targeted at your mount to target you instead. 
  - If your mount is subjected to an effect that allows it to  make a Dexterity saving throw to take only half damage, it instead
     takes no damage if it succeeds on the saving throw, and only half damage if it fails.</t>
  </si>
  <si>
    <t>Quick to notice details of your environment, you gain the following benefits:
• Increase your Intelligence or Wisdom score by 1, to a maximum of 20. 
• If you can see a creature’s mouth while it is speaking a language you understand, you can interpret what it’s saying by reading its lips. 
• You have a +5 bonus to your passive Wisdom (Perception) and passive Intelligence (Investigation) scores.</t>
  </si>
  <si>
    <t xml:space="preserve">  - Increase your Intelligence or Wisdom score by 1, to a maximum of 20. 
  - If you can see a creature’s mouth while it is speaking a language you understand, you can interpret what it’s saying by
     reading its lips. 
  - You have a +5 bonus to your passive Wisdom (Perception) and passive Intelligence (Investigation) scores.</t>
  </si>
  <si>
    <t>You can keep your enemies at bay with reach weapons. You gain the following benefits:
• When you take the Attack action and attack with only a glaive, halberd, or quarterstaff, you can use a bonus action to make a melee attack with the opposite end of the weapon. The weapon’s damage die for this attack is a d4, and the attack deals bludgeoning damage. 
• While you are wielding a glaive, halberd, pike, or quarterstaff, other creatures provoke an opportunity attack from you when they enter your reach.</t>
  </si>
  <si>
    <t xml:space="preserve">  - When you take the Attack action and attack with only a glaive, halberd, or quarterstaff, you can use a bonus action to make a
     melee attack with the opposite end of the weapon. The weapon’s damage die for this attack is a d4, and the attack deal
     bludgeoning damage. 
  - While you are wielding a glaive, halberd, pike, or quarterstaff, other creatures provoke an opportunity attack from you
     when they enter your reach.</t>
  </si>
  <si>
    <t>Choose one ability score. You gain the following benefits:
• Increase the chosen ability score by 1, to a maximum of 20. 
• You gain proficiency in saving throws using the chosen ability.</t>
  </si>
  <si>
    <t xml:space="preserve">  - Increase the chosen ability score by 1, to a maximum of 20. 
  - You gain proficiency in saving throws using the chosen ability.</t>
  </si>
  <si>
    <t>You have learned a number of spells that you can cast as rituals. These spells are written in a ritual book, which you must have in hand while casting one of them. 
When you choose this feat, you acquire a ritual book holding two 1st-level spells of your choice. Choose one of the following classes: bard, cleric, druid, sorcerer, warlock, or wizard. You must choose your spells from that class’s spell list, and the spells you choose must have the ritual tag. The class you choose also determines your spellcasting ability for these spells: Charisma for bard, sorcerer, or warlock; Wisdom for cleric or druid; or Intelligence for wizard. 
If you come across a spell in written form, such as a magical spell scroll or a wizard’s spellbook, you might be able to add it to your ritual book. The spell must be on the spell list for the class you chose, the spell’s level can be no higher than half your level (rounded up), and it must have the ritual tag. The process of copying the spell into your ritual book takes 2 hours per level of the spell, and costs 50 gp per level. The cost represents material components you expend as you experiment with the spell to master it, as well as the fine inks you need to record it.</t>
  </si>
  <si>
    <t xml:space="preserve">  - You acquire a ritual book holding two 1st-level spells of your choice. Choose one of the following classes: bard, cleric, druid,
     sorcerer, warlock, or wizard. You must choose your spells from that class’s spell list, and the spells you choose must have
     the ritual tag. The class you choose determines your spellcasting ability for these spells: Charisma for bard, sorcerer, or
     warlock; Wisdom for cleric or druid; or Intelligence for wizard. 
  - If you come across a spell in written form, such as a magical spell scroll or a wizard’s spellbook, you might be able to add it
     to your ritual book. The spell must be on the spell list for the class you chose, the spell’s level can be no higher than half your
     level (rounded up), and it must have the ritual tag. The process of copying spells into your ritual book takes 2 hours per level
     of the spell and 50 gp per level. The cost represents material components expended as you experiment with the spell to
     master it, as well as fine inks you need to record it.</t>
  </si>
  <si>
    <t>Once per turn when you roll damage for a melee weapon attack, you can reroll the weapon’s damage dice and use either total.</t>
  </si>
  <si>
    <t xml:space="preserve">  - Once per turn when you roll damage for a melee weapon attack, reroll the weapon’s damage dice and use either total.</t>
  </si>
  <si>
    <t>You have mastered techniques to take advantage of every drop in any enemy’s guard, gaining the following benefits:
• When you hit a creature with an opportunity attack, the creature’s speed becomes 0 for the rest of the turn.
• Creatures within 5 feet of you provoke opportunity attacks from you even if they take the Disengage action before leaving your reach. 
• When a creature within 5 feet of you makes an attack against a target other than you (and that target doesn’t have this feat), you can use your reaction to make a melee weapon attack against the attacking creature.</t>
  </si>
  <si>
    <t xml:space="preserve">  - When you hit a creature with an opportunity attack, the creature’s speed becomes 0 for the rest of the turn.
  - Creatures within 5 feet of you provoke opportunity attacks even if they take the Disengage action before leaving your reach. 
  - When a creature within 5 feet of you makes an attack against a target other than you (and that target doesn’t have this feat),
     you can use your reaction to make a melee weapon attack against the attacking creature.</t>
  </si>
  <si>
    <t>You have mastered ranged weapons and can make shots that others find impossible. You gain the following benefits:
• Attacking at long range doesn't impose disadvantage on your ranged weapon attack rolls. 
• Your ranged weapon attacks ignore half cover and three-quarters cover. 
• Before you make an attack with a ranged weapon that you are proficient with, you can choose to take a -5 penalty to the attack roll. If the attack hits, you add +10 to the attack’s damage.</t>
  </si>
  <si>
    <t xml:space="preserve">  - Attacking at long range doesn't impose disadvantage on your ranged weapon attack rolls. 
  - Your ranged weapon attacks ignore half cover and three-quarters cover. 
  - Before you make an attack with a ranged weapon that you are proficient with, you can choose to take a -5 penalty to the
     attack roll. If the attack hits, you add +10 to the attack’s damage.</t>
  </si>
  <si>
    <t>You use shields not just for protection but also for offense. You gain the following benefits while you are wielding a shield:
• If you take the Attack action on your turn, you can use a bonus action to try to shove a creature within 5 feet of you with your shield. 
• If you aren’t incapacitated, you can add your shield’s AC bonus to any Dexterity saving throw you make against a spell or other harmful effect that targets only you. 
• If you are subjected to an effect that allows you to make a Dexterity saving throw to take only half damage, you can use your reaction to take no damage if you succeed on the saving throw, interposing your shield between yourself and the source of the effect.</t>
  </si>
  <si>
    <t xml:space="preserve">  - If you take the Attack action on your turn, use a bonus action to try to shove a creature within 5 feet of you with your shield. 
  - If you aren’t incapacitated, add your shield’s AC bonus to any Dexterity saving throw you make against a spell or other
     harmful effect that targets only you. 
  - If you are subjected to an effect that allows you to make a Dexterity saving throw to take only half damage, use your reaction
     to take no damage if you succeed on the saving throw, interposing your shield between you and the source of the effect.</t>
  </si>
  <si>
    <t>You gain proficiency in any combination of three skills or tools of your choice.</t>
  </si>
  <si>
    <t xml:space="preserve">  - You gain proficiency in any combination of three skills or tools of your choice.</t>
  </si>
  <si>
    <t>You are expert at slinking through shadows. You gain the following benefits:
• You can try to hide when you are lightly obscured from the creature from which you are hiding. 
• When you are hidden from a creature and miss it with a ranged weapon attack, making the attack doesn't reveal your position. 
• Dim light doesn’t impose disadvantage on your Wisdom (Perception) checks relying on sight.</t>
  </si>
  <si>
    <t xml:space="preserve">  - You can try to hide when you are lightly obscured from the creature from which you are hiding. 
  - When you are hidden from a creature and miss it with a ranged weapon attack, making the attack doesn't reveal your position. 
  - Dim light doesn’t impose disadvantage on your Wisdom (Perception) checks relying on sight.</t>
  </si>
  <si>
    <t>You have learned techniques to enhance your attacks with certain kinds of spells, gaining the following benefits:
• When you cast a spell that requires you to make an attack roll, the spell’s range is doubled. 
• Your ranged spell attacks ignore half cover and three-quarters cover. 
• You learn one cantrip that requires an attack roll. Choose the cantrip from the bard, cleric, druid, sorcerer, warlock, or wizard spell list. Your spellcasting ability for this cantrip depends on the spell list you chose from: Charisma for bard, sorcerer, or warlock; Wisdom for cleric or druid; or Intelligence for wizard.</t>
  </si>
  <si>
    <t xml:space="preserve">  - When you cast a spell that requires you to make an attack roll, the spell’s range is doubled. 
  - Your ranged spell attacks ignore half cover and three-quarters cover. 
  - You learn one cantrip that requires an attack roll. Choose the cantrip from the bard, cleric, druid, sorcerer, warlock, or wizard
     spell list. Your spellcasting ability for this cantrip depends on the spell list chosen: Charisma for bard, sorcerer, or warlock;
     Wisdom for cleric or druid; or Intelligence for wizard.</t>
  </si>
  <si>
    <t>Accustomed to rough-and-tumble fighting using whatever weapons happen to be at hand, you gain the following benefits:
• Increase your Strength or Constitution score by 1, to a maximum of 20. 
• You are proficient with improvised weapons and unarmed strikes. 
• Your unarmed strike uses a d4 for damage. 
• When you hit a creature with an unarmed strike or an improvised weapon on your turn, you can use a bonus action to attempt to grapple the target.</t>
  </si>
  <si>
    <t xml:space="preserve">  - Increase your Strength or Constitution score by 1, to a maximum of 20. 
  - You are proficient with improvised weapons and unarmed strikes. 
  - Your unarmed strike uses a d4 for damage. 
  - When you hit a creature with an unarmed strike or an improvised weapon on your turn, use a bonus action to attempt to
     grapple the target.</t>
  </si>
  <si>
    <t>Your hit point maximum increases by an amount equal to twice your level when you gain this feat. Whenever you gain a level thereafter, your hit point maximum increases by an additional 2 hit points.</t>
  </si>
  <si>
    <t xml:space="preserve">  - Your hit point maximum increases by an amount equal to twice your level when you gain this feat. Whenever you gain a level
    thereafter, your hit point maximum increases by an additional 2 hit points.</t>
  </si>
  <si>
    <t>You have practiced casting spells in the midst of combat, learning techniques that grant you the following benefits:
• You have advantage on Constitution saving throws that you make to maintain your concentration on a spell when you take damage. 
• You can perform the somatic components of spells even when you have weapons or a shield in one or both hands. 
• When a hostile creature’s movement provokes an opportunity attack from you, you can use your reaction to cast a spell at the creature, rather than making an opportunity attack. The spell must have a casting time of 1 action and must target only that creature.</t>
  </si>
  <si>
    <t xml:space="preserve">  - Advantage on Constitution saving throws that you make to maintain your concentration on a spell when you take damage. 
  - You can perform the somatic components of spells even when you have weapons or a shield in one or both hands. 
  - When a hostile creature’s movement provokes an opportunity attack, use your reaction to cast a spell at the creature, rather
     than making an opportunity attack. The spell must have a casting time of 1 action and must target only that creature.</t>
  </si>
  <si>
    <t>You have practiced extensively with a variety of weapons, gaining the following benefits:
• Increase your Strength or Dexterity score by 1, to a maximum of 20. 
• You gain proficiency with four weapons of your choice.</t>
  </si>
  <si>
    <t xml:space="preserve">  - Increase your Strength or Dexterity score by 1, to a maximum of 20. 
  - You gain proficiency with four weapons of your choice.</t>
  </si>
  <si>
    <t>FEAT NAME</t>
  </si>
  <si>
    <t>PREREQUISITE</t>
  </si>
  <si>
    <t>DESCRIPTION</t>
  </si>
  <si>
    <t>Class skills</t>
  </si>
  <si>
    <t>Skill1</t>
  </si>
  <si>
    <t>Skill2</t>
  </si>
  <si>
    <t>Skill3</t>
  </si>
  <si>
    <t>Skill4</t>
  </si>
  <si>
    <t>Проверка на родные статы</t>
  </si>
  <si>
    <t>Feats</t>
  </si>
  <si>
    <t>IAS</t>
  </si>
  <si>
    <t>Multiclass</t>
  </si>
  <si>
    <t>Age</t>
  </si>
  <si>
    <t>Height</t>
  </si>
  <si>
    <t>Alignment</t>
  </si>
  <si>
    <t>Class and Levels</t>
  </si>
  <si>
    <t>2nd class</t>
  </si>
  <si>
    <t>3rd class</t>
  </si>
  <si>
    <t>4th class</t>
  </si>
  <si>
    <t>5th class</t>
  </si>
  <si>
    <t>6th class</t>
  </si>
  <si>
    <t>Total Class Level</t>
  </si>
  <si>
    <t>Points Left</t>
  </si>
  <si>
    <t>Racial Trait 6</t>
  </si>
  <si>
    <t>Racial Traits</t>
  </si>
  <si>
    <t>Supreme Darkvision</t>
  </si>
  <si>
    <t>Fighting Styles</t>
  </si>
  <si>
    <t>Barbarian's Path of Berserker Totem Spirits</t>
  </si>
  <si>
    <t>Domain Knowledge</t>
  </si>
  <si>
    <t>Combat Maneuvers</t>
  </si>
  <si>
    <t>Way of the Four Elements: Elemental Disciplines</t>
  </si>
  <si>
    <t>Ranger Favored Enemies</t>
  </si>
  <si>
    <t>Ranger Natural Explorer</t>
  </si>
  <si>
    <t>Background Feature</t>
  </si>
  <si>
    <t>You have a military rank from your career as a soldier. Soldiers loyal to your former military organization still recognize your authority and influence, and they defer to you if they are of a lower rank.</t>
  </si>
  <si>
    <t>As an acolyte, you command the respect of those who share your faith, and you can perform the religious ceremonies of your deity.</t>
  </si>
  <si>
    <t>You have created a second identity that includes documentation, established acquaintances, and disguises that allow you to assume that persona. Additionally, you can forge documents including official papers and personal letters, as long as you have seen an example of the kind of document or the handwriting you are trying to copy.</t>
  </si>
  <si>
    <t>You have a reliable and trustworthy contact who acts as your liaison to a network of other criminals.</t>
  </si>
  <si>
    <t>You can always find a place to perform, usually in an inn or tavern but possibly with a circus, at a theater, or even in a noble’s court. You receive free lodging and food of a modest or comfortable standard, as long as you perform each night. Your performance makes you something of a local figure. When strangers recognize you in a town where you have performed they typically take a liking to you.</t>
  </si>
  <si>
    <t>Since you come from the ranks of the common folk, you fit in among them with ease.</t>
  </si>
  <si>
    <t>As a member of a guild, you can rely on certain benefits that membership provides. Your fellow guild members will provide lodging and food if necessary. If you are accused of a crime, your guild will support you if a good case can be made for you innocence or the crime is justifiable. You must pay dues of 5 gp per month to the guild to remain in the guild’s good graces.</t>
  </si>
  <si>
    <t>The quiet seclusion of your extended hermitage gave you access to a unique and powerful discovery. It might be a great truth about the cosmos, the deities, the powerful beings of the outer planes, or the forces of nature. It could be a site that no one else has ever seen. You might have uncovered a fact that has long been forgotten, or unearthed some relic of the past that could rewrite history...</t>
  </si>
  <si>
    <t>Thanks to your noble birth, people are inclined to think the best of you. You are welcome in high society, and people assume you have the right to be wherever you are.</t>
  </si>
  <si>
    <t>You have an excellent memory for maps and geography, and can always recall the general layout of terrain, settlements, and other features around you. In addition, you can find food and fresh water for yourself and up to five other people each day, provided that the land offers berries, small game, water, and so forth.</t>
  </si>
  <si>
    <t>When you attempt to learn or recall a piece of lore, if you do not know that information, you often know where and from whom you can obtain it.</t>
  </si>
  <si>
    <t>You can secure free passage on a sailing ship for yourself and your adventuring companions. You might sail on the ship you served on, or another ship you have good relations with. Because you’re calling in a favor, you can’t be certain of a schedule or route that will meet your every need. In return for your free passage, you and your companions are expected to assist the crew during the voyage.</t>
  </si>
  <si>
    <t>You know the secret patterns and flow to cities and can find passages through the urban sprawl that others would miss. When you are not in combat, you (and companions you lead) can travel between any two locations in the city twice as fast as your speed would normally allow.</t>
  </si>
  <si>
    <t>Ranger Hunter Features</t>
  </si>
  <si>
    <t>Warlock Invocations</t>
  </si>
  <si>
    <t>Saving Throws</t>
  </si>
  <si>
    <t>Selectable Class Features</t>
  </si>
  <si>
    <t>Feat os ASI</t>
  </si>
  <si>
    <t>BardCantrips</t>
  </si>
  <si>
    <t>BardSpellsKnown</t>
  </si>
  <si>
    <t>BardNumberofUses</t>
  </si>
  <si>
    <t>BardicInspiration</t>
  </si>
  <si>
    <t>SongofRest</t>
  </si>
  <si>
    <t>ClericCantrips</t>
  </si>
  <si>
    <t>ClericChannelDivinity</t>
  </si>
  <si>
    <t>DruidCantrips</t>
  </si>
  <si>
    <t>DruidBeastShapeMAXCR</t>
  </si>
  <si>
    <t>DruidMoonShapeMAXCR</t>
  </si>
  <si>
    <t>EldritchKnightCantrips</t>
  </si>
  <si>
    <t>EldritchKnightSpellsKnown</t>
  </si>
  <si>
    <t>MonkKi</t>
  </si>
  <si>
    <t>MonkMartialArts</t>
  </si>
  <si>
    <t>MonkFastMovement</t>
  </si>
  <si>
    <t>PaladinDivineSense</t>
  </si>
  <si>
    <t>PaladinLayonHandsPool</t>
  </si>
  <si>
    <t>RangerSpellsKnown</t>
  </si>
  <si>
    <t>ArcaneTricksterCantrips</t>
  </si>
  <si>
    <t>ArcaneTricksterSpellsKnown</t>
  </si>
  <si>
    <t>RogueSneakAttack</t>
  </si>
  <si>
    <t>SorcererCantrips</t>
  </si>
  <si>
    <t>SorcererSpellsKnown</t>
  </si>
  <si>
    <t>SorcererSorceryPoints</t>
  </si>
  <si>
    <t>WarlockCantrips</t>
  </si>
  <si>
    <t>WarlockSpellsKnown</t>
  </si>
  <si>
    <t>WarlockSlotLevel</t>
  </si>
  <si>
    <t>WarlockSlots</t>
  </si>
  <si>
    <t>WarlockInvocationsKnown</t>
  </si>
  <si>
    <t>WizardCantrips</t>
  </si>
  <si>
    <t>BarbarianRages</t>
  </si>
  <si>
    <t>BarbarianRageDamage</t>
  </si>
  <si>
    <t>BarbarianBrutalCricial</t>
  </si>
  <si>
    <t>Frenzy</t>
  </si>
  <si>
    <t>Mindless Rage</t>
  </si>
  <si>
    <t>Intimidating Presence</t>
  </si>
  <si>
    <t>Substitute</t>
  </si>
  <si>
    <t>Retaliation</t>
  </si>
  <si>
    <t>Spirit Seeker</t>
  </si>
  <si>
    <t>Totem Spirit</t>
  </si>
  <si>
    <t>Aspect of the Beast</t>
  </si>
  <si>
    <t>Spirit Walker</t>
  </si>
  <si>
    <t>Totemic Attunement</t>
  </si>
  <si>
    <t>Cutting Words</t>
  </si>
  <si>
    <t>Peerless Skill</t>
  </si>
  <si>
    <t>Additional Magical Secrets</t>
  </si>
  <si>
    <t>College of Valor: Bonus Proficiencies</t>
  </si>
  <si>
    <t>College of Lore: Bonus Proficiencies</t>
  </si>
  <si>
    <t>Combat Inspiration</t>
  </si>
  <si>
    <t>Battle Magic</t>
  </si>
  <si>
    <t>Blessings of Knowledge</t>
  </si>
  <si>
    <t>Channel Divinity: Knowledge of the Ages</t>
  </si>
  <si>
    <t>Channel Divinity: Read Thoughts</t>
  </si>
  <si>
    <t>Potent Spellcasting</t>
  </si>
  <si>
    <t>Visions of the Past</t>
  </si>
  <si>
    <t>Life Domain: Bonus Proficiency</t>
  </si>
  <si>
    <t>Disciple of Life</t>
  </si>
  <si>
    <t>Channel Divinity: Preserve Life</t>
  </si>
  <si>
    <t>Blessed Healer</t>
  </si>
  <si>
    <t>Divine Strike</t>
  </si>
  <si>
    <t>Supreme Healing</t>
  </si>
  <si>
    <t>Channel Divinity: Radiance of the Dawn</t>
  </si>
  <si>
    <t>Improved Flare</t>
  </si>
  <si>
    <t>Corona of Light</t>
  </si>
  <si>
    <t>Warding Flare</t>
  </si>
  <si>
    <t>Channel Divinity: Charm Animals and Plants</t>
  </si>
  <si>
    <t>Dampen Elements</t>
  </si>
  <si>
    <t>Master of Nature</t>
  </si>
  <si>
    <t>Acolyte of Nature</t>
  </si>
  <si>
    <t>Wrath of the Storm</t>
  </si>
  <si>
    <t>Channel Divinity: Destructive Wrath</t>
  </si>
  <si>
    <t>Thunderbolt Strike</t>
  </si>
  <si>
    <t>Stormborn</t>
  </si>
  <si>
    <t>Blessing of Trickster</t>
  </si>
  <si>
    <t>Channel Divinity: Invoke Duplicity</t>
  </si>
  <si>
    <t>Channel Divinity: Cloak of Shadows</t>
  </si>
  <si>
    <t>Improved Dupilicty</t>
  </si>
  <si>
    <t>Trickstery</t>
  </si>
  <si>
    <t>Tempest</t>
  </si>
  <si>
    <t>War Priest</t>
  </si>
  <si>
    <t>War</t>
  </si>
  <si>
    <t>Channel Divinity: Guided Strike</t>
  </si>
  <si>
    <t>Channel Divinity: War God's Blessing</t>
  </si>
  <si>
    <t>Avatar of Battle</t>
  </si>
  <si>
    <t>Natural Recovery</t>
  </si>
  <si>
    <t>Circle Spells</t>
  </si>
  <si>
    <t>Nature's Ward</t>
  </si>
  <si>
    <t>Nature's Sanctuary</t>
  </si>
  <si>
    <t>Combat Wild Shape</t>
  </si>
  <si>
    <t>Circle Forms</t>
  </si>
  <si>
    <t>Primal Strike</t>
  </si>
  <si>
    <t>Elemental Wild Shape</t>
  </si>
  <si>
    <t>Thousand Forms</t>
  </si>
  <si>
    <t>Improved Criticals</t>
  </si>
  <si>
    <t>Remarkable Athlete</t>
  </si>
  <si>
    <t>Additional Fighting Style</t>
  </si>
  <si>
    <t>Superior Critical</t>
  </si>
  <si>
    <t>Survivor</t>
  </si>
  <si>
    <t>Combat Superiority</t>
  </si>
  <si>
    <t>Student of War</t>
  </si>
  <si>
    <t>Know Your Enemy</t>
  </si>
  <si>
    <t>Relentless</t>
  </si>
  <si>
    <t>Weapon Bond</t>
  </si>
  <si>
    <t>War Magic</t>
  </si>
  <si>
    <t>Eldritch Strike</t>
  </si>
  <si>
    <t>Arcane Charge</t>
  </si>
  <si>
    <t>Improved War Magic</t>
  </si>
  <si>
    <t>Battle Master</t>
  </si>
  <si>
    <t>Open Hand Technique</t>
  </si>
  <si>
    <t>Wholeness of Body</t>
  </si>
  <si>
    <t>Tranquility</t>
  </si>
  <si>
    <t>Quivering Palm</t>
  </si>
  <si>
    <t>Shadow Arts</t>
  </si>
  <si>
    <t>Shadow Step</t>
  </si>
  <si>
    <t>Cloack of Shadows</t>
  </si>
  <si>
    <t>Opportunist</t>
  </si>
  <si>
    <t>Disciple of the Elements</t>
  </si>
  <si>
    <t>Channel Divinity: Sacred Weapon</t>
  </si>
  <si>
    <t>Channel Divinity: Turn the Unholy</t>
  </si>
  <si>
    <t>Aura of Devotion</t>
  </si>
  <si>
    <t>Purity of Spirit</t>
  </si>
  <si>
    <t>Holy Nimbus</t>
  </si>
  <si>
    <t>Channel Divnity: Nature's Wrath</t>
  </si>
  <si>
    <t>Channel Divnity: Turn the Faithless</t>
  </si>
  <si>
    <t>Aura of Warding</t>
  </si>
  <si>
    <t>Undying Sentinel</t>
  </si>
  <si>
    <t>Elder Champion</t>
  </si>
  <si>
    <t>Channel Divinity: Abjure Elements</t>
  </si>
  <si>
    <t>Channel Divinity: Vow of Emnity</t>
  </si>
  <si>
    <t>Relentless Avenger</t>
  </si>
  <si>
    <t>Soul of Vengeance</t>
  </si>
  <si>
    <t>Avenging Angel</t>
  </si>
  <si>
    <t>Hunter's Prey</t>
  </si>
  <si>
    <t>Defensive Tactics</t>
  </si>
  <si>
    <t>Multiattack</t>
  </si>
  <si>
    <t>Superior Hunter's Defense</t>
  </si>
  <si>
    <t>Ranger's Companion</t>
  </si>
  <si>
    <t>Exceptional Training</t>
  </si>
  <si>
    <t>Bestial Fury</t>
  </si>
  <si>
    <t>Share Spells</t>
  </si>
  <si>
    <t>Fast Hands</t>
  </si>
  <si>
    <t>Second-Story Work</t>
  </si>
  <si>
    <t>Supreme Sneak</t>
  </si>
  <si>
    <t>Use Magic Device</t>
  </si>
  <si>
    <t>Thief's Reflexes</t>
  </si>
  <si>
    <t>Infiltration Expertise</t>
  </si>
  <si>
    <t>Impostor</t>
  </si>
  <si>
    <t>Death Strike</t>
  </si>
  <si>
    <t>Mage Hand Legerdemain</t>
  </si>
  <si>
    <t>Magical Ambush</t>
  </si>
  <si>
    <t>Versatile Trickster</t>
  </si>
  <si>
    <t>Spell Thief</t>
  </si>
  <si>
    <t>Dragon Ancestor</t>
  </si>
  <si>
    <t>Draconic Resilence</t>
  </si>
  <si>
    <t>Elemental Affinity</t>
  </si>
  <si>
    <t>Dragon Wings</t>
  </si>
  <si>
    <t>Draconic Presence</t>
  </si>
  <si>
    <t>Wild Magic Surge</t>
  </si>
  <si>
    <t>Tides of Chaos</t>
  </si>
  <si>
    <t>Bend Luck</t>
  </si>
  <si>
    <t>Controlled Chaos</t>
  </si>
  <si>
    <t>Spell Bombardment</t>
  </si>
  <si>
    <t>Abjuration Savant</t>
  </si>
  <si>
    <t>Arcane Ward</t>
  </si>
  <si>
    <t>Projected Ward</t>
  </si>
  <si>
    <t>Improved Abjuration</t>
  </si>
  <si>
    <t>Spell Resistance</t>
  </si>
  <si>
    <t xml:space="preserve">Conjuration Savant </t>
  </si>
  <si>
    <t>Minor Conjuration</t>
  </si>
  <si>
    <t>Benign Transposition</t>
  </si>
  <si>
    <t>Focused Conjuration</t>
  </si>
  <si>
    <t>Durable Summons</t>
  </si>
  <si>
    <t xml:space="preserve">Divination Savant </t>
  </si>
  <si>
    <t>Portent 2d20</t>
  </si>
  <si>
    <t>Expert Divination</t>
  </si>
  <si>
    <t>The Third Eye</t>
  </si>
  <si>
    <t>Greater Portent 3d20</t>
  </si>
  <si>
    <t xml:space="preserve">Enchantment Savant </t>
  </si>
  <si>
    <t>Hypnotic Gaze</t>
  </si>
  <si>
    <t>Instinctive Charm</t>
  </si>
  <si>
    <t>Split Enchantment</t>
  </si>
  <si>
    <t>Alter Memories</t>
  </si>
  <si>
    <t xml:space="preserve">Evocation Savant </t>
  </si>
  <si>
    <t>Sculpt Spells</t>
  </si>
  <si>
    <t>Potent Cantrip</t>
  </si>
  <si>
    <t>Empowered Evocation</t>
  </si>
  <si>
    <t>Overchannel</t>
  </si>
  <si>
    <t xml:space="preserve">Illusion Savant </t>
  </si>
  <si>
    <t>Improved Minor Illusion</t>
  </si>
  <si>
    <t>Malleable Illusions</t>
  </si>
  <si>
    <t>Illusory Self</t>
  </si>
  <si>
    <t>Illusionary Reality</t>
  </si>
  <si>
    <t xml:space="preserve">Necromancy Savant </t>
  </si>
  <si>
    <t>Grim Harvest</t>
  </si>
  <si>
    <t>Undead Thralls</t>
  </si>
  <si>
    <t>Inured to Undeath</t>
  </si>
  <si>
    <t>Command Undead</t>
  </si>
  <si>
    <t xml:space="preserve">Transmutation Savant </t>
  </si>
  <si>
    <t>Minor Alchemy</t>
  </si>
  <si>
    <t>Transmuter's Stone</t>
  </si>
  <si>
    <t>Master Transmuter</t>
  </si>
  <si>
    <t>Nature Domain: Bonus Proficiencies</t>
  </si>
  <si>
    <t>Tempest Domain: Bonus Proficiencies</t>
  </si>
  <si>
    <t>War Domain: Bonus Proficiencies</t>
  </si>
  <si>
    <t>Circle of the Land: Bonus Cantrip</t>
  </si>
  <si>
    <t>Light Domain: Bonus Cantrip</t>
  </si>
  <si>
    <t>Multiclasses</t>
  </si>
  <si>
    <t>Archetype1</t>
  </si>
  <si>
    <t>Archetype2</t>
  </si>
  <si>
    <t>Archetype3</t>
  </si>
  <si>
    <t>Archetype4</t>
  </si>
  <si>
    <t>Archetype5</t>
  </si>
  <si>
    <t>Archetype6</t>
  </si>
  <si>
    <t>Number of Variants</t>
  </si>
  <si>
    <t>RogueExpertise</t>
  </si>
  <si>
    <t>BardExpertise</t>
  </si>
  <si>
    <t>Knowledge</t>
  </si>
  <si>
    <t>First Class</t>
  </si>
  <si>
    <t>DomainKnowledgeSkills</t>
  </si>
  <si>
    <t>BardCollegeOfLore</t>
  </si>
  <si>
    <t>Proficient</t>
  </si>
  <si>
    <t>Expertise Skill</t>
  </si>
  <si>
    <t>Thieve's Tools</t>
  </si>
  <si>
    <t>Vehicles (water)</t>
  </si>
  <si>
    <t>Expertise 4</t>
  </si>
  <si>
    <t>Expertise 5</t>
  </si>
  <si>
    <t>Expertise 6</t>
  </si>
  <si>
    <t>Expertise 7</t>
  </si>
  <si>
    <t>Expertise 8</t>
  </si>
  <si>
    <t>Expertise 3</t>
  </si>
  <si>
    <t>Expertise 2</t>
  </si>
  <si>
    <t>Expertise 1</t>
  </si>
  <si>
    <t>Expertise Skill 1</t>
  </si>
  <si>
    <t>Expertise Skill 2</t>
  </si>
  <si>
    <t>Expertise Skill 3</t>
  </si>
  <si>
    <t>Expertise Skill 4</t>
  </si>
  <si>
    <t>CombatManeuvers</t>
  </si>
  <si>
    <t>RangerFavoredEnemiesNumber</t>
  </si>
  <si>
    <t>RangerNaturalExplorer</t>
  </si>
  <si>
    <t>RangerHunterFeatures</t>
  </si>
  <si>
    <t>FightingStylesNumber</t>
  </si>
  <si>
    <t>MonkElementalDisciplines</t>
  </si>
  <si>
    <t>Expertise Skill 5</t>
  </si>
  <si>
    <t>Expertise Skill 6</t>
  </si>
  <si>
    <t>Expertise Skill 7</t>
  </si>
  <si>
    <t>Expertise Skill 8</t>
  </si>
  <si>
    <t>SKILL</t>
  </si>
  <si>
    <t>TOOLS</t>
  </si>
  <si>
    <t>BarbarianSpiritTotems</t>
  </si>
  <si>
    <t>assassin</t>
  </si>
  <si>
    <t>assassinate</t>
  </si>
  <si>
    <t>Prerequisites</t>
  </si>
  <si>
    <t>Ability to cast spell</t>
  </si>
  <si>
    <t>Any</t>
  </si>
  <si>
    <t>ASINumber</t>
  </si>
  <si>
    <t>Additional Points (ASI)</t>
  </si>
  <si>
    <t>Lawful Neutral</t>
  </si>
  <si>
    <t>Neutral</t>
  </si>
  <si>
    <t>Tools Proficiency and Languages</t>
  </si>
  <si>
    <t>Language 6</t>
  </si>
  <si>
    <t>Languages Known</t>
  </si>
  <si>
    <t>Languages Train</t>
  </si>
  <si>
    <t>Languages Left</t>
  </si>
  <si>
    <t>Commander’s Strike</t>
  </si>
  <si>
    <t>Disarming Attack</t>
  </si>
  <si>
    <t>Distracting Strike</t>
  </si>
  <si>
    <t>Evasive Footwork</t>
  </si>
  <si>
    <t>Feinting Attack</t>
  </si>
  <si>
    <t>Goading Attack</t>
  </si>
  <si>
    <t>Lunging Attack</t>
  </si>
  <si>
    <t>Maneuvering Attack</t>
  </si>
  <si>
    <t>Menacing Attack</t>
  </si>
  <si>
    <t>Parry</t>
  </si>
  <si>
    <t>Precision Attack</t>
  </si>
  <si>
    <t>Pushing Attack</t>
  </si>
  <si>
    <t>Rally</t>
  </si>
  <si>
    <t>Riposte</t>
  </si>
  <si>
    <t>Sweeping Attack</t>
  </si>
  <si>
    <t>Trip Attack</t>
  </si>
  <si>
    <t>Breath of Winter</t>
  </si>
  <si>
    <t>Clench of the North Wind</t>
  </si>
  <si>
    <t>Eternal Mountain Defense</t>
  </si>
  <si>
    <t>Fangs of the Fire Snake</t>
  </si>
  <si>
    <t>Fist of Four Thunders</t>
  </si>
  <si>
    <t>Fist of Unbroken Air</t>
  </si>
  <si>
    <t>Flames of the Phoenix</t>
  </si>
  <si>
    <t>Gong of the Summit</t>
  </si>
  <si>
    <t>Mist Stance</t>
  </si>
  <si>
    <t>Ride the Wind</t>
  </si>
  <si>
    <t>River of Hungry Flame</t>
  </si>
  <si>
    <t>Rush of the Gale Spirits</t>
  </si>
  <si>
    <t>Shape the Flowing River</t>
  </si>
  <si>
    <t>Sweeping Cinder Strike</t>
  </si>
  <si>
    <t>Water Whip</t>
  </si>
  <si>
    <t>Wave of Rolling Earth</t>
  </si>
  <si>
    <t>Bear</t>
  </si>
  <si>
    <t>While raging, resistance to all damage except psychic damage.</t>
  </si>
  <si>
    <t>Carrying capacity (incl. max. load &amp; max. lift) is doubled. Advantage on Strength checks to push, pull, lift, or break objects.</t>
  </si>
  <si>
    <t>Eagle</t>
  </si>
  <si>
    <t>See up to 1 mile away. No disadvantage on Wisdom (Perception) checks in dim light.</t>
  </si>
  <si>
    <t>While raging, flying speed equals walking speed. Fall if end turn in the air.</t>
  </si>
  <si>
    <t>Wolf</t>
  </si>
  <si>
    <t>While raging, friends have advantage on melee attack rolls against any creature within 5 feet of you that is hostile to you.</t>
  </si>
  <si>
    <t>Track creatures while traveling at a fast pace, move stealthily while traveling at a normal pace.</t>
  </si>
  <si>
    <t>While raging, bonus action to knock a Large or smaller creature prone when hit with melee weapon attack.</t>
  </si>
  <si>
    <t>aberrations</t>
  </si>
  <si>
    <t>beasts</t>
  </si>
  <si>
    <t>celestials</t>
  </si>
  <si>
    <t>constructs</t>
  </si>
  <si>
    <t>dragons</t>
  </si>
  <si>
    <t>elementals</t>
  </si>
  <si>
    <t>fey</t>
  </si>
  <si>
    <t>fiends</t>
  </si>
  <si>
    <t>giants</t>
  </si>
  <si>
    <t>monstrosities</t>
  </si>
  <si>
    <t>oozes</t>
  </si>
  <si>
    <t>plants</t>
  </si>
  <si>
    <t>undead</t>
  </si>
  <si>
    <t>Colossus Slayer</t>
  </si>
  <si>
    <t>Giant Killer</t>
  </si>
  <si>
    <t>Horde Breaker</t>
  </si>
  <si>
    <t>Escape the Horde</t>
  </si>
  <si>
    <t>Multiattack Defense</t>
  </si>
  <si>
    <t>Steel Will</t>
  </si>
  <si>
    <t>Volley</t>
  </si>
  <si>
    <t>Whirlwind Attack</t>
  </si>
  <si>
    <t>Stand Against the Tide</t>
  </si>
  <si>
    <t>Careful Spell</t>
  </si>
  <si>
    <t>Distant Spell</t>
  </si>
  <si>
    <t>Empowered Spell</t>
  </si>
  <si>
    <t>Extended Spell</t>
  </si>
  <si>
    <t>Heightened Spell</t>
  </si>
  <si>
    <t>Quickened Spell</t>
  </si>
  <si>
    <t>Subtle Spell</t>
  </si>
  <si>
    <t>Twinned Spell</t>
  </si>
  <si>
    <t>Agonizing Blast</t>
  </si>
  <si>
    <t>Armor of Shadows</t>
  </si>
  <si>
    <t>Ascendant Step</t>
  </si>
  <si>
    <t>Beast Speech</t>
  </si>
  <si>
    <t>Beguiling Influence</t>
  </si>
  <si>
    <t>Bewitching Whispers</t>
  </si>
  <si>
    <t>Book of Ancient Secrets</t>
  </si>
  <si>
    <t>Chains of Carceri</t>
  </si>
  <si>
    <t>Devil’s Sight</t>
  </si>
  <si>
    <t>Dreadful Word</t>
  </si>
  <si>
    <t>Eldritch Sight</t>
  </si>
  <si>
    <t>Eldritch Spear</t>
  </si>
  <si>
    <t>Eyes of the Rune Keeper</t>
  </si>
  <si>
    <t>Fiendish Vigor</t>
  </si>
  <si>
    <t>Gaze of Two Minds</t>
  </si>
  <si>
    <t>Lifedrinker</t>
  </si>
  <si>
    <t>Mask of Many Faces</t>
  </si>
  <si>
    <t>Master of Myriad Forms</t>
  </si>
  <si>
    <t>Minions of Chaos</t>
  </si>
  <si>
    <t>Mire the Mind</t>
  </si>
  <si>
    <t>Misty Visions</t>
  </si>
  <si>
    <t>One with Shadows</t>
  </si>
  <si>
    <t>Otherworldly Leap</t>
  </si>
  <si>
    <t>Repelling Blast</t>
  </si>
  <si>
    <t>Sculptor of Flesh</t>
  </si>
  <si>
    <t>Sign of Ill Omen</t>
  </si>
  <si>
    <t>Thief of Five Fates</t>
  </si>
  <si>
    <t>Thirsting Blade</t>
  </si>
  <si>
    <t>Visions of Distant Realms</t>
  </si>
  <si>
    <t>Voice of the Chain Master</t>
  </si>
  <si>
    <t>Whispers of the Grave</t>
  </si>
  <si>
    <t>Witch Sight</t>
  </si>
  <si>
    <t>Details</t>
  </si>
  <si>
    <t>Suggested Domains</t>
  </si>
  <si>
    <t>Auril (NE)</t>
  </si>
  <si>
    <t>Goddess of winter</t>
  </si>
  <si>
    <t>Neutral Evil</t>
  </si>
  <si>
    <t>Nature, Tempest</t>
  </si>
  <si>
    <t>Six-pointed snowflake</t>
  </si>
  <si>
    <t>Azuth (LN)</t>
  </si>
  <si>
    <t>God of wizards</t>
  </si>
  <si>
    <t>Left hand pointing upward, outlined in fire</t>
  </si>
  <si>
    <t>Bane (LE)</t>
  </si>
  <si>
    <t>God of tyranny</t>
  </si>
  <si>
    <t>Lawful Evil</t>
  </si>
  <si>
    <t>Upright black right hand,  thumb and fingers together</t>
  </si>
  <si>
    <t>Beshaba (CE)</t>
  </si>
  <si>
    <t>Goddess of misfortune</t>
  </si>
  <si>
    <t>Chaotic Evil</t>
  </si>
  <si>
    <t>Trickery</t>
  </si>
  <si>
    <t>Black antlers</t>
  </si>
  <si>
    <t>Bhaal (NE)</t>
  </si>
  <si>
    <t>God of murder</t>
  </si>
  <si>
    <t>Death</t>
  </si>
  <si>
    <t>Skull surrounded by a ring of blood droplets</t>
  </si>
  <si>
    <t>Chauntea (NG)</t>
  </si>
  <si>
    <t>Goddess of agriculture</t>
  </si>
  <si>
    <t>Neutral Good</t>
  </si>
  <si>
    <t>Sheaf of grain or a blooming rose over grain</t>
  </si>
  <si>
    <t>Cyric (CE)</t>
  </si>
  <si>
    <t>God of lies</t>
  </si>
  <si>
    <t>White jawless skull on black or purple sunburst</t>
  </si>
  <si>
    <t>Deneir (NG)</t>
  </si>
  <si>
    <t>God of writing</t>
  </si>
  <si>
    <t>Lit candle above an open eye</t>
  </si>
  <si>
    <t>Eldath (NG)</t>
  </si>
  <si>
    <t>Goddess of peace</t>
  </si>
  <si>
    <t>Life, Nature</t>
  </si>
  <si>
    <t>Waterfall plunging into still pool</t>
  </si>
  <si>
    <t>Gond (N)</t>
  </si>
  <si>
    <t>God of craft</t>
  </si>
  <si>
    <t>Toothed cog with four spokes</t>
  </si>
  <si>
    <t>Helm (LN)</t>
  </si>
  <si>
    <t>God of protection</t>
  </si>
  <si>
    <t>Life, Light</t>
  </si>
  <si>
    <t>Staring eye on upright left gauntlet</t>
  </si>
  <si>
    <t>Ilmater (LG)</t>
  </si>
  <si>
    <t>God of endurance</t>
  </si>
  <si>
    <t>Lawful Good</t>
  </si>
  <si>
    <t>Hands bound at the wrist with red cord</t>
  </si>
  <si>
    <t>Kelemvor (LN)</t>
  </si>
  <si>
    <t>God of the dead</t>
  </si>
  <si>
    <t>Upright skeletal arm holding balanced scales</t>
  </si>
  <si>
    <t>Lathander (NG)</t>
  </si>
  <si>
    <t>God of birth and renewal</t>
  </si>
  <si>
    <t>Life,Light</t>
  </si>
  <si>
    <t>Road traveling into a sunrise</t>
  </si>
  <si>
    <t>Leira (CN)</t>
  </si>
  <si>
    <t>Goddess of illusion</t>
  </si>
  <si>
    <t>Chaotic Neutral</t>
  </si>
  <si>
    <t>Point-down triangle containing a swirl of mist</t>
  </si>
  <si>
    <t>Lliira (CG)</t>
  </si>
  <si>
    <t>Goddess of joy</t>
  </si>
  <si>
    <t>Chaotic Good</t>
  </si>
  <si>
    <t>Triangle of three six-pointed stars</t>
  </si>
  <si>
    <t>Loviatar (LE)</t>
  </si>
  <si>
    <t>Goddess of pain</t>
  </si>
  <si>
    <t>Nine-tailed barbed scourge</t>
  </si>
  <si>
    <t>Malar (CE)</t>
  </si>
  <si>
    <t>God of the hunt</t>
  </si>
  <si>
    <t>Clawed paw</t>
  </si>
  <si>
    <t>Mask (CN)</t>
  </si>
  <si>
    <t>God of thieves</t>
  </si>
  <si>
    <t>Black mask</t>
  </si>
  <si>
    <t>Mielikki (NG)</t>
  </si>
  <si>
    <t>Goddess of forests</t>
  </si>
  <si>
    <t>Unicorn’s head</t>
  </si>
  <si>
    <t>Milil (NG)</t>
  </si>
  <si>
    <t>God of poetry and song</t>
  </si>
  <si>
    <t>Five-stringed harp made of leaves</t>
  </si>
  <si>
    <t>Myrkul (NE)</t>
  </si>
  <si>
    <t>God of death</t>
  </si>
  <si>
    <t>White human skull</t>
  </si>
  <si>
    <t>Mystra (NG)</t>
  </si>
  <si>
    <t>Goddess of magic</t>
  </si>
  <si>
    <t>Circle of seven stars; or nine stars encircling a flowing red mist; or a single star</t>
  </si>
  <si>
    <t>Oghma (N)</t>
  </si>
  <si>
    <t>God of knowledge</t>
  </si>
  <si>
    <t>Blank scroll</t>
  </si>
  <si>
    <t>Savras (LN)</t>
  </si>
  <si>
    <t>God of divination and fate</t>
  </si>
  <si>
    <t>Crystal ball containing many kinds of eyes</t>
  </si>
  <si>
    <t>Selûne (CG)</t>
  </si>
  <si>
    <t>Goddess of the moon</t>
  </si>
  <si>
    <t>Knowledge, Life</t>
  </si>
  <si>
    <t>Pair of eyes surrounded by seven stars</t>
  </si>
  <si>
    <t>Shar (NE)</t>
  </si>
  <si>
    <t>Goddess of darkness and loss</t>
  </si>
  <si>
    <t>Death, Trickery</t>
  </si>
  <si>
    <t>Black disk encircled with a border</t>
  </si>
  <si>
    <t>Silvanus (N)</t>
  </si>
  <si>
    <t>God of wild nature</t>
  </si>
  <si>
    <t>Oak leaf</t>
  </si>
  <si>
    <t>Sune (CG)</t>
  </si>
  <si>
    <t>Goddess of love and beauty</t>
  </si>
  <si>
    <t>Face of a beautiful red-haired woman</t>
  </si>
  <si>
    <t>Talona (CE)</t>
  </si>
  <si>
    <t>Goddess of disease and poison</t>
  </si>
  <si>
    <t>Three teardrops on a triangle</t>
  </si>
  <si>
    <t>Talos (CE)</t>
  </si>
  <si>
    <t>God of storms</t>
  </si>
  <si>
    <t>Three lightning bolts radiating from a central point</t>
  </si>
  <si>
    <t>Tempus (N)</t>
  </si>
  <si>
    <t>God of war</t>
  </si>
  <si>
    <t>Upright flaming sword</t>
  </si>
  <si>
    <t>Torm (LG)</t>
  </si>
  <si>
    <t>God of courage and self-sacrifice</t>
  </si>
  <si>
    <t>White right gauntlet</t>
  </si>
  <si>
    <t>Tymora (CG)</t>
  </si>
  <si>
    <t>Goddess of good fortune</t>
  </si>
  <si>
    <t>Face-up coin</t>
  </si>
  <si>
    <t>Tyr (LG)</t>
  </si>
  <si>
    <t>God of justice</t>
  </si>
  <si>
    <t>Balanced scales resting on a warhammer</t>
  </si>
  <si>
    <t>Umberlee (CE)</t>
  </si>
  <si>
    <t>Goddess of the sea</t>
  </si>
  <si>
    <t>Wave curling left and right</t>
  </si>
  <si>
    <t>Waukeen (N)</t>
  </si>
  <si>
    <t>Goddess of trade</t>
  </si>
  <si>
    <t>Knowledge, Trickery</t>
  </si>
  <si>
    <t>Upright coin with Waukeen’s profile facing left</t>
  </si>
  <si>
    <t>Beory (N)</t>
  </si>
  <si>
    <t>goddess of nature</t>
  </si>
  <si>
    <t>Green disk</t>
  </si>
  <si>
    <t>Boccob (N)</t>
  </si>
  <si>
    <t>god of magic</t>
  </si>
  <si>
    <t>Eye within a pentagram</t>
  </si>
  <si>
    <t>Celestian (N)</t>
  </si>
  <si>
    <t>god of stars and wanderers</t>
  </si>
  <si>
    <t>Arc of seven stars inside a circle</t>
  </si>
  <si>
    <t>Ehlonna (NG)</t>
  </si>
  <si>
    <t>goddess of woodlands</t>
  </si>
  <si>
    <t>Unicorn horn</t>
  </si>
  <si>
    <t>Erythnul (CE)</t>
  </si>
  <si>
    <t>god of envy and slaughter</t>
  </si>
  <si>
    <t>Blood drop</t>
  </si>
  <si>
    <t>Fharlanghn (NG)</t>
  </si>
  <si>
    <t>god of horizons and travel</t>
  </si>
  <si>
    <t>Circle crossed by a curved horizon line</t>
  </si>
  <si>
    <t>Heironeous (LG)</t>
  </si>
  <si>
    <t>god of chivalry and valor</t>
  </si>
  <si>
    <t>Lightning bolt</t>
  </si>
  <si>
    <t>Hextor (LE)</t>
  </si>
  <si>
    <t>god of war and discord</t>
  </si>
  <si>
    <t>Six arrows facing downward in a fan</t>
  </si>
  <si>
    <t>Incabulos (NE)</t>
  </si>
  <si>
    <t>god of plague and famine</t>
  </si>
  <si>
    <t>Reptilian eye with a horizontal diamond</t>
  </si>
  <si>
    <t>Istus (N)</t>
  </si>
  <si>
    <t>goddess of fate and destiny</t>
  </si>
  <si>
    <t>Weaver's spindle with three strands</t>
  </si>
  <si>
    <t>Kord (CG)</t>
  </si>
  <si>
    <t>god of athletics and sport</t>
  </si>
  <si>
    <t>Tempest, War</t>
  </si>
  <si>
    <t>Four spears and four maces radiating out from a central point</t>
  </si>
  <si>
    <t>luz (CE)</t>
  </si>
  <si>
    <t>god of pain and oppression</t>
  </si>
  <si>
    <t>Grinning human skull</t>
  </si>
  <si>
    <t>Nerull (NE)</t>
  </si>
  <si>
    <t>god of death</t>
  </si>
  <si>
    <t>Skull with either a sickle or a scythe</t>
  </si>
  <si>
    <t>Obad-Hai (N)</t>
  </si>
  <si>
    <t>god of nature</t>
  </si>
  <si>
    <t>Oak leaf and acorn</t>
  </si>
  <si>
    <t>Olidammara (CN)</t>
  </si>
  <si>
    <t>god of revelry</t>
  </si>
  <si>
    <t>Laughing mask</t>
  </si>
  <si>
    <t>Pelor (NG)</t>
  </si>
  <si>
    <t>god of the sun and healing</t>
  </si>
  <si>
    <t>Sun</t>
  </si>
  <si>
    <t>Pholtus (LG)</t>
  </si>
  <si>
    <t>god of light and law</t>
  </si>
  <si>
    <t>Silver sun or full moon partially eclipsed by a smaller crescent moon</t>
  </si>
  <si>
    <t>Ralishaz (CN)</t>
  </si>
  <si>
    <t>god of ill luck and insanity</t>
  </si>
  <si>
    <t>Three bone fate-casting sticks</t>
  </si>
  <si>
    <t>Rao (LG)</t>
  </si>
  <si>
    <t>god of peace and reason</t>
  </si>
  <si>
    <t>White heart</t>
  </si>
  <si>
    <t>St. Cuthbert (LN)</t>
  </si>
  <si>
    <t>god of common sense and zeal</t>
  </si>
  <si>
    <t>Circle at the center of a starburst of lines</t>
  </si>
  <si>
    <t>Tharizdun (CE)</t>
  </si>
  <si>
    <t>god of eternal darkness</t>
  </si>
  <si>
    <t>Dark spiral or inverted ziggurat</t>
  </si>
  <si>
    <t>Trithereon (CG)</t>
  </si>
  <si>
    <t>god of liberty and retribution</t>
  </si>
  <si>
    <t>Triskelion</t>
  </si>
  <si>
    <t>Ulaa (LG)</t>
  </si>
  <si>
    <t>goddess of hills and mountains</t>
  </si>
  <si>
    <t>Life, War</t>
  </si>
  <si>
    <t>Mountain with a circle at its heart</t>
  </si>
  <si>
    <t>Vecna (NE)</t>
  </si>
  <si>
    <t>god of evil secrets</t>
  </si>
  <si>
    <t>Hand with eye in the palm</t>
  </si>
  <si>
    <t>Wee Jas (LN)</t>
  </si>
  <si>
    <t>goddess of magic and death</t>
  </si>
  <si>
    <t>Death, Knowledge</t>
  </si>
  <si>
    <t>Red skull in front of fireball</t>
  </si>
  <si>
    <t>Branchala (NG)</t>
  </si>
  <si>
    <t>god of music</t>
  </si>
  <si>
    <t>Bard’s harp</t>
  </si>
  <si>
    <t>Habbakuk (NG)</t>
  </si>
  <si>
    <t>god of animal life and the sea</t>
  </si>
  <si>
    <t>Nature; Tempest</t>
  </si>
  <si>
    <t>Blue bird</t>
  </si>
  <si>
    <t>Kiri-Jolith (LG)</t>
  </si>
  <si>
    <t>god of honor and war</t>
  </si>
  <si>
    <t>Bison’s horns</t>
  </si>
  <si>
    <t>Majere (LG)</t>
  </si>
  <si>
    <t>god of meditation and order</t>
  </si>
  <si>
    <t>Copper spider</t>
  </si>
  <si>
    <t>Mishakal (LG)</t>
  </si>
  <si>
    <t>goddess of healing</t>
  </si>
  <si>
    <t>Knowledge; Life</t>
  </si>
  <si>
    <t>Blue infinity sign</t>
  </si>
  <si>
    <t>Paladine (LG)</t>
  </si>
  <si>
    <t>god of rulers and guardians</t>
  </si>
  <si>
    <t>Silver triangle</t>
  </si>
  <si>
    <t>Solinari (LG)</t>
  </si>
  <si>
    <t>god of good magic</t>
  </si>
  <si>
    <t>no clerics</t>
  </si>
  <si>
    <t>White circle or sphere</t>
  </si>
  <si>
    <t>Chislev (N)</t>
  </si>
  <si>
    <t>Feather</t>
  </si>
  <si>
    <t>Gilean (N)</t>
  </si>
  <si>
    <t>god of knowledge</t>
  </si>
  <si>
    <t>Open book</t>
  </si>
  <si>
    <t>Lunitari (N)</t>
  </si>
  <si>
    <t>goddess of neutral magic</t>
  </si>
  <si>
    <t>Red circle or sphere</t>
  </si>
  <si>
    <t>Reorx (N)</t>
  </si>
  <si>
    <t>god of craft</t>
  </si>
  <si>
    <t>Forging hammer</t>
  </si>
  <si>
    <t>Shinare (N)</t>
  </si>
  <si>
    <t>goddess of wealth and trade</t>
  </si>
  <si>
    <t>Knowledge; Trickery</t>
  </si>
  <si>
    <t>Griffon’s wing</t>
  </si>
  <si>
    <t>Sirrion (N)</t>
  </si>
  <si>
    <t>god of fire and change</t>
  </si>
  <si>
    <t>Multi-colored fire</t>
  </si>
  <si>
    <t>Zivilyn (N)</t>
  </si>
  <si>
    <t>god of wisdom</t>
  </si>
  <si>
    <t>Great green or gold tree</t>
  </si>
  <si>
    <t>Chemosh (LE)</t>
  </si>
  <si>
    <t>god of the undead</t>
  </si>
  <si>
    <t>Yellow skull</t>
  </si>
  <si>
    <t>Hiddukel (CE)</t>
  </si>
  <si>
    <t>god of lies and greed</t>
  </si>
  <si>
    <t>Broken merchant’s scales</t>
  </si>
  <si>
    <t>Morgion (NE)</t>
  </si>
  <si>
    <t>god of disease and secrecy</t>
  </si>
  <si>
    <t>Hood with two red eyes</t>
  </si>
  <si>
    <t>Nuitari (LE)</t>
  </si>
  <si>
    <t>god of evil magic</t>
  </si>
  <si>
    <t>Black circle or sphere</t>
  </si>
  <si>
    <t>Sargonnas (LE)</t>
  </si>
  <si>
    <t>god of vengeance and fire</t>
  </si>
  <si>
    <t>Stylized red condor</t>
  </si>
  <si>
    <t>Takhisis (LE)</t>
  </si>
  <si>
    <t>goddess of night and hatred</t>
  </si>
  <si>
    <t>Black crescent</t>
  </si>
  <si>
    <t>Zeboim (CE)</t>
  </si>
  <si>
    <t>goddess of the sea and storms</t>
  </si>
  <si>
    <t>Turtle shell</t>
  </si>
  <si>
    <t>Decription</t>
  </si>
  <si>
    <t>Host</t>
  </si>
  <si>
    <t>Arawai (NG)</t>
  </si>
  <si>
    <t>goddess of fertility</t>
  </si>
  <si>
    <t>Sheaf of wheat tied with green ribbon</t>
  </si>
  <si>
    <t>Aureon (LN)</t>
  </si>
  <si>
    <t>god of law and knowledge</t>
  </si>
  <si>
    <t>Open tome</t>
  </si>
  <si>
    <t>Balinor (N)</t>
  </si>
  <si>
    <t>god of beasts and the hunt</t>
  </si>
  <si>
    <t>Pair of antlers</t>
  </si>
  <si>
    <t>Boldrei (LG)</t>
  </si>
  <si>
    <t>goddess of community and home</t>
  </si>
  <si>
    <t>Fire in a stone hearth</t>
  </si>
  <si>
    <t>Dol Arrah (LG)</t>
  </si>
  <si>
    <t>goddess of sunlight and honor</t>
  </si>
  <si>
    <t>Light, War</t>
  </si>
  <si>
    <t>Rising sun</t>
  </si>
  <si>
    <t>Dol Dorn (CG)</t>
  </si>
  <si>
    <t>god of strength at arms</t>
  </si>
  <si>
    <t>Longsword crossed over a shield</t>
  </si>
  <si>
    <t>Kol Korran (N)</t>
  </si>
  <si>
    <t>god of trade and wealth</t>
  </si>
  <si>
    <t>Nine-sided gold coin</t>
  </si>
  <si>
    <t>Olladra (NG)</t>
  </si>
  <si>
    <t>goddess of good fortune</t>
  </si>
  <si>
    <t>Life, Trickery</t>
  </si>
  <si>
    <t>Domino</t>
  </si>
  <si>
    <t>Onatar (NG)</t>
  </si>
  <si>
    <t>Crossed hammer and tongs</t>
  </si>
  <si>
    <t>The Devourer (NE)</t>
  </si>
  <si>
    <t>god of nature’s wrath</t>
  </si>
  <si>
    <t>Bundle of five sharpened bones</t>
  </si>
  <si>
    <t>The Fury (NE)</t>
  </si>
  <si>
    <t>goddess of wrath and madness</t>
  </si>
  <si>
    <t>Winged wyrm with woman’s head and upper body</t>
  </si>
  <si>
    <t>The Keeper (NE)</t>
  </si>
  <si>
    <t>god of greed and death</t>
  </si>
  <si>
    <t>Dragonshard stone in the shape of a fang</t>
  </si>
  <si>
    <t>The Mockery (NE)</t>
  </si>
  <si>
    <t>god of violence and treachery</t>
  </si>
  <si>
    <t>Five blood-spattered tools</t>
  </si>
  <si>
    <t>The Shadow (CE)</t>
  </si>
  <si>
    <t>god of dark magic</t>
  </si>
  <si>
    <t>Obsidian tower</t>
  </si>
  <si>
    <t>The Traveler (CN)</t>
  </si>
  <si>
    <t>deity of chaos and change</t>
  </si>
  <si>
    <t>Four crossed, rune-inscribed bones</t>
  </si>
  <si>
    <t>Cults of the Dragon Below (NE)</t>
  </si>
  <si>
    <t>deities of madness</t>
  </si>
  <si>
    <t>Varies</t>
  </si>
  <si>
    <t>The Blood of Vol (LN)</t>
  </si>
  <si>
    <t>philosophy of immortality and undeath</t>
  </si>
  <si>
    <t>Death, Life</t>
  </si>
  <si>
    <t>Stylized dragon skull on red teardrop gem</t>
  </si>
  <si>
    <t>The Path of Light (LN)</t>
  </si>
  <si>
    <t>philosophy of light and self-improvement</t>
  </si>
  <si>
    <t>Brilliant crystal</t>
  </si>
  <si>
    <t>The Silver Flame (LG)</t>
  </si>
  <si>
    <t>deity of protection and good</t>
  </si>
  <si>
    <t>Life, Light, War</t>
  </si>
  <si>
    <t>Flame drawn on silver or molded from silver</t>
  </si>
  <si>
    <t>The Spirits of the Past (CG)</t>
  </si>
  <si>
    <t>elven ancestors</t>
  </si>
  <si>
    <t>The Undying Court (NG)</t>
  </si>
  <si>
    <t>Bahamut (LG)</t>
  </si>
  <si>
    <t>dragon god of good</t>
  </si>
  <si>
    <t>Dragon’s head in profile</t>
  </si>
  <si>
    <t>Blibdoolpoolp (NE)</t>
  </si>
  <si>
    <t>kuo-toa goddess</t>
  </si>
  <si>
    <t>Lobster head or black pearl</t>
  </si>
  <si>
    <t>Corellon Larethian (CG)</t>
  </si>
  <si>
    <t>elf deity of art and magic</t>
  </si>
  <si>
    <t>Quarter moon or starburst</t>
  </si>
  <si>
    <t>Deep Sashelas (CG)</t>
  </si>
  <si>
    <t>elf god of the sea</t>
  </si>
  <si>
    <t>Dolphin</t>
  </si>
  <si>
    <t>Eadro (N)</t>
  </si>
  <si>
    <t>merfolk deity of the sea</t>
  </si>
  <si>
    <t>Spiral design</t>
  </si>
  <si>
    <t>Garl Glittergold (LG)</t>
  </si>
  <si>
    <t>gnome god of trickery and wiles</t>
  </si>
  <si>
    <t>Gold nugget</t>
  </si>
  <si>
    <t>Grolantor (CE)</t>
  </si>
  <si>
    <t>hill giant god of war</t>
  </si>
  <si>
    <t>Wooden club</t>
  </si>
  <si>
    <t>Gruumsh (CE)</t>
  </si>
  <si>
    <t>orc god of storms and war</t>
  </si>
  <si>
    <t>Unblinking eye</t>
  </si>
  <si>
    <t>Hruggek (CE)</t>
  </si>
  <si>
    <t>bugbear god of violence</t>
  </si>
  <si>
    <t>Kurtulmak (LE)</t>
  </si>
  <si>
    <t>kobold god of war and mining</t>
  </si>
  <si>
    <t>Gnome skull</t>
  </si>
  <si>
    <t>Laogzed (CE)</t>
  </si>
  <si>
    <t>troglodyte god of hunger</t>
  </si>
  <si>
    <t>Image of the lizard/toad god</t>
  </si>
  <si>
    <t>Lolth (CE)</t>
  </si>
  <si>
    <t>drow goddess of spiders</t>
  </si>
  <si>
    <t>Spider</t>
  </si>
  <si>
    <t>Maglubiyet (LE)</t>
  </si>
  <si>
    <t>goblinoid god of war</t>
  </si>
  <si>
    <t>Bloody axe</t>
  </si>
  <si>
    <t>Moradin (LG)</t>
  </si>
  <si>
    <t>dwarf god of creation</t>
  </si>
  <si>
    <t>Hammer and anvil</t>
  </si>
  <si>
    <t>Rillifane Rallathil (CG)</t>
  </si>
  <si>
    <t>wood elf god of nature</t>
  </si>
  <si>
    <t>Oak</t>
  </si>
  <si>
    <t>Sehanine Moonbow (CG)</t>
  </si>
  <si>
    <t>elf goddess of the moon</t>
  </si>
  <si>
    <t>Crescent moon</t>
  </si>
  <si>
    <t>Sekolah (LE)</t>
  </si>
  <si>
    <t>sahuagin god of the hunt</t>
  </si>
  <si>
    <t>Shark</t>
  </si>
  <si>
    <t>Semuanya (N)</t>
  </si>
  <si>
    <t>lizardfolk deity of survival</t>
  </si>
  <si>
    <t>Egg</t>
  </si>
  <si>
    <t>Skerrit (N)</t>
  </si>
  <si>
    <t>centaur and satyr god of nature</t>
  </si>
  <si>
    <t>Oak growing from acorn</t>
  </si>
  <si>
    <t>koraeus Stonebones (N)</t>
  </si>
  <si>
    <t>god of stone giants and art</t>
  </si>
  <si>
    <t>Stalactite</t>
  </si>
  <si>
    <t>Surtur (LE)</t>
  </si>
  <si>
    <t>god of fire giants and craft</t>
  </si>
  <si>
    <t>Knowledge, War</t>
  </si>
  <si>
    <t>Flaming sword</t>
  </si>
  <si>
    <t>Thrym (CE)</t>
  </si>
  <si>
    <t>god of frost giants and strength</t>
  </si>
  <si>
    <t>White double-bladed axe</t>
  </si>
  <si>
    <t>Tiamat (LE)</t>
  </si>
  <si>
    <t>dragon goddess of evil</t>
  </si>
  <si>
    <t>Dragon head with five claw marks</t>
  </si>
  <si>
    <t>Yondalla (LG)</t>
  </si>
  <si>
    <t>halfling goddess of fertility and protection</t>
  </si>
  <si>
    <t>Languages</t>
  </si>
  <si>
    <t>Language 7</t>
  </si>
  <si>
    <t>Language 8</t>
  </si>
  <si>
    <t>Language 9</t>
  </si>
  <si>
    <t>Language 10</t>
  </si>
  <si>
    <t>Language 11</t>
  </si>
  <si>
    <t>Language 12</t>
  </si>
  <si>
    <t>Language6</t>
  </si>
  <si>
    <t>Language7</t>
  </si>
  <si>
    <t>Language8</t>
  </si>
  <si>
    <t>Language9</t>
  </si>
  <si>
    <t>Language10</t>
  </si>
  <si>
    <t>Language11</t>
  </si>
  <si>
    <t>Language12</t>
  </si>
  <si>
    <t>Language13</t>
  </si>
  <si>
    <t>Racial
Language 1</t>
  </si>
  <si>
    <t>Racial 
Language 2</t>
  </si>
  <si>
    <t>Racial 
Language 3</t>
  </si>
  <si>
    <t>Special 
Language 4</t>
  </si>
  <si>
    <t>Special 
Language 5</t>
  </si>
  <si>
    <t>Language 13</t>
  </si>
  <si>
    <t>User-defined
Language 14</t>
  </si>
  <si>
    <t>User-defined
Language 15</t>
  </si>
  <si>
    <t>User-defined
Language 16</t>
  </si>
  <si>
    <t>User-defined
Language 17</t>
  </si>
  <si>
    <t>Tools Proficiency</t>
  </si>
  <si>
    <t>Number of Proficiency</t>
  </si>
  <si>
    <t>Total Tools Proficiency</t>
  </si>
  <si>
    <t>Tools Train</t>
  </si>
  <si>
    <t>Tools Left</t>
  </si>
  <si>
    <t>Skill Proficiency</t>
  </si>
  <si>
    <t>Setting</t>
  </si>
  <si>
    <t>Forgotten Realms</t>
  </si>
  <si>
    <t>Greyhawk</t>
  </si>
  <si>
    <t>Dragonlance</t>
  </si>
  <si>
    <t>Eberron</t>
  </si>
  <si>
    <t>Nonhuman</t>
  </si>
  <si>
    <t>Heavy armor</t>
  </si>
  <si>
    <t>Martial weapons</t>
  </si>
  <si>
    <t>MultiClass</t>
  </si>
  <si>
    <t>Proficiency_temp</t>
  </si>
  <si>
    <t>heavy armor</t>
  </si>
  <si>
    <t>martial weapons</t>
  </si>
  <si>
    <t>simple weapons</t>
  </si>
  <si>
    <t>Парсинг</t>
  </si>
  <si>
    <t>Simple weapons, Martial weapons</t>
  </si>
  <si>
    <t>Simple Weapons, Hand crossbow, Longsword, Rapier, Shortsword</t>
  </si>
  <si>
    <t>Club, Dagger, Dart, Javelin, Mace, Quarterstaff, Scimitar, Sickle, Sling, Spear</t>
  </si>
  <si>
    <t>Simple Weapons, Martial Weapons</t>
  </si>
  <si>
    <t>Simple Weapons, Shortsword</t>
  </si>
  <si>
    <t>Dagger, Dart, Sling, Quarterstaff, Light crossbow</t>
  </si>
  <si>
    <t>Light Armor, Medium Armor, Shields</t>
  </si>
  <si>
    <t>Light Armor</t>
  </si>
  <si>
    <t>Light Armor, Medium Armor, Shields, Heavy Armor</t>
  </si>
  <si>
    <t>Weapon Proficiency</t>
  </si>
  <si>
    <t>Armor Proficiency</t>
  </si>
  <si>
    <t>Acrobatics (Dex) , Animal Handling (Wis) , Arcana (Int) , Athletics (Str) , Deception (Cha) , History (Int) , Insight (Wis) , Intimidation (Cha) , Investigation (Int) , Medicine (Wis) , Nature (Int) , Perception (Wis) , Performance (Cha) , Persuasion (Cha) , Religion (Int) , Sleight of Hand (Dex) , Stealth (Dex) , Survival (Wis) ,</t>
  </si>
  <si>
    <t>Acrobatics (Dex) , Animal Handling (Wis) , Athletics (Str) , History (Int) , Insight (Wis) , Intimidation (Cha) , Perception (Wis) , Survival (Wis) ,</t>
  </si>
  <si>
    <t>Acrobatics (Dex) , Athletics (Str) , History (Int) , Insight (Wis) , Religion (Int) , Stealth (Dex) ,</t>
  </si>
  <si>
    <t>Acrobatics (Dex) , Athletics (Str) , Deception (Cha) , Insight (Wis) , Intimidation (Cha) , Investigation (Int) , Perception (Wis) , Performance (Cha) , Persuasion (Cha) , Sleight of Hand (Dex) , Stealth (Dex) ,</t>
  </si>
  <si>
    <t>Animal Handling (Wis) , Athletics (Str) , Intimidation (Cha) , Nature (Int) , Perception (Wis) , Survival (Wis) ,</t>
  </si>
  <si>
    <t>History (Int) , Insight (Wis) , Medicine (Wis) , Persuasion (Cha) , Religion (Int) ,</t>
  </si>
  <si>
    <t>Animal Handling (Wis) , Arcana (Int) , Insight (Wis) , Medicine (Wis) , Nature (Int) , Perception (Wis) , Religion (Int) , Survival (Wis) ,</t>
  </si>
  <si>
    <t>Athletics (Str) , Insight (Wis) , Intimidation (Cha) , Medicine (Wis) , Persuasion (Cha) , Religion (Int) ,</t>
  </si>
  <si>
    <t>Animal Handling (Wis) , Athletics (Str) , Insight (Wis) , Investigation (Int) , Nature (Int) , Perception (Wis) , Stealth (Dex) , Survival (Wis) ,</t>
  </si>
  <si>
    <t>Arcana (Int) , Deception (Cha) , Insight (Wis) , Intimidation (Cha) , Perception (Wis) , Religion (Int) ,</t>
  </si>
  <si>
    <t>Arcana (Int) , Deception (Cha) , History (Int) , Intimidation (Cha) , Investigation (Int) , Nature (Int) , Religion (Int) ,</t>
  </si>
  <si>
    <t>Arcana (Int) , History (Int) , Insight (Wis) , Investigation (Int) , Medicine (Wis) , Religion (Int) ,</t>
  </si>
  <si>
    <t>Shields, Simple weapons, Martial weapons</t>
  </si>
  <si>
    <t>Light armor, One Skill, One Musical Instrument</t>
  </si>
  <si>
    <t>Light armor, Medium armor, Shields</t>
  </si>
  <si>
    <t>Light armor, Medium armor, Shields, Simple Weapons, Martial Weapons</t>
  </si>
  <si>
    <t>Light armor, Medium armor, Shields, Simple Weapons, Martial Weapons, One Skill</t>
  </si>
  <si>
    <t>Light armor, One skill, Thieve's tools</t>
  </si>
  <si>
    <t>Light armor, Simple Weapons</t>
  </si>
  <si>
    <t>Multiclass Proficiency</t>
  </si>
  <si>
    <t xml:space="preserve">Reckless Attack, Danger Sense, </t>
  </si>
  <si>
    <t xml:space="preserve">Ability Score Improvement, </t>
  </si>
  <si>
    <t xml:space="preserve">Extra Attack, Fast Movement, </t>
  </si>
  <si>
    <t xml:space="preserve">Feral Instinct, </t>
  </si>
  <si>
    <t xml:space="preserve">Brutal Critical, </t>
  </si>
  <si>
    <t xml:space="preserve">Relentless Rage, </t>
  </si>
  <si>
    <t xml:space="preserve">Persistent Rage, </t>
  </si>
  <si>
    <t xml:space="preserve">Indomitable Might, </t>
  </si>
  <si>
    <t xml:space="preserve">Primal Champion, </t>
  </si>
  <si>
    <t xml:space="preserve">Jack of All Trades, Song of Rest, </t>
  </si>
  <si>
    <t xml:space="preserve">Bardic Inspiration (d8), Font of Inspiration, </t>
  </si>
  <si>
    <t xml:space="preserve">Song of Rest, </t>
  </si>
  <si>
    <t xml:space="preserve">Bardic Inspiration, Expertise, Magical Secrets, </t>
  </si>
  <si>
    <t xml:space="preserve">Bardic Inspiration, </t>
  </si>
  <si>
    <t xml:space="preserve">Magical Secrets, </t>
  </si>
  <si>
    <t xml:space="preserve">Superior Inspiration, </t>
  </si>
  <si>
    <t xml:space="preserve">Destroy Undead, </t>
  </si>
  <si>
    <t xml:space="preserve">Divine Intervention, </t>
  </si>
  <si>
    <t xml:space="preserve">Channel Divinity, </t>
  </si>
  <si>
    <t xml:space="preserve">Divine Intervention Improvement, </t>
  </si>
  <si>
    <t xml:space="preserve">Wild Shape, Druid Circle, </t>
  </si>
  <si>
    <t xml:space="preserve">Ability Score Improvement, Wild Shape Improvement, </t>
  </si>
  <si>
    <t xml:space="preserve">Timeless Body, Beast Spells, </t>
  </si>
  <si>
    <t xml:space="preserve">Archdruid, </t>
  </si>
  <si>
    <t xml:space="preserve">Action Surge, </t>
  </si>
  <si>
    <t xml:space="preserve">Extra Attack, </t>
  </si>
  <si>
    <t xml:space="preserve">Indomitable, </t>
  </si>
  <si>
    <t xml:space="preserve">Extra Attack (2), </t>
  </si>
  <si>
    <t xml:space="preserve">Action Surge, Indomitable, </t>
  </si>
  <si>
    <t xml:space="preserve">Extra Attack (3), </t>
  </si>
  <si>
    <t xml:space="preserve">Ki, Unarmored Movement, </t>
  </si>
  <si>
    <t xml:space="preserve">Extra Attack, Stunning Strike, </t>
  </si>
  <si>
    <t xml:space="preserve">Evasion, Stillness of Mind, </t>
  </si>
  <si>
    <t xml:space="preserve">Unarmored Movement Improvement, </t>
  </si>
  <si>
    <t xml:space="preserve">Purity of Body, </t>
  </si>
  <si>
    <t xml:space="preserve">Tongue of the Sun and Moon, </t>
  </si>
  <si>
    <t xml:space="preserve">Diamond Soul, </t>
  </si>
  <si>
    <t xml:space="preserve">Timeless Body, </t>
  </si>
  <si>
    <t xml:space="preserve">Empty Body, </t>
  </si>
  <si>
    <t xml:space="preserve">Perfect Self, </t>
  </si>
  <si>
    <t xml:space="preserve">Divine Sense, Lay on Hands, </t>
  </si>
  <si>
    <t xml:space="preserve">Aura of Protection, </t>
  </si>
  <si>
    <t xml:space="preserve">Aura of Courage, </t>
  </si>
  <si>
    <t xml:space="preserve">Improved Divine Smite, </t>
  </si>
  <si>
    <t xml:space="preserve">Cleansing Touch, </t>
  </si>
  <si>
    <t xml:space="preserve">Aura improvements, </t>
  </si>
  <si>
    <t xml:space="preserve">Favored Enemy, Natural Explorer, </t>
  </si>
  <si>
    <t xml:space="preserve">Natural Explorer, Hide in Plain Sight, </t>
  </si>
  <si>
    <t xml:space="preserve">Favored Enemy, Vanish, </t>
  </si>
  <si>
    <t xml:space="preserve">Feral Senses, </t>
  </si>
  <si>
    <t xml:space="preserve">Foe Slayer, </t>
  </si>
  <si>
    <t xml:space="preserve">Expertise, Sneak Attack, Thieves' Cant, </t>
  </si>
  <si>
    <t xml:space="preserve">Cunning Action, </t>
  </si>
  <si>
    <t xml:space="preserve">Uncanny Dodge, </t>
  </si>
  <si>
    <t xml:space="preserve">Expertise, </t>
  </si>
  <si>
    <t xml:space="preserve">Evasion, </t>
  </si>
  <si>
    <t xml:space="preserve">Reliable Talent, </t>
  </si>
  <si>
    <t xml:space="preserve">Blindsense, </t>
  </si>
  <si>
    <t xml:space="preserve">Slippery Mind, </t>
  </si>
  <si>
    <t xml:space="preserve">Elusive, </t>
  </si>
  <si>
    <t xml:space="preserve">Stroke of Luck, </t>
  </si>
  <si>
    <t xml:space="preserve">Font of Magic, </t>
  </si>
  <si>
    <t xml:space="preserve">Metamagic, </t>
  </si>
  <si>
    <t xml:space="preserve">Sorcerous Restoration, </t>
  </si>
  <si>
    <t xml:space="preserve">Otherworldly Patron, </t>
  </si>
  <si>
    <t xml:space="preserve">Eldritch Invocations, </t>
  </si>
  <si>
    <t xml:space="preserve">Pact Boon, </t>
  </si>
  <si>
    <t xml:space="preserve">Mystic Arcanum, </t>
  </si>
  <si>
    <t xml:space="preserve">Eldritch Master, </t>
  </si>
  <si>
    <t xml:space="preserve">Arcane Tradition, </t>
  </si>
  <si>
    <t xml:space="preserve">Spell Mastery, </t>
  </si>
  <si>
    <t xml:space="preserve">Signature Spell, </t>
  </si>
  <si>
    <t>Constitution</t>
  </si>
  <si>
    <t>Proficiencies</t>
  </si>
  <si>
    <t>SKILLS</t>
  </si>
  <si>
    <t>Forgery Kit</t>
  </si>
  <si>
    <t>ITEMS</t>
  </si>
  <si>
    <t>Racial Proficiency</t>
  </si>
  <si>
    <t>Background Proficiency</t>
  </si>
  <si>
    <t>SingleWeapon</t>
  </si>
  <si>
    <t>Genasi</t>
  </si>
  <si>
    <t>Air Genasi</t>
  </si>
  <si>
    <t>Fire Genasi</t>
  </si>
  <si>
    <t>Earth Genasi</t>
  </si>
  <si>
    <t>Water Genasi</t>
  </si>
  <si>
    <t>1</t>
  </si>
  <si>
    <t>Flight</t>
  </si>
  <si>
    <t>Talons</t>
  </si>
  <si>
    <t>Aaracocra</t>
  </si>
  <si>
    <t>Unending Breath</t>
  </si>
  <si>
    <t>Mingle with the Wind</t>
  </si>
  <si>
    <t>Earth Walk</t>
  </si>
  <si>
    <t>Merge with Stone</t>
  </si>
  <si>
    <t>Fire Resistance</t>
  </si>
  <si>
    <t>Reach to the Blaze</t>
  </si>
  <si>
    <t>Acid Resistance</t>
  </si>
  <si>
    <t>Swim</t>
  </si>
  <si>
    <t>Call to the Wave</t>
  </si>
  <si>
    <t>Goliath</t>
  </si>
  <si>
    <t>Natural Athlete</t>
  </si>
  <si>
    <t>Stone's Endurance</t>
  </si>
  <si>
    <t>Powerful Build</t>
  </si>
  <si>
    <t>Mountain Born</t>
  </si>
  <si>
    <t>Archetype Feature</t>
  </si>
  <si>
    <t>Уровень</t>
  </si>
  <si>
    <t>Условие замены Feature</t>
  </si>
  <si>
    <t>Musical Instrument or Artisan's Tools</t>
  </si>
  <si>
    <t>Racial Tools</t>
  </si>
  <si>
    <t>Class 1</t>
  </si>
  <si>
    <t>Class 2</t>
  </si>
  <si>
    <t>Class 3</t>
  </si>
  <si>
    <t>Race Description</t>
  </si>
  <si>
    <t>SubRace Description</t>
  </si>
  <si>
    <t>Bonuses</t>
  </si>
  <si>
    <t>Background Description</t>
  </si>
  <si>
    <t>Tools List 1</t>
  </si>
  <si>
    <t>Tools List 2</t>
  </si>
  <si>
    <t>Leveling</t>
  </si>
  <si>
    <t>Know</t>
  </si>
  <si>
    <t xml:space="preserve">Martial Archetype Feature7, </t>
  </si>
  <si>
    <t xml:space="preserve">Martial Archetype Feature10, </t>
  </si>
  <si>
    <t xml:space="preserve">Martial Archetype Feature15, </t>
  </si>
  <si>
    <t xml:space="preserve">Martial Archetype Feature18, </t>
  </si>
  <si>
    <t>Martial Archetype Feature7</t>
  </si>
  <si>
    <t>Martial Archetype Feature10</t>
  </si>
  <si>
    <t>Martial Archetype Feature15</t>
  </si>
  <si>
    <t>Martial Archetype Feature18</t>
  </si>
  <si>
    <t>Improved Combat Superiority (d12)</t>
  </si>
  <si>
    <t>Improved Combat Superiority (d10)</t>
  </si>
  <si>
    <t>Class Feature_WorkName</t>
  </si>
  <si>
    <t>Class Feature_DisplayName</t>
  </si>
  <si>
    <t>Martial Archetype Feature3-1</t>
  </si>
  <si>
    <t>Martial Archetype Feature3-2</t>
  </si>
  <si>
    <t>Improved Combat Superiority</t>
  </si>
  <si>
    <t>Martial Archetype, Martial Archetype Feature3-1, Martial Archetype Feature3-2,</t>
  </si>
  <si>
    <t xml:space="preserve">Countercharm, Bard College Feature6, </t>
  </si>
  <si>
    <t xml:space="preserve">Magical Secrets, Bard College Feature14, </t>
  </si>
  <si>
    <t>Bard College Feature3-1</t>
  </si>
  <si>
    <t>Bard College Feature3-2</t>
  </si>
  <si>
    <t>Bard College Feature6</t>
  </si>
  <si>
    <t>Bard College Feature14</t>
  </si>
  <si>
    <t xml:space="preserve">Spellcasting (Bard), Bardic Inspiration, </t>
  </si>
  <si>
    <t>Spellcasting (Bard)</t>
  </si>
  <si>
    <t>WorkName</t>
  </si>
  <si>
    <t>DisplayName</t>
  </si>
  <si>
    <t>Формирование Class Traits</t>
  </si>
  <si>
    <t xml:space="preserve">Path Feature6, </t>
  </si>
  <si>
    <t xml:space="preserve">Path Feature10, </t>
  </si>
  <si>
    <t xml:space="preserve">Path Feature14, </t>
  </si>
  <si>
    <t>Spellcasting (Cleric), Divine Domain, Divine Domain Feature1</t>
  </si>
  <si>
    <t xml:space="preserve">Channel Divinity, Divine Domain Feature2, </t>
  </si>
  <si>
    <t xml:space="preserve">Channel Divinity, Divine Domain Feature6, </t>
  </si>
  <si>
    <t xml:space="preserve">Ability Score Improvement, Divine Domain Feature8, Destroy Undead, </t>
  </si>
  <si>
    <t xml:space="preserve">Destroy Undead, Divine Domain Feature17, </t>
  </si>
  <si>
    <t xml:space="preserve">Spellcasting (Druid), Druidic language, </t>
  </si>
  <si>
    <t xml:space="preserve">Druid Circle Feature6, </t>
  </si>
  <si>
    <t xml:space="preserve">Druid Circle Feature10, </t>
  </si>
  <si>
    <t xml:space="preserve">Druid Circle Feature14, </t>
  </si>
  <si>
    <t xml:space="preserve">Monastic Tradition Feature17, </t>
  </si>
  <si>
    <t xml:space="preserve">Monastic Tradition Feature11, </t>
  </si>
  <si>
    <t xml:space="preserve">Ki-Empowered Strikes, Monastic Tradition Feature6, </t>
  </si>
  <si>
    <t xml:space="preserve">Sacred Oath Feature7, </t>
  </si>
  <si>
    <t xml:space="preserve">Sacred Oath Feature15, </t>
  </si>
  <si>
    <t xml:space="preserve">Sacred Oath Feature20, </t>
  </si>
  <si>
    <t xml:space="preserve">Ranger Archetype Feature15, </t>
  </si>
  <si>
    <t xml:space="preserve">Ranger Archetype Feature11, </t>
  </si>
  <si>
    <t xml:space="preserve">Ranger Archetype Feature7, </t>
  </si>
  <si>
    <t xml:space="preserve">Roguish Archetype Feature9, </t>
  </si>
  <si>
    <t xml:space="preserve">Roguish Archetype Feature13, </t>
  </si>
  <si>
    <t xml:space="preserve">Roguish Archetype Feature17, </t>
  </si>
  <si>
    <t xml:space="preserve">Spellcasting (sorcerer), Sorcerous Origin, </t>
  </si>
  <si>
    <t xml:space="preserve">Sorcerous Origin Feature6, </t>
  </si>
  <si>
    <t xml:space="preserve">Sorcerous Origin Feature14, </t>
  </si>
  <si>
    <t xml:space="preserve">Sorcerous Origin Feature18, </t>
  </si>
  <si>
    <t xml:space="preserve">Otherworldly Patron Feature14, </t>
  </si>
  <si>
    <t xml:space="preserve">Otherworldly Patron Feature10, </t>
  </si>
  <si>
    <t xml:space="preserve">Otherworldly Patron Feature6, </t>
  </si>
  <si>
    <t xml:space="preserve">Arcane Tradition Feature6, </t>
  </si>
  <si>
    <t xml:space="preserve">Arcane Tradition Feature10, </t>
  </si>
  <si>
    <t xml:space="preserve">Arcane Tradition Feature14, </t>
  </si>
  <si>
    <t>Class Description</t>
  </si>
  <si>
    <t>Armor and Weapon Proficiency</t>
  </si>
  <si>
    <t>Gain +2 bonus to attack rolls made with ranged weapons</t>
  </si>
  <si>
    <t>Gain +1 bonus to armor class when wearing armor</t>
  </si>
  <si>
    <t>Gain +2 bonus to damage rolls when wielding a melee weapon in one hand and no other weapon.</t>
  </si>
  <si>
    <t>When engaging in two-weapon fighting, add your ability modifier to the second attack</t>
  </si>
  <si>
    <t>When you take the Attack action on your turn, forgo one of your attacks and use a bonus action to direct one of your companions to strike. Choose a friendly creature who can see or hear you and expend one superiority die. That creature can immediately use its reaction to make one weapon attack, adding the superiority die to the damage roll.</t>
  </si>
  <si>
    <t>When you hit a creature with a weapon attack, expend one superiority die to attempt to disarm the target, forcing it to drop one item of your choice that it’s holding. Add the superiority die to the damage roll, and the target must make a Strength saving throw. On a failed save, it drops the object you choose. The object lands at its feet.</t>
  </si>
  <si>
    <t>When you hit a creature with a weapon attack, expend one superiority die to distract the creature, giving allies an opening. Add the superiority die to the damage roll. The next attack roll against the target by an attacker other than you has advantage if the attack is made before the start of your next turn.</t>
  </si>
  <si>
    <t>When you move, expend one superiority die, adding the number rolled to your AC until you stop moving.</t>
  </si>
  <si>
    <t>Expend one superiority die and use a bonus action on your turn to feint, choose one creature within 5 feet of you as your target. You have advantage on your next attack roll against that creature. If that attack hits, add the superiority die to the damage roll.</t>
  </si>
  <si>
    <t>When you hit a creature with a weapon attack, expend one superiority die to attempt to goad the target into attacking you. Add the superiority die to the damage roll, and the target must make a Wisdom saving throw. On a failed save, the target has disadvantage on all attack rolls against targets other than you until the end of your next turn.</t>
  </si>
  <si>
    <t>When you make a melee weapon attack on your turn, expend one superiority die to increase your reach for that attack by 5 feet. If you hit, you add the superiority die to the damage roll.</t>
  </si>
  <si>
    <t>When you hit a creature with a weapon attack, expend one superiority die to maneuver one of your comrades into a more advantageous position. Add the superiority die to the damage roll, and choose a friendly creature who can see or hear you. It can use its reaction to move up to half its speed without provoking opportunity attacks from the target of your attack.</t>
  </si>
  <si>
    <t>When you hit a creature with a weapon attack, expend one superiority die to attempt to frighten the target. Add the superiority die to the damage roll, the target must make a Wisdom saving throw. On a failed save, it is frightened of you until the end of your next turn.</t>
  </si>
  <si>
    <t>When another creature damages you with a melee attack, use your reaction and expend one superiority die to reduce the damage by the number you roll on your superiority die + your Dexterity modifier.</t>
  </si>
  <si>
    <t>When you make a weapon attack roll against a creature, expend one superiority die to add it to the roll. You can use this maneuver before or after making the attack roll, but before any effects of the attack are applied.</t>
  </si>
  <si>
    <t>When you hit a creature with a weapon attack, expend one superiority die to attempt to drive the target back. Add the superiority die to the damage roll, if the target is Large or smaller, it must make a Strength saving throw. On a failed save, you push the target up to 15 feet away from you.</t>
  </si>
  <si>
    <t>On your turn, use a bonus action and expend one superiority die to bolster the resolve of one of your companions. Choose a friendly creature who can see or hear you. It gains temporary HP equal to the superiority die roll + your Charisma modifier.</t>
  </si>
  <si>
    <t>When a creature misses you with a melee attack, use your reaction and expend one superiority die to make a melee weapon attack against the creature. If you hit, add the superiority die to the damage roll.</t>
  </si>
  <si>
    <t>When you hit a creature with a melee weapon attack, expend one superiority die to attempt to damage another creature with the same attack. Choose another creature within 5 feet of the original target and within your reach. If the original attack roll would hit the second creature, it takes damage equal to the number you roll on your superiority die.</t>
  </si>
  <si>
    <t>When you hit a creature with a weapon attack, expend one superiority die to attempt to knock the target down. Add the superiority die to the damage roll, and if the target is Large or smaller, it must make a Strength saving throw. On a failed save, you knock the target prone.</t>
  </si>
  <si>
    <t>Combat Maneuver</t>
  </si>
  <si>
    <t>Spend 6 ki points to cast cone of cold.</t>
  </si>
  <si>
    <t>Spend 3 ki points to cast hold person.</t>
  </si>
  <si>
    <t>Spend 5 ki points to cast stoneskin, targeting yourself.</t>
  </si>
  <si>
    <t>Spend 2 ki points to cast thunderwave.</t>
  </si>
  <si>
    <t>Spend 4 ki points to cast fireball.</t>
  </si>
  <si>
    <t>Spend 3 ki points to cast shatter.</t>
  </si>
  <si>
    <t>Spend 4 ki points to cast gaseous form, targeting yourself.</t>
  </si>
  <si>
    <t>Spend 4 ki points to cast fly, targeting yourself.</t>
  </si>
  <si>
    <t>Send 5 ki points to cast wall of fire.</t>
  </si>
  <si>
    <t>Spend 2 ki points to cast gust of wind.</t>
  </si>
  <si>
    <t>Spend 2 ki points to cast burning hands.</t>
  </si>
  <si>
    <t>Spend 6 ki points to cast wall of stone.</t>
  </si>
  <si>
    <t>Elemental Discipline</t>
  </si>
  <si>
    <t xml:space="preserve">Fighting Style (fighter), Second Wind, </t>
  </si>
  <si>
    <t>Fighting style (fighter)</t>
  </si>
  <si>
    <t>Eldritch Invocation</t>
  </si>
  <si>
    <t>Arcane Tradition Feature6</t>
  </si>
  <si>
    <t>Arcane Tradition Feature2-1</t>
  </si>
  <si>
    <t>Arcane Tradition Feature2-2</t>
  </si>
  <si>
    <t>Arcane Tradition Feature10</t>
  </si>
  <si>
    <t>Arcane Tradition Feature14</t>
  </si>
  <si>
    <t>Divine Domain Feature2</t>
  </si>
  <si>
    <t>Divine Domain Feature6</t>
  </si>
  <si>
    <t>Divine Domain Feature8</t>
  </si>
  <si>
    <t>Divine Domain Feature17</t>
  </si>
  <si>
    <t>Druid Circle Feature2-1</t>
  </si>
  <si>
    <t>Druid Circle Feature2-2</t>
  </si>
  <si>
    <t>Druid Circle Feature6</t>
  </si>
  <si>
    <t>Druid Circle Feature10</t>
  </si>
  <si>
    <t>Druid Circle Feature14</t>
  </si>
  <si>
    <t>Monastic Tradition Feature3</t>
  </si>
  <si>
    <t>Monastic Tradition Feature6</t>
  </si>
  <si>
    <t>Monastic Tradition Feature11</t>
  </si>
  <si>
    <t>Monastic Tradition Feature17</t>
  </si>
  <si>
    <t>When you cast eldritch blast, add your Charisma modifier to the damage it deals on a hit.</t>
  </si>
  <si>
    <t>You can cast mage armor on yourself at will, without expending a spell slot or material components.</t>
  </si>
  <si>
    <t>You can cast levitate on yourself at will, without expending a spell slot or material components.</t>
  </si>
  <si>
    <t>You can cast speak with animals at will, without expending a spell slot.</t>
  </si>
  <si>
    <t>You gain proficiency in the Deception and Persuasion skills.</t>
  </si>
  <si>
    <t>You can cast compulsion once using a warlock spell slot. You can’t do so again until you finish a long rest.</t>
  </si>
  <si>
    <t>You can see normally in darkness, both magical and nonmagical, to a distance of 120 feet.</t>
  </si>
  <si>
    <t>You can cast confusion once using a warlock spell slot. You can’t do so again until you finish a long rest.</t>
  </si>
  <si>
    <t>You can cast detect magic at will, without expending a spell slot.</t>
  </si>
  <si>
    <t>When you cast eldritch blast, its range is 300 feet.</t>
  </si>
  <si>
    <t>You can read all writing.</t>
  </si>
  <si>
    <t>You can cast false life on yourself at will as a 1st-level spell, without expending a spell slot or material components.</t>
  </si>
  <si>
    <t>When you hit a creature with your pact weapon, it takes an extra necrotic damage.</t>
  </si>
  <si>
    <t>You can cast disguise self at will, without expending a spell slot.</t>
  </si>
  <si>
    <t>You can cast alter self at will, without expending a spell slot.</t>
  </si>
  <si>
    <t>You can cast conjure elemental once using a warlock spell slot. You can’t do so again until you finish a long rest.</t>
  </si>
  <si>
    <t>You can cast slow once using a warlock spell slot. You can’t do so again until you finish a long rest.</t>
  </si>
  <si>
    <t>You can cast silent image at will, without expending a spell slot or material components.</t>
  </si>
  <si>
    <t>You can cast jump on yourself at will, without expending a spell slot or material components.</t>
  </si>
  <si>
    <t>When you hit a creature with eldritch blast, you can push the creature up to 10 feet away from you in a straight line.</t>
  </si>
  <si>
    <t>You can cast polymorph once using a warlock spell slot. You can’t do so again until you finish a long rest.</t>
  </si>
  <si>
    <t>You can cast bestow curse once using a warlock spell slot. You can’t do so again until you finish a long rest.</t>
  </si>
  <si>
    <t>You can cast bane once using a warlock spell slot. You can’t do so again until you finish a long rest.</t>
  </si>
  <si>
    <t>You can attack with your pact weapon twice, instead of once, whenever you take the Attack action on your turn.</t>
  </si>
  <si>
    <t>You can cast arcane eye at will, without expending a spell slot.</t>
  </si>
  <si>
    <t>You can cast speak with dead at will, without expending a spell slot.</t>
  </si>
  <si>
    <t>Otherworldly Patron Feature1-1</t>
  </si>
  <si>
    <t>Otherworldly Patron Feature1-2</t>
  </si>
  <si>
    <t>Otherworldly Patron Feature6</t>
  </si>
  <si>
    <t>Otherworldly Patron Feature10</t>
  </si>
  <si>
    <t>Otherworldly Patron Feature14</t>
  </si>
  <si>
    <t>Ranger Archetype Feature3</t>
  </si>
  <si>
    <t>Ranger Archetype Feature7</t>
  </si>
  <si>
    <t>Ranger Archetype Feature11</t>
  </si>
  <si>
    <t>Ranger Archetype Feature15</t>
  </si>
  <si>
    <t>Roguish Archetype Feature3-1</t>
  </si>
  <si>
    <t>Roguish Archetype Feature3-2</t>
  </si>
  <si>
    <t>Roguish Archetype Feature9</t>
  </si>
  <si>
    <t>Roguish Archetype Feature13</t>
  </si>
  <si>
    <t>Roguish Archetype Feature17</t>
  </si>
  <si>
    <t>Sacred Oath Feature3-1</t>
  </si>
  <si>
    <t>Sacred Oath Feature3-2</t>
  </si>
  <si>
    <t>Sacred Oath Feature7</t>
  </si>
  <si>
    <t>Sacred Oath Feature15</t>
  </si>
  <si>
    <t>Sacred Oath Feature20</t>
  </si>
  <si>
    <t>Sorcerous Origin Feature1-1</t>
  </si>
  <si>
    <t>Sorcerous Origin Feature1-2</t>
  </si>
  <si>
    <t>Sorcerous Origin Feature6</t>
  </si>
  <si>
    <t>Sorcerous Origin Feature14</t>
  </si>
  <si>
    <t>Sorcerous Origin Feature18</t>
  </si>
  <si>
    <t>Path Feature3-1</t>
  </si>
  <si>
    <t>Path Feature3-2</t>
  </si>
  <si>
    <t>Path Feature6</t>
  </si>
  <si>
    <t>Path Feature10</t>
  </si>
  <si>
    <t>Path Feature14</t>
  </si>
  <si>
    <t>Primal Path Feature</t>
  </si>
  <si>
    <t>Divine Domain Feature1-1</t>
  </si>
  <si>
    <t>Divine Domain Feature1-2</t>
  </si>
  <si>
    <t>Druid Circle Feature3</t>
  </si>
  <si>
    <t>Spellcasting (Wizard)</t>
  </si>
  <si>
    <t>Spellcasting (Sorcerer)</t>
  </si>
  <si>
    <t>Spellcasting (Cleric)</t>
  </si>
  <si>
    <t>Spellcasting (Druid)</t>
  </si>
  <si>
    <t>Spellcasting (Ranger)</t>
  </si>
  <si>
    <t>Spellcasting (Paladin)</t>
  </si>
  <si>
    <t>Variant 6</t>
  </si>
  <si>
    <t>Variant 7</t>
  </si>
  <si>
    <t>Variant 8</t>
  </si>
  <si>
    <t>Variant 9</t>
  </si>
  <si>
    <t>Variant 10</t>
  </si>
  <si>
    <t>Variant 11</t>
  </si>
  <si>
    <t>Variant 12</t>
  </si>
  <si>
    <t>Variant 13</t>
  </si>
  <si>
    <t>Variant 14</t>
  </si>
  <si>
    <t>Variant 15</t>
  </si>
  <si>
    <t>Variant 16</t>
  </si>
  <si>
    <t>Variant 17</t>
  </si>
  <si>
    <t>Variant 18</t>
  </si>
  <si>
    <t>Variant 19</t>
  </si>
  <si>
    <t>Variant 20</t>
  </si>
  <si>
    <t>Primal Path, Path Feature3-1, Path Feature3-2,</t>
  </si>
  <si>
    <t>Monastic Tradition, Deflect Missiles, Monastic Tradition Feature3,</t>
  </si>
  <si>
    <t>Sacred Oath, Sacred Oath Feature3-1, Sacred Oath Feature3-2,</t>
  </si>
  <si>
    <t xml:space="preserve">Spellcasting (wizard), Arcane Recovery, </t>
  </si>
  <si>
    <t xml:space="preserve">Rage, Unarmored Defense (con), </t>
  </si>
  <si>
    <t xml:space="preserve">Martial Arts, Unarmored Defense (wis), </t>
  </si>
  <si>
    <t>Unarmored Defense (wis)</t>
  </si>
  <si>
    <t>Unarmored Defense (con)</t>
  </si>
  <si>
    <t xml:space="preserve">Fighting style (ranger), Spellcasting (ranger), </t>
  </si>
  <si>
    <t xml:space="preserve">Fighting style (paladin), Spellcasting (paladin), Divine Smite, </t>
  </si>
  <si>
    <t>Fighting style (paladin)</t>
  </si>
  <si>
    <t>Fighting style (Ranger)</t>
  </si>
  <si>
    <t>FE</t>
  </si>
  <si>
    <t>NE</t>
  </si>
  <si>
    <t xml:space="preserve">Ranger Archetype, Primeval Awareness, Ranger Archetype Feature3, </t>
  </si>
  <si>
    <t>Fighting Style 1</t>
  </si>
  <si>
    <t>Fighting Style 2</t>
  </si>
  <si>
    <t>Fighting Style 3</t>
  </si>
  <si>
    <t>Fighting Style 4</t>
  </si>
  <si>
    <t>FightingStyleRanger</t>
  </si>
  <si>
    <t>FightingStylePaladin</t>
  </si>
  <si>
    <t>FightingStyleFighter</t>
  </si>
  <si>
    <t>FightingStyleChampion</t>
  </si>
  <si>
    <t>Fighting Style Ranger</t>
  </si>
  <si>
    <t>Fighting Style Paladin</t>
  </si>
  <si>
    <t>Fighting Style Fighter</t>
  </si>
  <si>
    <t>Fighting Style Champion</t>
  </si>
  <si>
    <t>Выбрано</t>
  </si>
  <si>
    <t>Доступно для выбора</t>
  </si>
  <si>
    <t>Fighter (Champion)</t>
  </si>
  <si>
    <t>Evocations</t>
  </si>
  <si>
    <t>Combat maneuvers</t>
  </si>
  <si>
    <t>Bonus Proficiency: Death Domain</t>
  </si>
  <si>
    <t>Channel Divinity: Touch of Death</t>
  </si>
  <si>
    <t>Reaper</t>
  </si>
  <si>
    <t>Inescapable Destruction</t>
  </si>
  <si>
    <t>Divine Strike (necrotic)</t>
  </si>
  <si>
    <t>Improved Reaper</t>
  </si>
  <si>
    <t>Channel Divinity: Control Undead</t>
  </si>
  <si>
    <t>Channel Divinity: Dreadful Aspect</t>
  </si>
  <si>
    <t>Aura of Hate</t>
  </si>
  <si>
    <t>Supernatural Resistance</t>
  </si>
  <si>
    <t>Dread Lord</t>
  </si>
  <si>
    <t>Spellcasting Class</t>
  </si>
  <si>
    <t>Spellcasting Ability</t>
  </si>
  <si>
    <t>Spells Known</t>
  </si>
  <si>
    <t>TotalSpellcastingLevel</t>
  </si>
  <si>
    <t>Slot1lvl</t>
  </si>
  <si>
    <t>Slot2lvl</t>
  </si>
  <si>
    <t>Slot3lvl</t>
  </si>
  <si>
    <t>Slot4lvl</t>
  </si>
  <si>
    <t>Slot5lvl</t>
  </si>
  <si>
    <t>Slot6lvl</t>
  </si>
  <si>
    <t>Slot7lvl</t>
  </si>
  <si>
    <t>Slot8lvl</t>
  </si>
  <si>
    <t>Slot9lvl</t>
  </si>
  <si>
    <t>SpellcastingBard</t>
  </si>
  <si>
    <t>SpellcastingCleric</t>
  </si>
  <si>
    <t>SpellcastingDruid</t>
  </si>
  <si>
    <t>SpellcastingEK</t>
  </si>
  <si>
    <t>SpellcastingPaladin</t>
  </si>
  <si>
    <t>SpellcastingRanger</t>
  </si>
  <si>
    <t>SpellcastingSorcerer</t>
  </si>
  <si>
    <t>SpellcastingWizard</t>
  </si>
  <si>
    <t>SpellcastingAT</t>
  </si>
  <si>
    <t>Cantrips Known</t>
  </si>
  <si>
    <t>Dwarven Combat Training</t>
  </si>
  <si>
    <t>When you roll a 1 on an attack roll, ability check, or saving throw, you can reroll the die and must use the new roll.</t>
  </si>
  <si>
    <t>You have advantage on saving throws against being frightened.</t>
  </si>
  <si>
    <t>You can move through the space of any creature that is of a size larger than yours.</t>
  </si>
  <si>
    <t>You can attempt to hide even when you are obscured only by a creature that is at least one size larger than you.</t>
  </si>
  <si>
    <t>You have advantage on saving throws against poison, and you have resistance against poison damage</t>
  </si>
  <si>
    <t>You have proficiency with rapiers, shortswords, and hand crossbows</t>
  </si>
  <si>
    <t>You know the dancing lights cantrip. When you reach 3rd level, you can cast the faerie fire spell once per day. When you reach 5th level, you can also cast the darkness spell once per day. Charisma is your spellcasting ability for these spells.</t>
  </si>
  <si>
    <t>You have disadvantage on attack rolls and on Wisdom (Perception) checks that rely on sight when you, the target of your attack, or whatever you are trying to perceive is in direct sunlight.</t>
  </si>
  <si>
    <t>Your darkvision has a radius of 120 feet.</t>
  </si>
  <si>
    <t>Your base walking speed increases to 35 feet.</t>
  </si>
  <si>
    <t>Fleet of Foot</t>
  </si>
  <si>
    <t>You have proficiency with the longsword, shortsword, shortbow, and longbow.</t>
  </si>
  <si>
    <t>You can attempt to hide even when you are only lightly obscured by foliage, heavy rain, falling snow, mist, and other natural phenomena.</t>
  </si>
  <si>
    <t>You have advantage on saving throws against being charmed, and magic can’t put you to sleep.</t>
  </si>
  <si>
    <t>You have proficiency in the Perception skill.</t>
  </si>
  <si>
    <t>Accustomed to twilit forests and the night sky, you have superior vision in dark and dim conditions. You can see in dim light within 60 feet of you as if it were bright light, and in darkness as if it were dim light. You can’t discern color in darkness, only shades of gray.</t>
  </si>
  <si>
    <t>You have proficiency with light and medium armor.</t>
  </si>
  <si>
    <t>Your hit point maximum increases by 1, and it increases by 1 every time you gain a level.</t>
  </si>
  <si>
    <t>You have proficiency with the battleaxe, handaxe, throwing hammer, and warhammer.</t>
  </si>
  <si>
    <t>Whenever you make an Intelligence (History) check related to the origin of stonework, you are considered proficient in the History skill and add double your proficiency bonus to the check, instead of your normal proficiency bonus.</t>
  </si>
  <si>
    <t>You gain proficiency with the artisan’s tools of your choice: smith’s tools, brewer’s supplies, or mason’s tools.</t>
  </si>
  <si>
    <t>You have advantage on all Intelligence, Wisdom, and Charisma saving throws against magic.</t>
  </si>
  <si>
    <t>Through sounds and gestures, you can communicate simple ideas with Small or smaller beasts. Forest gnomes love animals and often keep squirrels, badgers, rabbits, moles, woodpeckers, and other creatures as beloved pets.</t>
  </si>
  <si>
    <t>Whenever you make an Intelligence (History) check related to magic items, alchemical objects, or technological devices, you can add twice your proficiency bonus, instead of any proficiency bonus you normally apply.</t>
  </si>
  <si>
    <t>You gain proficiency in two skills of your choice.</t>
  </si>
  <si>
    <t>Skill Versatility</t>
  </si>
  <si>
    <t>Menacing</t>
  </si>
  <si>
    <t>When you are reduced to 0 hit points but not killed outright, you ean drop to 1 hit point instead. You can’t use this feature again until you finish a long rest.</t>
  </si>
  <si>
    <t>When you score a critical hit with a melee weapon attack, you can roll one of the weapon’s damage dice one additional time and add it to the extra damage of the critical hit.</t>
  </si>
  <si>
    <t>You have resistance to fire damage.</t>
  </si>
  <si>
    <t>While you are not wearing any armor, your Armor Class equals 10 +your Dexterity modifier +your Constitution modifier. You can use a shield and still gain this benefit.</t>
  </si>
  <si>
    <t>Starting at 2nd level, you can throw aside all concern for defense to attack with fierce desperation. When you make your first attack on your turn, you can decide to attack recklessly. Doing so gives you advantage on melee weapon attack rolls using Strength during this turn, but attack rolls against you have advantage until your next turn.</t>
  </si>
  <si>
    <t>Beginning at 5th level, you can attack twice, instead of once, whenever you take the Attack action on your turn.</t>
  </si>
  <si>
    <t>Starting at 5th level, your speed increases by 10 feet while you aren't wearing heavy armor.</t>
  </si>
  <si>
    <t>barbarian</t>
  </si>
  <si>
    <t>Beginning at 15th level, your rage is so fierce that it ends early only if you fall unconscious or if you choose to end it.</t>
  </si>
  <si>
    <t>Beginning at 18th level, if your total fora Strength check is less than your Strength score, you can use that score in place of the total.</t>
  </si>
  <si>
    <t>At 20th level, you embody the power of the wilds. Your Strength and Constitution scores increase by 4. Your maximum for those scores is now 24.</t>
  </si>
  <si>
    <t>Beginning at 6th level, you can't be charmed or frightened while raging. If you are charmed or frightened when you enter your rage, the effect is suspended for the duration of the rage.</t>
  </si>
  <si>
    <t>Starting at 14th level, when you take damage from a creature that is within 5 feet of you, you can use your reaction to make a melee weapon attack against that creature.</t>
  </si>
  <si>
    <t>Yours is a path that seeks attunement with the natural world, giving you a kinship with beasts. At 3rd level when you adopt this path, you gain the ability to cast the beast sense and speak with animals spells, but only as rituals, as described in chapter 10.</t>
  </si>
  <si>
    <t>At 10th level, you can cast the commune with nature spell, but only as a ritual. When you do so, a spiritual version of one of the animals you chose for Totem Spirit or Aspect of the Beast appears to you to convey the information you seek.</t>
  </si>
  <si>
    <t>Starting at 2nd level, you can add half your proficiency bonus, rounded down, to any ability check you make that doesn’t already include your proficiency bonus.</t>
  </si>
  <si>
    <t>Beginning when you reach 5th level, you regain all of your expended uses of Bardic Inspiration when you finish a short or long rest.</t>
  </si>
  <si>
    <t>When you join the College of Lore at 3rd level, you gain proficiency with three skills of your choice.</t>
  </si>
  <si>
    <t>Also at 3rd level, you learn how to use your wit to distract, confuse, and otherwise sap the confidence and competence of others. When a creature that you can see within 60 feet of you makes an attack roll, an ability check, or a damage roll, you can use your reaction to expend one of your uses of Bardic Inspiration, roiling a Bardic Inspiration die and subtracting the number rolled from the creature’s roll. You can choose to use this feature after the creature makes its roll, but before the DM determines whether the attack roll or ability check succeeds or fails, or before the creature deals its damage. The creature is immune if it can’t hear you or if it's immune to being charmed.</t>
  </si>
  <si>
    <t>At 6th level, you learn two spells of your choice from any class. A spell you choose must be of a level you can cast, as shown on the Bard table, or a cantrip. The chosen spells count as bard spells for you but don’t count against the number of bard spells you know.</t>
  </si>
  <si>
    <t>Starting at 14th level, when you make an ability check, you can expend one use of Bardic Inspiration. Roll a Bardic Inspiration die and add the number rolled to your ability check. You can choose to do so after you roll the die for the ability check, but before the DM tells you whether you succeed or fail.</t>
  </si>
  <si>
    <t>When you join the College of Valor at 3rd level, you gain proficiency with medium armor, shields, and martial weapons.</t>
  </si>
  <si>
    <t>Starting at 6th level, you can attack twice, instead of once, whenever you take the Attack action on your turn.</t>
  </si>
  <si>
    <t>At 14th level, you have mastered the art of weaving spellcasting and weapon use into a single harmonious act. When you use your action to cast a bard spell, you can make one weapon attack as a bonus action.</t>
  </si>
  <si>
    <t>CHANNEL DIVINITY: TURN UNDEAD</t>
  </si>
  <si>
    <t>Starting at 5th level, when an undead fails its saving throw against your Turn Undead feature, the creature is instantly destroyed if its challenge rating is at or below a certain threshold</t>
  </si>
  <si>
    <t>At 20th level, your call for intervention succeeds automatically, no roll required.</t>
  </si>
  <si>
    <t>Starting at 2nd level, you can use your Channel Divinity to tap into a divine well of knowledge. As an action, you choose one skill or tool. For 10 minutes, you have proficiency with the chosen skill or tool.</t>
  </si>
  <si>
    <t>Starting at 8th level, you add your Wisdom modifier to the damage you deal with any cleric cantrip.</t>
  </si>
  <si>
    <t>Potent Spellcasting (cleric)</t>
  </si>
  <si>
    <t>When you choose this domain at 1st level, you gain proficiency with heavy armor.</t>
  </si>
  <si>
    <t>Also starting at 1st level, your healing spells are more effective. Whenever you use a spell of 1st level or higher to restore hit points to a creature, the creature regains additional hit points equal to 2 + the spell’s level.</t>
  </si>
  <si>
    <t>Beginning at 6th level, the healing spells you cast on others heal you as well. When you cast a spell of 1st level or higher that restores hit points to a creature other than you, you regain hit points equal to 2 + the spell’s level.</t>
  </si>
  <si>
    <t>At 8th level, you gain the ability to infuse your weapon strikes with divine energy. Once on each of your turns when you hit a creature with a weapon attack, you can cause the attack to deal an extra 1 d8 radiant damage to the target. When you reach 14th level, the extra damage increases to 2d8.</t>
  </si>
  <si>
    <t>Divine Strike (radiant)</t>
  </si>
  <si>
    <t>When you choose this domain at 1st level, you gain the light cantrip if you don’t already know it.</t>
  </si>
  <si>
    <t>Starting at 6th level, you can also use your Warding Flare feature when a creature that you can see within 30 feet of you attacks a creature other than you.</t>
  </si>
  <si>
    <t>Starting at 17th level, you can use your action to activate an aura of sunlight that lasts for 1 minute or until you dismiss it using another action. You emit bright light in a 60-foot radius and dim light 30 feet beyond that. Your enemies in the bright light have disadvantage on saving throws against any spell that deals fire or radiant damage.</t>
  </si>
  <si>
    <t>At 1st level, you learn one druid cantrip of your choice. You also gain proficiency in one of the following skills of your choice: Animal Handling, Nature, or Survival. Also at 1st level, you gain proficiency with heavy armor.</t>
  </si>
  <si>
    <t>Also at 1st level, you gain proficiency with heavy armor.</t>
  </si>
  <si>
    <t>Starting at 6th level, when you or a creature within 30 feet of you takes acid, cold, fire, lightning, or thunder damage, you can use your reaction to grant resistance to the creature against that instance of the damage.</t>
  </si>
  <si>
    <t>At 8th level, you gain the ability to infuse your weapon strikes with divine energy. Once on each of your turns when you hit a creature with a weapon attack, you can cause the attack to deal an extra ld8 cold, fire, or lightning damage (your choice) to the target. When you reach 14th level, the extra damage increases to 2d8.</t>
  </si>
  <si>
    <t>At 17th level, you gain the ability to command animals and plant creatures. While creatures are charmed by your Charm Animals and Plants feature, you can take a bonus action on your turn to verbally command what each of those creatures will do on its next turn.</t>
  </si>
  <si>
    <t>Divine Strike (nature)</t>
  </si>
  <si>
    <t>At 1st level, you gain proficiency with martial weapons and heavy armor.</t>
  </si>
  <si>
    <t>At 6th level, when you deal lightning damage to a Large or smaller creature, you can also push it up to 10 feet away from you.</t>
  </si>
  <si>
    <t>At 8th level, you gain the ability to infuse your weapon strikes with divine energy. Once on each of your turns when you hit a creature with a weapon attack, you can cause the attack to deal an extra ld8 thunder damage to the target. When you reach 14th level, the extra damage increases to 2d8.</t>
  </si>
  <si>
    <t>Divine Strike (thunder)</t>
  </si>
  <si>
    <t>At 17th level, you have a flying speed equal to your current walking speed whenever you are not underground or indoors.</t>
  </si>
  <si>
    <t>Starting when you choose this domain at 1st level, you can use your action to touch a willing creature other than yourself to give it advantage on Dexterity (Stealth) checks. This blessing lasts for 1 hour or until you use this feature again.</t>
  </si>
  <si>
    <t>At 8th level, you gain the ability to infuse your weapon strikes with poison—a gift from your deity. Once on each of your turns when you hit a creature with a weapon attack, you can cause the attack to deal an extra ld8 poison damage to the target. When you reach 14th level, the extra damage increases to 2d8.</t>
  </si>
  <si>
    <t>Divine Strike (poison)</t>
  </si>
  <si>
    <t>At 17th level, you can create up to four duplicates of yourself, instead of one, when you use Invoke Duplicity. As a bonus action on your turn, you can move any number of them up to 30 feet, to a maximum range of 120 feet.</t>
  </si>
  <si>
    <t>Starting at 2nd level, you can use your Channel Divinity to strike with supernatural accuracy. When you make an attack roll, you can use your Channel Divinity to gain a +10 bonus to the roll. You make this choice after you see the roll, but before the DM says whether the attack hits or misses.</t>
  </si>
  <si>
    <t>At 6th level, when a creature within 30 feet of you makes an attack roll, you can use your reaction to grant that creature a +10 bonus to the roll, using your Channel Divinity. You make this choice after you see the roll, but before the DM says whether the attack hits or misses.</t>
  </si>
  <si>
    <t>At 8th level, you gain the ability to infuse your weapon strikes with divine energy. Once on each of your turns when you hit a creature with a weapon attack, you can cause the attack to deal an extra ld8 damage of the same type dealt by the weapon to the target. When you reach 14th level, the extra damage increases to 2d8.</t>
  </si>
  <si>
    <t>Divine Strike (weapon)</t>
  </si>
  <si>
    <t>At 17th level, you gain resistance to bludgeoning, piercing, and slashing damage from nonmagical weapons</t>
  </si>
  <si>
    <t>You know Druidic, the secret language of druids. You can speak the language and use it to leave hidden messages. You and others who know this language automatically spot such a message. Others spot the message’s presence with a successful DC 15 Wisdom (Perception) check but can't decipher it without magic.</t>
  </si>
  <si>
    <t>Starting at 18th level, the primal magic that you wield causes you to age more slowly. For every 10 years that pass, your body ages only 1 year.</t>
  </si>
  <si>
    <t>Beginning at 18th level, you can cast many of your druid spells in any shape you assume using Wild Shape. You can perform the somatic and verbal components of a druid spell while in a beast shape, but you aren’t able to provide material components.</t>
  </si>
  <si>
    <t>Beginning at 18th level, you can cast many of your druid spells in any shape you assume using Wild Shape. You can perform the somatic and verbal components of a druid spell while in a beast shape, but you aren’t able to provide material components. Additionally, you can ignore the verbal and somatic components of your druid spells, as well as any material components that lack a cost and aren't consumed by a spell. You gain this benefit in both your normal shape and your beast shape from Wild Shape.</t>
  </si>
  <si>
    <t>When you choose this circle at 2nd level, you learn one additional druid cantrip of your choice.</t>
  </si>
  <si>
    <t>When you reach 10th level, you can’t be charmed or frightened by elementals or fey, and you are immune to poison and disease.</t>
  </si>
  <si>
    <t>At 10th level, you can expend two uses of Wild Shape at the same time to transform into an air elemental, an earth elemental, a fire elemental, or a water elemental.</t>
  </si>
  <si>
    <t>By 14th level, you have learned to use magic to alter your physical form in more subtle ways. You can cast the alter self spell at will.</t>
  </si>
  <si>
    <t>Starting at 6th level, your attacks in beast form count as magical for the purpose of overcoming resistance and immunity to nonmagical attacks and damage.</t>
  </si>
  <si>
    <t>Beginning when you choose this archetype at 3rd level, your weapon attacks score a critical hit on a roll of 19 or 20.</t>
  </si>
  <si>
    <t>Starting at 15th level, your weapon attacks score a critical hit on a roll of 18-20.</t>
  </si>
  <si>
    <t>At 18th level, you attain the pinnacle of resilience in battle. At the start of each of your turns, you regain hit points equal to 5 + your Constitution modifier if you have no more than half of your hit points left. You don’t gain this benefit if you have 0 hit points.</t>
  </si>
  <si>
    <t>At 3rd level, you gain proficiency with one type of artisan’s tools of your choice.</t>
  </si>
  <si>
    <t>Starting at 15th level, when you roll initiative and have no superiority dice remaining, you regain 1 superiority die.</t>
  </si>
  <si>
    <t>Beginning at 7th level, when you use your action to cast a cantrip, you can make one weapon attack as a bonus action.</t>
  </si>
  <si>
    <t>At 10th level, you learn how to make your weapon strikes undercut a creature’s resistance to your spells. When you hit a creature with a weapon attack, that creature has disadvantage on the next saving throw it makes against a spell you cast before the end of your next turn.</t>
  </si>
  <si>
    <t>At 15th level, you gain the ability to teleport up to 30 feet to an unoccupied space you can see when you use your Action Surge. You can teleport before or after the additional action.</t>
  </si>
  <si>
    <t>Beginning at 1st level, while you are wearing no armor and not wielding a shield, your AC equals 10 + your Dexterity modifier + your Wisdom modifier.</t>
  </si>
  <si>
    <t>Flurry of Blows</t>
  </si>
  <si>
    <t>Immediately after you take the Attack action on your turn, you can spend 1 ki point to make two unarmed strikes as a bonus action.</t>
  </si>
  <si>
    <t>Patient Defense</t>
  </si>
  <si>
    <t>You can spend 1 ki point to take the Dodge action as a bonus action on your turn.</t>
  </si>
  <si>
    <t>At 9th level, you gain the ability to move along vertical surfaces and across liquids on your turn without falling during the move.</t>
  </si>
  <si>
    <t>Slow Fall</t>
  </si>
  <si>
    <t>Beginning at 4th level, you can use your reaction when you fall to reduce any falling damage you take by an amount equal to five times your monk level.</t>
  </si>
  <si>
    <t>Starting at 5th level, you can interfere with the flow of ki in an opponent’s body. When you hit another creature with a melee weapon attack, you can spend 1 ki point to attempt a stunning strike. The target must succeed on a Constitution saving throw or be stunned until the end of your next turn.</t>
  </si>
  <si>
    <t>Starting at 6th level, your unarmed strikes count as magical for the purpose of overcoming resistance and immunity to nonmagical attacks and damage.</t>
  </si>
  <si>
    <t>At 7th level, your instinctive agility lets you dodge out of the way of certain area effects, such as a blue dragon’s lightning breath or a fireball spell. When you are subjected to an effect that allows you to make a Dexterity saving throw to take only half damage, you instead take no damage if you succeed on the saving throw, and only half damage if you fail.</t>
  </si>
  <si>
    <t>Starting at 7th level, you can use your action to end one effect on yourself that is causing you to be charmed or frightened.</t>
  </si>
  <si>
    <t>At 10th level, your mastery of the ki flowing through you makes you immune to disease and poison.</t>
  </si>
  <si>
    <t>Starting at 13th level, you learn to touch the ki of other minds so that you understand all spoken languages. Moreover, any creature that can understand a language can understand what you say.</t>
  </si>
  <si>
    <t>Timeless Body (druid)</t>
  </si>
  <si>
    <t>At 15th level, your ki sustains you so that you suffer none of the frailty of old age, and you can’t be aged magically. You can still die of old age, however. In addition, you no longer need food or water.</t>
  </si>
  <si>
    <t>Timeless Body (monk)</t>
  </si>
  <si>
    <t>At 20th level, when you roll for initiative and have no ki points remaining, you regain 4 ki points.</t>
  </si>
  <si>
    <t>At 6th level, you gain the ability to heal yourself. As an action, you can regain hit points equal to three times your monk level. You must finish a long rest before you can use this feature again.</t>
  </si>
  <si>
    <t>Starting when you choose this tradition at 3rd level, you can use your ki to duplicate the effects of certain spells. As an action, you can spend 2 ki points to cast darkness, darkvision, pass without trace, or silence, without providing material components. Additionally, you gain the minor illusion cantrip if you don't already know it.</t>
  </si>
  <si>
    <t>At 6th level, you gain the ability to step from one shadow into another. When you are in dim light or darkness, as a bonus action you can teleport up to 60 feet to an unoccupied space you can see that is also in dim light or darkness. You then have advantage on the first melee attack you make before the end of the turn.</t>
  </si>
  <si>
    <t>By 11th level, you have learned to become one with the shadows. When you are in an area of dim light or darkness, you can use your action to become invisible. You remain invisible until you make an attack, cast a spell, or are in an area of bright light.</t>
  </si>
  <si>
    <t>At 17th level, you can exploit a creature’s momentary distraction when it is hit by an attack. Whenever a creature within 5 feet of you is hit by an attack made by a creature other than you. you can use your reaction to make a melee attack against that creature.</t>
  </si>
  <si>
    <t>Starting at 2nd level, when you hit a creature with a melee weapon attack, you can expend one paladin spell slot to deal radiant damage to the target, in addition to the weapon's damage. The extra damage is 2d8 for a 1 st-level spell slot, plus ld8 for each spell level higher than 1st, to a maximum of 5d8. The damage increases by ld8 if the target is an undead or a fiend.</t>
  </si>
  <si>
    <t>Divine Health</t>
  </si>
  <si>
    <t>By 3rd level, the divine magic flowing through you makes you immune to disease.</t>
  </si>
  <si>
    <t>By 11th level, you are so suffused with righteous might that all your melee weapon strikes carry divine power with them. Whenever you hit a creature with a melee weapon, the creature takes an extra ld8 radiant damage. If you also use your Divine Smite with an attack, you add this damage to the extra damage of your Divine Smite.</t>
  </si>
  <si>
    <t>DruidLands</t>
  </si>
  <si>
    <t>Ranges of auras increase to 30 feet</t>
  </si>
  <si>
    <t>NatureDomain</t>
  </si>
  <si>
    <t>Druid Lands</t>
  </si>
  <si>
    <t>DruidLand1</t>
  </si>
  <si>
    <t>DruidLand2</t>
  </si>
  <si>
    <t>NaturalExplorer 1</t>
  </si>
  <si>
    <t>NaturalExplorer 2</t>
  </si>
  <si>
    <t>NaturalExplorer 3</t>
  </si>
  <si>
    <t>CombatManeuver2</t>
  </si>
  <si>
    <t>CombatManeuver3</t>
  </si>
  <si>
    <t>CombatManeuver4</t>
  </si>
  <si>
    <t>CombatManeuver5</t>
  </si>
  <si>
    <t>CombatManeuver6</t>
  </si>
  <si>
    <t>CombatManeuver7</t>
  </si>
  <si>
    <t>CombatManeuver8</t>
  </si>
  <si>
    <t>CombatManeuver9</t>
  </si>
  <si>
    <t>CombatManeuver10</t>
  </si>
  <si>
    <t>CombatManeuver11</t>
  </si>
  <si>
    <t>DomainNature</t>
  </si>
  <si>
    <t>BardMulti</t>
  </si>
  <si>
    <t>RogueMulti</t>
  </si>
  <si>
    <t>RangerMulti</t>
  </si>
  <si>
    <t>DomainKnowledge1</t>
  </si>
  <si>
    <t>DomainKnowledge2</t>
  </si>
  <si>
    <t>CollegeofLore1</t>
  </si>
  <si>
    <t>CollegeofLore2</t>
  </si>
  <si>
    <t>CollegeofLore3</t>
  </si>
  <si>
    <t>KnowledgeDomain</t>
  </si>
  <si>
    <t>Com.man1</t>
  </si>
  <si>
    <t>Beginning at 3rd level, you can use your action and expend one ranger spell slot to focus your awareness on the region around you. For 1 minute per level of the spell slot you expend, you can sense whether the following types of creatures are present within 1 mile of you (or within up to 6 miles if you are in your favored terrain): aberrations, celestials, dragons, elementals, fey, fiends, and undead. This feature doesn’t reveal the creatures’ location or number.</t>
  </si>
  <si>
    <t>Land's Stride (ranger)</t>
  </si>
  <si>
    <t xml:space="preserve">Ability Score Improvement, Land's Stride (ranger), </t>
  </si>
  <si>
    <t>Starting at 14th level, you can use the Hide action as a bonus action on your turn. Also, you can’t be tracked by nonmagical means, unless you choose to leave a trail.</t>
  </si>
  <si>
    <t>At 20th level, you become an unparalleled hunter of your enemies. Once on each of your turns, you can add your Wisdom modifier to the attack roll or the damage roll of an attack you make against one of your favored enemies. You can choose to use this feature before or after the roll, but before any effects of the roll are applied.</t>
  </si>
  <si>
    <t>Your tenacity can wear down the most potent foes. When you hit a creature with a weapon attack, the creature takes an extra ld8 damage if it's below its hit point maximum. You can deal this extra damage only once per turn.</t>
  </si>
  <si>
    <t>When a Large or larger creature within 5 feet of you hits or misses you with an attack, you can use your reaction to attack that creature immediately after its attack, provided that you can see the creature.</t>
  </si>
  <si>
    <t>Once on each of your turns when you make a weapon attack, you can make another attack with the same weapon against a different creature that is within 5 feet of the original target and within range of your weapon.</t>
  </si>
  <si>
    <t>Opportunity attacks against you are made with disadvantage.</t>
  </si>
  <si>
    <t>When a creature hits you with an attack, you gain a +4 bonus to AC against all subsequent attacks made by that creature for the rest of the turn.</t>
  </si>
  <si>
    <t>You can use your action to make a ranged attack against any number of creatures within 10 feet of a point you can see within your weapon’s range. You must have ammunition for each target, as normal, and you make a separate attack roll for each target.</t>
  </si>
  <si>
    <t>You can use your action to make a melee attack against any number of creatures within 5 feet of you, with a separate attack roll for each target.</t>
  </si>
  <si>
    <t>When an attacker that you can see hits you with an attack, you can use your reaction to halve the attack’s damage against you.</t>
  </si>
  <si>
    <t>When a hostile creature misses you with a melee attack, you can use your reaction to force that creature to repeat the same attack against another creature (other than itself) of your choice.</t>
  </si>
  <si>
    <t>Beginning at 7th level, on any of your turns when your beast companion doesn’t attack, you can use a bonus action to command the beast to take the Dash, Disengage, Dodge, or Help action on its turn.</t>
  </si>
  <si>
    <t>Starting at 11th level, your beast companion can make two attacks when you command it to use the Attack action.</t>
  </si>
  <si>
    <t>Starting at 2nd level, your quick thinking and agility allow you to move and act quickly. You can take a bonus action on each of your turns in combat. This action can be used only to take the Dash, Disengage, or Hide action.</t>
  </si>
  <si>
    <t>Starting at 5th level, when an attacker that you can see hits you with an attack, you can use your reaction to halve the attack’s damage against you.</t>
  </si>
  <si>
    <t>By 11th level, you have refined your chosen skills until they approach perfection. Whenever you make an ability check that lets you add your proficiency bonus, you can treat a d20 roll of 9 or lower as a 10.</t>
  </si>
  <si>
    <t>Starting at 14th level, if you are able to hear, you are aware of the location of any hidden or invisible creature within 10 feet of you.</t>
  </si>
  <si>
    <t>By 15th level, you have acquired greater mental strength. You gain proficiency in Wisdom saving throws.</t>
  </si>
  <si>
    <t>Beginning at 18th level, you are so evasive that attackers rarely gain the upper hand against you. No attack roll has advantage against you while you aren’t incapacitated</t>
  </si>
  <si>
    <t>Starting at 3rd level, you can use the bonus action granted by your Cunning Action to make a Dexterity (Sleight of Hand) check, use your thieves’ tools to disarm a trap or open a lock, or take the Use an Object action.</t>
  </si>
  <si>
    <t>Starting at 9th level, you have advantage on a Dexterity (Stealth) check if you move no more than half your speed on the same turn.</t>
  </si>
  <si>
    <t>By 13th level, you have learned enough about the workings of magic that you can improvise the use of items even when they are not intended for you. You ignore all class, race, and level requirements on the use of magic items.</t>
  </si>
  <si>
    <t>When you reach 17th level, you have become adept at laying ambushes and quickly escaping danger. You can take two turns during the first round of any combat. You take your first turn at your normal initiative and your second turn at your initiative minus 10. You can’t use this feature when you are surprised.</t>
  </si>
  <si>
    <t>When you choose this archetype at 3rd level, you gain proficiency with the disguise kit and the poisoner's kit.</t>
  </si>
  <si>
    <t>Starting at 3rd level, you are at your deadliest when you get the drop on your enemies. You have advantage on attack rolls against any creature that hasn’t taken a turn in the combat yet. In addition, any hit you score against a creature that is surprised is a critical hit.</t>
  </si>
  <si>
    <t>Starting at 17th level, you become a master of instant death. When you attack and hit a creature that is surprised, it must make a Constitution saving throw (DC 8 + your Dexterity modifier + your proficiency bonus). On a failed save, double the damage of your attack against the creature.</t>
  </si>
  <si>
    <t>Starting at 9th level, if you are hidden from a creature when you cast a spell on it, the creature has disadvantage on any saving throw it makes against the spell this turn.</t>
  </si>
  <si>
    <t>Black</t>
  </si>
  <si>
    <t>Blue</t>
  </si>
  <si>
    <t>Brass</t>
  </si>
  <si>
    <t>Bronze</t>
  </si>
  <si>
    <t>Red</t>
  </si>
  <si>
    <t>White</t>
  </si>
  <si>
    <t>At 1st level, you choose one type of dragon as your ancestor. The damage type associated with each dragon is used by features you gain later. You can speak, read, and write Draconic. Additionally, whenever you make a Charisma check when interacting with dragons, your proficiency bonus is doubled if it applies to the check.</t>
  </si>
  <si>
    <t>Beginning at 18th level, you can channel the dread presence of your dragon ancestor, causing those around you to become awestruck or frightened. As an action, you can spend 5 sorcery points to draw on this power and exude an aura of awe or fear (your choice) to a distance of 60 feet. For 1 minute or until you lose your concentration (as if you were casting a concentration spell), each hostile creature that starts its turn in this aura must succeed on a Wisdom saving throw or be charmed (if you chose awe) or frightened (if you chose fear) until the aura ends. A creature that succeeds on this saving throw is immune to your aura for 24 hours.</t>
  </si>
  <si>
    <t>Starting when you choose this origin at 1st level, your spellcasting can unleash surges of untamed magic. Immediately after you cast a sorcerer spell of 1st level or higher, the DM can have you roll a d20. If you roll a 1, roll on the Wild Magic Surge table to create a random magical effect.</t>
  </si>
  <si>
    <t>At 14th level, you gain a modicum of control over the surges of your wild magic. Whenever you roll on the Wild Magic Surge table, you can roll twice and use either number.</t>
  </si>
  <si>
    <t>Beginning at 18th level, the harmful energy of your spells intensifies. When you roll damage for a spell and roll the highest number possible on any of the dice, choose one of those dice, roll it again and add that roll to the damage. You can use the feature only once per turn</t>
  </si>
  <si>
    <t>At 3rd level, your otherworldly patron bestows a gift upon you for your loyal service. You gain one of the following features of your choice.</t>
  </si>
  <si>
    <t>At 20th level, you can draw on your inner reserve of mystical power while entreating your patron to regain expended spell slots. You can spend 1 minute entreating your patron for aid to regain all your expended spell slots from your Pact Magic feature. Once you regain spell slots with this feature, you must finish a long rest before you can do so again.</t>
  </si>
  <si>
    <t>Expanded Spell List - the Archfey</t>
  </si>
  <si>
    <t>The Archfey lets you choose from an expanded list of spells when you learn a warlock spell. The following spells are added to the warlock spell list for you.</t>
  </si>
  <si>
    <t>Misty Escape</t>
  </si>
  <si>
    <t>Beginning at 10th level, your patron teaches you how to turn the mind-affecting magic of your enemies against them. You are immune to being charmed, and when another creature attempts to charm you, you can use your reaction to attempt to turn the charm back on that creature. The creature must succeed on a Wisdom saving throw against your warlock spell save DC or be charmed by you for 1 minute or until the creature takes any damage.</t>
  </si>
  <si>
    <t>Expanded Spell List - the Fiend</t>
  </si>
  <si>
    <t>Dark One’s Blessing</t>
  </si>
  <si>
    <t>Starting at 10th level, you can choose one damage type when you finish a short or long rest. You gain resistance to that damage type until you choose a different one with this feature. Damage from magical weapons or silver weapons ignores this resistance.</t>
  </si>
  <si>
    <t>Starting at 1st level, when you reduce a hostile creature to 0 hit points, you gain temporary hit points equal to your Charisma modifier + your warlock level (minimum of 1)</t>
  </si>
  <si>
    <t>Starting at 10th level, your thoughts can’t be read by telepathy or other means unless you allow it. You also have resistance to psychic damage, and whenever a creature deals psychic damage to you, that creature takes the same amount of damage that you do.</t>
  </si>
  <si>
    <t>Starting at 1st level, your alien knowledge gives you the ability to touch the minds of other creatures. You can communicate telepathically with any creature you can see within 30 feet of you. You don’t need to share a language with the creature for it to understand your telepathic utterances, but the creature must be able to understand at least one language.</t>
  </si>
  <si>
    <t>Expanded Spell List - the Old One</t>
  </si>
  <si>
    <t>The Great Old One lets you choose from an expanded list of spells when you learn a warlock spell. The following spells are added to the warlock spell list for you.</t>
  </si>
  <si>
    <t>Fey Presence</t>
  </si>
  <si>
    <t>Dark Delirium</t>
  </si>
  <si>
    <t>Beguiling Defenses</t>
  </si>
  <si>
    <t>Dark One’s Own Luck</t>
  </si>
  <si>
    <t>Fiendish Resilience</t>
  </si>
  <si>
    <t>Hurl Through Hell</t>
  </si>
  <si>
    <t>Awakened Mind</t>
  </si>
  <si>
    <t>Entropic Ward</t>
  </si>
  <si>
    <t>Thought Shield</t>
  </si>
  <si>
    <t>Create thrall</t>
  </si>
  <si>
    <t>The Fiend lets you choose from an expanded list of spells when you learn a warlock spell. The following spells are added to the warlock spell list for you.</t>
  </si>
  <si>
    <t>The Old One</t>
  </si>
  <si>
    <t>The Fiend</t>
  </si>
  <si>
    <t>The Archfey</t>
  </si>
  <si>
    <t>Yes</t>
  </si>
  <si>
    <t>Beginning when you select this school at 2nd level, the gold and time you must spend to copy an abjuration spell into your spellbook is halved.</t>
  </si>
  <si>
    <t>Starting at 6th level, when a creature that you can see within 30 feet of you takes damage, you can use your reaction to cause your Arcane Ward to absorb that damage. If this damage reduces the ward to 0 hit points, the warded creature takes any remaining damage.</t>
  </si>
  <si>
    <t>Beginning at 10th level, when you cast an abjuration spell that requires you to make an ability check as a part of casting that spell (as in counterspell and dispel magic), you add your proficiency bonus to that ability check</t>
  </si>
  <si>
    <t>Beginning when you select this school at 2nd level, the gold and time you must spend to copy a conjuration spell into your spellbook is halved.</t>
  </si>
  <si>
    <t>Beginning at 10th level, while you are concentrating on a conjuration spell, your concentration can’t be broken as a result of taking damage.</t>
  </si>
  <si>
    <t>Starting at 14th level, any creature that you summon or create with a conjuration spell has 30 temporary hit points.</t>
  </si>
  <si>
    <t>Beginning when you select this school at 2nd level, the gold and time you must spend to copy a divination spell into your spellbook is halved.</t>
  </si>
  <si>
    <t>Beginning at 6th level, casting divination spells comes so easily to you that it expends only a fraction of your spellcasting efforts. When you cast a divination spell of 2nd level or higher using a spell slot, you regain one expended spell slot. The slot you regain must be of a level lower than the spell you cast and can’t be higher than 5th level.</t>
  </si>
  <si>
    <t>Starting at 14th level, the visions in your dreams intensify and paint a more accurate picture in your mind of what is to come. You roll three d20s for your Portent feature, rather than two.</t>
  </si>
  <si>
    <t>Beginning when you select this school at 2nd level, the gold and time you must spend to copy an enchantment spell into your spellbook is halved.</t>
  </si>
  <si>
    <t>Starting at 10th level, when you cast an enchantment spell of 1st level or higher that targets only one creature, you can have it target a second creature.</t>
  </si>
  <si>
    <t>Beginning when you select this school at 2nd level, the gold and time you must spend to copy an evocation spell into your spellbook is halved.</t>
  </si>
  <si>
    <t>Beginning at 2nd level, you can create pockets of relative safety within the effects of your evocation spells. When you cast an evocation spell that affects other creatures that you can see, you can choose a number of them equal to 1 + the spell’s level. The chosen creatures automatically succeed on their saving throws against the spell, and they take no damage if they would normally take half damage on a successful save.</t>
  </si>
  <si>
    <t>Starting at 6th level, your damaging cantrips affect even creatures that avoid the brunt of the effect. When a creature succeeds on a saving throw against your cantrip, the creature takes half the cantrip’s damage (if any) but suffers no additional effect from the cantrip.</t>
  </si>
  <si>
    <t>Beginning at 10th level, you can add your Intelligence modifier to the damage roll of any wizard evocation spell you cast.</t>
  </si>
  <si>
    <t>Beginning when you select this school at 2nd gold and time you must spend to copy an illusion spell into your spellbook is halved.</t>
  </si>
  <si>
    <t>Starting at 6th level, when you cast an illusion spell that has a duration of 1 minute or longer, you can use your action to change the nature of that illusion (using the spell’s normal parameters for the illusion), provided that you can see the illusion.</t>
  </si>
  <si>
    <t>Beginning when you select this school at 2nd level, the gold and time you must spend to copy a necromancy spell into your spellbook is halved.</t>
  </si>
  <si>
    <t>At 2nd level, you gain the ability to reap life energy from creatures you kill with your spells. Once per turn when you kill one or more creatures with a spell of 1st level or higher, you regain hit points equal to twice the spell’s level, or three times its level if the spell belongs to the School of Necromancy. You don’t gain this benefit for killing constructs or undead</t>
  </si>
  <si>
    <t>Beginning at 10th level, you have resistance to necrotic damage, and your hit point maximum can't be reduced. You have spent so much time dealing with undead and the forces that animate them that you have become inured to some of their worst effects.</t>
  </si>
  <si>
    <t>Beginning when you select this school at 2nd level, the gold and time you must spend to copy a transmutation spell into your spellbook is halved.</t>
  </si>
  <si>
    <t>Starting at 2nd level when you select this school, you can temporarily alter the physical properties of one nonmagical object, changing it from one substance into another. You perform a special alchemical procedure on one object composed entirely of wood, stone (but not a gemstone), iron, copper, or silver, transforming it into a different one of those materials. For each 10 minutes you spend performing the procedure, you can transform up to 1 cubic foot of material. After 1 hour, or until you lose your concentration (as if you were concentrating on a spell), the material reverts to its original substance.</t>
  </si>
  <si>
    <t>Artificer</t>
  </si>
  <si>
    <t>Infuse Potions</t>
  </si>
  <si>
    <t>Infuse Scrolls</t>
  </si>
  <si>
    <t>Infuse Weapons and Armor</t>
  </si>
  <si>
    <t>Superior Artificer</t>
  </si>
  <si>
    <t>On reaching 14th level, your mastery of arcane magic allows you to produce a variety of magic items. You can create a single item chosen from Magic Item Tables A and B in chapter 7 of the Dungeon Master’s Guide. It takes you 1 week to produce such an item, and you must rest for 1 month before using this ability to craft another item.</t>
  </si>
  <si>
    <t>Master Artificer</t>
  </si>
  <si>
    <t>As an action, you can polymorph into any humanoid of your size that you have seen, or back into your true form. However, your equipment does not change with you. If you die, you revert to your natural appearance.</t>
  </si>
  <si>
    <t>Your construction incorporates wood and metal, granting you a +1 bonus to Armor Class.</t>
  </si>
  <si>
    <t>You gain proficiency in the Deception skill.</t>
  </si>
  <si>
    <t>The warforged were made as the ideal soldiers to serve in the devastating Last War. Although they are constructs, they have much in common with living creatures, including emotions and social bonds, and perhaps even souls.</t>
  </si>
  <si>
    <t>Sequestered in high mountains atop tall trees, the aarakocra, sometimes called birdfolk, evoke fear and wonder. Many aarakocra aren’t even native to the
Material Plane. They hail from a world beyond—from
the boundless vistas of the Elemental Plane of Air.
They are immigrants, refugees, scouts, and explorers,
their outposts functioning as footholds in a world both
strange and alien.</t>
  </si>
  <si>
    <t>You have a swimming speed of 30 feet.</t>
  </si>
  <si>
    <t>You know the shape water cantrip (see chapter 2). When you reach 3rd level, you can castthe create or destroy water spell as a 2nd-level spellonce with this trait, and you regain the ability to cast itthis way when you finish a long rest. Constitution is yourspellcasting ability for these spells.</t>
  </si>
  <si>
    <t>You can move across difficultterrain made of earth or stone without expendingextra movement.</t>
  </si>
  <si>
    <t>You have a flying speed of 50 feet. To use thisspeed, you can’t be wearing medium or heavy armor.</t>
  </si>
  <si>
    <t>You know the thaumaturgy cantrip. Once you reach 3rd level, you can cast the hellish rebuke spell once per day as a 2nd-level spell. Once you reach 5th level, you can also cast the darkness spell once per day. Charisma is your spellcasting ability for these spells.</t>
  </si>
  <si>
    <t>Even though you were constructed, you are a living creature. You are immune to disease. You do not need to eat or breathe, but you can ingest food and drink if you wish.Instead of sleeping, you enter an inactive state for 4 hours each day. You do not dream in this state; you are fully aware of your surroundings and notice approaching enemies and other events as normal.</t>
  </si>
  <si>
    <t>You can cast the pass without trace spell once with this trait, requiring no material components, and you regain the ability to cast it thisway when you finish a long rest. Constitution is yourspellcasting ability for this spell.</t>
  </si>
  <si>
    <t>You can cast the levitate spell once with this trait, requiring no material components, and you regain the ability to cast it this way when youfinish a long rest. Constitution is your spellcastingability for this spell.</t>
  </si>
  <si>
    <t>You’re acclimated to high altitude,including elevations above 20,000 feet. You’re alsonaturally adapted to cold climates,</t>
  </si>
  <si>
    <t>You have proficiency in theAthletics skill.</t>
  </si>
  <si>
    <t>You know the minor illusion cantrip. Intelligence is your spellcasting ability for it.</t>
  </si>
  <si>
    <t>You count as one size larger whendetermining your carrying capacity and the weight youcan push, drag, or lift.</t>
  </si>
  <si>
    <t>You know the produce flamecantrip. Once you reach 3rd level, you can cast theburning hands spell once with this trait as a 1st-levelspell, and you regain the ability to cast it this way whenyou finish a long rest. Constitution is your spellcastingability for these spells.</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</si>
  <si>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While shifting, you gain a +1 bonus to AC.</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</si>
  <si>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gain a climb speed of 30 feet.</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</si>
  <si>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use the Dash action as a bonus action.</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</si>
  <si>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make a bite attack as an action. This is a melee weapon attack that uses Strength for its attack roll and damage bonus and deals 1d6 piercing damage. If this attack hits a target that is your size or smaller, the target is also grappled.</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</si>
  <si>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make an unarmed strike as a bonus action. You can use your Dexterity for its attack roll and damage bonus, and this attack deals slashing damage.</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</si>
  <si>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gain advantage on all Wisdom-based checks and saving throws.</t>
  </si>
  <si>
    <t>You can focus yourself tooccasionally shrug off injury. When you take damage,you can use your reaction to roll a d12. Add your Constitution modifier to the number rolled, and reducethe damage by that total. After you use this trait, youcan’t use it again until you finish a short or long rest.</t>
  </si>
  <si>
    <t>You are proficient with your unarmed strikes,which deal 1d4 slashing damage on a hit.</t>
  </si>
  <si>
    <t>You have proficiency with artisan’s tools (tinker’s tools). Using those tools, you can spend 1 hour and 10 gp worth of materials to construct a Tiny clockwork device (AC 5, 1 hp). The device ceases to function after 24 hours (unless you spend 1 hour repairing it to keep the device functioning), or when you use your action to dismantle it; at that time, you can reclaim the materials used to create it. You can have up to three such devices active at a time.When you create a device, choose one of the following options:Clockwork Toy. This toy is a clockwork animal, monster, or person, such as a frog, mouse, bird, dragon, or soldier. When placed on the ground, the toy moves 5 feet across the ground on each of your turns in a random direction. It makes noises as appropriate to the creature it represents.Fire Starter. The device produces a miniature flame, which you can use to light a candle, torch, or campfire. Using the device requires your action.Music Box. When opened, this music box plays a single song at a moderate volume.The box stops playing when it reaches the song’s end or when it is closed.</t>
  </si>
  <si>
    <t>You can hold your breathindefinitely while you’re not incapacitated</t>
  </si>
  <si>
    <t>You know the light can trip. Onceyou reach 3rd level, you can cast the lesser restorationspell once with this trait, and you regain the ability to doso when you finish a long rest. Once you reach 5th level,you can cast the daylight spell once with this trait as a3rd-level spell, and you regain the ability to do so whenyou finish a long rest. Charisma is your spellcastingability for these spells.</t>
  </si>
  <si>
    <t>You have resistance to necroticdamage and radiant damage.</t>
  </si>
  <si>
    <t>You can cast the misty step spell once usinthis trait. You regain the ability to do so when you finisha short or long rest.</t>
  </si>
  <si>
    <t>When you reach 2nd level, you choose an arcane tradition, shaping your practice of magic through one of eight schools: Abjuration, Conjuration, Divination, Enchantment, Evocation, Illusion, Necromancy, or Transmutation,</t>
  </si>
  <si>
    <t>Starting at 6th level, whenever you or a friendly creature within 10 feet of you must make a saving throw, the creature gains a bonus to the saving throw equal to your Charisma modifier (with a minimum bonus of +1). You must be conscious to grant this bonus. At 18th level, the range of this aura increases to 30 feet.</t>
  </si>
  <si>
    <t>Starting at 2nd level, your speed increases by 10 feet while you are not wearing armor or wielding a shield. This bonus increases when you reach certain monk levels, as shown in the Monk table.</t>
  </si>
  <si>
    <t>Starting when you choose this path at 3rd level, you can go into a frenzy when you rage. If you do so, for the duration of your rage you can make a single melee weapon attack as a bonus action on each of your turns after this one. When your rage ends, you suffer one level of exhaustion</t>
  </si>
  <si>
    <t>At 10th level, your superiority dice turn into dlOs.</t>
  </si>
  <si>
    <t>Starting at 18th level, when you use your action to cast a spell, you can make one weapon attack as a bonus action.</t>
  </si>
  <si>
    <t>Beginning at 11th level, you can enter a special meditation that surrounds you with an aura of peace. At the end of a long rest, you gain the effect of a sanctuary spell that lasts until the start of your next long rest (the spell can end early as normal). The saving throw DC for the spell equals 8 +your Wisdom modifier + your proficiency bonus.</t>
  </si>
  <si>
    <t>Beginning at 15th level, you are always under the effects of a protection from evil and good spell.</t>
  </si>
  <si>
    <t>Beginning at 15th level, when you cast a spell targeting yourself, you can also affect your beast companion with the spell if the beast is within 30 feet of you.</t>
  </si>
  <si>
    <t>At 13th level, you gain the ability to distract targets with your mage hand. As a bonus action on your turn, you can designate a creature within 5 feet of the spectral hand created by the spell. Doing so gives you advantage on attack rolls against that creature until the end of the turn.</t>
  </si>
  <si>
    <t>When you roll a 1 or 2 on a damage roll using a melee attack with a two-handed or versile melee weapon with two hands, you can reroll the die. You must use the new roll.</t>
  </si>
  <si>
    <t>When a creature you can see attacks a target other than you within 5 feet, you can use your reaction to impose a disadvantage on the attack roll. You must be wielding a shield.</t>
  </si>
  <si>
    <t>When you use the Attack action on your turn, spend 1 ki point to cause tendrils of flame to stretch out from your fists and feet. Your reach with your unarmed strikes increases by 10 feet for that action, as well as the rest of the turn. A hit with such an attack deals fire damage instead of bludgeoning damage, and if you spend 1 ki point when the attack hits, it also deals an extra 1d10 fire damage.</t>
  </si>
  <si>
    <t>Create a blast of compressed air that strikes like a mighty fist. As an action, spend 2 ki points and choose a creature within 30 feet of you. It must make a Strength saving throw. On a failed save, the creature takes 3d10 bludgeoning damage, plus an extra 1d10 bludgeoning damage for each additional ki point you spend, and you can push the creature up to 20 feet away from you and knock it prone. On a successful save, the creature takes half as much damage, and is not pushed or knock it prone.</t>
  </si>
  <si>
    <t>As an action, spend 1 ki point to choose an area of ice or water no larger than 30 feet on a side within 120 feet of you. You can change water to ice within the area and vice versa, and you can reshape ice in the area in any manner you choose. You can raise or lower the ice’s elevation, create or fill in a trench, erect or flatten a wall, or form a pillar. The extent of any such changes can’t exceed half the area’s largest dimension. For example, if you affect a 30-foot square, you can create a pillar up to 15 feet high, raise or lower the square’s elevation by up to 15 feet, dig a trench up to 15 feet deep, and so on. You can’t shape the ice to trap or injure a creature in the area.</t>
  </si>
  <si>
    <t>Spend 2 ki points as a bonus action to create a whip of water that shoves and pulls a creature to unbalance it. A creature you can see that is within 30 feet must make a Dexterity saving throw. On a failed save, it takes 3d10 bludgeoning damage, plus an extra 1d10 bludgeoning damage for each additional ki point you spend, and you can either knock it prone or pull it up to 25 feet closer to you. On a successful save, the creature takes half as much damage, and you don’t pull it or knock it prone.</t>
  </si>
  <si>
    <t>You can now inscribe magical rituals in your Book of Shadows. Choose two 1st-level spells that have the ritual tag from any class’s spell list. The spells appear in the book and don’t count against the number of spells you know. With your Book of Shadows in hand, you can cast the chosen spells as rituals. You can’t cast the spells except as rituals, unless you’ve learned them by some other means. You can also cast a warlock spell you know as a ritual if it has the ritual tag. On your adventures, you can add other ritual spells to your Book of Shadows. When you find such a spell, you can add it to the book if the spell’s level is equal to or less than 0 and if you can spare the time to transcribe the spell. For each level of the spell, the transcription process takes 2 hours and costs 50 gp for the rare inks needed to inscribe it.</t>
  </si>
  <si>
    <t>You can cast hold monster at will—targeting a celestial, fiend, or elemental—without expending a spell slot or material components. You must finish a long rest before you can use this invocation on the same creature again.</t>
  </si>
  <si>
    <t>You can use your action to touch a willing humanoid and perceive through its senses until the end of your next turn. As long as the creature is on the same plane of existence as you, you can use your action on subsequent turns to maintain this connection, extending the duration until the end of your next turn. While perceiving through the other creature’s senses, you benefit from any special senses possessed by that creature, and you are blinded and deafened to your own surroundings.</t>
  </si>
  <si>
    <t>When you are in an area of dim light or darkness, you can use your action to become invisible until you move or take an action or a reaction.</t>
  </si>
  <si>
    <t>You can communicate telepathically with your familiar and perceive through your familiar’s senses as long as you are on the same plane of existence. Additionally, while perceiving through your familiar’s senses, you can also speak through your familiar in your own voice, even if your familiar is normally incapable of speech.</t>
  </si>
  <si>
    <t>You can see the true form of any shapechanger or creature concealed by illusion or transmutation magic while the creature is within 30 feet of you and within line of sight.</t>
  </si>
  <si>
    <t>You can nimbly dodge out of the way of certain area effects, such as a red dragon’s fiery breath or a lightning bolt spell. When you are subjected to an effect that allows you to make a Dexterity saving throw to take only half damage, you instead take no damage if you succeed on the saving throw, and only half damage if you fail.</t>
  </si>
  <si>
    <t>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t>
  </si>
  <si>
    <t>You have learned to regain some of your magical energy by studying your spellbook. Once per day when you finish a short rest, you can choose expended spell slots to recover. The spell slots can have a combined level that is equal to or less than half your wizard level (rounded up), and none of the slots can be 6th level or higher. For example, if you’re a 4th-level wizard, you can recover up to two levels worth of spell slots. You can recover either a 2nd-level spell slot or two lst-level spell slots.</t>
  </si>
  <si>
    <t>Starting at 10th level, you and friendly creatures within 10 feet of you can’t be frightened while you are conscious. At 18th level, the range of this aura increases to 30 feet.</t>
  </si>
  <si>
    <t>You can inspire others through stirring words or music. To do so, you use a bonus action on your turn to choose one creature other than yourself within 60 feet of you who can hear you. That creature gains one Bardic Inspiration die, a d6. Once within the next 10 minutes, the creature can roll the die and add the number rolled to one ability check, attack roll, or saving throw it makes. The creature can wait until after it rolls the d20 before deciding to use the Bardic Inspiration die, but must decide before the DM says whether the roll succeeds or fails. Once the Bardic Inspiration die is rolled, it is lost. A creature can have only one Bardic Inspiration die at a time. You can use this feature a number of times equal to your Charisma modifier (a minimum of once). You regain any expended uses when you finish a long rest. Your Bardic Inspiration die changes when you reach certain levels in this class. The die becomes a d8 at 5th level, a dlO at 10th level, and a dl2 at 15th level.</t>
  </si>
  <si>
    <t>Beginning at 9th level, you can roll one additional weapon damage die when determining the extra damage for a critical hit with a melee attack. This increases to two additional dice at 13th level and three additional dice at 17th level.</t>
  </si>
  <si>
    <t>At 2nd level, you gain the ability to channel divine energy directly from your deity, using that energy to fuel magical effects. You start with two such effects: Turn Undead and an effect determined by your domain. Some domains grant you additional effects as you advance in levels, as noted in the domain description. When you use your Channel Divinity, you choose which effect to create. You must then finish a short or long rest to use your Channel Divinity again. Some Channel Divinity effects require saving throws. When you use such an effect from this class, the DC equals your cleric spell save DC. Beginning at 6th level, you can use your Channel Divinity twice between rests, and beginning at 18th level you can use it three times between rests. When you finish a short or long rest, you regain your expended uses.</t>
  </si>
  <si>
    <t>Beginning at 14th level, you can use your action to end one spell on yourself or on one willing creature that you touch. You can use this feature a number of times equal to your Charisma modifier (a minimum of once). You regain expended uses when you finish a long rest.</t>
  </si>
  <si>
    <t>At 6th level, you gain the ability to use musical notes or words of power to disrupt mind-influencing effects. As an action, you can start a performance that lasts until the end of your next turn. During that time, you and any friendly creatures within 30 feet of you have advantage on saving throws against being frightened or charmed. A creature must be able to hear you to gain this benefit. The performance ends early if you are incapacitated or silenced or if you voluntarily end it (no action required).</t>
  </si>
  <si>
    <t>At 2nd level, you gain an uncanny sense of when things nearby aren’t as they should be, giving you an edge when you dodge away from danger. You have advantage on Dexterity saving throws against effects that you can see, such as traps and spells. To gain this benefit, you can’t be blinded, deafened, or incapacitated.</t>
  </si>
  <si>
    <t>Starting at 3rd level, you can use your reaction to deflect or catch the missile when you are hit by a ranged weapon attack. When you do so, the damage you take from the attack is reduced by ldlO + your Dexterity modifier + your monk level. If you reduce the damage to 0, you can catch the missile if it is small enough for you to hold in one hand and you have at least one hand free. If you catch a missile in this way, you can spend 1 ki point to make a ranged attack with the weapon or piece of ammunition you just caught, as part of the same reaction. You make this attack with proficiency, regardless of your weapon proficiencies, and the missile counts as a monk weapon for the attack.</t>
  </si>
  <si>
    <t>Beginning at 10th level, you can call on your deity to intervene on your behalf when your need is great. Imploring your deity’s aid requires you to use your action. Describe the assistance you seek, and roll percentile dice. If you roll a number equal to or lower than your cleric level, your deity intervenes. The DM chooses the nature of the intervention; the effect of any cleric spell or cleric domain spell would be appropriate. If your deity intervenes, you can’t use this feature again for 7 days. Otherwise, you can use it again after you finish a long rest. At 20th level, your call for intervention succeeds automatically, no roll required.</t>
  </si>
  <si>
    <t>The presence of strong evil registers on your senses like a noxious odor, and powerful good rings like heavenly music in your ears. As an action, you can open your awareness to detect such forces. Until the end of your next turn, you know the location of any celestial, fiend, or undead within 60 feet of you that is not behind total cover. You know the type (celestial, fiend, or undead) of any being whose presence you sense, but not its identity (the vampire Count Strahd von Zarovich, for instance). Within the same radius, you also detect the presence of any place or object that has been consecrated or desecrated, as with the hallow spell. You can use this feature a number of times equal to 1 + your Charisma modifier. When you finish a long rest, you regain all expended uses.</t>
  </si>
  <si>
    <t>In your study of occult lore, you have unearthed eldritch invocations, fragments of forbidden knowledge that imbue you with an abiding magical ability. At 2nd level, you gain two eldritch invocations of your choice. Your invocation options are detailed at the end of the class description. When you gain certain warlock levels, you gain additional invocations of your choice, as shown in the Invocations Known column of the Warlock table. Additionally, when you gain a level in this class, you can choose one of the invocations you know and replace it with another invocation that you could learn at that level.</t>
  </si>
  <si>
    <t>Beginning at 18th level, you can use your action to spend 4 ki points to become invisible for 1 minute. During that time, you also have resistance to all damage but force damage. Additionally, you can spend 8 ki points to cast the astral projection spell, without needing material components. When you do so. you can’t take any other creatures with you.</t>
  </si>
  <si>
    <t>At 3rd level, choose two of your skill proficiencies. Your proficiency bonus is doubled for any ability check you make that uses either of the chosen proficiencies. At 10th level, you can choose another two skill proficiencies to gain this benefit.</t>
  </si>
  <si>
    <t>Beginning at 1st level, you have significant experience studying, tracking, hunting, and even talking to a certain type of enemy. Choose a type of favored enemy: aberrations, beasts, celestials, constructs, dragons, elementals, fey, fiends, giants, monstrosities, oozes, plants, or undead. Alternatively, you can select two races of humanoid (such as gnolls and ores) as favored enemies. You have advantage on Wisdom (Survival) checks to track your favored enemies, as well as on Intelligence checks to recall information about them. When you gain this feature, you also learn one language of your choice that is spoken by your favored enemies, if they speak one at all. You choose one additional favored enemy, as well as an associated language, at 6th and 14th level. As you gain levels, your choices should reflect the types of monsters you have encountered on your adventures.</t>
  </si>
  <si>
    <t>By 7th level, your instincts are so honed that you have advantage on initiative rolls. Additionally, if you are surprised at the beginning of combat and aren't incapacitated, you can act normally on your first turn, but only if you enter your rage before doing anything else on that turn.</t>
  </si>
  <si>
    <t>At 18th level, you gain preternatural senses that help you fight creatures you can’t see. When you attack a creature you can’t see, your inability to see it doesn’t impose disadvantage on your attack rolls against it. You are also aware of the location of any invisible creature within 30 feet of you, provided that the creature isn't hidden from you and you aren't blinded or deafened.</t>
  </si>
  <si>
    <t>Starting at 10th level, you can spend 1 minute creating camouflage for yourself. You must have access to fresh mud, dirt, plants, soot, and other naturally occurring materials with which to create your camouflage. Once you are camouflaged in this way, you can try to hide by pressing yourself up against a solid surface, such as a tree or wall, that is at least as tall and wide as you are. You gain a +10 bonus to Dexterity (Stealth) checks as long as you remain there without moving or taking actions. Once you move or take an action or a reaction, you must camouflage yourself again to gain this benefit.</t>
  </si>
  <si>
    <t>Beginning at 9th level, you can reroll a saving throw that you fail. If you do so, you must use the new roll, and you can't use this feature again until you finish a long rest. You can use this feature twice between long rests starting at 13th level and three times between long rests starting at 17th level.</t>
  </si>
  <si>
    <t>Starting at 2nd level, your training allows you to harness the mystic energy of ki. Your access to this energy is represented by a number of ki points. Your monk level determines the number of points you have, as shown in the Ki Points column of the Monk table. You can spend these points to fuel various ki features. You start knowing three such features: Flurry of Blows, Patient Defense, and Step of the Wind. You learn more ki features as you gain levels in this class. When you spend a ki point, it is unavailable until you finish a short or long rest, at the end of which you draw all of your expended ki back into yourself. You must spend at least 30 minutes of the rest meditating to regain your ki points. Some of your ki features require your target to make a saving throw to resist the feature’s effects. The saving throw DC is calculated as follows: Ki save DC = 8 + your proficiency bonus + yourWisdom modifier FLURRY OF BLOWS Immediately after you take the Attack action on your turn, you can spend 1 ki point to make two unarmed strikes as a bonus action. PATIENT DEFENSE You can spend 1 ki point to take the Dodge action as a bonus action on your turn. STEP OF THE WIND You can spend 1 ki point to take the Disengage or Dash action as a bonus action on your turn, and your jump distance is doubled for the turn.</t>
  </si>
  <si>
    <t>Starting at 8th level, moving through nonmagical difficult terrain costs you no extra movement. You can also pass through nonmagical plants without being slowed by them and without taking damage from them if they have thorns, spines, or a similar hazard. In addition, you have advantage on saving throws against plants that are magically created or manipulated to impede movement, such those created by the entangle spell.</t>
  </si>
  <si>
    <t>Your blessed touch can heal wounds. You have a pool of healing power that replenishes when you take a long rest. With that pool, you can restore a total number of hit points equal to your paladin level x 5. As an action, you can touch a creature and draw power from the pool to restore a number of hit points to that creature, up to the maximum amount remaining in your pool. Alternatively, you can expend 5 hit points from your pool of healing to cure the target of one disease or neutralize one poison affecting it. You can cure multiple diseases and neutralize multiple poisons with a single use of Lay on Hands, expending hit points separately for each one. This feature has no effect on undead and constructs.</t>
  </si>
  <si>
    <t>By 10th level, you have plundered magical knowledge from a wide spectrum of disciplines. Choose two spells from any class, including this one. A spell you choose must be of a level you can cast, as shown on the Bard table, or a cantrip. The chosen spells count as bard spells for you and are included in the number in the Spells Known column of the Bard table. You learn two additional spells from any class at 14th level and again at 18th level.</t>
  </si>
  <si>
    <t>At 1st level, your practice of martial arts gives you mastery of combat styles that use unarmed strikes and monk weapons, which are shortswords and any simple melee weapons that don't have the two-handed or heavy property. You gain the following benefits while you are unarmed or wielding only monk weapons and you aren’t wearing armor or wielding a shield: • You can use Dexterity instead of Strength for the attack and damage rolls of your unarmed strikes and monk weapons. • You can roll a d4 in place of the normal damage of your unarmed strike or monk weapon. This die changes as you gain monk levels, as shown in the Martial Arts column of the Monk table. • When you use the Attack action with an unarmed strike or a monk weapon on your turn, you can make, one unarmed strike as a bonus action. For example, if you take the Attack action and attack with a quarter¬staff, you can also make an unarmed strike as a bonus action, assuming you haven't already taken a bonus action this turn. Certain monasteries use specialized forms of the monk weapons. For example, you might use a club that is two lengths of wood connected by a short chain (called a nunehaku) or a sickle with a shorter, straighter blade (called a kama).</t>
  </si>
  <si>
    <t>At 11th level, your patron bestows upon you a magical secret called an arcanum. Choose one 6th-level spell from the warlock spell list as this arcanum. You can cast your arcanum spell once without expending a spell slot. You must finish a long rest before you can do so again. At higher levels, you gain more warlock spells of your choice that can be cast in this way: one 7th-level spell at 13th level, one 8th-level spell at 15th level, and one 9th-level spell at 17th level. You regain all uses of your Mystic Arcanum when you finish a long rest.</t>
  </si>
  <si>
    <t>You are particularly familiar with one type of natural environment and are adept at traveling and surviving in such regions. Choose one type of favored terrain: arctic, coast, desert, forest, grassland, mountain, swamp, or the Underdark. When you make an Intelligence or Wisdom check related to your favored terrain, your proficiency bonus is doubled if you are using a skill that youre proficient in. While traveling for an hour or more in your favored terrain, you gain the following benefits: • Difficult terrain doesn’t slow your group's travel, • Your group can’t become lost except by magical means. • Even when you are engaged in another activity while traveling (such as foraging, navigating, or tracking), you remain alert to danger. • If you are traveling alone, you can move stealthily at a normal pace. • When you forage, you find twice as much food as you normally would. • While tracking other creatures, you also learn their exact number, their sizes, and how long ago they passed through the area. You choose additional favored terrain types at 6th and 10th level.</t>
  </si>
  <si>
    <t>In battle, you fight with primal ferocity. On your turn, you can enter a rage as a bonus action. While raging, you gain the following benefits if you aren’t wearing heavy armor: • You have advantage on Strength checks and Strength saving throws. • When you make a melee weapon attack using Strength, you gain a bonus to the damage roll that increases as you gain levels as a barbarian, as shown in the Rage Damage column of the Barbarian table. • You have resistance to bludgeoning, piercing, and slashing damage. If you are able to cast spells, you can't cast them or concentrate on them while raging. Your rage lasts for 1 minute. It ends early if you are knocked unconscious or if your turn ends and you haven't attacked a hostile creature since your last turn or taken damage since then. You can also end your rage on your turn as a bonus action. Once you have raged the number of times shown for your barbarian level in the Rages column of the Barbarian table, you must finish a long rest before you can rage again.</t>
  </si>
  <si>
    <t>Starting at 11th level, your rage can keep you fighting despite grievous wounds. If you drop to 0 hit points while you’re raging and don't die outright, you can make a DC 10 Constitution saving throw. If you succeed, you drop to 1 hit point instead. Each time you use this feature after the first, the DC increases by 5. When you finish a short or long rest, the DC resets to 10.</t>
  </si>
  <si>
    <t>You have a limited well of stamina that you can draw on to protect yourself from harm. On your turn, you can use a bonus action to regain hit points equal to ldlO + your fighter level. Once you use this feature, you must finish a short or long rest before you can use it again.</t>
  </si>
  <si>
    <t>When you reach 20th level, you gain mastery over two powerful spells and can cast them with little effort. Choose two 3rd-level wizard spells in your spellbook as your signature spells. You always have these spells prepared, they don't count against the number of spells you have prepared, and you can cast each of them once at 3rd level without expending a spell slot. When you do so, you can’t do so again until you finish a short or long rest. If you want to cast either spell at a higher level, you must expend a spell slot as normal.</t>
  </si>
  <si>
    <t>Beginning at 1st level, you know how to strike subtly and exploit a foe’s distraction. Once per turn, you can deal an extra ld6 damage to one creature you hit with an attack if you have advantage on the attack roll. The attack must use a finesse or a ranged weapon. You don’t need advantage on the attack roll if another enemy of the target is within 5 feet of it, that enemy isn’t incapacitated, and you don’t have disadvantage on the attack roll. The amount of the extra damage increases as you gain levels in this class, as shown in the Sneak Attack column of the Rogue table.</t>
  </si>
  <si>
    <t>Beginning at 2nd level, you can use soothing music or oration to help revitalize your wounded allies during a short rest. If you or any friendly creatures who can hear your performance regain hit points at the end of the short rest, each of those creatures regains an extra ld6 hit points. The extra hit points increase when you reach certain levels in this class: to ld8 at 9th level, to ldlO at 13th level, and to ldl2 at 17th level.</t>
  </si>
  <si>
    <t>At 20th level, you have an uncanny knack for succeeding when you need to. If your attack misses a target within range, you can turn the miss into a hit. Alternatively, if you fail an ability check, you can treat the d20 roll as a 20. Once you use this feature, you can’t use it again until you finish a short or long rest.</t>
  </si>
  <si>
    <t>During your rogue training you learned thieves’ cant, a secret mix of dialect, jargon, and code that allows you to hide messages in seemingly normal conversation. Only another creature that knows thieves' cant understands such messages. It takes four times longer to convey such a message than it does to speak the same idea plainly. In addition, you understand a set of secret signs and symbols used to convey short, simple messages, such as whether an area is dangerous or the territory of a thieves’ guild, whether loot is nearby, or whether the people in an area are easy marks or will provide a safe house for thieves on the run.</t>
  </si>
  <si>
    <t>Starting at 2nd level, you can use your action to magically assume the shape of a beast that you have seen before. You can use this feature twice. You regain expended uses when you finish a short or long rest. Your druid level determines the beasts you can transform into, as shown in the Beast Shapes table. At 2nd level, for example, you can transform into any beast that has a challenge rating of 1/4 or lower that doesn't have a flying or swimming speed. You can stay in a beast shape for a number of hours equal to half your druid level (rounded down). You then revert to your normal form unless you expend another use of this feature. You can revert to your normal form earlier by using a bonus action on your turn. You automatically revert if you fall unconscious, drop to 0 hit points, or die.</t>
  </si>
  <si>
    <t>Beginning at 10th level, you can use your action to frighten someone with your menacing presence. When you do so, choose one creature that you can see within 30 feet of you. If the creature can see or hear you, it must succeed on a Wisdom saving throw (DC equal to 8 + your proficiency bonus + your Charisma modifier) or be frightened of you until the end of your next turn. On subsequent turns, you can use your action to extend the duration of this effect on the frightened creature until the end of your next turn. This effect ends if the creature ends its turn out of line of sight or more than 60 feet away from you. If the creature succeeds on its saving throw, you can’t use this feature on that creature again for 24 hours.</t>
  </si>
  <si>
    <t>At 3rd level, when you adopt this path, you choose a totem spirit and gain its feature. You must make or acquire a physical totem object—an amulet or similar adornment—that incorporates fur or feathers, claws, teeth, or bones of the totem animal. At your option, you also gain minor physical attributes that are reminiscent of your totem spirit. For example, if you have a bear totem spirit, you might be unusually hairy and thick¬skinned. or if your totem is the eagle, your eyes turn bright yellow. Your totem animal might be an animal related to those listed here but more appropriate to your homeland. For example, you could choose a hawk or vulture in place of an eagle. Bear. While raging, you have resistance to all damage except psychic damage. The spirit of the bear makes you tough enough to stand up to any punishment. Eagle. While you’re raging and aren’t wearing heavy armor, other creatures have disadvantage on opportunity attack rolls against you, and you can use the Dash action as a bonus action on your turn. The spirit of the eagle makes you into a predator who can weave through the fray with ease. Wolf. While you’re raging, your friends have advantage on melee attack rolls against any creature within 5 feet of you that is hostile to you. The spirit of the wolf makes you a leader of hunters.</t>
  </si>
  <si>
    <t>At 6th level, you gain a magical benefit based on the totem animal of your choice. You can choose the same animal you selected at 3rd level or a different one. Bear. You gain the might of a bear. Your carrying capacity (including maximum load and maximum lift) is doubled, and you have advantage on Strength checks made to push, pull. lift, or break objects. Eagle. You gain the eyesight of an eagle. You can see up to 1 mile away with no difficulty, able to discern even fine details as though looking at something no more than 100 feet away from you. Additionally, dim light doesn't impose disadvantage on your Wisdom (Perception) checks, №o/f Yoti gain the hunting sensibilities of a wolf. You can track other creatures while traveling at a fast pace, and you can move stealthily while traveling at a normal pace (see chapter 8 for rules on travel pace).</t>
  </si>
  <si>
    <t>At 14th level, you gain a magical benefit based on a totem animal of your choice. You can choose the same animal you selected previously or a different one. Bear. While you're raging, any creature within 5 feet of you that’s hostile to you has disadvantage on attack rolls against targets other than you or another character with this feature. An enemy is immune to this effect if it can’t see or hear you or if it can't be frightened. Eagle. While raging, you have a flying speed equal to your current walking speed. This benefit works only in short bursts; you fall if you end your turn in the air and nothing else is holding you aloft. Wolf. While you’re raging, you can use a bonus action on your turn to knock a Large or smaller creature prone when you hit it with melee weapon attack</t>
  </si>
  <si>
    <t>Also at 3rd level, you learn to inspire others in battle. A creature that has a Bardic Inspiration die from you can roll that die and add the number rolled to a weapon damage roll it just made. Alternatively, when an attack roll is made against the creature, it can use its reaction to roll the Bardic Inspiration die and add the number rolled to its AC against that attack, after seeing the roll but before knowing whether it hits or trusses.</t>
  </si>
  <si>
    <t>At 1st level, you learn two languages of your choice. You also become proficient in your choice of two of the following skills: Arcana, History, Nature, or Religion. Your proficiency bonus is doubled for any ability check you make that uses either of those skills.</t>
  </si>
  <si>
    <t>At 6th level, you can use your Channel Divinity to read a creature's thoughts. You can then use your access to the creature's mind to command it. As an action, choose one creature that you can see within 60 feet of you. That creature must make a Wisdom saving throw. If the creature succeeds on the saving throw, you can’t use this feature on it again until you finish a long rest. If the creature fails its save, you can read its surface thoughts (those foremost in its mind, reflecting its current emotions and what it is actively thinking about) when it is within 60 feet of you. This effect lasts for 1 minute. During that time, you can use your action to end this effect and cast the suggestion spell on the creature without expending a spell slot. The target automatically fails its saving throw against the spell.</t>
  </si>
  <si>
    <t>Starting at 17th level, you can call up visions of the past that relate to an object you hold or your immediate surroundings. You spend at least 1 minute in meditation and prayer, then receive dreamlike, shadowy glimpses of recent events. You can meditate in this way for a number of minutes equal to your Wisdom score and must maintain concentration during that time, as if you were casting a spell. Once you use this feature, you can’t use it again until you finish a short or long rest. Object Reading. Holding an object as you meditate, you can see visions of the object's previous owner. After meditating for 1 minute, you learn how the owner acquired and lost the object, as well as the most recent significant event involving the object and that owner. If the object was owned by another creature in the recent past (within a number of days equal to your Wisdom score), you can spend 1 additional minute for each owner to learn the same information about that creature. Area Reading. As you meditate, you see visions of recent events in your immediate vicinity (a room, street, tunnel, clearing, or the like, up to a 50-foot cube), going back a number of days equal to your Wisdom score. For each minute you meditate, you learn about one significant event, beginning with the most recent. Significant events typically involve powerful emotions, such as battles and betrayals, marriages and murders, births and funerals. However, they might also include more mundane events that are nevertheless important in your current situation.</t>
  </si>
  <si>
    <t>Starting at 2nd level, you can use your Channel Divinity to heal the badly injured. As an action, you present your holy symbol and evoke healing energy that can restore a number of hit points equal to five times your cleric level. Choose any creatures within 30 feet of you, and divide those hit points among them. This feature can restore a creature to no more than half of its hit point maximum. You can’t use this feature on an undead or a construct.</t>
  </si>
  <si>
    <t>Starting at 17th level, when you would normally roll one or more dice to restore hit points with a spell, you instead use the highest number possible for each die. For example, instead of restoring 2d6 hit points to a creature, you restore 12.</t>
  </si>
  <si>
    <t>Also at 1st level, you can interpose divine light between yourself and an attacking enemy. When you are attacked by a creature within 30 feet of you that you can see, you can use your reaction to impose disadvantage on the attack roll, causing light to flare before the attacker before it hits or misses. An attacker that can’t be blinded is immune to this feature. You can use this feature a number of times equal to your Wisdom modifier (a minimum of once). You regain all expended uses when you finish a long rest.</t>
  </si>
  <si>
    <t>Starting at 2nd level, you can use your Channel Divinity to harness sunlight, banishing darkness and dealing radiant damage to your foes. As an action, you present your holy symbol, and any magical darkness within 30 feet of you is dispelled, Additionally, each hostile creature within 30 feet of you must make a Constitution saving throw. A creature takes radiant damage equal to 2dl0 + your cleric level on a failed saving throw, and half as much damage on a successful one. A creature that has total cover from you is not affected.</t>
  </si>
  <si>
    <t>Starting at 2nd level, you can use your Channel Divinity to charm animals and plants. As an action, you present your holy symbol and invoke the name of your deity. Each beast or plant creature that can see you within 30 feet of you must make a Wisdom saving throw. If the creature fails its saving throw, it is charmed by you for 1 minute or until it takes damage. While it is charmed by you, it is friendly to you and other creatures you designate.</t>
  </si>
  <si>
    <t>Also at 1st level, you can thunderously rebuke attackers. When a creature within 5 feet of you that you can see hits you with an attack, you can use your reaction to cause the creature to make a Dexterity saving throw. The creature takes 2d8 lightning or thunder damage (your choice) on a failed saving throw, and half as much damage on a successful one. You can use this feature a number of times equal to your Wisdom modifier (a minimum of once). You regain all expended uses when you finish a long rest.</t>
  </si>
  <si>
    <t>Starting at 2nd level, you can use your Channel Divinity to wield the power of the storm with unchecked ferocity. When you roll lightning or thunder damage, you can use your Channel Divinity to deal maximum damage, instead of rolling.</t>
  </si>
  <si>
    <t>Starting at 2nd level, you can use your Channel Divinity to create an illusory duplicate of yourself. As an action, you create a perfect illusion of yourself that lasts for 1 minute, or until you lose your concentration (as if you were concentrating on a spell). The illusion appears in an unoccupied space that you can see within 30 feet of you. As a bonus action on your turn, you can move the illusion up to 30 feet to a space you can see, but it must remain within 120 feet of you. For the duration, you can cast spells as though you were in the illusion's space, but you must use your own senses. Additionally, when both you and your illusion are within 5 feet of a creature that can see the illusion, you have advantage on attack rolls against that creature, given how distracting the illusion is to the target.</t>
  </si>
  <si>
    <t>Starting at 6th level, you can use your Channel Divinity to vanish. As an action, you become invisible until the end of your next turn. You become visible if you attack or cast a spell.</t>
  </si>
  <si>
    <t>From 1st level, your god delivers bolts of inspiration to you while you are engaged in battle. When you use the Attack action, you can make one weapon attack as a bonus action. You can use this feature a number of times equal to your Wisdom modifier (a minimum of once). You regain all expended uses when you finish a long rest.</t>
  </si>
  <si>
    <t>Starting at 2nd level, you can regain some of your magical energy by sitting in meditation and communing with nature. During a short rest, you choose expended spell slots to recover. The spell slots can have a combined level that is equal to or less than half your druid level (rounded up), and none of the slots can be 6th level or higher. You can’t use this feature again until you finish a long rest For example, when you are a 4th-level druid, you can recover up to two levels worth of spell slots. You can recover either a 2nd-level slot or two lst-level slots.</t>
  </si>
  <si>
    <t>Your mystical connection to the land infuses you with the ability to cast certain spells. At 3rd. 5th, 7th, and 9th level you gain access to circle spells connected to the land where you became a druid. Choose that land—arctic, coast, desert, forest, grassland, mountain, swamp, or Underdark—and consult the associated list of spells. Once you gain access to a circle spell, you always have it prepared, and it doesn’t count against the number of spells you can prepare each day. If you gain access to a spell that doesn't appear on the druid spell list, the spell is nonetheless a druid spell for you.</t>
  </si>
  <si>
    <t>Starting at 6th level, moving through nonmagical difficult terrain costs you no extra movement. You can also pass through nonmagical plants without being slowed by them and without taking damage from them if they have thorns, spines, or a similar hazard. In addition, you have advantage on saving throws against plants that are magically created or manipulated to impede movement, such those created by the entangle spell.</t>
  </si>
  <si>
    <t>When you reach 14th level, creatures of the natural world sense your connection to nature and become hesitant to attack you. When a beast or plant creature attacks you, that creature must make a Wisdom saving throw against your druid spell save DC. On a failed save, the creature must choose a different target, or the attack automatically misses. On a successful save, the creature is immune to this effect for 24 hours. The creature is aware of this effect before it makes its attack against you.</t>
  </si>
  <si>
    <t>When you choose this circle at 2nd level, you gain the ability to use Wild Shape on your turn as a bonus action, rather than as an action. Additionally, while you are transformed by Wild Shape, you can use a bonus action to expend one spell slot to regain ld8 hit points per level of the spell slot expended.</t>
  </si>
  <si>
    <t>The rites of your circle grant you the ability to transform into more dangerous animal forms. Starting at 2nd level, you can use your Wild Shape to transform into a beast with a challenge rating as high as 1 (you ignore the Max. CR column of the Beast Shapes table, but must abide by the other limitations there). Starting at 6th level, you can transform into a beast with a challenge rating as high as your druid level divided by 3, rounded down.</t>
  </si>
  <si>
    <t>Starting at 7th level, you can add half your proficiency bonus (round up) to any Strength, Dexterity, or Constitution check you make that doesn't already use your proficiency bonus. In addition, when you make a running long jump, the distance you can cover increases by a number of feet equal to your Strength modifier</t>
  </si>
  <si>
    <t>At 10th level, you can choose a second option from the Fighting Style class feature.</t>
  </si>
  <si>
    <t>When you choose this archetype at 3rd level, you learn maneuvers that are fueled by special dice called superiority dice. Maneuvers. You learn three maneuvers of your choice, which are detailed under “Maneuvers” below. Many maneuvers enhance an attack in some way. You can use only one maneuver per attack. You learn two additional maneuvers of your choice at 7th, 10th, and 15th level. Each time you learn new maneuvers, you can also replace one maneuver you know with a different one. Superiority Dice. You have four superiority dice, which are d8s. A superiority die is expended when you use it. You regain all of your expended superiority dice when you finish a short or long rest. You gain another superiority die at 7th level and one more at 15th level. Saving Throws. Some of your maneuvers require your target to make a saving throw to resist the maneuver's effects. The saving throw DC is calculated as follows: Maneuver save DC = 8 + your proficiency bonus + your Strength or Dexterity modifier (your choice)</t>
  </si>
  <si>
    <t>Starting at 7th level, if you spend at least 1 minute observing or interacting with another creature outside combat, you can learn certain information about its capabilities compared to your own. The DM tells you if the creature is your equal, superior, or inferior in regard to two of the following characteristics of your choice: • Strength score • Dexterity score • Constitution score • Armor Class • Current hit points • Total class levels (if any) • Fighter class levels (if any)</t>
  </si>
  <si>
    <t>At 18th level, they turn into dl2s.</t>
  </si>
  <si>
    <t>At 3rd level, you learn a ritual that creates a magical bond between yourself and one weapon. You perform the ritual over the course of 1 hour, which can be done during a short rest. The weapon must be within your reach throughout the ritual, at the conclusion of which you touch the weapon and forge the bond. Once you have bonded a weapon to yourself, you can't be disarmed of that weapon unless you are incapacitated. If it is on the same plane of existence, you can summon that weapon as a bonus action on your turn, causing it to teleport instantly to your hand. You can have up to two bonded weapons, but can summon only one at a time with your bonus action. If you attempt to bond with a third weapon, you must break the bond with one of the other two.</t>
  </si>
  <si>
    <t>Starting when you choose this tradition at 3rd level, you can manipulate your enemy’s ki when you harness your own. Whenever you hit a creature with one of the attacks granted by your Flurry of Blows, you can impose one of the following effects on that target: • It must succeed on a Dexterity saving throw or be knocked prone. • It must make a Strength saving throw. If it fails, you can push it up to 15 feet away from you. • It can’t take reactions until the end of your next turn.</t>
  </si>
  <si>
    <t>At 17th level, you gain the ability to set up lethal vibrations in someone’s body. When you hit a creature with an unarmed strike, you can spend 3 ki points to start these imperceptible vibrations, which last for a number of days equal to your monk level. The vibrations are harmless unless you use your action to end them. To do so, you and the target must be on the same plane of existence. When you use this action, the creature must make a Constitution saving throw. If it fails, it is reduced to 0 hit points. If it succeeds, it takes lOdlO necrotic damage. You can have only one creature under the effect of this feature at a time. You can choose to end the vibrations harmlessly without using an action.</t>
  </si>
  <si>
    <t>When you choose this tradition at 3rd level, you learn magical disciplines that harness the power of the four elements. A discipline requires you to spend ki points each time you use it. You know the Elemental Attunement discipline and one other elemental discipline of your choice, which are detailed in the “Elemental Disciplines" section below. You learn one additional elemental discipline of your choice at 6lh, 11th, and 17th level. Whenever you learn a new elemental discipline, you can also replace one elemental discipline that you already know with a different discipline.</t>
  </si>
  <si>
    <t>As an action, you can imbue one weapon that you are holding with positive energy, using your Channel Divinity. For 1 minute, you add your Charisma modifier to attack rolls made with that weapon (with a minimum bonus of +1). The weapon also emits bright light in a 20-foot radius and dim light 20 feet beyond that. If the weapon is not already magical, it becomes magical for the duration. You can end this effect on your turn as part of any other action. If you are no longer holding or carrying this weapon, or if you fall unconscious, this effect ends.</t>
  </si>
  <si>
    <t>As an action, you present your holy symbol and speak a prayer censuring fiends and undead, using your Channel Divinity. Each fiend or undead that can see or hear you within 30 feet of you must make a Wisdom saving throw. If the creature fails its saving throw, it is turned for 1 minute or until it takes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t>
  </si>
  <si>
    <t>Starting at 7th level, you and friendly creatures within 10 feet of you can’t be charmed while you are conscious. At 18th level, the range of this aura increases to 30 feet.</t>
  </si>
  <si>
    <t>At 20th level, as an action, you can emanate an aura of sunlight. For 1 minute, bright light shines from you in a 30-foot radius, and dim light shines 30 feet beyond that. Whenever an enemy creature starts its turn in the bright light, the creature takes 10 radiant damage. In addition, for the duration, you have advantage on saving throws against spells cast by fiends or undead. Once you use this feature, you can’t use it again until you finish a long rest.</t>
  </si>
  <si>
    <t>You can use your Channel Divinity to invoke primeval forces to ensnare a foe. As an action, you can cause spectral vines to spring up and reach for a creature within 10 feet of you that you can see. The creature must succeed on a Strength or Dexterity saving throw (its choice) or be restrained. While restrained by the vines, the creature repeats the saving throw at the end of each of its turns. On a success, it frees itself and the vines vanish.</t>
  </si>
  <si>
    <t>You can use your Channel Divinity to utter ancient words that are painful for fey and fiends to hear. As an action, you present your holy symbol, and each fey or fiend within 30 feet of you that can hear you must make a Wisdom saving throw. On a failed save, the creature is turned for 1 minute or until it takes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 If the creature’s true form is concealed by an illusion, shapeshifting, or other effect, that form is revealed while it is turned.</t>
  </si>
  <si>
    <t>Beginning at 7th level, ancient magic lies so heavily upon you that it forms an eldritch ward. You and friendly creatures within 10 feet of you have resistance to damage from spells. At 18th level, the range of this aura increases to 30 feet.</t>
  </si>
  <si>
    <t>Starting at 15th level, when you are reduced to 0 hit points and are not killed outright, you can choose to drop to 1 hit point instead. Once you use this ability, you can’t use it again until you finish a long rest. Additionally, you suffer none of the drawbacks of old age, and you can’t be aged magically.</t>
  </si>
  <si>
    <t>At 20th level, you can assume the form of an ancient force of nature, taking on an appearance you choose. For example, your skin might turn green or take on a bark-like texture, your hair might become leafy or moss-like, or you might sprout antlers or a lion-like mane. Using your action, you undergo a transformation. For 1 minute, you gain the following benefits: • At the start of each of your turns, you regain 10 hit points. • Whenever you cast a paladin spell that has a casting time of 1 action, you can cast it using a bonus action instead. • Enemy creatures within 10 feet of you have disadvan¬tage on saving throws against your paladin spells and Channel Divinity options. Once you use this feature, you can’t use it again until you finish a long rest.</t>
  </si>
  <si>
    <t>At 3rd level, you gain a beast companion that accompanies you on your adventures and is trained to fight alongside you. Choose a beast that is no larger than Medium and that has a challenge rating of 1/4 or lower (appendix D presents statistics for the hawk, mastiff, and panther as examples). Add your proficiency bonus to the beast’s AC, attack rolls, and damage rolls, as well as to any saving throws and skills it is proficient in. Its hit point maximum equals its normal maximum or four times your ranger level, whichever is higher. The beast obeys your commands as best as it can. It takes its turn on your initiative, though it doesn't take an action unless you command it to. On your turn, you can verbally command the beast where to move (no action required by you). You can use your action to verbally command it to take the Attack, Dash, Disengage, Dodge, or Help action. Once you have the Extra Attack feature, you can make one weapon attack yourself when you command the beast to take the Attack action. While traveling through your favored terrain with only the beast, you can move stealthily at a normal pace. If the beast dies, you can obtain another one by spending 8 hours magically bonding with another beast that isn’t hostile to you, either the same type of beast as before or a different one.</t>
  </si>
  <si>
    <t>When you choose this archetype at 3rd level, you gain the ability to climb faster than normal; climbing no longer costs you extra movement. In addition, when you make a running jump, the distance you cover increases by a number of feet equal to your Dexterity modifier.</t>
  </si>
  <si>
    <t>Starting at 9th level, you can unfailingly create false identities for yourself. You must spend seven days and 25 gp to establish the history, profession, and affiliations for an identity. You can’t establish an identity that belongs to someone else. For example, you might acquire appropriate clothing, letters of introduction, and official¬looking certification to establish yourself as a member of a trading house from a remote city so you can insinuate yourself into the company of other wealthy merchants. Thereafter, if you adopt the new identity as a disguise, other creatures believe you to be that person until given an obvious reason not to.</t>
  </si>
  <si>
    <t>At 13th level, you gain the ability to unerringly mimic another person's speech, writing, and behavior. You must spend at least three hours studying these three components of the person's behavior, listening to speech, examining handwriting, and observing mannerisms. Your ruse is indiscernible to the casual observer. If a wary creature suspects something is amiss, you have advantage on any Charisma (Deception) check you make to avoid detection.</t>
  </si>
  <si>
    <t>Cantrips. You learn three cantrips: mage hand and two other cantrips of your choice from the wizard spell list. You learn another wizard cantrip of your choice at 10th level. Spellcasting Ability. Intelligence is your spellcasting ability for your wizard spells, since you learn your spells through dedicated study and memorization. You use your Intelligence whenever a spell refers to your spellcasting ability. In addition, you use your Intelligence modifier when setting the saving throw DC for a wizard spell you cast and when making an attack roll with one</t>
  </si>
  <si>
    <t>Starting at 3rd level, when you cast mage hand, you can make the spectral hand invisible, and you can perform the following additional tasks with it: • You can stow one object the hand is holding in a container worn or carried by another creature. • You can retrieve an object in a container worn or carried by another creature. • You can use thieves’ tools to pick locks and disarm traps at range.</t>
  </si>
  <si>
    <t>At 17th level, you gain the ability to magically steal the knowledge of how to cast a spell from another spellcaster. Immediately after a creature casts a spell that targets you or includes you in its area of effect, you can use your reaction to force the creature to make a saving throw with its spellcasting ability modifier. The DC equals your spell save DC. On a failed save, you negate the spell’s effect against you, and you steal the knowledge of the spell if it is at least 1st level and of a level you can cast (it doesn’t need to be a wizard spell). For the next 8 hours, you know the spell and can cast it using your spell slots. The creature can’t cast that spell until the 8 hours have passed. Once you use this feature, you can't use it again until you finish a long rest</t>
  </si>
  <si>
    <t>As magic flows through your body, it causes physical traits of your dragon ancestors to emerge. At 1st level, your hit point maximum increases by 1 and increases by 1 again whenever you gain a level in this class. Additionally, parts of your skin are covered by a thin sheen of dragondike scales. When you aren't wearing armor, your AC equals 13 + your Dexterity modifier.</t>
  </si>
  <si>
    <t>Starting at 6th level, when you cast a spell that deals damage of the type associated with your draconic ancestry, add your Charisma modifier to that damage. At the same time, you can spend 1 sorcery point to gain resistance to that damage type for 1 hour</t>
  </si>
  <si>
    <t>At 14th level, you gain the ability to sprout a pair of dragon wings from your back, gaining a flying speed equal to your current speed. You can create these wings as a bonus action on your turn. They last until you dismiss them as a bonus action on your turn. You can’t manifest your wings while wearing armor unless the armor is made to accommodate them, and clothing not made to accommodate your wings might be destroyed when you manifest them.</t>
  </si>
  <si>
    <t>Starting at 1st level, you can manipulate the forces of chance and chaos to gain advantage on one attack roll, ability check, or saving throw. Once you do so, you must finish a long rest before you can use this feature again. Any time before you regain the use of this feature, the DM can have you roll on the Wild Magic Surge table immediately after you cast a sorcerer spell of 1st level or higher. You then regain the use of this feature.</t>
  </si>
  <si>
    <t>Starting at 6th level, you have the ability to twist fate using your wild magic. When another creature you can see makes an attack roll, an ability check, or a saving throw, you can use your reaction and spend 2 sorcery points to roll ld4 and apply the number rolled as a bonus or penalty (your choice) to the creature's roll. You can do so after the creature rolls but before any effects of the roll occur.</t>
  </si>
  <si>
    <t>Starting at 2nd level, you can weave magic around yourself for protection. When you cast an abjuration spell of 1st level or higher, you can simultaneously use a strand of the spell's magic to create a magical ward on yourself that lasts until you finish a long rest. The ward has hit points equal to twice your wizard level + your Intelligence modifier. Whenever you take damage, the ward takes the damage instead. If this damage reduces the ward to 0 hit points, you take any remaining damage. While the ward has 0 hit points, it can’t absorb damage, but its magic remains. Whenever you cast an abjuration spell of 1st level or higher, the ward regains a number of hit points equal to twice the level of the spell. Once you create the ward, you can't create it again until you finish a long rest.</t>
  </si>
  <si>
    <t>Starting at 14th level, you have advantage on saving throws against spells. Furthermore, you have resistance against the damage of spells.</t>
  </si>
  <si>
    <t>Starting at 2nd level when you select this school, you can use your action to conjure up an inanimate object in your hand or on the ground in an unoccupied space that you can see within 10 feet of you. This object can be no larger than 3 feet on a side and weigh no more than 10 pounds, and its form must be that of a nonmagical object that you have seen. The object is visibly magical, radiating dim light out to 5 feet. The object disappears after 1 hour, when you use this feature again, or if it takes any damage.</t>
  </si>
  <si>
    <t>Starting at 6th level, you can use your action to teleport up to 30 feet to an unoccupied space that you can see. Alternatively, you can choose a space within range that is occupied by a Small or Medium creature. If that creature is willing, you both teleport, swapping places. Once you use this feature, you can't use it again until you finish a long rest or you cast a conjuration spell of 1st level or higher.</t>
  </si>
  <si>
    <t>Starting at 2nd level when you choose this school, glimpses of the future begin to press in on your awareness. When you finish a long rest, roll two d20s and record the numbers rolled. You can replace any attack roll, saving throw, or ability check made by you or a creature that you can see with one of these foretelling rolls. You must choose to do so before the roll, and you can replace a roll in this way only once per turn. Each foretelling roll can be used only once. When you finish a long rest, you lose any unused foretelling rolls.</t>
  </si>
  <si>
    <t>Starting at 10th level, you can use your action to increase your powers of perception. When you do so choose one of the following benefits, which lasts until you are incapacitated or you take a short or long rest. You can’t use the feature again until you finish a rest. Darkvision. You gain darkvision out to a range of 60 feet, as described in chapter 8. Ethereal Sight. You can see into the Ethereal Plane within 60 feet of you. Greater Comprehension. You can read any language. See Invisibility. You can see invisible creatures and objects within 10 feet of you that are within line of sight.</t>
  </si>
  <si>
    <t>Starting at 2nd level when you choose this school, your soft words and enchanting gaze can magically enthrall another creature. As an action, choose one creature that you can see within 5 feet of you. If the target can see or hear you, it must succeed on a Wisdom saving throw against your wizard spell save DC or be charmed by you until the end of your next turn. The charmed creature’s speed drops to 0, and the creature is incapacitated and visibly dazed. On subsequent turns, you can use your action to maintain this effect, extending its duration until the end of your next turn. However, the effect ends if you move more than 5 feet away from the creature, if the creature can neither see nor hear you, or if the creature takes damage. Once the effect ends, or if the creature succeeds on its initial saving throw against this effect, you can’t use this feature on that creature again until you finish a long rest.</t>
  </si>
  <si>
    <t>Beginning at 6th level, when a creature you can see within 30 feet of you makes an attack roll against you, you can use your reaction to divert the attack, provided that another creature is within the attack's range. The attacker must make a Wisdom saving throw against your wizard spell save DC. On a failed save, the attacker must target the creature that is closest to it, not including you or itself. If multiple creatures are closest, the attacker chooses which one to target. On a successful save, you can't use this feature on the attacker again until you finish a long rest. You must choose to use this feature before knowing whether the attack hits or misses. Creatures that can’t be charmed are immune to this effect.</t>
  </si>
  <si>
    <t>At 14th level, you gain the ability to make a creature unaware of your magical influence on it. When you cast an enchantment spell to charm one or more creatures, you can alter one creature’s understanding so that it remains unaware of being charmed. Additionally, once before the spell expires, you can use your action to try to make the chosen creature forget some of the time it spent charmed. The creature must succeed on an Intelligence saving throw against your wizard spell save DC or lose a number of hours of its memories equal to 1 + your Charisma modifier (minimum 1). You can make the creature forget less time, and the amount of time can’t exceed the duration of your enchantment spell.</t>
  </si>
  <si>
    <t>Starting at 14th level, you can increase the power of your simpler spells. When you cast a wizard spell of 5th level or lower that deals damage, you can deal maximum damage with that spell. The first time you do so, you suffer no adverse effect. If you use this feature again before you finish a long rest, you take 2dl2 necrotic damage for each level of the spell, immediately after you cast it. Each time you use this feature again before finishing a long rest, the necrotic damage per spell level increases by ldl2. This damage ignores resistance and immunity.</t>
  </si>
  <si>
    <t>When you choose this school at 2nd level, you learn the minor illusion cantrip. If you already know this cantrip, you learn a different wizard cantrip of your choice. The cantrip doesn’t count against your number of cantrips known. When you cast minor illusion, you can create both a sound and an image with a single casting of the spell.</t>
  </si>
  <si>
    <t>Beginning at 10th level, you can create an illusory duplicate of yourself as an instant, almost instinctual reaction to danger. When a creature makes an attack roll against you, you can use your reaction to interpose the illusory duplicate between the attacker and yourself. The attack automatically misses you, then the illusion dissipates. Once you use this feature, you can’t use it again until you finish a short or long rest.</t>
  </si>
  <si>
    <t>By 14th level, you have learned the secret of weaving shadow magic into your illusions to give them a semi¬reality. When you cast an illusion spell of 1st level or higher, you can choose one inanimate, nonmagical object that is part of the illusion and make that object real. You can do this on your turn as a bonus action while the spell is ongoing. The object remains real for 1 minute. For example, you can create an illusion of a bridge over a chasm and then make it real long enough for your allies to cross. The object can’t deal damage or otherwise directly harm anyone.</t>
  </si>
  <si>
    <t>At 6th level, you add the animate dead spell to your spellbook if it is not there already. When you cast animate dead, you can target one additional corpse or pile of bones, creating another zombie or skeleton, as appropriate. Whenever you create an undead using a necromancy spell, it has additional benefits: &lt; The creature’s hit point maximum is increased by an amount equal to your wizard level. • The creature adds your proficiency bonus to its weapon damage rolls.</t>
  </si>
  <si>
    <t>Starting at 14th level, you can use magic to bring undead under your control, even those created by other wizards. As an action, you can choose one undead that you can see within 60 feet of you. That creature must make a Charisma saving throw against your wizard spell save DC. If it succeeds, you can’t use this feature on it again. If it fails, it becomes friendly to you and obeys your commands until you use this feature again. Intelligent undead are harder to control in this way. If the target has an Intelligence of 8 or higher, it has advantage on the saving throw. If it fails the saving throw and has an Intelligence of 12 or higher, it can repeat the saving throw at the end of every hour until it succeeds and breaks free.</t>
  </si>
  <si>
    <t>Starting at 6th level, you can spend 8 hours creating a transmuter’s stone that stores transmutation magic. You can benefit from the stone yourself or give it to another creature, A creature gains a benefit of your choice as long as the stone is in the creature's possession. When you create the stone, choose the benefit from the following options: • Darkvision out to a range of 60 feet, as described in chapter 8 • An increase to speed of 10 feet while the creature is unencumbered • Proficiency in Constitution saving throws • Resistance to acid, cold, fire, lightning, or thunder damage (your choice whenever you choose this benefit) Each time you cast a transmutation spell of 1st level or higher, you can change the effect of your stone if the stone is on your person. If you create a new transmuter’s stone, the previous one ceases to function.</t>
  </si>
  <si>
    <t>At 10th level, you add the polymorph spell to your spellbook, if it is not there already. You can cast polymorph without expending a spell slot. When you do so, you can target only yourself and transform into a beast whose challenge rating is 1 or lower. Once you cast polymorph in this way, you can’t do so again until you finish a short or long rest, though you can still cast it normally using an available spell slot.</t>
  </si>
  <si>
    <t>Starting at 14th level, you can use your action to consume the reserve of transmutation magic stored within your transmuter’s stone in a single burst. When you do so, choose one of the following effects. Your transmuter’s stone is destroyed and can’t be remade until you finish a long rest. Major Transformation. You can transmute one nonmagical object—no larger than a 5-foot cube—into another nonmagical object of similar size and mass and of equal or lesser value. You must spend 10 minutes handling the object to transform it. Panacea. You remove all curses, diseases, and poisons affecting a creature that you touch with the transmuters stone. The creature also regains all its hit points. Restore Life. You cast the raise dead spell on a creature you touch with the transmuter’s stone, without expending a spell slot or needing to have the spell in your spellbook. Restore Youth. You touch the transmuter's stone to a willing creature, and that creature’s apparent age is reduced by 3dl0 years, to a minimum of 13 years. This effect doesn’t extend the creature's lifespa</t>
  </si>
  <si>
    <t>When the cleric chooses this domain at 1st level, he or she gains proficiency with martial weapons.</t>
  </si>
  <si>
    <t>At 1st level, the cleric learns one necromancy cantrip of his or her choice from any spell list. When the cleric casts a necromancy cantrip that normally targets only one creature, the spell can instead target two creatures within range and within 5 feet of each other.</t>
  </si>
  <si>
    <t>:illrting at 2nd level, the cleric can use Channel Divinity destroy another creature's life force by touch. .\"hen the cleric hits a creature with a melee attack, -e cleric can use Channel Divinity to deal extra rotic damage to the target. The damage equals 5 + · ce his or her cleric level.</t>
  </si>
  <si>
    <t>:::!:aft ing at 6th level, the cleric's ability to channel --gative energy becomes more potent. Necrotic damage :. alt by the character's cleric spells and Channel _ inity options ignores resistance to necrotic damage.</t>
  </si>
  <si>
    <t>:&lt;arting at 17th level, when the cleric casts a - cromancy spell of 1st through 5th level that targets illy one creature, the spell can instead target two ::-eatures within range and within 5 feet of each other. If - e spell consumes its material components, the cleric ::ru t provide them for each target.</t>
  </si>
  <si>
    <t>As an action, the paladin targets one ndead creature he or she can see within 30 feet of him or her. The target must make a Wisdom saving throw. On a failed save, the target must obey the paladin's commands for the next 24 hours, or until the paladin uses this Channel Divinity option again. An undead whose challenge rating is equal to or greater than the paladin's level is immune to this effect.</t>
  </si>
  <si>
    <t>As an action, the paladin channels the darkest emotions and focuses them into a burst of magical menace. Each creature of the paladin's choice within 30 feet of the paladin must make a Wisdom s aving throw if it can see the paladin. On a failed save, the target is frightened of the paladin for 1 minute. If a creature frightened by this effect ends its turn more than 30 feet away from the paladin, it can attempt another Wisdom saving throw to end the effect on it.</t>
  </si>
  <si>
    <t>Starting at 7th level, the paladin, as well any fiends and undead within 10 feet of the paladin, gains a bonus to melee weapon damage rolls equal to the paladin's Charisma modifier (minimum of +1). A creature can benefit from this feature from only one paladin at a time. f\t 18th level, the range of this aura increases to 30 feet.</t>
  </si>
  <si>
    <t>At 15th level, the paladin gains resistance to bludgeoning, piercing, and slashing damage from nonmagical weapons.</t>
  </si>
  <si>
    <t>At 20th-level, the paladin can, as an action, surround himself or herself with an aura of gloom that lasts for 1 minute. The aura reduces any bright light in a 30-foot radius around the paladin to dim light. Whenever an enemy that is frightened by the paladin starts its turn in the aura, it takes 4dl0 psychic damage. Additionally, the paladin and creatures he or she chooses in the aura are draped in deeper shadow. Creatures that rely on sight have disadvantage on attack rolls against creatures draped in this shadow. While the aura lasts, the paladin can use a bonus action on his or her turn to cause the shadows in the aura to attack one creature. The paladin makes a melee spell attack against the target. If the attack hits, the target takes necrotic damage equal to 3d10 +.the paladin's Charisma modifier. After activating the aura, the paladin can't do so again until he or she finishes a long rest.</t>
  </si>
  <si>
    <t>As an action, you present your holy symbol and speak a prayer censuring the undead. Each undead that can see or hear you within 30 feet of you must make a Wisdom saving throw. If the creature fails its saving throw, it is turned for 1 minute or until it takes any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t>
  </si>
  <si>
    <t>You learn the find familiar spell and can cast it as a ritual. The spell doesn’t count against your number of spells known. When you cast the spell, you can choose one of the normal forms for your familiar or one of the following special forms: imp, pseudodragon, quasit, or sprite. Additionally, when you take the Attack action, you can forgo one of your own attacks to allow your familiar to make one attack of its own.</t>
  </si>
  <si>
    <t>You can use your action to create a pact weapon in your empty hand. You can choose the form that this melee weapon takes each time you create it (see chapter 5 for weapon options). You are proficient with it while you wield it. This weapon counts as magical for the purpose of overcoming resistance and immunity to nonmagical attacks and damage. Your pact weapon disappears if it is more than 5 feet away from you for 1 minute or more. It also disappears if you use this feature again, if you dismiss the weapon (no action required), or if you die. You can transform one magic weapon into your pact weapon by performing a special ritual while you hold the weapon. You perform the ritual over the course of 1 hour, which can be done during a short rest. You can then dismiss the weapon, shunting it into an extradimensional space, and it appears whenever you create your pact weapon thereafter. You can’t affect an artifact or a sentient weapon in this way. The weapon ceases being your pact weapon if you die, if you perform the 1-hour ritual on a different weapon, or if you use a 1-hour ritual to break your bond to it. The weapon appears at your feet if it is in the extradimensional space when the bond breaks.</t>
  </si>
  <si>
    <t>Your patron gives you a grimoire called a Book of Shadows. When you gain this feature, choose three cantrips from any class’s spell list. While the book is on your person, you can cast those cantrips at will. They don't count against your number of cantrips known. ff you lose your Book of Shadows, you can perform a 1-hour ceremony to receive a replacement from your patron. This ceremony can be performed during a short or long rest, and it destroys the previous book. The book turns to ash when you die.</t>
  </si>
  <si>
    <t>Starting at 1st level, your patron bestows upon you the ability to project the beguiling and fearsome presence of the fey. As an action, you can cause each creature in a 10-foot cube originating from you to make a Wisdom saving throw against your warlock spell save DC. The creatures that fail their saving throws are all charmed or frightened by you (your choice) until the end of your next turn. Once you use this feature, you can’t use it again until you finish a short or long rest.</t>
  </si>
  <si>
    <t>Starting at 6th level, you can vanish in a puff of mist in response to harm. When you take damage, you can use your reaction to turn invisible and teleport up to 60 feet to an unoccupied space you can see. You remain invisible until the start of your next turn or until you attack or cast a spell. Once you use this feature, you can’t use it again until you finish a short or long rest.</t>
  </si>
  <si>
    <t>Starting at 14th level, you can plunge a creature into an illusory realm. As an action, choose a creature that you can see within 60 feet of you. It must make a Wisdom saving throw against your warlock spell save DC. On a failed save, it is charmed or frightened by you (your choice) for 1 minute or until your concentration is broken (as if you are concentrating on a spell). This effect ends early if the creature takes any damage. Until this illusion ends, the creature thinks it is lost in a misty realm, the appearance of which you choose. The creature can see and hear only itself, you, and the illusion. You must finish a short or long rest before you can use this feature again.</t>
  </si>
  <si>
    <t>Starting at 6th level, you can call on your patron to alter fate in your favor. When you make an ability check or a saving throw, you can use this feature to add a dlO to your roll. You can do so after seeing the initial roll but before any of the roll’s effects occur. Once you use this feature, you can’t use it again until you finish a short or long rest.</t>
  </si>
  <si>
    <t>Starting at 14th level, when you hit a creature with an attack, you can use this feature to instantly transport the target through the lower planes. The creature disappears and hurtles through a nightmare landscape. At the end of your next turn, the target returns to the space it previously occupied, or the nearest unoccupied space. If the target is not a fiend, it takes lOdlO psychic damage as it reels from its horrific experience. Once you use this feature, you can't use it again until you finish a long rest.</t>
  </si>
  <si>
    <t>At 6th level, you learn to magically ward yourself against attack and to turn an enemy’s failed strike into good luck for yourself. When a creature makes an attack roll against you, you can use your reaction to impose disadvantage on that roll. If the attack misses you, your next attack roll against the creature has advantage if you make it before the end of your next turn. Once you use this feature, you can’t use it again until you finish a short or long rest.</t>
  </si>
  <si>
    <t>At 14th level, you gain the ability to infect a humanoid’s mind with the alien magic of your patron. You can use your action to touch an incapacitated humanoid. That creature is then charmed by you until a remove curse spell is cast on it, the charmed condition is removed from it, or you use this feature again. You can communicate telepathically with the charmed creature as long as the two of you are on the same plane of existence.</t>
  </si>
  <si>
    <t>Starting at 2nd level, you can produce magic potions. You spend 10 minutes focusing your magic on a vial of mundane water and expend a spell slot to transform it into a potion. Once you have expended a spell slot to create a potion, you cannot regain that slot until the potion is consumed or after 1 week, at which time the potion loses its effectiveness. You can create up to three potions at a time; creating a fourth potion causes the oldest currently active one to immediately lose its potency. If that potion has been consumed, its effects immediately end. Spell Slot Potion Created 1st Climbing, growth, or healing 2nd Mind reading or greater healing 3rd Invisibility, superior healing, or water breathing 4th Resistance</t>
  </si>
  <si>
    <t>At 2nd level, you can also tap into your reserves of magical energy to create spell scrolls. You can use your Arcane Recovery ability to create a scroll instead of regaining expended spell slots. You must finish a short rest, then spend 10 minutes with parchment, quill, and ink to create a spell scroll containing one spell chosen from those you know. Subtract the spell’s level from the total levels worth of slots you regain using Arcane Recovery. This reduction to your Arcane Recovery applies until you use the scroll and then finish a long rest.</t>
  </si>
  <si>
    <t>Beginning at 6th level, you can produce magic weapons and armor. You spend 10 minutes focusing your magic on a mundane weapon, suit of armor, shield, or bundle of twenty pieces of ammunition, and expend a spell slot to infuse it with magical energy. The magic item retains its enhancement for 8 hours or until used (in the case of magic ammunition). You can infuse only one item at a time; if you infuse a second one, the first immediately loses its potency. Once you have expended a spell slot to create such an item, you cannot regain that slot until the item becomes nonmagical. The spell slot you expend determines the type of weapon, armor, or shield you can create. Spell Slot Item Created 2nd +1 ammunition (20 pieces) 3rd +1 weapon or +1 shield 4th +1 armor 5th +2 weapon or +2 ammunition (20 pieces) 6th +2 armor</t>
  </si>
  <si>
    <t>Starting at 10th level, you can create a second magic weapon, suit of armor, shield, or bundle of ammunition using your Infuse Weapons and Armor ability. Attempting to infuse a third item causes the oldest one to immediately lose its potency. You can also create one additional potion or scroll using Infuse Potions or Infuse Scrolls.</t>
  </si>
  <si>
    <t>Wisdom Saving Throw</t>
  </si>
  <si>
    <t>3 skills</t>
  </si>
  <si>
    <t>medium armor, shields, and martial weapons.</t>
  </si>
  <si>
    <t>2 languages, two of the following skills: Arcana, History, Nature, or Religion</t>
  </si>
  <si>
    <t>eavy armor</t>
  </si>
  <si>
    <t>one druid cantrip, one of the following skills of your choice: Animal Handling, Nature, or Survival, heavy armor</t>
  </si>
  <si>
    <t>martial weapons and heavy armor.</t>
  </si>
  <si>
    <t>one type of artisan’s tools</t>
  </si>
  <si>
    <t>disguise kit and the poisoner's kit.</t>
  </si>
  <si>
    <t xml:space="preserve"> Deception and Persuasion</t>
  </si>
  <si>
    <t>language of FE</t>
  </si>
  <si>
    <t>Beginning at 11th level, you can attack three times instead of twice whenever you take the Attack action on your turn.</t>
  </si>
  <si>
    <t>Beginning at 20th level, you can attack four times instead of three whenever you take the Attack action on your turn.</t>
  </si>
  <si>
    <t>When you cast a spell that forces other creatures to make a saving throw, you can protect some of those creatures from the spell’s full force. Spend 1 sorcery point and choose a number of those creatures up to your Charisma modifier (minimum of one creature). A chosen creature automatically succeeds on its saving throw against the spell.</t>
  </si>
  <si>
    <t>When you cast a spell that has a range of 5 feet or greater, you can spend 1 sorcery point to double the range of the spell. When you cast a spell that has a range of touch, spend 1 sorcery point to make the range of the spell 30 feet.</t>
  </si>
  <si>
    <t>When you roll damage for a spell, spend 1 sorcery point to reroll a number of the damage dice up to your Charisma modifier (minimum of one). You must use the new rolls. You can use Empowered Spell even if you have already used a different Metamagic option during the casting of the spell.</t>
  </si>
  <si>
    <t>When you cast a spell that has a duration of 1 minute or longer, spend 1 sorcery point to double its duration, to a maximum duration of 24 hours.</t>
  </si>
  <si>
    <t>When you cast a spell that forces a creature to make a saving throw to resist its effects, spend 3 sorcery points to give one target of the spell disadvantage on its first saving throw made against the spell.</t>
  </si>
  <si>
    <t>When you cast a spell that has a casting time of 1 action, spend 2 sorcery points to change the casting time to 1 bonus action.</t>
  </si>
  <si>
    <t>When you cast a spell, spend 1 sorcery point to cast it without any somatic or verbal components.</t>
  </si>
  <si>
    <t>When you cast a spell that targets only one creature and doesn’t have a range of self, spend a number of sorcery points equal to the spell’s level to target a second creature in range with the same spell (1 sorcery point if the spell is a cantrip).</t>
  </si>
  <si>
    <t>Lightning Resistance</t>
  </si>
  <si>
    <t>Poison Resistance</t>
  </si>
  <si>
    <t>Cold Resistance</t>
  </si>
  <si>
    <t>TYPE</t>
  </si>
  <si>
    <t>SIZE</t>
  </si>
  <si>
    <t>HP</t>
  </si>
  <si>
    <t>SPEED</t>
  </si>
  <si>
    <t>SENSES</t>
  </si>
  <si>
    <t>ATTACKS</t>
  </si>
  <si>
    <t>TRAITS</t>
  </si>
  <si>
    <t>Beast</t>
  </si>
  <si>
    <t>Tiny</t>
  </si>
  <si>
    <t>20ft, burrow 5ft</t>
  </si>
  <si>
    <t>passive Perception 11, darkvision 30 ft</t>
  </si>
  <si>
    <t>Bite melee +2, reach 5ft, 1 piercing</t>
  </si>
  <si>
    <t>Bat</t>
  </si>
  <si>
    <t>5 ft, fly 30 ft</t>
  </si>
  <si>
    <t>passive Perception 11, blindsight 60 ft</t>
  </si>
  <si>
    <t>Bite melee +0, reach 5ft, 1 piercing</t>
  </si>
  <si>
    <t>Cat</t>
  </si>
  <si>
    <t>40 ft, climb 30 ft</t>
  </si>
  <si>
    <t>Perception +3, Stealth +4</t>
  </si>
  <si>
    <t>passive Perception 13</t>
  </si>
  <si>
    <t>Claw Melee +0, reach 5ft, 1 slashing</t>
  </si>
  <si>
    <t>Crab</t>
  </si>
  <si>
    <t>20ft, swim 20ft</t>
  </si>
  <si>
    <t>Stealth +2</t>
  </si>
  <si>
    <t>passive Perception 9, blindsight 30ft</t>
  </si>
  <si>
    <t>Claw Melee +0, reach 5ft, 1 bludgeoning</t>
  </si>
  <si>
    <t>Frog</t>
  </si>
  <si>
    <t>20 ft, swim 20 ft</t>
  </si>
  <si>
    <t>Perception +1, Stealth +3</t>
  </si>
  <si>
    <t>Hawk</t>
  </si>
  <si>
    <t>10 ft, fly 60 ft</t>
  </si>
  <si>
    <t>Perception +4</t>
  </si>
  <si>
    <t>passive Perception 14</t>
  </si>
  <si>
    <t>Talons melee +5, reach 5ft, 1 slashing</t>
  </si>
  <si>
    <t>Lizard</t>
  </si>
  <si>
    <t>20 ft, climb 20 ft</t>
  </si>
  <si>
    <t>passive Perception 9, darkvision 30 ft</t>
  </si>
  <si>
    <t>Octopus</t>
  </si>
  <si>
    <t>5 ft, swim 30ft</t>
  </si>
  <si>
    <t>Perception +2, Stealth +4</t>
  </si>
  <si>
    <t>passive Perception 12, darkvision 30 ft</t>
  </si>
  <si>
    <t>Tentacles melee +4, reach 5ft, 1 bludgeoning. [Ink Cloud 5ft rad. 1min]</t>
  </si>
  <si>
    <t>Owl</t>
  </si>
  <si>
    <t>5 ft, fly 60 ft</t>
  </si>
  <si>
    <t>Perception +3, Stealth +3</t>
  </si>
  <si>
    <t>passive Perception 13, darkvision 120 ft</t>
  </si>
  <si>
    <t>Talons melee +3, reach 5ft, 1 slashing</t>
  </si>
  <si>
    <t>Quipper</t>
  </si>
  <si>
    <t>0 ft, swim 40 ft</t>
  </si>
  <si>
    <t>passive Perception 8, darkvision 60 ft</t>
  </si>
  <si>
    <t>Bite melee +5, reach 5ft, 1 piercing
DC10 Con save ½ , 2d4 poison</t>
  </si>
  <si>
    <t>Rat</t>
  </si>
  <si>
    <t>20 ft</t>
  </si>
  <si>
    <t>passive Perception 10, darkvision 30 ft</t>
  </si>
  <si>
    <t>Raven</t>
  </si>
  <si>
    <t>10 ft, fly 50 ft</t>
  </si>
  <si>
    <t>Perception +3</t>
  </si>
  <si>
    <t>Beak melee +4, reach 5ft, 1 piercing</t>
  </si>
  <si>
    <t>Scorpion</t>
  </si>
  <si>
    <t>10 ft</t>
  </si>
  <si>
    <t>passive Perception 9, blindsight 10ft</t>
  </si>
  <si>
    <t>Sting melee +2, reach 5ft, 1 piercing
DC 9 Con save ½, 1d8 poison</t>
  </si>
  <si>
    <t>Snake</t>
  </si>
  <si>
    <t>30 ft, swim 30 ft</t>
  </si>
  <si>
    <t>passive Perception 10, blindsight 10 ft</t>
  </si>
  <si>
    <t>Stealth +4</t>
  </si>
  <si>
    <t>Bite melee +4, reach 5ft, 1 piercing
DC 9 Con save ½, 1d4 poison</t>
  </si>
  <si>
    <t>30 ft</t>
  </si>
  <si>
    <t>Imp</t>
  </si>
  <si>
    <t>Fiend</t>
  </si>
  <si>
    <t>20 ft, fly 40 ft</t>
  </si>
  <si>
    <t>Deception +4, Insight +3, Persuation +4, Stealth +5</t>
  </si>
  <si>
    <t>passive Perception 11, darkvision 120 ft (devil's sight)</t>
  </si>
  <si>
    <t>Sting melee +5, reach 5ft, 1d4+3 piercing
DC11 Con save ½, 3d6 poison</t>
  </si>
  <si>
    <t>Invisiblity. Use action turn invisible (see spell)
Immunities. fire, poison (poisoned). Resistances. cold; bludgeon, pierce, slash (silver)
Shapechange. Use action to polymorph into a rat, raven or spider. Equipment not transformed
Magic Resistance: Advantage on saving throws against spells and magical effects</t>
  </si>
  <si>
    <t>Bite melee +3, reach 5ft, 1d6+1 piercing
DC 11 Str save or prone</t>
  </si>
  <si>
    <t>Pseudodragon</t>
  </si>
  <si>
    <t>Dragon</t>
  </si>
  <si>
    <t>15 ft, fly 60 ft</t>
  </si>
  <si>
    <t>passive Perception 13, darkvision 60 ft, blindsight 10 ft</t>
  </si>
  <si>
    <t>Claw melee +4, reach 5ft, 1d4+2 piercing
Sting melee +4, reach 5ft, 1d4+2 piercing
DC 11 Con save, poisoned 1hr (&lt;6 unconcious)</t>
  </si>
  <si>
    <t>Quasit</t>
  </si>
  <si>
    <t>Stealth +5</t>
  </si>
  <si>
    <t>passive Perception 10, darkvision 120 ft</t>
  </si>
  <si>
    <t>Bite melee +4, reach 5ft, 1d4+3
DC 10 Con save, 2d4 poison, poisoned 1 min</t>
  </si>
  <si>
    <t>Invisiblity. Use action turn invisible (see spell)
Immunities. poison (poisoned). Resistances. cold, fire, lightning; bludgeon, pierce, slash (magic)
Scare. Use action 1/day, 1 creature within 20ft, DC 10 Wis save or frightened (1 min)
Shapechange. Use action to polymorph into a bat, centipede or toad. Equipment not transformed
Magic Resistance: Advantage on saving throws against spells and magical effects</t>
  </si>
  <si>
    <t>Sprite</t>
  </si>
  <si>
    <t>4' 9'' + 2d8</t>
  </si>
  <si>
    <t>110 lb. x 2d4</t>
  </si>
  <si>
    <t>4' 10'' + 2d10</t>
  </si>
  <si>
    <t>140 lb. x 2d6</t>
  </si>
  <si>
    <t>2' 11'' + 2d4</t>
  </si>
  <si>
    <t>35 lb. x 1</t>
  </si>
  <si>
    <t>4' 8'' + 2d10</t>
  </si>
  <si>
    <t>2' 7'' + 2d4</t>
  </si>
  <si>
    <t>4' 5'' + 2d6</t>
  </si>
  <si>
    <t>4' 6'' + 2d10</t>
  </si>
  <si>
    <t>75 lb. x 1d6</t>
  </si>
  <si>
    <t>100 lb. x 1d4</t>
  </si>
  <si>
    <t>90 lb. x 1d4</t>
  </si>
  <si>
    <t>3' 8'' +2d4</t>
  </si>
  <si>
    <t>4' +2d4</t>
  </si>
  <si>
    <t>115 lb. x 2d6</t>
  </si>
  <si>
    <t>130 lb. x 2d6</t>
  </si>
  <si>
    <t>Dwarves mature at the same rate as humans, but they're considered young until they reach the age of 50. On average, they live about 350 years.</t>
  </si>
  <si>
    <t>Although elves reach physical maturity about the same age as humans, the elven understanding of adulthood goes beyond physical growth to encompass worldly experience. An elf typically claims adulthood and an adult name around the age of 100 and can live to be 750 years old.</t>
  </si>
  <si>
    <t>A halfling reaches adulthood at the age of 20 and generally lives into the middle of his or her second century.</t>
  </si>
  <si>
    <t>Humans reach adulthood in their late teens and live less than a century</t>
  </si>
  <si>
    <t>Young dragonborn grow quickly. They walk hours after hatching, attain the size and development of a 10-year-old human child by the age of 3, and reach adulthood by 15. They live to be around 80.</t>
  </si>
  <si>
    <t>Gnomes mature at the same rate humans do, and most are expected to settle down into an adult life by around age 40. They can live 350 to almost 500 years.</t>
  </si>
  <si>
    <t>Half-elves mature at the same rate humans do and reach adulthood around the age of 20. They live much longer than humans, however, often exceeding 180 years.</t>
  </si>
  <si>
    <t>Half-orcs mature a little faster than humans, reaching adulthood around age 14. They age noticeably faster and rarely live longer than 75 years.</t>
  </si>
  <si>
    <t>Tieflings mature at the same rate as humans but live a few years longer.</t>
  </si>
  <si>
    <t>Aasimar mature at the same rate as humans but live a few years longer.</t>
  </si>
  <si>
    <t>Dexterity 13</t>
  </si>
  <si>
    <t>Ability to cast</t>
  </si>
  <si>
    <t>Strength 13</t>
  </si>
  <si>
    <t>Charisma 13</t>
  </si>
  <si>
    <t>Strength or Dexterity +1</t>
  </si>
  <si>
    <t>Charisma +1</t>
  </si>
  <si>
    <t>Two Weapons Defense: +1 AC when two weapons fighting, non-light two-weapons fighting,</t>
  </si>
  <si>
    <t>Constitution +1, Min hit-die roll - ConMod*2</t>
  </si>
  <si>
    <t>Strength +1, Heavy Armor</t>
  </si>
  <si>
    <t>Intelligence +1, three languages</t>
  </si>
  <si>
    <t>Combat Maneuvers +2, superiority die +1</t>
  </si>
  <si>
    <t>Speed +10,</t>
  </si>
  <si>
    <t>Strength or Dexterity +1, Medium armor proficiency, shields proficiency</t>
  </si>
  <si>
    <t>Intelligence or Wisdom +1, Passive Perception (Wisdom) +5, Passive Investigation (Intelligence) +5,</t>
  </si>
  <si>
    <t>Any ability +1, Proficiency Saving Throws (this ability)</t>
  </si>
  <si>
    <t>Ritual Casting</t>
  </si>
  <si>
    <t>three skills</t>
  </si>
  <si>
    <t>one cantrip</t>
  </si>
  <si>
    <t>Hit-points +2*CharacterLevel</t>
  </si>
  <si>
    <t>Strength or Dexterity +1, four weapons proficiency</t>
  </si>
  <si>
    <t>Calculating</t>
  </si>
  <si>
    <t>Initiative +5</t>
  </si>
  <si>
    <t>Spellcasting: Cha, known, bard</t>
  </si>
  <si>
    <t>Spellcasting: cha, known, sorcerer</t>
  </si>
  <si>
    <t>Spellcasting: wis, known, ranger</t>
  </si>
  <si>
    <t>Spellcasting: cha, prepared, paladin</t>
  </si>
  <si>
    <t>All ST + CHAMOD</t>
  </si>
  <si>
    <t xml:space="preserve">HIT POINTS
Hit Dice: 1d12 per barbarian level
Hit Points at 1st Level: 12 + your Constitution modifier
Hit Points at Higher Levels: 1d12 (or 7) + your Constitution modifier per barbarian level after 1st
PROFICIENCIES
Armor: Light armor, medium armor, shields 
Weapons: Simple weapons, martial weapons 
Tools: None
Saving Throws: Strength, Constitution 
Skills: Choose two from Animal Handling, Athletics, Intimidation, Nature, Perception, and Survival
</t>
  </si>
  <si>
    <t>HIT POINTS
Hit Dice: 1d8 per bard levei
Hit Points at 1st LeveI: 8 + your Constitution modifier
Hit Points at Higher LeveIs: 1d8 (or 5) + your Constitution modifier per bard leveI after 1st
PROFICIENCIES
Armor: Light armor
Weapons: Simple weapons, hand crossbows, longswords, rapiers, shortswords
Tools: Three musical instruments of your choice
Saving Throws: Dexterity, Charisma
Skills: Choose any three
EQUlPMENT
You start with the following equipment, in addition to the equipment granted by your background:
(a) a rapier, (b) a longsword, or (c) any simple weapon
(a) a diplomat's pack or (b) an entertainer's pack
(a) a lute or (b) any other musical instrument
leather armor and a dagger</t>
  </si>
  <si>
    <t>HIT POINTS
Hit Dice: 1d8 per cleric level
Hit Points at 1st Level: 8 + your Constitution modifier
Hit Points at Higher Levels: 1d8 (or 5) + your Constitution modifier per cleric level after 1st
PROFICIENCIES
Armor: Light armor, medium armor, shields 
Weapons: All simple weapons
Tools: None
Saving Throws: Wisdom, Charisma 
Skills: Choose two from History, Insight, Medicine, Persuasion, and Religion
EQUIPMENT
You start with the following equipment, in addition to the equipment granted by your background:
• (a) a mace or (b) a warhammer (if proficient)
• (a) scale mail, (b) leather armor, or (c) chain mail (if proficient)
• (a) a light crossbow and 20 bolts or (b) any simple weapon
• (a) a priest’s pack or (b) an explorer's pack
• A shield and a holy symbol</t>
  </si>
  <si>
    <t xml:space="preserve">HIT POINTS
Hit Dice: 1d8 per druid level
Hit Points at 1st Level: 8 + your Constitution modifier 
Hit Points at Higher Levels: 1d8 (or 5) + your Constitution modifier per druid level after 1st
PROFICIENCIES
Armor: Light armor, medium armor, shields (druids will not wear armor or use shields made of metal) 
Weapons: Clubs, daggers, darts, javelins, maces, quarterstaffs, scimitars, sickles, slings, spears 
Tools: Herbalism kit
Saving Throws: Intelligence, Wisdom
Skills: Choose two from Arcana, Animal Handling, Insight, Medicine, Nature, Perception, Religion, and Survival
EQUIPMENT
You start with the following equipment, in addition to the equipment granted by your background;
• (a) a wooden shield or (b) any simple weapon
• (a) a scimitar or (b) any simple melee weapon
• Leather armor, an explorer’s pack, and a druidic focus
</t>
  </si>
  <si>
    <t>HIT POINTS
HitDice: 1d10 per fighter level
Hit Points at 1st Levei: 10 + your Constitution modifier
Hit Points at Higher LeveIs: 1d10 (or 6) + your Constitution modifier per fighter levei after 1st
PROFICIENCIES
Armor: All armor, shields
Skills: Choose two skills from Acrobatics, Animal Handling, Athletics, History, Insight, Intimidation, Perception, and Survival
You start with the following equipment, in addition to the equipment granted by your background:
• (a) chain mail or (6) leather, longbow, and 20 arrows
• (a) a martial weapon and a shield or (b) two martial weapons
• (a) a light crossbow and 20 bolts or (6) two handaxes
• (a) a dungeoneer's pack or (b) an explorer’s pack</t>
  </si>
  <si>
    <t xml:space="preserve">HIT POINTS
Hit Dice: ld8 per monk level
Hit Points at 1st Level: 8 + your Constitution modifier Hit Points at Higher Levels: ld8 (or 5) +your Constitution modifier per monk level after 1st
PROFICIENCIES
Armor: None
Weapons: Simple weapons, shortswords Tools: Choose one type of artisan’s tools or one musical instrument
Saving Throws: Strength, Dexterity Skills: Choose two from Acrobatics, Athletics, History, Insight, Religion, and Stealth
EQUIPMENT
You start with the following equipment, in addition to the equipment granted by your background:
■ (a) a shortsword or (ti) any simple weapon
• (a) a dungeoneer’s pack or (b) an explorer's pack
• 10 darts
</t>
  </si>
  <si>
    <t xml:space="preserve">HIT POINTS
Hit Dice: ldlO per paladin level
Hit Points at 1st Level: 10 + your Constitution modifier Hit Points at Higher Levels: ldlO (or 6) + your Constitution modifier per paladin level after 1st
PROFICIENCIES
Armor: All armor, shields
Weapons: Simple weapons, martial weapons
Tools: None
Saving Throws: Wisdom, Charisma Skills: Choose two from Athletics, Insight, Intimidation, Medicine, Persuasion, and Religion
EQUIPMENT
You start with the following equipment, in addition to the equipment granted by your background:
• (a) a martial weapon and a shield or (b) two martial weapons
• (a) five javelins or (b) any simple melee weapon
• (a) a priest’s pack or (b) an explorer’s pack
• Chain mail and a holy symbol
</t>
  </si>
  <si>
    <t xml:space="preserve">HIT POINTS
Hit Dice: ldlO per ranger level
Hit Points at 1st Level: 10 +your Constitution modifier Hit Points at Higher Levels: ldlO (or 6) + your Constitution modifier per ranger level after 1st
PROFICIENCIES
Armor: Light armor, medium armor, shields Weapons: Simple weapons, martial weapons Tools: None
Saving Throws: Strength, Dexterity Skills: Choose three from Animal Handling,
Athletics, Insight, Investigation, Nature, Perception, Stealth, and Survival
EQUIPMENT
You start with the following equipment, in addition to the equipment granted by your background: 
• (a) scale mail or (b) leather armor
• (a) two shortswords or (b) two simple melee weapons
• (a) a dungeoneer’s pack or (£&gt;) an explorer’s pack
• A longbow and a quiver of 20 arrows
</t>
  </si>
  <si>
    <t>HIT POINTS
Hit Dice: ld8 per rogue level
Hit Points at 1st Level: 8 + your Constitution modifier Hit Points at Higher Levels: ld8 (or 5) + your Constitution modifier per rogue level after 1st
PROFICIENCIES
Armor: Light armor
Weapons: Simple weapons, hand crossbows, longswords, rapiers, shortswords Tools: Thieves’ tools
EQUIPMENT
You start with the following equipment, in addition to the equipment granted by your background:
• (a) a rapier or (b) a shortsword
• (a) a shortbow and quiver of 20 arrows or (b) a shortsword
• (a) a burglar’s pack, (6) a dungeoneer's pack, or (c) an explorer’s pack
• Leather armor, two daggers, and thieves’ tools
Saving Throws: Dexterity, Intelligence Skills: Choose four from Acrobatics, Athletics, Deception, Insight, Intimidation, Investigation. Perception, Performance. Persuasion. Sleight of Hand, and Stealth</t>
  </si>
  <si>
    <t xml:space="preserve">HIT POINTS
Hit Dice: ld6 per sorcerer level
Hit Points at 1st Level: 6 + your Constitution modifier Hit Points at Higher Levels: ld6 (or 4) +your Constitution modifier per sorcerer level after 1st
PROFICIENCIES
Armor: None
Weapons: Daggers, darts, slings, quarterstaffs, light crossbows Tools: None
Saving Throws: Constitution, Charisma Skills: Choose two from Arcana, Deception, Insight, Intimidation, Persuasion, and Religion 
EQUIPMENT
You start with the following equipment, in addition to the equipment granted by your background:
• (a) a light crossbow and 20 bolts or (b) any simple weapon
• (a) a component pouch or (b) an arcane focus
• (a) a dungeoneer's pack or (b) an explorer’s pack
• Two daggers
</t>
  </si>
  <si>
    <t xml:space="preserve">HIT POINTS
Hit Dice: ld6 per wizard level
Hit Points at 1st Level: 6 + your Constitution modifier Hit Points at Higher Levels: ld6 (or 4) +your Constitution modifier per wizard level after 1st
PROFICIENCIES
Armor: None
Weapons: Daggers, darts, slings, quarterstaffs, light crossbows Tools: None
Saving Throws: Intelligence, Wisdom Skills: Choose two from Arcana, History, Insight, Investigation, Medicine, and Religion 
EQUIPMENT
You start with the following equipment, in addition to the equipment granted by your background:
• (a) a quarterstaff or (6) a dagger
• (a) a component pouch or (ft) an arcane focus
• (a) a scholar’s pack or (ft) an explorer's pack
• A spellbook
</t>
  </si>
  <si>
    <t>HIT POINTS
Hit Dice: ld8 per warlock level
Hit Points at 1st Level: 8 +your Constitution modifier Hit Points at Higher Levels: ld8 (or 5) + your Constitution modifier per warlock level after 1st 
PROFICIENCIES Armor: Light armor Weapons: Simple weapons Tools: None
Saving Throws: Wisdom, Charisma Skills: Choose two skills from Arcana,
Deception, History, Intimidation, Investigation,
Nature, and Religion
EQUIPMENT
You start with the following equipment, in addition to the equipment granted by your background:
• (a) a light crossbow and 20 bolts or (b) any simple weapon
• (a) a component pouch or (b) an arcane focus
• (a) a scholar’s pack or (b) a dungeoneer’s pack
• Leather armor, any simple weapon, and two daggers</t>
  </si>
  <si>
    <t>2d4 x 10 gp</t>
  </si>
  <si>
    <t>5d4 x 10 gp</t>
  </si>
  <si>
    <t>5d4 gp</t>
  </si>
  <si>
    <t>4d4 x 10 gp</t>
  </si>
  <si>
    <t>3d4 x 10 gp</t>
  </si>
  <si>
    <t>Work_Name</t>
  </si>
  <si>
    <t>Display_Name</t>
  </si>
  <si>
    <t>Innate Spellcasting (Elf)</t>
  </si>
  <si>
    <t>You have resistance to acid damage.</t>
  </si>
  <si>
    <t>You have resistance to lightning damage.</t>
  </si>
  <si>
    <t>You have resistance to poison damage.</t>
  </si>
  <si>
    <t>You have resistance to cold damage.</t>
  </si>
  <si>
    <t>Spellcasting: Int,prepared, wizard, ritual casting</t>
  </si>
  <si>
    <t>Spellcasting: wis, prepared, cleric, ritual casting</t>
  </si>
  <si>
    <t>Spellcasting: wis, prepared, druid, ritual casting</t>
  </si>
  <si>
    <t>Channel Divinity: Turn Undead</t>
  </si>
  <si>
    <t>At 18th level, you have achieved such mastery over certain spells that you can cast them at will. Choose a 1st-level wizard spell and a 2nd-level wizard spell that are in your spellbook. You can cast those spells at their lowest level without expending a spell slot when you have them prepared. If you want to cast either spell at a higher level, you must expend a spell slot as normal. By spending 8 hours in study, you can exchange one or both of the spells you chose for different spells of the same levels.</t>
  </si>
  <si>
    <t>ClassProficiency</t>
  </si>
  <si>
    <t>Mainclass1</t>
  </si>
  <si>
    <t>Mainclass2</t>
  </si>
  <si>
    <t>Mainclass3</t>
  </si>
  <si>
    <t>Mainclass4</t>
  </si>
  <si>
    <t>Skill5</t>
  </si>
  <si>
    <t>Skill6</t>
  </si>
  <si>
    <t>Skill7</t>
  </si>
  <si>
    <t>Skill8</t>
  </si>
  <si>
    <t>Skill9</t>
  </si>
  <si>
    <t>FreeSkill1</t>
  </si>
  <si>
    <t>FreeSkill2</t>
  </si>
  <si>
    <t>Определение порядка получения скиллов</t>
  </si>
  <si>
    <t>Familiars</t>
  </si>
  <si>
    <t>Mounts</t>
  </si>
  <si>
    <t>Hitpoints</t>
  </si>
  <si>
    <t>Senses</t>
  </si>
  <si>
    <t>Resistances</t>
  </si>
  <si>
    <t>Traits</t>
  </si>
  <si>
    <t>Actions</t>
  </si>
  <si>
    <t>beast</t>
  </si>
  <si>
    <t>large</t>
  </si>
  <si>
    <t>unaligned</t>
  </si>
  <si>
    <t>19 (3d10+3)</t>
  </si>
  <si>
    <t>60 ft.</t>
  </si>
  <si>
    <t>PP 11</t>
  </si>
  <si>
    <t>Trampling Charge</t>
  </si>
  <si>
    <t>Hooves, +4 to hit, reach 5 ft., one target, 2d6+4 bludgeoning damage</t>
  </si>
  <si>
    <t>10 ft., fly 40 ft.</t>
  </si>
  <si>
    <t>Perception +3, Stealth +8</t>
  </si>
  <si>
    <t>long sword, melee +2, 1 damage</t>
  </si>
  <si>
    <t>13 (2d10+2)</t>
  </si>
  <si>
    <t>PP 10</t>
  </si>
  <si>
    <t>Hooves, +2 to hit, reach 5 ft., one target, 2d6+3 bludgeoning damage</t>
  </si>
  <si>
    <t>Mule</t>
  </si>
  <si>
    <t>medium</t>
  </si>
  <si>
    <t>11 (2d8+2)</t>
  </si>
  <si>
    <t>40 ft.</t>
  </si>
  <si>
    <t>Hooves. Melee Weapon Attack: +2 to hit, reach 5 fI., one largel.
Hit: 4 (ld4 + 2) bludgeoning damage.</t>
  </si>
  <si>
    <t>Bite. Melee Weapon Attaek: +3 lo hit, reach 5 fI., one target. Hit:
4 (ld6 + 1) piercing damage. Ifthe larget is a creature, it must
succeed on a DC 11 Slrength saving throw or be knocked prone.</t>
  </si>
  <si>
    <t>5 (1d8+1)</t>
  </si>
  <si>
    <t>PP 13</t>
  </si>
  <si>
    <t>Boar</t>
  </si>
  <si>
    <t>PP 9</t>
  </si>
  <si>
    <t>Tusk. Melee Weopon Atlack: +3 to hit, reach 5 ft., one target.
Hit: 4 (ld6 + 1) slashing damage.</t>
  </si>
  <si>
    <r>
      <t xml:space="preserve">Baboon </t>
    </r>
    <r>
      <rPr>
        <sz val="11"/>
        <color rgb="FF000000"/>
        <rFont val="Tahoma"/>
        <family val="2"/>
        <charset val="204"/>
      </rPr>
      <t>(Small, AC:12, HP:3, Spd 30 Climb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PP11, </t>
    </r>
    <r>
      <rPr>
        <i/>
        <sz val="11"/>
        <color rgb="FF000000"/>
        <rFont val="Tahoma"/>
        <family val="2"/>
        <charset val="204"/>
      </rPr>
      <t>Pack Tactics</t>
    </r>
    <r>
      <rPr>
        <sz val="11"/>
        <color rgb="FF000000"/>
        <rFont val="Tahoma"/>
        <family val="2"/>
        <charset val="204"/>
      </rPr>
      <t>, Bite +1 (1 prc))</t>
    </r>
  </si>
  <si>
    <r>
      <t>Badger </t>
    </r>
    <r>
      <rPr>
        <sz val="11"/>
        <color rgb="FF000000"/>
        <rFont val="Tahoma"/>
        <family val="2"/>
        <charset val="204"/>
      </rPr>
      <t>(Tiny, AC:10, HP:3, Spd 20 Burrow 5,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Keen Smell,</t>
    </r>
    <r>
      <rPr>
        <sz val="11"/>
        <color rgb="FF000000"/>
        <rFont val="Tahoma"/>
        <family val="2"/>
        <charset val="204"/>
      </rPr>
      <t> Bite +2 (1 prc))</t>
    </r>
  </si>
  <si>
    <r>
      <t>Bat </t>
    </r>
    <r>
      <rPr>
        <sz val="11"/>
        <color rgb="FF000000"/>
        <rFont val="Tahoma"/>
        <family val="2"/>
        <charset val="204"/>
      </rPr>
      <t>(Tiny, AC:12, HP:1, Spd 5 Fly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60ft. PP11, </t>
    </r>
    <r>
      <rPr>
        <i/>
        <sz val="11"/>
        <color rgb="FF000000"/>
        <rFont val="Tahoma"/>
        <family val="2"/>
        <charset val="204"/>
      </rPr>
      <t>Echolocation, Keen Hearing</t>
    </r>
    <r>
      <rPr>
        <sz val="11"/>
        <color rgb="FF000000"/>
        <rFont val="Tahoma"/>
        <family val="2"/>
        <charset val="204"/>
      </rPr>
      <t>, Bite +1 (1 prc))</t>
    </r>
  </si>
  <si>
    <r>
      <t>Blood Hawk</t>
    </r>
    <r>
      <rPr>
        <sz val="11"/>
        <color rgb="FF000000"/>
        <rFont val="Tahoma"/>
        <family val="2"/>
        <charset val="204"/>
      </rPr>
      <t> (Small, AC:12, HP:7,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
    </r>
    <r>
      <rPr>
        <i/>
        <sz val="11"/>
        <color rgb="FF000000"/>
        <rFont val="Tahoma"/>
        <family val="2"/>
        <charset val="204"/>
      </rPr>
      <t>Keen Sight, Pack Tactics,</t>
    </r>
    <r>
      <rPr>
        <sz val="11"/>
        <color rgb="FF000000"/>
        <rFont val="Tahoma"/>
        <family val="2"/>
        <charset val="204"/>
      </rPr>
      <t> Beak +4 (4 prc))</t>
    </r>
  </si>
  <si>
    <r>
      <t>Boar </t>
    </r>
    <r>
      <rPr>
        <sz val="11"/>
        <color rgb="FF000000"/>
        <rFont val="Tahoma"/>
        <family val="2"/>
        <charset val="204"/>
      </rPr>
      <t>(Medium, AC:11,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PP9, </t>
    </r>
    <r>
      <rPr>
        <i/>
        <sz val="11"/>
        <color rgb="FF000000"/>
        <rFont val="Tahoma"/>
        <family val="2"/>
        <charset val="204"/>
      </rPr>
      <t>Charge, Relentless,</t>
    </r>
    <r>
      <rPr>
        <sz val="11"/>
        <color rgb="FF000000"/>
        <rFont val="Tahoma"/>
        <family val="2"/>
        <charset val="204"/>
      </rPr>
      <t> Tusk +3 (4 slash))</t>
    </r>
  </si>
  <si>
    <r>
      <t>Cat </t>
    </r>
    <r>
      <rPr>
        <sz val="11"/>
        <color rgb="FF000000"/>
        <rFont val="Tahoma"/>
        <family val="2"/>
        <charset val="204"/>
      </rPr>
      <t>(Tiny, AC:12, HP:2, Spd 40 Climb 30, </t>
    </r>
    <r>
      <rPr>
        <i/>
        <sz val="11"/>
        <color rgb="FF000000"/>
        <rFont val="Tahoma"/>
        <family val="2"/>
        <charset val="204"/>
      </rPr>
      <t>Skills</t>
    </r>
    <r>
      <rPr>
        <sz val="11"/>
        <color rgb="FF000000"/>
        <rFont val="Tahoma"/>
        <family val="2"/>
        <charset val="204"/>
      </rPr>
      <t>: Perception +3 Stealth +4, </t>
    </r>
    <r>
      <rPr>
        <i/>
        <sz val="11"/>
        <color rgb="FF000000"/>
        <rFont val="Tahoma"/>
        <family val="2"/>
        <charset val="204"/>
      </rPr>
      <t>Senses</t>
    </r>
    <r>
      <rPr>
        <sz val="11"/>
        <color rgb="FF000000"/>
        <rFont val="Tahoma"/>
        <family val="2"/>
        <charset val="204"/>
      </rPr>
      <t>: PP13, </t>
    </r>
    <r>
      <rPr>
        <i/>
        <sz val="11"/>
        <color rgb="FF000000"/>
        <rFont val="Tahoma"/>
        <family val="2"/>
        <charset val="204"/>
      </rPr>
      <t>Keen Smell, </t>
    </r>
    <r>
      <rPr>
        <sz val="11"/>
        <color rgb="FF000000"/>
        <rFont val="Tahoma"/>
        <family val="2"/>
        <charset val="204"/>
      </rPr>
      <t>Claws +0 (1 prc))</t>
    </r>
  </si>
  <si>
    <r>
      <t>Crab </t>
    </r>
    <r>
      <rPr>
        <sz val="11"/>
        <color rgb="FF000000"/>
        <rFont val="Tahoma"/>
        <family val="2"/>
        <charset val="204"/>
      </rPr>
      <t>(Tiny, AC:11, HP:2, Spd 10 Swim 20, </t>
    </r>
    <r>
      <rPr>
        <i/>
        <sz val="11"/>
        <color rgb="FF000000"/>
        <rFont val="Tahoma"/>
        <family val="2"/>
        <charset val="204"/>
      </rPr>
      <t>Skills</t>
    </r>
    <r>
      <rPr>
        <sz val="11"/>
        <color rgb="FF000000"/>
        <rFont val="Tahoma"/>
        <family val="2"/>
        <charset val="204"/>
      </rPr>
      <t>: Stealth +2, </t>
    </r>
    <r>
      <rPr>
        <i/>
        <sz val="11"/>
        <color rgb="FF000000"/>
        <rFont val="Tahoma"/>
        <family val="2"/>
        <charset val="204"/>
      </rPr>
      <t>Senses</t>
    </r>
    <r>
      <rPr>
        <sz val="11"/>
        <color rgb="FF000000"/>
        <rFont val="Tahoma"/>
        <family val="2"/>
        <charset val="204"/>
      </rPr>
      <t>: Blindsight 30ft PP9, </t>
    </r>
    <r>
      <rPr>
        <i/>
        <sz val="11"/>
        <color rgb="FF000000"/>
        <rFont val="Tahoma"/>
        <family val="2"/>
        <charset val="204"/>
      </rPr>
      <t>Amphibious,</t>
    </r>
    <r>
      <rPr>
        <sz val="11"/>
        <color rgb="FF000000"/>
        <rFont val="Tahoma"/>
        <family val="2"/>
        <charset val="204"/>
      </rPr>
      <t> Claw +0 (1 bldgn))</t>
    </r>
  </si>
  <si>
    <r>
      <t>Deer </t>
    </r>
    <r>
      <rPr>
        <sz val="11"/>
        <color rgb="FF000000"/>
        <rFont val="Tahoma"/>
        <family val="2"/>
        <charset val="204"/>
      </rPr>
      <t>(Medium, AC:13, HP:4, Spd 50,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PP12, Bite +2 (2 prc))</t>
    </r>
  </si>
  <si>
    <r>
      <t>Eagle </t>
    </r>
    <r>
      <rPr>
        <sz val="11"/>
        <color rgb="FF000000"/>
        <rFont val="Tahoma"/>
        <family val="2"/>
        <charset val="204"/>
      </rPr>
      <t>(Small, AC:12, HP:3,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Talons +4 (4 slash))</t>
    </r>
  </si>
  <si>
    <r>
      <t>Flying Snake</t>
    </r>
    <r>
      <rPr>
        <sz val="11"/>
        <color rgb="FF000000"/>
        <rFont val="Tahoma"/>
        <family val="2"/>
        <charset val="204"/>
      </rPr>
      <t>(Tiny, AC:14, HP:5, Spd 30 Fly 60 Swim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PP11, </t>
    </r>
    <r>
      <rPr>
        <i/>
        <sz val="11"/>
        <color rgb="FF000000"/>
        <rFont val="Tahoma"/>
        <family val="2"/>
        <charset val="204"/>
      </rPr>
      <t>Flyby</t>
    </r>
    <r>
      <rPr>
        <sz val="11"/>
        <color rgb="FF000000"/>
        <rFont val="Tahoma"/>
        <family val="2"/>
        <charset val="204"/>
      </rPr>
      <t>, Bite +6 (1 prc + 7 poison))</t>
    </r>
  </si>
  <si>
    <r>
      <t>Frog </t>
    </r>
    <r>
      <rPr>
        <sz val="11"/>
        <color rgb="FF000000"/>
        <rFont val="Tahoma"/>
        <family val="2"/>
        <charset val="204"/>
      </rPr>
      <t>(Tiny, AC:11, HP:1, Spd 20 Swim 20, </t>
    </r>
    <r>
      <rPr>
        <i/>
        <sz val="11"/>
        <color rgb="FF000000"/>
        <rFont val="Tahoma"/>
        <family val="2"/>
        <charset val="204"/>
      </rPr>
      <t>Skills</t>
    </r>
    <r>
      <rPr>
        <sz val="11"/>
        <color rgb="FF000000"/>
        <rFont val="Tahoma"/>
        <family val="2"/>
        <charset val="204"/>
      </rPr>
      <t>: Perception +1 Stealth +3,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Amphibious, Standing Leap</t>
    </r>
    <r>
      <rPr>
        <sz val="11"/>
        <color rgb="FF000000"/>
        <rFont val="Tahoma"/>
        <family val="2"/>
        <charset val="204"/>
      </rPr>
      <t>, no attacks)</t>
    </r>
  </si>
  <si>
    <r>
      <t>Giant Badger</t>
    </r>
    <r>
      <rPr>
        <sz val="11"/>
        <color rgb="FF000000"/>
        <rFont val="Tahoma"/>
        <family val="2"/>
        <charset val="204"/>
      </rPr>
      <t> (Medium, AC:10, HP:13, Spd 30 Burrow 10,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Keen Smell, Multiattack</t>
    </r>
    <r>
      <rPr>
        <sz val="11"/>
        <color rgb="FF000000"/>
        <rFont val="Tahoma"/>
        <family val="2"/>
        <charset val="204"/>
      </rPr>
      <t> Bite +3 (4 prc) Claws +3 (6 slash))</t>
    </r>
  </si>
  <si>
    <r>
      <t>Giant Centipede</t>
    </r>
    <r>
      <rPr>
        <sz val="11"/>
        <color rgb="FF000000"/>
        <rFont val="Tahoma"/>
        <family val="2"/>
        <charset val="204"/>
      </rPr>
      <t> (Small, AC:13, HP:4, Spd 30 Climb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30 PP8, Bite +4 (4 prc + DC11 Constitution of 10 Poison + Special))</t>
    </r>
  </si>
  <si>
    <r>
      <t>Giant Crab </t>
    </r>
    <r>
      <rPr>
        <sz val="11"/>
        <color rgb="FF000000"/>
        <rFont val="Tahoma"/>
        <family val="2"/>
        <charset val="204"/>
      </rPr>
      <t>(Medium, AC:15, HP:13, Spd 30 Swim 30, </t>
    </r>
    <r>
      <rPr>
        <i/>
        <sz val="11"/>
        <color rgb="FF000000"/>
        <rFont val="Tahoma"/>
        <family val="2"/>
        <charset val="204"/>
      </rPr>
      <t>Skills</t>
    </r>
    <r>
      <rPr>
        <sz val="11"/>
        <color rgb="FF000000"/>
        <rFont val="Tahoma"/>
        <family val="2"/>
        <charset val="204"/>
      </rPr>
      <t>: Stealth +4, </t>
    </r>
    <r>
      <rPr>
        <i/>
        <sz val="11"/>
        <color rgb="FF000000"/>
        <rFont val="Tahoma"/>
        <family val="2"/>
        <charset val="204"/>
      </rPr>
      <t>Senses</t>
    </r>
    <r>
      <rPr>
        <sz val="11"/>
        <color rgb="FF000000"/>
        <rFont val="Tahoma"/>
        <family val="2"/>
        <charset val="204"/>
      </rPr>
      <t>: Blindsight 30 PP9, </t>
    </r>
    <r>
      <rPr>
        <i/>
        <sz val="11"/>
        <color rgb="FF000000"/>
        <rFont val="Tahoma"/>
        <family val="2"/>
        <charset val="204"/>
      </rPr>
      <t>Amphibious</t>
    </r>
    <r>
      <rPr>
        <sz val="11"/>
        <color rgb="FF000000"/>
        <rFont val="Tahoma"/>
        <family val="2"/>
        <charset val="204"/>
      </rPr>
      <t>, Claw +3 (4 bldgn + DC11 Grapple))</t>
    </r>
  </si>
  <si>
    <r>
      <t>Giant Fire Beetle</t>
    </r>
    <r>
      <rPr>
        <sz val="11"/>
        <color rgb="FF000000"/>
        <rFont val="Tahoma"/>
        <family val="2"/>
        <charset val="204"/>
      </rPr>
      <t> (Small, AC:13, HP:4, Spd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30 PP8, </t>
    </r>
    <r>
      <rPr>
        <i/>
        <sz val="11"/>
        <color rgb="FF000000"/>
        <rFont val="Tahoma"/>
        <family val="2"/>
        <charset val="204"/>
      </rPr>
      <t>Illumination</t>
    </r>
    <r>
      <rPr>
        <sz val="11"/>
        <color rgb="FF000000"/>
        <rFont val="Tahoma"/>
        <family val="2"/>
        <charset val="204"/>
      </rPr>
      <t>, Bite +1 (2 slash))</t>
    </r>
  </si>
  <si>
    <r>
      <t>Giant Frog</t>
    </r>
    <r>
      <rPr>
        <sz val="11"/>
        <color rgb="FF000000"/>
        <rFont val="Tahoma"/>
        <family val="2"/>
        <charset val="204"/>
      </rPr>
      <t xml:space="preserve"> (Medium, AC:11, HP:18, Spd 30 Swim 30, </t>
    </r>
    <r>
      <rPr>
        <i/>
        <sz val="11"/>
        <color rgb="FF000000"/>
        <rFont val="Tahoma"/>
        <family val="2"/>
        <charset val="204"/>
      </rPr>
      <t>Skills</t>
    </r>
    <r>
      <rPr>
        <sz val="11"/>
        <color rgb="FF000000"/>
        <rFont val="Tahoma"/>
        <family val="2"/>
        <charset val="204"/>
      </rPr>
      <t>: Perception +2 Stealth +3, </t>
    </r>
    <r>
      <rPr>
        <i/>
        <sz val="11"/>
        <color rgb="FF000000"/>
        <rFont val="Tahoma"/>
        <family val="2"/>
        <charset val="204"/>
      </rPr>
      <t>Senses</t>
    </r>
    <r>
      <rPr>
        <sz val="11"/>
        <color rgb="FF000000"/>
        <rFont val="Tahoma"/>
        <family val="2"/>
        <charset val="204"/>
      </rPr>
      <t>: Darkvision 30 PP12, </t>
    </r>
    <r>
      <rPr>
        <i/>
        <sz val="11"/>
        <color rgb="FF000000"/>
        <rFont val="Tahoma"/>
        <family val="2"/>
        <charset val="204"/>
      </rPr>
      <t>Amphibious, Standing Leap</t>
    </r>
    <r>
      <rPr>
        <sz val="11"/>
        <color rgb="FF000000"/>
        <rFont val="Tahoma"/>
        <family val="2"/>
        <charset val="204"/>
      </rPr>
      <t>, Bite +3 (4 prc + DC11 Grapple, Swallow Attack))</t>
    </r>
  </si>
  <si>
    <r>
      <t>Giant Poisonous Snake</t>
    </r>
    <r>
      <rPr>
        <sz val="11"/>
        <color rgb="FF000000"/>
        <rFont val="Tahoma"/>
        <family val="2"/>
        <charset val="204"/>
      </rPr>
      <t> (Medium, AC:14, HP:11, Spd 30 Swim 30, </t>
    </r>
    <r>
      <rPr>
        <i/>
        <sz val="11"/>
        <color rgb="FF000000"/>
        <rFont val="Tahoma"/>
        <family val="2"/>
        <charset val="204"/>
      </rPr>
      <t>Skills</t>
    </r>
    <r>
      <rPr>
        <sz val="11"/>
        <color rgb="FF000000"/>
        <rFont val="Tahoma"/>
        <family val="2"/>
        <charset val="204"/>
      </rPr>
      <t>: Perception +2, </t>
    </r>
    <r>
      <rPr>
        <i/>
        <sz val="11"/>
        <color rgb="FF000000"/>
        <rFont val="Tahoma"/>
        <family val="2"/>
        <charset val="204"/>
      </rPr>
      <t>Senses</t>
    </r>
    <r>
      <rPr>
        <sz val="11"/>
        <color rgb="FF000000"/>
        <rFont val="Tahoma"/>
        <family val="2"/>
        <charset val="204"/>
      </rPr>
      <t>: Blindsight 10 PP12, Bite +6 (6 prc + DC 11 Constitution or 10 poison))</t>
    </r>
  </si>
  <si>
    <r>
      <t xml:space="preserve">Giant Rat </t>
    </r>
    <r>
      <rPr>
        <sz val="11"/>
        <color rgb="FF000000"/>
        <rFont val="Tahoma"/>
        <family val="2"/>
        <charset val="204"/>
      </rPr>
      <t>(Small, AC:12, HP:7, Spd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PP10, </t>
    </r>
    <r>
      <rPr>
        <i/>
        <sz val="11"/>
        <color rgb="FF000000"/>
        <rFont val="Tahoma"/>
        <family val="2"/>
        <charset val="204"/>
      </rPr>
      <t>Keen Smell, Pack Tactics,</t>
    </r>
    <r>
      <rPr>
        <sz val="11"/>
        <color rgb="FF000000"/>
        <rFont val="Tahoma"/>
        <family val="2"/>
        <charset val="204"/>
      </rPr>
      <t> Bite +4 (4 prc))</t>
    </r>
  </si>
  <si>
    <r>
      <t>Giant Weasel</t>
    </r>
    <r>
      <rPr>
        <sz val="11"/>
        <color rgb="FF000000"/>
        <rFont val="Tahoma"/>
        <family val="2"/>
        <charset val="204"/>
      </rPr>
      <t xml:space="preserve"> (Medium, AC:13, HP:9, Spd 40, </t>
    </r>
    <r>
      <rPr>
        <i/>
        <sz val="11"/>
        <color rgb="FF000000"/>
        <rFont val="Tahoma"/>
        <family val="2"/>
        <charset val="204"/>
      </rPr>
      <t>Skills</t>
    </r>
    <r>
      <rPr>
        <sz val="11"/>
        <color rgb="FF000000"/>
        <rFont val="Tahoma"/>
        <family val="2"/>
        <charset val="204"/>
      </rPr>
      <t>: Perception +3 Stealth +5, </t>
    </r>
    <r>
      <rPr>
        <i/>
        <sz val="11"/>
        <color rgb="FF000000"/>
        <rFont val="Tahoma"/>
        <family val="2"/>
        <charset val="204"/>
      </rPr>
      <t>Senses</t>
    </r>
    <r>
      <rPr>
        <sz val="11"/>
        <color rgb="FF000000"/>
        <rFont val="Tahoma"/>
        <family val="2"/>
        <charset val="204"/>
      </rPr>
      <t>: Darkvision PP13, </t>
    </r>
    <r>
      <rPr>
        <i/>
        <sz val="11"/>
        <color rgb="FF000000"/>
        <rFont val="Tahoma"/>
        <family val="2"/>
        <charset val="204"/>
      </rPr>
      <t>Keen Hearing/Smell</t>
    </r>
    <r>
      <rPr>
        <sz val="11"/>
        <color rgb="FF000000"/>
        <rFont val="Tahoma"/>
        <family val="2"/>
        <charset val="204"/>
      </rPr>
      <t>, Bite +5 (5 prc))</t>
    </r>
  </si>
  <si>
    <r>
      <t>Giant Wolf Spider</t>
    </r>
    <r>
      <rPr>
        <sz val="11"/>
        <color rgb="FF000000"/>
        <rFont val="Tahoma"/>
        <family val="2"/>
        <charset val="204"/>
      </rPr>
      <t> (Medium, AC:13, HP:11, Spd 40 Climb 40, </t>
    </r>
    <r>
      <rPr>
        <i/>
        <sz val="11"/>
        <color rgb="FF000000"/>
        <rFont val="Tahoma"/>
        <family val="2"/>
        <charset val="204"/>
      </rPr>
      <t>Skills</t>
    </r>
    <r>
      <rPr>
        <sz val="11"/>
        <color rgb="FF000000"/>
        <rFont val="Tahoma"/>
        <family val="2"/>
        <charset val="204"/>
      </rPr>
      <t>: Perception +3 Stealth +7, </t>
    </r>
    <r>
      <rPr>
        <i/>
        <sz val="11"/>
        <color rgb="FF000000"/>
        <rFont val="Tahoma"/>
        <family val="2"/>
        <charset val="204"/>
      </rPr>
      <t>Senses</t>
    </r>
    <r>
      <rPr>
        <sz val="11"/>
        <color rgb="FF000000"/>
        <rFont val="Tahoma"/>
        <family val="2"/>
        <charset val="204"/>
      </rPr>
      <t>: Blindsight 10 Darkvision 60 PP13, </t>
    </r>
    <r>
      <rPr>
        <i/>
        <sz val="11"/>
        <color rgb="FF000000"/>
        <rFont val="Tahoma"/>
        <family val="2"/>
        <charset val="204"/>
      </rPr>
      <t>Spider Climb, Web Sense, Web Walker</t>
    </r>
    <r>
      <rPr>
        <sz val="11"/>
        <color rgb="FF000000"/>
        <rFont val="Tahoma"/>
        <family val="2"/>
        <charset val="204"/>
      </rPr>
      <t>, Bite +3 (4 prc + DC11 Constitution or 7 Poison + Special))</t>
    </r>
  </si>
  <si>
    <r>
      <t>Goat</t>
    </r>
    <r>
      <rPr>
        <sz val="11"/>
        <color rgb="FF000000"/>
        <rFont val="Tahoma"/>
        <family val="2"/>
        <charset val="204"/>
      </rPr>
      <t xml:space="preserve"> (Medium, AC:10, HP:4,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Charge, Sure Footed</t>
    </r>
    <r>
      <rPr>
        <sz val="11"/>
        <color rgb="FF000000"/>
        <rFont val="Tahoma"/>
        <family val="2"/>
        <charset val="204"/>
      </rPr>
      <t>, Ram +3 (3 bldgn))</t>
    </r>
  </si>
  <si>
    <r>
      <t xml:space="preserve">Hawk </t>
    </r>
    <r>
      <rPr>
        <sz val="11"/>
        <color rgb="FF000000"/>
        <rFont val="Tahoma"/>
        <family val="2"/>
        <charset val="204"/>
      </rPr>
      <t>(Tiny, AC:13, HP:1,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
    </r>
    <r>
      <rPr>
        <i/>
        <sz val="11"/>
        <color rgb="FF000000"/>
        <rFont val="Tahoma"/>
        <family val="2"/>
        <charset val="204"/>
      </rPr>
      <t>Keen Sight</t>
    </r>
    <r>
      <rPr>
        <sz val="11"/>
        <color rgb="FF000000"/>
        <rFont val="Tahoma"/>
        <family val="2"/>
        <charset val="204"/>
      </rPr>
      <t>, Talons +5 (1 slash))</t>
    </r>
  </si>
  <si>
    <r>
      <t>Hyena</t>
    </r>
    <r>
      <rPr>
        <sz val="11"/>
        <color rgb="FF000000"/>
        <rFont val="Tahoma"/>
        <family val="2"/>
        <charset val="204"/>
      </rPr>
      <t xml:space="preserve"> (Medium, AC:11, HP: 5, Spd 50,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Pack Tactics,</t>
    </r>
    <r>
      <rPr>
        <sz val="11"/>
        <color rgb="FF000000"/>
        <rFont val="Tahoma"/>
        <family val="2"/>
        <charset val="204"/>
      </rPr>
      <t> Bite +2 (3 prc))</t>
    </r>
  </si>
  <si>
    <r>
      <t xml:space="preserve">Jackal </t>
    </r>
    <r>
      <rPr>
        <sz val="11"/>
        <color rgb="FF000000"/>
        <rFont val="Tahoma"/>
        <family val="2"/>
        <charset val="204"/>
      </rPr>
      <t>(Small, AC:12, HP:3, Spd 40,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 13, </t>
    </r>
    <r>
      <rPr>
        <i/>
        <sz val="11"/>
        <color rgb="FF000000"/>
        <rFont val="Tahoma"/>
        <family val="2"/>
        <charset val="204"/>
      </rPr>
      <t>Keen Hearing/Smell, Pack Tactics</t>
    </r>
    <r>
      <rPr>
        <sz val="11"/>
        <color rgb="FF000000"/>
        <rFont val="Tahoma"/>
        <family val="2"/>
        <charset val="204"/>
      </rPr>
      <t>, Bite +1 (1 prc))</t>
    </r>
  </si>
  <si>
    <r>
      <t xml:space="preserve">Lizard </t>
    </r>
    <r>
      <rPr>
        <sz val="11"/>
        <color rgb="FF000000"/>
        <rFont val="Tahoma"/>
        <family val="2"/>
        <charset val="204"/>
      </rPr>
      <t>(Tiny, AC:10, HP:2, Spd 20 Climb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PP9, Bite +0 (1 prc))</t>
    </r>
  </si>
  <si>
    <r>
      <t xml:space="preserve">Mastiff </t>
    </r>
    <r>
      <rPr>
        <sz val="11"/>
        <color rgb="FF000000"/>
        <rFont val="Tahoma"/>
        <family val="2"/>
        <charset val="204"/>
      </rPr>
      <t>(Medium, AC:12, HP:5, Spd 40,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t>
    </r>
    <r>
      <rPr>
        <sz val="11"/>
        <color rgb="FF000000"/>
        <rFont val="Tahoma"/>
        <family val="2"/>
        <charset val="204"/>
      </rPr>
      <t>, Bite +3 (4 prc + DC11 Strength or Prone))</t>
    </r>
  </si>
  <si>
    <r>
      <t xml:space="preserve">Mule </t>
    </r>
    <r>
      <rPr>
        <sz val="11"/>
        <color rgb="FF000000"/>
        <rFont val="Tahoma"/>
        <family val="2"/>
        <charset val="204"/>
      </rPr>
      <t>(Medium, AC:10,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Beast of Burden, Sure Footed</t>
    </r>
    <r>
      <rPr>
        <sz val="11"/>
        <color rgb="FF000000"/>
        <rFont val="Tahoma"/>
        <family val="2"/>
        <charset val="204"/>
      </rPr>
      <t>, Hooves +2 (4 bldgn))</t>
    </r>
  </si>
  <si>
    <r>
      <t xml:space="preserve">Octopus </t>
    </r>
    <r>
      <rPr>
        <sz val="11"/>
        <color rgb="FF000000"/>
        <rFont val="Tahoma"/>
        <family val="2"/>
        <charset val="204"/>
      </rPr>
      <t>(Small, AC:12, HP:3, Spd 5 Swim 30, </t>
    </r>
    <r>
      <rPr>
        <i/>
        <sz val="11"/>
        <color rgb="FF000000"/>
        <rFont val="Tahoma"/>
        <family val="2"/>
        <charset val="204"/>
      </rPr>
      <t>Skills</t>
    </r>
    <r>
      <rPr>
        <sz val="11"/>
        <color rgb="FF000000"/>
        <rFont val="Tahoma"/>
        <family val="2"/>
        <charset val="204"/>
      </rPr>
      <t>: Perception +2 Stealth +3, </t>
    </r>
    <r>
      <rPr>
        <i/>
        <sz val="11"/>
        <color rgb="FF000000"/>
        <rFont val="Tahoma"/>
        <family val="2"/>
        <charset val="204"/>
      </rPr>
      <t>Senses</t>
    </r>
    <r>
      <rPr>
        <sz val="11"/>
        <color rgb="FF000000"/>
        <rFont val="Tahoma"/>
        <family val="2"/>
        <charset val="204"/>
      </rPr>
      <t>: Darkvision 30 PP12, </t>
    </r>
    <r>
      <rPr>
        <i/>
        <sz val="11"/>
        <color rgb="FF000000"/>
        <rFont val="Tahoma"/>
        <family val="2"/>
        <charset val="204"/>
      </rPr>
      <t>Hold Breath, Underwater Camouflage, Water Breathing,</t>
    </r>
    <r>
      <rPr>
        <sz val="11"/>
        <color rgb="FF000000"/>
        <rFont val="Tahoma"/>
        <family val="2"/>
        <charset val="204"/>
      </rPr>
      <t> Tentacles +4 (1 bldgn + Grapple), Ink Cloud</t>
    </r>
  </si>
  <si>
    <r>
      <t xml:space="preserve">Owl </t>
    </r>
    <r>
      <rPr>
        <sz val="11"/>
        <color rgb="FF000000"/>
        <rFont val="Tahoma"/>
        <family val="2"/>
        <charset val="204"/>
      </rPr>
      <t>(Tiny, AC:11, HP:1, Spd 5 Fly 60, </t>
    </r>
    <r>
      <rPr>
        <i/>
        <sz val="11"/>
        <color rgb="FF000000"/>
        <rFont val="Tahoma"/>
        <family val="2"/>
        <charset val="204"/>
      </rPr>
      <t>Skills</t>
    </r>
    <r>
      <rPr>
        <sz val="11"/>
        <color rgb="FF000000"/>
        <rFont val="Tahoma"/>
        <family val="2"/>
        <charset val="204"/>
      </rPr>
      <t>: Perception +3 Stealth +3, </t>
    </r>
    <r>
      <rPr>
        <i/>
        <sz val="11"/>
        <color rgb="FF000000"/>
        <rFont val="Tahoma"/>
        <family val="2"/>
        <charset val="204"/>
      </rPr>
      <t>Senses</t>
    </r>
    <r>
      <rPr>
        <sz val="11"/>
        <color rgb="FF000000"/>
        <rFont val="Tahoma"/>
        <family val="2"/>
        <charset val="204"/>
      </rPr>
      <t>: Darkvision 120 PP13, </t>
    </r>
    <r>
      <rPr>
        <i/>
        <sz val="11"/>
        <color rgb="FF000000"/>
        <rFont val="Tahoma"/>
        <family val="2"/>
        <charset val="204"/>
      </rPr>
      <t>Flyby, Keen Hearing/Sight</t>
    </r>
    <r>
      <rPr>
        <sz val="11"/>
        <color rgb="FF000000"/>
        <rFont val="Tahoma"/>
        <family val="2"/>
        <charset val="204"/>
      </rPr>
      <t>, Talons +3 (1 slash))</t>
    </r>
  </si>
  <si>
    <r>
      <t xml:space="preserve">Panther </t>
    </r>
    <r>
      <rPr>
        <sz val="11"/>
        <color rgb="FF000000"/>
        <rFont val="Tahoma"/>
        <family val="2"/>
        <charset val="204"/>
      </rPr>
      <t>(Medium, AC:12, HP:13, Spd 50 Climb 40, </t>
    </r>
    <r>
      <rPr>
        <i/>
        <sz val="11"/>
        <color rgb="FF000000"/>
        <rFont val="Tahoma"/>
        <family val="2"/>
        <charset val="204"/>
      </rPr>
      <t>Skills</t>
    </r>
    <r>
      <rPr>
        <sz val="11"/>
        <color rgb="FF000000"/>
        <rFont val="Tahoma"/>
        <family val="2"/>
        <charset val="204"/>
      </rPr>
      <t>: Perception +4 Stealth +6, </t>
    </r>
    <r>
      <rPr>
        <i/>
        <sz val="11"/>
        <color rgb="FF000000"/>
        <rFont val="Tahoma"/>
        <family val="2"/>
        <charset val="204"/>
      </rPr>
      <t>Senses</t>
    </r>
    <r>
      <rPr>
        <sz val="11"/>
        <color rgb="FF000000"/>
        <rFont val="Tahoma"/>
        <family val="2"/>
        <charset val="204"/>
      </rPr>
      <t>: PP14, </t>
    </r>
    <r>
      <rPr>
        <i/>
        <sz val="11"/>
        <color rgb="FF000000"/>
        <rFont val="Tahoma"/>
        <family val="2"/>
        <charset val="204"/>
      </rPr>
      <t>Keen Smell, Pounce</t>
    </r>
    <r>
      <rPr>
        <sz val="11"/>
        <color rgb="FF000000"/>
        <rFont val="Tahoma"/>
        <family val="2"/>
        <charset val="204"/>
      </rPr>
      <t>, Bite +4 (5 prc) Claw +4 (4 slash))</t>
    </r>
  </si>
  <si>
    <r>
      <t>Poisonous Snake</t>
    </r>
    <r>
      <rPr>
        <sz val="11"/>
        <color rgb="FF000000"/>
        <rFont val="Tahoma"/>
        <family val="2"/>
        <charset val="204"/>
      </rPr>
      <t xml:space="preserve"> (Tiny, AC:13, HP:2, Spd 30 Swim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PP10, Bite +5 (1 prc + DC10 Constitution or 5 poison))</t>
    </r>
  </si>
  <si>
    <r>
      <t xml:space="preserve">Pony </t>
    </r>
    <r>
      <rPr>
        <sz val="11"/>
        <color rgb="FF000000"/>
        <rFont val="Tahoma"/>
        <family val="2"/>
        <charset val="204"/>
      </rPr>
      <t>(Medium, AC:10,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Hooves +4 (7 bldgn))</t>
    </r>
  </si>
  <si>
    <r>
      <t>Pteranodon</t>
    </r>
    <r>
      <rPr>
        <sz val="11"/>
        <color rgb="FF000000"/>
        <rFont val="Tahoma"/>
        <family val="2"/>
        <charset val="204"/>
      </rPr>
      <t xml:space="preserve"> (Medium, AC:13, HP:13, Spd 10 Fly 60, </t>
    </r>
    <r>
      <rPr>
        <i/>
        <sz val="11"/>
        <color rgb="FF000000"/>
        <rFont val="Tahoma"/>
        <family val="2"/>
        <charset val="204"/>
      </rPr>
      <t>Skills</t>
    </r>
    <r>
      <rPr>
        <sz val="11"/>
        <color rgb="FF000000"/>
        <rFont val="Tahoma"/>
        <family val="2"/>
        <charset val="204"/>
      </rPr>
      <t>: Perception +1, </t>
    </r>
    <r>
      <rPr>
        <i/>
        <sz val="11"/>
        <color rgb="FF000000"/>
        <rFont val="Tahoma"/>
        <family val="2"/>
        <charset val="204"/>
      </rPr>
      <t>Senses</t>
    </r>
    <r>
      <rPr>
        <sz val="11"/>
        <color rgb="FF000000"/>
        <rFont val="Tahoma"/>
        <family val="2"/>
        <charset val="204"/>
      </rPr>
      <t>: PP11, </t>
    </r>
    <r>
      <rPr>
        <i/>
        <sz val="11"/>
        <color rgb="FF000000"/>
        <rFont val="Tahoma"/>
        <family val="2"/>
        <charset val="204"/>
      </rPr>
      <t>Flyby</t>
    </r>
    <r>
      <rPr>
        <sz val="11"/>
        <color rgb="FF000000"/>
        <rFont val="Tahoma"/>
        <family val="2"/>
        <charset val="204"/>
      </rPr>
      <t>, Bite +3 (6 prc))</t>
    </r>
  </si>
  <si>
    <r>
      <t xml:space="preserve">Quipper </t>
    </r>
    <r>
      <rPr>
        <sz val="11"/>
        <color rgb="FF000000"/>
        <rFont val="Tahoma"/>
        <family val="2"/>
        <charset val="204"/>
      </rPr>
      <t>(Tiny, AC:13, HP:1, Spd 0 Swim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60 PP8, </t>
    </r>
    <r>
      <rPr>
        <i/>
        <sz val="11"/>
        <color rgb="FF000000"/>
        <rFont val="Tahoma"/>
        <family val="2"/>
        <charset val="204"/>
      </rPr>
      <t>Blood Frenzy, Water Breathing</t>
    </r>
    <r>
      <rPr>
        <sz val="11"/>
        <color rgb="FF000000"/>
        <rFont val="Tahoma"/>
        <family val="2"/>
        <charset val="204"/>
      </rPr>
      <t>, Bite +5 (1 prc))</t>
    </r>
  </si>
  <si>
    <r>
      <t xml:space="preserve">Rat </t>
    </r>
    <r>
      <rPr>
        <sz val="11"/>
        <color rgb="FF000000"/>
        <rFont val="Tahoma"/>
        <family val="2"/>
        <charset val="204"/>
      </rPr>
      <t>(Tiny, AC:10, HP:1, Spd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PP10,</t>
    </r>
    <r>
      <rPr>
        <i/>
        <sz val="11"/>
        <color rgb="FF000000"/>
        <rFont val="Tahoma"/>
        <family val="2"/>
        <charset val="204"/>
      </rPr>
      <t> Keen Smell,</t>
    </r>
    <r>
      <rPr>
        <sz val="11"/>
        <color rgb="FF000000"/>
        <rFont val="Tahoma"/>
        <family val="2"/>
        <charset val="204"/>
      </rPr>
      <t> Bite +0 (1 prc))</t>
    </r>
  </si>
  <si>
    <r>
      <t>Raven</t>
    </r>
    <r>
      <rPr>
        <sz val="11"/>
        <color rgb="FF000000"/>
        <rFont val="Tahoma"/>
        <family val="2"/>
        <charset val="204"/>
      </rPr>
      <t xml:space="preserve"> (Tiny, AC:12, HP:1, Spd 10 Fly 50,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Mimicry</t>
    </r>
    <r>
      <rPr>
        <sz val="11"/>
        <color rgb="FF000000"/>
        <rFont val="Tahoma"/>
        <family val="2"/>
        <charset val="204"/>
      </rPr>
      <t>, Beak +4 (1 prc))</t>
    </r>
  </si>
  <si>
    <r>
      <t xml:space="preserve">Scorpion </t>
    </r>
    <r>
      <rPr>
        <sz val="11"/>
        <color rgb="FF000000"/>
        <rFont val="Tahoma"/>
        <family val="2"/>
        <charset val="204"/>
      </rPr>
      <t>(Tiny, AC:11, HP:1, Spd 10,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PP9, Sting +2 (1 prc + DC9 Constitution or 4 poison))</t>
    </r>
  </si>
  <si>
    <r>
      <t>Sea Horse</t>
    </r>
    <r>
      <rPr>
        <sz val="11"/>
        <color rgb="FF000000"/>
        <rFont val="Tahoma"/>
        <family val="2"/>
        <charset val="204"/>
      </rPr>
      <t xml:space="preserve"> (Tiny, AC:11, HP:1, Spd 0 Swim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Waterbreathing</t>
    </r>
    <r>
      <rPr>
        <sz val="11"/>
        <color rgb="FF000000"/>
        <rFont val="Tahoma"/>
        <family val="2"/>
        <charset val="204"/>
      </rPr>
      <t>, no attacks)</t>
    </r>
  </si>
  <si>
    <r>
      <t xml:space="preserve">Spider </t>
    </r>
    <r>
      <rPr>
        <sz val="11"/>
        <color rgb="FF000000"/>
        <rFont val="Tahoma"/>
        <family val="2"/>
        <charset val="204"/>
      </rPr>
      <t>(Tiny, AC:12, HP:1, Spd 20 Climb 20, </t>
    </r>
    <r>
      <rPr>
        <i/>
        <sz val="11"/>
        <color rgb="FF000000"/>
        <rFont val="Tahoma"/>
        <family val="2"/>
        <charset val="204"/>
      </rPr>
      <t>Skills</t>
    </r>
    <r>
      <rPr>
        <sz val="11"/>
        <color rgb="FF000000"/>
        <rFont val="Tahoma"/>
        <family val="2"/>
        <charset val="204"/>
      </rPr>
      <t>: Stealth +4, </t>
    </r>
    <r>
      <rPr>
        <i/>
        <sz val="11"/>
        <color rgb="FF000000"/>
        <rFont val="Tahoma"/>
        <family val="2"/>
        <charset val="204"/>
      </rPr>
      <t>Senses</t>
    </r>
    <r>
      <rPr>
        <sz val="11"/>
        <color rgb="FF000000"/>
        <rFont val="Tahoma"/>
        <family val="2"/>
        <charset val="204"/>
      </rPr>
      <t>: Darkvision 30 PP10, </t>
    </r>
    <r>
      <rPr>
        <i/>
        <sz val="11"/>
        <color rgb="FF000000"/>
        <rFont val="Tahoma"/>
        <family val="2"/>
        <charset val="204"/>
      </rPr>
      <t>Spider Climb, Web Sense, Web Walker</t>
    </r>
    <r>
      <rPr>
        <sz val="11"/>
        <color rgb="FF000000"/>
        <rFont val="Tahoma"/>
        <family val="2"/>
        <charset val="204"/>
      </rPr>
      <t>, Bite +1 (1 prc + DC9 Constitution or 2 poison))</t>
    </r>
  </si>
  <si>
    <r>
      <t xml:space="preserve">Stirge </t>
    </r>
    <r>
      <rPr>
        <sz val="11"/>
        <color rgb="FF000000"/>
        <rFont val="Tahoma"/>
        <family val="2"/>
        <charset val="204"/>
      </rPr>
      <t>(Tiny, AC:14, HP:2, Spd 10 Fly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60 PP9, </t>
    </r>
    <r>
      <rPr>
        <i/>
        <sz val="11"/>
        <color rgb="FF000000"/>
        <rFont val="Tahoma"/>
        <family val="2"/>
        <charset val="204"/>
      </rPr>
      <t>Blood Drain</t>
    </r>
    <r>
      <rPr>
        <sz val="11"/>
        <color rgb="FF000000"/>
        <rFont val="Tahoma"/>
        <family val="2"/>
        <charset val="204"/>
      </rPr>
      <t> +5 (5 prc + blood drain)</t>
    </r>
  </si>
  <si>
    <r>
      <t xml:space="preserve">Weasel </t>
    </r>
    <r>
      <rPr>
        <sz val="11"/>
        <color rgb="FF000000"/>
        <rFont val="Tahoma"/>
        <family val="2"/>
        <charset val="204"/>
      </rPr>
      <t>(Tiny, AC:13, HP:1, Spd 30, </t>
    </r>
    <r>
      <rPr>
        <i/>
        <sz val="11"/>
        <color rgb="FF000000"/>
        <rFont val="Tahoma"/>
        <family val="2"/>
        <charset val="204"/>
      </rPr>
      <t>Skills</t>
    </r>
    <r>
      <rPr>
        <sz val="11"/>
        <color rgb="FF000000"/>
        <rFont val="Tahoma"/>
        <family val="2"/>
        <charset val="204"/>
      </rPr>
      <t>: Perception +3 Stealth +5,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t>
    </r>
    <r>
      <rPr>
        <sz val="11"/>
        <color rgb="FF000000"/>
        <rFont val="Tahoma"/>
        <family val="2"/>
        <charset val="204"/>
      </rPr>
      <t> Bite +5 (1 prc))</t>
    </r>
  </si>
  <si>
    <r>
      <t xml:space="preserve">Wolf </t>
    </r>
    <r>
      <rPr>
        <sz val="11"/>
        <color rgb="FF000000"/>
        <rFont val="Tahoma"/>
        <family val="2"/>
        <charset val="204"/>
      </rPr>
      <t>(Medium, AC:13, HP:11, Spd 40, </t>
    </r>
    <r>
      <rPr>
        <i/>
        <sz val="11"/>
        <color rgb="FF000000"/>
        <rFont val="Tahoma"/>
        <family val="2"/>
        <charset val="204"/>
      </rPr>
      <t>Skills</t>
    </r>
    <r>
      <rPr>
        <sz val="11"/>
        <color rgb="FF000000"/>
        <rFont val="Tahoma"/>
        <family val="2"/>
        <charset val="204"/>
      </rPr>
      <t>: Perception +3 Stealth +4,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 Pack Tactics,</t>
    </r>
    <r>
      <rPr>
        <sz val="11"/>
        <color rgb="FF000000"/>
        <rFont val="Tahoma"/>
        <family val="2"/>
        <charset val="204"/>
      </rPr>
      <t> Bite +4 (7 prc + DC11 Stength or prone))</t>
    </r>
  </si>
  <si>
    <t>Beast Master Ranger Animal Companion List</t>
  </si>
  <si>
    <t>Verbal</t>
  </si>
  <si>
    <t>Somatic</t>
  </si>
  <si>
    <t>Material</t>
  </si>
  <si>
    <t>At 8th level, you gain the ability to infuse your weapon strikes with necrotic energy -  gift from your deity. Once on each of your turns when you hit a creature with a weapon attack, you can cause the attack to deal an extra 1d8 necrotic damage to the target. When you reach 14th level, the extra damage increases to 2d8.</t>
  </si>
  <si>
    <t>WarlockInvoc</t>
  </si>
  <si>
    <t>Skill10</t>
  </si>
  <si>
    <t>Skill11</t>
  </si>
  <si>
    <t>Skill12</t>
  </si>
  <si>
    <t>Assassin: Bonus Proficiencies</t>
  </si>
  <si>
    <t>Assassin</t>
  </si>
  <si>
    <t>Class Feature</t>
  </si>
  <si>
    <t>1 - exist, 0 - no</t>
  </si>
  <si>
    <t>While raging, creatures within 5 feet have disadvantage on attack rolls against other targets. Enemy is immune if it can’t see,    hear or be frightened.</t>
  </si>
  <si>
    <t>While raging and not wearing heavy armor, other creatures have disadvantage on opportunity attack rolls. Use the Dash action as a bonus action.</t>
  </si>
  <si>
    <t>Prerequisite</t>
  </si>
  <si>
    <t>9 level</t>
  </si>
  <si>
    <t>7 level</t>
  </si>
  <si>
    <t>Eldritch blast cantrip</t>
  </si>
  <si>
    <t>15 level</t>
  </si>
  <si>
    <t>5 level</t>
  </si>
  <si>
    <t>15 level, Pact of the Chain</t>
  </si>
  <si>
    <t>12 level, Pact of the Blade</t>
  </si>
  <si>
    <t>5 level, Pact of the Blade</t>
  </si>
  <si>
    <t>Pact</t>
  </si>
  <si>
    <t>Invocation1</t>
  </si>
  <si>
    <t>Invocation2</t>
  </si>
  <si>
    <t>Invocation3</t>
  </si>
  <si>
    <t>Invocation4</t>
  </si>
  <si>
    <t>Invocation5</t>
  </si>
  <si>
    <t>Invocation6</t>
  </si>
  <si>
    <t>Invocation7</t>
  </si>
  <si>
    <t>Invocation8</t>
  </si>
  <si>
    <t xml:space="preserve">Lawful good creatures can be counted on to do the right thing, as expected by society. Gold dragons, paladins, and most dwarves are lawful good.  </t>
  </si>
  <si>
    <t xml:space="preserve">Neutral good folk do the best they can to help others according to their needs. Many celestials, some cloud giants, and most gnomes are neutral good.  </t>
  </si>
  <si>
    <t xml:space="preserve">Chaotic good creatures act as their conscience directs, with little regard for what others expect. Copper dragons, many elves, and unicorns are chaotic good.  </t>
  </si>
  <si>
    <t xml:space="preserve">Lawful neutral individuals act in accordance with law, tradition, or personal codes. Many monks and some wizards are lawful neutral.  </t>
  </si>
  <si>
    <t xml:space="preserve">Neutral is the alignment of those that prefer to steer clear of moral questions and don’t take sides, doing what seems best at the time. Lizardfolk, most druids, and many humans are neutral.  </t>
  </si>
  <si>
    <t xml:space="preserve">Chaotic neutral creatures follow their whims, holding their personal freedom above all else. Many barbarians and rogues, and some bards, are chaotic neutral.  </t>
  </si>
  <si>
    <t xml:space="preserve">Lawful evil creatures methodically take what they want, within the limits of a code of tradition, loyalty, or order. Devils, blue dragons, and hobgoblins are lawful evil.  </t>
  </si>
  <si>
    <t xml:space="preserve">Neutral evil is the alignment of those that do whatever they can get away with, without compassion or qualms. Many drow, some cloud giants, and yugoloths are neutral evil.  </t>
  </si>
  <si>
    <t>Chaotic evil creatures act with arbitrary violence, spurred by their greed, hatred, or bloodlust. Demons, red dragons, and orcs are chaotic evil.</t>
  </si>
  <si>
    <t>LEVEL</t>
  </si>
  <si>
    <t>ritual</t>
  </si>
  <si>
    <t>Abjuration</t>
  </si>
  <si>
    <t>Conjuration</t>
  </si>
  <si>
    <t>Enchantment</t>
  </si>
  <si>
    <t>Evocation</t>
  </si>
  <si>
    <t>Illusion</t>
  </si>
  <si>
    <t>Necromancy</t>
  </si>
  <si>
    <t>Transmutation</t>
  </si>
  <si>
    <t>CANTRIP</t>
  </si>
  <si>
    <t>instant</t>
  </si>
  <si>
    <t>LEVEL 2</t>
  </si>
  <si>
    <t>8 hrs</t>
  </si>
  <si>
    <t>a tiny strip of white cloth</t>
  </si>
  <si>
    <t>LEVEL 1</t>
  </si>
  <si>
    <t>1 min ᴿ</t>
  </si>
  <si>
    <t>a tiny bell and a piece of fine silver wire</t>
  </si>
  <si>
    <t>self</t>
  </si>
  <si>
    <t>1 hr ᶜᵒᶰ</t>
  </si>
  <si>
    <t>24 hrs</t>
  </si>
  <si>
    <t>a morsel of food</t>
  </si>
  <si>
    <t>LEVEL 8</t>
  </si>
  <si>
    <t>24 hrs ᶜᵒᶰ</t>
  </si>
  <si>
    <t>LEVEL 3</t>
  </si>
  <si>
    <t>1 min</t>
  </si>
  <si>
    <t>a drop of blood, a piece of flesh, and a pinch of bone dust</t>
  </si>
  <si>
    <t>LEVEL 5</t>
  </si>
  <si>
    <t>120 ft</t>
  </si>
  <si>
    <t>1 min ᶜᵒᶰ</t>
  </si>
  <si>
    <t>a pinch of powdered iron or iron filings</t>
  </si>
  <si>
    <t>1 hr</t>
  </si>
  <si>
    <t>either a lump of alum soaked in vinegar for the antipathy effect or a drop of honey for the sympathy effect</t>
  </si>
  <si>
    <t>LEVEL 4</t>
  </si>
  <si>
    <t>a bit of bat fur</t>
  </si>
  <si>
    <t>LEVEL 6</t>
  </si>
  <si>
    <t>500 ft</t>
  </si>
  <si>
    <t>10 min ᶜᵒᶰ</t>
  </si>
  <si>
    <t>touch</t>
  </si>
  <si>
    <t>dispelled</t>
  </si>
  <si>
    <t>gold dust worth at least 25 gp, which the spell consumes</t>
  </si>
  <si>
    <t>a cup of water</t>
  </si>
  <si>
    <t>LEVEL 9</t>
  </si>
  <si>
    <t>special</t>
  </si>
  <si>
    <t>for each creature you affect with this spell, you must provide one jacinth worth at least 1,000 gp and one ornately carved bar of silver worth at least 100 gp, all of which the spell consumes</t>
  </si>
  <si>
    <t>specially marked sticks, bones, or similar tokens worth at least 25 gp</t>
  </si>
  <si>
    <t>an agate worth at least 1,000 gp, which the spell consumes</t>
  </si>
  <si>
    <t>a drop of blood</t>
  </si>
  <si>
    <t>The next time you hit a creature with a weapon attack before this spell ends, your weapon crackles with force, and the attack deals an extra 5d10 force damage to the target. Additionally, if this attack reduces the target to 50 hit points or fewer, you banish it. If the target is native to a different plane of existence than the one you’re on, the target disappears, returning to its home plane. If the target is native to the plane you’re on, the creature vanishes into a harmless demiplane. While there, the target is incapacitated. It remains there until the spell ends, at which point the target reappears in the space it left or in the nearest unoccupied space if that space is occupied.</t>
  </si>
  <si>
    <t>an item distasteful to the target</t>
  </si>
  <si>
    <t>a handful of oak bark</t>
  </si>
  <si>
    <t>You touch a willing creature. Until the spell ends, the target’s skin has a rough, bark-like appearance, and the target’s AC can’t be less than 16, regardless of what kind of armor it is wearing.</t>
  </si>
  <si>
    <t>an eggshell and a snakeskin glove</t>
  </si>
  <si>
    <t>90 ft</t>
  </si>
  <si>
    <t>1 rnd</t>
  </si>
  <si>
    <t>a sprinkling of holy water</t>
  </si>
  <si>
    <t>150 ft</t>
  </si>
  <si>
    <t>a bit of fur; a piece of amber, glass, or a crystal rod; and three silver pins</t>
  </si>
  <si>
    <t>a diamond worth at least 50 gp</t>
  </si>
  <si>
    <t>the powder of a crushed black pearl worth at least 500 gp</t>
  </si>
  <si>
    <t>10 min</t>
  </si>
  <si>
    <t>a focus worth at least 100 gp, either a jeweled horn for hearing or a glass eye for seeing</t>
  </si>
  <si>
    <t>a diamond worth at least 1,000 gp and at least 1 cubic inch of flesh of the creature that is to be cloned, which the spell consumes, and a vessel worth at least 2,000 gp that has a sealable lid and is large enough to hold a Medium creature, such as a huge urn, coffin, mud-filled cyst in the ground, or crystal container filled with salt water</t>
  </si>
  <si>
    <t>a sliver of glass</t>
  </si>
  <si>
    <t>a pinch of powder or sand that is colored red, yellow, and blue</t>
  </si>
  <si>
    <t>incense and a vial of holy or unholy water</t>
  </si>
  <si>
    <t>a pinch of soot and salt</t>
  </si>
  <si>
    <t>a small crystal or glass cone</t>
  </si>
  <si>
    <t>three nut shells</t>
  </si>
  <si>
    <t>one piece of ammunition or a thrown weapon</t>
  </si>
  <si>
    <t>LEVEL 7</t>
  </si>
  <si>
    <t>burning incense for air, soft clay for earth, sulfur and phosphorus for fire, or water and sand for water</t>
  </si>
  <si>
    <t>one piece of ammunition or one thrown weapon</t>
  </si>
  <si>
    <t>one holly berry per creature summoned</t>
  </si>
  <si>
    <t>a statuette of yourself carved from ivory and decorated with gems worth at least 1,500 gp</t>
  </si>
  <si>
    <t>ruby dust worth 50 gp, which the spell consumes</t>
  </si>
  <si>
    <t>300 ft</t>
  </si>
  <si>
    <t>a drop of water and a pinch of dust</t>
  </si>
  <si>
    <t>Control Weather</t>
  </si>
  <si>
    <t>8 hrs ᶜᵒᶰ</t>
  </si>
  <si>
    <t>burning incense and bits of earth and wood mixed in water</t>
  </si>
  <si>
    <t>5 ft</t>
  </si>
  <si>
    <t>four or more arrows or bolts</t>
  </si>
  <si>
    <t>1 react</t>
  </si>
  <si>
    <t>a drop of water if creating water or a few grains of sand if destroying it</t>
  </si>
  <si>
    <t>one clay pot filled with grave dirt, one clay pot filled with brackish water and one 150 gp black onyx stone for each corpse</t>
  </si>
  <si>
    <t>a tiny piece of matter of the same type of the item you plan to create</t>
  </si>
  <si>
    <t>a bit of phosphorus or wychwood, or a glowworm</t>
  </si>
  <si>
    <t>bat fur and a drop of pitch or piece of coal</t>
  </si>
  <si>
    <t>either a pinch of dried carrot or an agate</t>
  </si>
  <si>
    <t>a tiny ball of bat guano and sulfur</t>
  </si>
  <si>
    <t>a yew leaf</t>
  </si>
  <si>
    <t>a copper piece</t>
  </si>
  <si>
    <t>a lodestone and a pinch of dust</t>
  </si>
  <si>
    <t>holy water or power silver and iron</t>
  </si>
  <si>
    <t>incense and a sacrificial offering appropriate to your religion, together worth at least 25 gp, which the spell consumes</t>
  </si>
  <si>
    <t>Drawmij's Instant Summons</t>
  </si>
  <si>
    <t>a sapphire worth 1,000 gp</t>
  </si>
  <si>
    <t>a handful of sand, a dab of ink, and a writing quill plucked from a sleeping bird</t>
  </si>
  <si>
    <t>a pinch of dirt, a piece of rock, and a lump of clay</t>
  </si>
  <si>
    <t>fur or a feather from a beast</t>
  </si>
  <si>
    <t>a pinch of powdered iron</t>
  </si>
  <si>
    <t>a piece of tentacle from a giant octopus or a giant squid</t>
  </si>
  <si>
    <t>a small amount of alcohol or distilled spirits</t>
  </si>
  <si>
    <t>a white feather or the heart of a hen</t>
  </si>
  <si>
    <t>a small feather or piece of down</t>
  </si>
  <si>
    <t>a handful of clay, crystal, glass, or mineral spheres</t>
  </si>
  <si>
    <t>a pinch of graveyard dirt</t>
  </si>
  <si>
    <t>1 hr ᴿ</t>
  </si>
  <si>
    <t>10 gp worth of charcoal, incense, and herbs that must be consumed by fire in a brass brazier</t>
  </si>
  <si>
    <t>1 day ᶜᵒᶰ</t>
  </si>
  <si>
    <t>a set of divinatory tools - such as bones, ivory sticks, cards, teeth, or carved runes - worth 100 gp and an object from the location you wish to find</t>
  </si>
  <si>
    <t>a bit of phosphorus or a firefly</t>
  </si>
  <si>
    <t>leaf of sumac</t>
  </si>
  <si>
    <t>a pinch of sulphur</t>
  </si>
  <si>
    <t>a bit of tallow, a pinch of brimstone, and a dusting of powdered iron</t>
  </si>
  <si>
    <t>a pinch of lime, water, and earth</t>
  </si>
  <si>
    <t>a wing feather from any bird</t>
  </si>
  <si>
    <t>10 min ᴿ</t>
  </si>
  <si>
    <t>a sprinkling of holy water, rare incense, and powered ruby worth at least 1,000 gp</t>
  </si>
  <si>
    <t>100 ft</t>
  </si>
  <si>
    <t>ruby dust worth 1,500 gp</t>
  </si>
  <si>
    <t>a hummingbird feather</t>
  </si>
  <si>
    <t>a leather strap bound, around the arm or a similar appendage</t>
  </si>
  <si>
    <t>a small amount of makeup applied to the face as this spell is cast</t>
  </si>
  <si>
    <t>a bit of gauze and a wisp of smoke</t>
  </si>
  <si>
    <t>a diamond worth at least 5,000 gp</t>
  </si>
  <si>
    <t>a pinch of salt and one copper piece placed on each of the corpse’s eyes, which must remain there for the duration</t>
  </si>
  <si>
    <t>a glass or crytal bead that shatters when the spell ends</t>
  </si>
  <si>
    <t>triggered</t>
  </si>
  <si>
    <t>incense and powdered diamond worth at least 200 gp, which the spell consumes</t>
  </si>
  <si>
    <t>a sprig of mistletoe</t>
  </si>
  <si>
    <t>Up to ten berries appear in your hand and are infused with magic for the duration. A creature can use its action to eat one berry. Eating a berry restores 1 hit point, and the berry provides enough nourishment to sustain a creature for one day. The berries lose their potency if they have not been consumed within 24 hours of the casting of this spell.</t>
  </si>
  <si>
    <t>a bit of pork rind or butter</t>
  </si>
  <si>
    <t>diamond dust worth at least 100 gp, which the spell consumes</t>
  </si>
  <si>
    <t>burning incense, a small measure of brimstone and oil, a knotted string, a small amount of umber hulk blood, and a small silver rod worth at least 10 gp</t>
  </si>
  <si>
    <t>a legume seed</t>
  </si>
  <si>
    <t>herbs, oils, and incense worth at least 1,000 gp, which the spell consumes</t>
  </si>
  <si>
    <t>a stone, a twig, and a bit of green plant</t>
  </si>
  <si>
    <t>a shaving of licorice root</t>
  </si>
  <si>
    <t>a piece of iron and a flame</t>
  </si>
  <si>
    <t>a gem-encrusted bowl worth at least 1,000 gp, which the spell comsumes</t>
  </si>
  <si>
    <t>the petrified eye of a newt</t>
  </si>
  <si>
    <t>a small, straight piece of iron</t>
  </si>
  <si>
    <t>a tiny reliquary worth at least 1,000 gp containing a sacred relic, such as a scrap of cloth from a saint’s robe or a piece of parchment from a religious text</t>
  </si>
  <si>
    <t>a pickled octopus tentacle</t>
  </si>
  <si>
    <t>a glowing stick of incense or a crystal vial filled with phosphorescent material</t>
  </si>
  <si>
    <t>a pinch of dust and a few drops of water</t>
  </si>
  <si>
    <t>a pearl worth at least 100 gp and an owl feather</t>
  </si>
  <si>
    <t>a lead-based ink worth at least 10 gp, which the spell consumes</t>
  </si>
  <si>
    <t>a vellum depiction or a carved statuette in the likeness of the target, and a special component that varies according to the version of the spell you choose, worth at least 500 gp per Hit Die of the target</t>
  </si>
  <si>
    <t>a few grains of sugar, some kernels of grain, and a smear of fat</t>
  </si>
  <si>
    <t>an eyelash encased in gum arabic</t>
  </si>
  <si>
    <t>a grasshopper’s hind leg</t>
  </si>
  <si>
    <t>incense worth at least 250 gp, which the spell consumes, and four ivory strips worth at least 50 gp each</t>
  </si>
  <si>
    <t>an exquisite chest, 3 feet by 2 feet by 2 feet, constructed from rare materials worth at least 5,000 gp, and a Tiny replica made from the same materials worth at least 50 gp</t>
  </si>
  <si>
    <t>a small crystal bead</t>
  </si>
  <si>
    <t>either a small leather loop or a piece of golden wire bent into a cup shape with a long shank on one end</t>
  </si>
  <si>
    <t>a firefly or phosphorescent moss</t>
  </si>
  <si>
    <t>a bit of fur and a rod of amber, crystal, or glass</t>
  </si>
  <si>
    <t>a bit of fur from a bloodhound</t>
  </si>
  <si>
    <t>a forked twig</t>
  </si>
  <si>
    <t>a pinch of dirt</t>
  </si>
  <si>
    <t>You touch a creature. The target’s speed increases by 10 feet until the spell ends.</t>
  </si>
  <si>
    <t>a piece of cured leather</t>
  </si>
  <si>
    <t>holy water or powdered silver and iron worth at least 100 gp, which the spell consumes</t>
  </si>
  <si>
    <t>a gem, crystal, reliquary, or some other ornamental container worth at least 500 gp</t>
  </si>
  <si>
    <t>a small bit of honeycomb and jade dust worth at least 10 gp, which the spell consumes</t>
  </si>
  <si>
    <t>a bit of fleece</t>
  </si>
  <si>
    <t>a snake’s tongue and either a bit of honeycomb or a drop of sweet oil</t>
  </si>
  <si>
    <t>powdered rhubarb leaf and an adder’s stomach</t>
  </si>
  <si>
    <t>Touch an object that is no larger than a 5-foot cube, such as a broken chain link, two halves of a broken key, a torn cloak, or a leaking wineskin. A single break or tear in the object is mended, and any trace of the former damage is erased. An object with multiple breaks can be fixed with multiple applications of mending. This spell can physically repair a magic item or construct, but the spell cannot restore magic to such an object.</t>
  </si>
  <si>
    <t>a short piece of copper wire</t>
  </si>
  <si>
    <t>Blazing orbs of fire plummet to the ground at four different points you can see within range. Each creature in a 40-foot-radius sphere centered on each point you choose must make a Dexterity saving throw. The sphere spreads around corners. A creature takes 20d6 fire damage and 20d6 bludgeoning damage on a failed save, or half as much damage on a successful one. A creature in the area of more than one fiery burst is affected only once. The spell damages objects in the area and ignites flammable objects that aren’t being worn or carried.</t>
  </si>
  <si>
    <t>sight</t>
  </si>
  <si>
    <t>several seeds of any moonseed plant and a piece of opalescent feldspar</t>
  </si>
  <si>
    <t>Mordenkainen's Faithful Hound</t>
  </si>
  <si>
    <t>a tiny silver whistle, a piece of bone, and a thread</t>
  </si>
  <si>
    <t>Mordenkainen's Magnificent Mansion</t>
  </si>
  <si>
    <t>a miniature portal carved from ivory, a small piece of polished marble, and a tiny silver spoon, each item worth at least 5 gp</t>
  </si>
  <si>
    <t>Mordenkainen's Private Sanctum</t>
  </si>
  <si>
    <t>a thin sheet of lead, a piece of opaque glass, a wad of cotton or cloth, and powered chrysolite</t>
  </si>
  <si>
    <t>Mordenkainen's Sword</t>
  </si>
  <si>
    <t>a miniature platinum sword with a grip and pommel of copper and zinc, worth 250 gp</t>
  </si>
  <si>
    <t>2 hrs ᶜᵒᶰ</t>
  </si>
  <si>
    <t>an iron blade and a small bag containing a mixture of soils—clay, loam, and sand</t>
  </si>
  <si>
    <t>a pinch of diamond dust worth 25 gp sprinkled over the target, which the spell consumes</t>
  </si>
  <si>
    <t>a small square of silk</t>
  </si>
  <si>
    <t>a small crystal sphere</t>
  </si>
  <si>
    <t>a hemispherical piece of clear crystal and a matching hemispherical piece of gum arabic</t>
  </si>
  <si>
    <t>ashes from a burned leaf of mistletoe and a sprig of spruce</t>
  </si>
  <si>
    <t>A veil of shadows and silence radiates from you, masking you and your companions from detection. For the duration, each creature you choose within 30 feet of you (including you) has a +10 bonus to Dexterity (Stealth) checks and can’t be tracked except by magical means. A creature that receives this bonus leaves behind no tracks or other traces of its passage</t>
  </si>
  <si>
    <t xml:space="preserve"> a pinch of sesame seeds</t>
  </si>
  <si>
    <t>a jewel worth a least 1,000 gp, which the spell consumes</t>
  </si>
  <si>
    <t>a forked, metal rod worth at least 250 gp, attuned to a particular plane of existence</t>
  </si>
  <si>
    <t>You extend your hand toward a creature you can see within range and project a puff of noxious gas from your palm. The creature must succeed on a Constitution saving throw or take 1d12 poison damage. This spell’s damage increases by 1d12 when you reach 5th level (2d12), 11th level (3d12), and 17th level (4d12).</t>
  </si>
  <si>
    <t>a caterpillar cocoon</t>
  </si>
  <si>
    <t>up to 1 hr</t>
  </si>
  <si>
    <t>a bit fleece and jade dust worth at least 25 gp</t>
  </si>
  <si>
    <t>a small replica of you mad from materials worth at least 5 gp</t>
  </si>
  <si>
    <t>holy water or powdered silver and iron, which the spell consumes</t>
  </si>
  <si>
    <t>a diamond worth at least 500 gp, which the spell consumes</t>
  </si>
  <si>
    <t>pieces of eggshell from two different kinds of creatures</t>
  </si>
  <si>
    <t>a prayer wheel and holy water</t>
  </si>
  <si>
    <t>rare oils and unguents worth at least 1,000 gp, which the spell consumes</t>
  </si>
  <si>
    <t>a miniature cloak</t>
  </si>
  <si>
    <t>a diamond worth at least 1,000 gp, which the spell consumes</t>
  </si>
  <si>
    <t>a lodestone and iron filings</t>
  </si>
  <si>
    <t>diamonds worth at least 300 gp, which the spell consumes</t>
  </si>
  <si>
    <t>You touch a creature that has died within the last minute. That creature returns to life with 1 hit point. This spell can’t return to life a creature that has died of old age, nor can it restore any missing body parts</t>
  </si>
  <si>
    <t>powdered corn extract and a twisted loop of parchment</t>
  </si>
  <si>
    <t>a small silver mirror</t>
  </si>
  <si>
    <t>You ward a creature within range against attack. Until the spell ends, any creature who targets the warded creature with an attack or a harmful spell must first make a Wisdom saving throw. On a failed save, the creature must choose a new target or lose the attack</t>
  </si>
  <si>
    <t>a focus worth at least 1,000 gp, either a crystal ball, a silver mirror, or a font filled with holy water</t>
  </si>
  <si>
    <t>a pinch of talc and a small sprinkling of powdered silver</t>
  </si>
  <si>
    <t>unlimited</t>
  </si>
  <si>
    <t>a short piece of fine copper wire</t>
  </si>
  <si>
    <t>a power composed of diamond, emerald, ruby, and sapphire dust worth at least 5,000 gp, which the spell consumes</t>
  </si>
  <si>
    <t>a jade circlet worth a least 1,500 gp, which you must place on your head before you cast the spell</t>
  </si>
  <si>
    <t>a chip of mica</t>
  </si>
  <si>
    <t>a small parchment with a bit of holy text written on it</t>
  </si>
  <si>
    <t>mistletoe, a shamrock leaf, and a club or quarterstaff</t>
  </si>
  <si>
    <t>12 hrs</t>
  </si>
  <si>
    <t>snow or ice in quantities sufficient to made a life-size copy of the duplicated creature; some hair, fingernail clippings, or other piece of that creature’s body placed inside the snow or ice; and powdered ruby worth 1,500 gp, sprinkled over the duplicate and consumed by the spell</t>
  </si>
  <si>
    <t>a pinch of fine sand, rose petals, or a cricket</t>
  </si>
  <si>
    <t>a drop of molasses</t>
  </si>
  <si>
    <t>burning incense</t>
  </si>
  <si>
    <t>a drop of bitumen and a spider</t>
  </si>
  <si>
    <t>seven sharp thorns or seven small twigs, each sharpened to a point</t>
  </si>
  <si>
    <t>a holy symbol</t>
  </si>
  <si>
    <t>a rotten egg or several skunk cabbage leaves</t>
  </si>
  <si>
    <t>soft clay, which must be worked into roughly the desired shape of the stone object</t>
  </si>
  <si>
    <t>diamond dust worth 100 gp</t>
  </si>
  <si>
    <t>a magnifying glass</t>
  </si>
  <si>
    <t>fire and a piece of sunstone</t>
  </si>
  <si>
    <t>mercury, phosphorus, and powered diamond and opal with a total of at least 1,000 gp, which the spell consumes</t>
  </si>
  <si>
    <t>tiny tarts and a feather that is waved in the air</t>
  </si>
  <si>
    <t>a pair of linked silver rings</t>
  </si>
  <si>
    <t>rare chalks and inks infused with precious gems worth 50 gp, which the spell consumes</t>
  </si>
  <si>
    <t>a drop of mercury</t>
  </si>
  <si>
    <t>up to 1 min</t>
  </si>
  <si>
    <t>the stem of a plant with thorns</t>
  </si>
  <si>
    <t>a small clay model of a ziggurat</t>
  </si>
  <si>
    <t>Trap the Soul</t>
  </si>
  <si>
    <t>permanent</t>
  </si>
  <si>
    <t>a gemstone worth at least 1,000 gp for each Hit Die of the creature that is trapped</t>
  </si>
  <si>
    <t>a drop of mercury, a dollop of gum arabic, and a wisp of smoke</t>
  </si>
  <si>
    <t>a sprinkle of holy water and diamonds worth at least 25,000 gp, which the spell consumes</t>
  </si>
  <si>
    <t>an ointment for the eyes that costs 25 gp and is made from mushroom powder, saffron, and fat</t>
  </si>
  <si>
    <t>1 rnd ᶜᵒᶰ</t>
  </si>
  <si>
    <t>6 rnd ᶜᵒᶰ</t>
  </si>
  <si>
    <t>a piece of string and a bit of wood</t>
  </si>
  <si>
    <t xml:space="preserve"> a small piece of phosphorus</t>
  </si>
  <si>
    <t>a pinch of powder made by crushing a clear gemstone</t>
  </si>
  <si>
    <t>a small piece of quartz</t>
  </si>
  <si>
    <t>a small block of granite</t>
  </si>
  <si>
    <t>a pair of platinum rings worth at least 50 gp each, which you and the target must wear for the duration</t>
  </si>
  <si>
    <t>a short reed or piece of straw</t>
  </si>
  <si>
    <t>a piece of cork</t>
  </si>
  <si>
    <t>This spell grants the ability to move across any liquid surface—such as water, acid, mud, snow, quicksand, or lava—as if it were harmless solid ground (creatures crossing molten lava can still take damage from the heat). Up to ten willing creatures you can see within range gain this ability for the duration. If you target a creature submerged in a liquid, the spell carries the target to the surface of the liquid at a rate of 60 feet per round.</t>
  </si>
  <si>
    <t>a bit of spiderweb</t>
  </si>
  <si>
    <t>Drawing on the deepest fears of a group of creatures, you create illusory creatures in their minds, visible only to them. Each creature in a 30-foot-radius sphere centered on a point of your choice within range must make a Wisdom saving throw. On a failed save, a creature becom es frightened for the duration. The illusion calls on the creature’s deepest fears, manifesting its worst nightmares as an implacable threat. At the start of each of the frightened creature’s turns, it must succeed on a Wisdom saving throw or take 4d10 psychic damage. On a successful save, the spell ends for that creature.</t>
  </si>
  <si>
    <t>a tiny fan and a feather of exotic origin</t>
  </si>
  <si>
    <t>a twig from a tree that has been struck by lightning</t>
  </si>
  <si>
    <t>Abi-Dalzim’s Horrid Wilting</t>
  </si>
  <si>
    <t>a bit of sponge</t>
  </si>
  <si>
    <t>Absorb Elements</t>
  </si>
  <si>
    <t>Aganazzar’s Scorcher</t>
  </si>
  <si>
    <t>a red dragon’s scale</t>
  </si>
  <si>
    <t>Beast Bond</t>
  </si>
  <si>
    <t>a bit of fur wrapped in a cloth</t>
  </si>
  <si>
    <t>Bones of the Earth</t>
  </si>
  <si>
    <t>Catapult</t>
  </si>
  <si>
    <t>Choose one object weighing 1 to 5 pounds within range that isn’t being worn or carried. The object flies in a straight line up to 90 feet in a direction you choose before falling to the ground, stopping early if it impacts against a solid surface. If the object would strike a creature, that creature must make a Dexterity saving throw. On a failed save, the object strikes the target and stops moving. In either case, both the object and the creature or solid surface take 3d8 bludgeoning damage. At Higher Levels. When you cast this spell using a spell slot of 2nd level or higher, the maximum weight of objects that you can target with this spell increases by 5 pounds, and the damage increases by 1d8, for each slot level above 1st.</t>
  </si>
  <si>
    <t>Create Bonfire</t>
  </si>
  <si>
    <t>Control Flames</t>
  </si>
  <si>
    <t>Control Winds</t>
  </si>
  <si>
    <t>Dust Devil</t>
  </si>
  <si>
    <t>a pinch of dust</t>
  </si>
  <si>
    <t>Earthbind</t>
  </si>
  <si>
    <t>Earth Tremor</t>
  </si>
  <si>
    <t>Elemental Bane</t>
  </si>
  <si>
    <t>Erupting Earth</t>
  </si>
  <si>
    <t>a piece of obsidian</t>
  </si>
  <si>
    <t>Flame Arrows</t>
  </si>
  <si>
    <t>Frostbite</t>
  </si>
  <si>
    <t>Gust</t>
  </si>
  <si>
    <t>Ice Knife</t>
  </si>
  <si>
    <t>a drop of water or piece of ice</t>
  </si>
  <si>
    <t>Immolation</t>
  </si>
  <si>
    <t>Investiture of Flame</t>
  </si>
  <si>
    <t>Investiture of Ice</t>
  </si>
  <si>
    <t>Investiture of Stone</t>
  </si>
  <si>
    <t>Investiture of Wind</t>
  </si>
  <si>
    <t>Maelstrom</t>
  </si>
  <si>
    <t>paper or leaf in the shape of a funnel</t>
  </si>
  <si>
    <t>Magic Stone</t>
  </si>
  <si>
    <t>Maximilian’s Earthen Grasp</t>
  </si>
  <si>
    <t>a miniature hand sculpted from clay</t>
  </si>
  <si>
    <t>Melf’s Minute Meteors</t>
  </si>
  <si>
    <t>niter, sulfur, and pine tar formed into a bead</t>
  </si>
  <si>
    <t>Mold Earth</t>
  </si>
  <si>
    <t>Primordial Ward</t>
  </si>
  <si>
    <t>Pyrotechnics</t>
  </si>
  <si>
    <t>in</t>
  </si>
  <si>
    <t>Shape Water</t>
  </si>
  <si>
    <t>Skywrite</t>
  </si>
  <si>
    <t>Snilloc’s Snowball Swarm</t>
  </si>
  <si>
    <t>a piece of ice or a small white rock chip</t>
  </si>
  <si>
    <t>Storm Sphere</t>
  </si>
  <si>
    <t>Thunderclap</t>
  </si>
  <si>
    <t>Tidal Wave</t>
  </si>
  <si>
    <t>a drop of water</t>
  </si>
  <si>
    <t>Transmute Rock</t>
  </si>
  <si>
    <t>clay and water</t>
  </si>
  <si>
    <t>Vitriolic Sphere</t>
  </si>
  <si>
    <t>a drop of giant slug bile</t>
  </si>
  <si>
    <t>Wall of Sand</t>
  </si>
  <si>
    <t>a handful of sand</t>
  </si>
  <si>
    <t>You conjure up a wall of swirling sand on the ground at a point you can see within range. You can make the wall up to 30 feet long, 10 feet high, and 10 feet thick, and it vanishes when the spell ends. It blocks line of sight but not movement. A creature is blinded while in the wall’s space and must spend 3 feet of movement for every 1 foot it moves there.</t>
  </si>
  <si>
    <t>Wall of Water</t>
  </si>
  <si>
    <t>Warding Wind</t>
  </si>
  <si>
    <t>Watery Sphere</t>
  </si>
  <si>
    <t>a droplet of water</t>
  </si>
  <si>
    <t>Whirlwind</t>
  </si>
  <si>
    <t>a piece of straw</t>
  </si>
  <si>
    <t>You hurl a bubble of acid. Choose one creature within range, or choose two creatures within range that are within 5 feet of each other. A target must succeed on a Dexterity saving throw or take 1d6 acid damage. This spell’s damage increases by 1d6 when you reach 5th level (2d6), 11th level (3d6), and 17th level (4d6).</t>
  </si>
  <si>
    <t>Your spell bolsters your allies with toughness and resolve. Choose up to three creatures within range. Each target’s hit point maximum and current hit points increase by 5 for the duration. At Higher Levels. When you cast this spell using a spell slot of 3rd level or higher, a target’s hit points increase by an additional 5 for each slot level above 2nd.</t>
  </si>
  <si>
    <t>You set an alarm against unwanted intrusion. Choose a door, a window, or an area within range that is no larger than a 20-foot cube. Until the spell ends, an alarm alerts you whenever a Tiny or larger creature touches or enters the warded area. When you cast the spell, you can designate creatures that won’t set off the alarm. You also choose whether the alarm is mental or audible. A mental alarm alerts you with a ping in your mind if you are within 1 mile of the warded area. This ping awakens you if you are sleeping. An audible alarm produces the sound of a hand bell for 10 seconds within 60 feet.</t>
  </si>
  <si>
    <t>This spell lets you convince a beast that you mean it no harm. Choose a beast that you can see within range. It must see and hear you. If the beast’s Intelligence is 4 or higher, the spell fails. Otherwise, the beast must succeed on a Wisdom saving throw or be charmed by you for the spell’s duration. If you or one of your companions harms the target, the spells ends. At Higher Levels. When you cast this spell using a spell slot of 2nd level or higher, you can affect one additional beast for each slot level above 1st.</t>
  </si>
  <si>
    <t>By means of this spell, you use an animal to deliver a message. Choose a Tiny beast you can see within range, such as a squirrel, a blue jay, or a bat. You specify a location, which you must have visited, and a recipient who matches a general description, such as “a man or woman dressed in the uniform of the town guard” or “a red-haired dwarf wearing a pointed hat.” You also speak a message of up to twenty-five words. The target beast travels for the duration of the spell toward the specified location, covering about 50 miles per 24 hours for a flying messenger, or 25 miles for other animals. When the messenger arrives, it delivers your message to the creature that you described, replicating the sound of your voice. The messenger speaks only to a creature matching the description you gave. If the messenger doesn’t reach its destination before the spell ends, the message is lost, and the beast makes its way back to where you cast this spell. At Higher Levels. If you cast this spell using a spell slot of 3nd level or higher, the duration of the spell increases by 48 hours for each slot level above 2nd.</t>
  </si>
  <si>
    <t>This spell creates an undead servant. Choose a pile of bones or a corpse of a Medium or Small humanoid within range. Your spell imbues the target with a foul mimicry of life, raising it as an undead creature. The target becomes a skeleton if you chose bones or a zombie if you chose a corpse (the DM has the creature’s game statistics). On each of your turns, you can use a bonus action to mentally command any creature you made with this spell if the creature is within 60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you’ve given it. To maintain control of the creature for another 24 hours, you must cast this spell on the creature again before the current 24-hour period ends. This use of the spell reasserts your control over up to four creatures you have animated with this spell, rather than animating a new one. At Higher Levels. When you cast this spell using a spell slot of 4th level or higher, you animate or reassert control over two additional undead creatures for each slot level above 3rd. Each of the creatures must come from a different corpse or pile of bones.</t>
  </si>
  <si>
    <t>Objects come to life at your command. Choose up to ten nonmagical objects within range that are not being worn or carried. Medium targets count as two objects, Large targets count as four objects, Huge targets count as eight objects. You can’t animate any object larger than Huge. Each target animates and becomes a creature under your control until the spell ends or until reduced to 0 hit points. As a bonus action, you can mentally command any creature you made with this spell if the creature is within 500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Animated Object Statistics Size HP AC Attack Str Dex Tiny 20 18 +8 to hit, 1d4+4 damage 4 18 Small 25 16 +6 to hit, 1d8+2 damage 6 14 Medium 40 13 +5 to hit, 2d6+1 damage 10 12 Large 50 10 +6 to hit, 2d10+2 damage 14 10 Huge 80 10 +8 to hit, 2d12+4 damage 18 6 An animated object is a construct with AC, hit points, attacks, Strength, and Dexterity determined by its size. Its Constitution is 10 and its Intelligence and Wisdom are 3, and its Charisma is 1. Its speed is 30 feet; if the object lacks legs or other appendages it can use for locomotion, it instead has a flying speed of 30 feet and can hover. If the object is securely attached to a surface or a larger object, such as a chain bolted to a wall, its speed is 0. It has blindsight with a radius of 30 feet and is blind beyond that distance. When the animated object drops to 0 hit points, it reverts to its original object form, and any remaining damage carries over to its original object form. If you command an object to attack, it can make a single melee attack against a creature within 5 feet of it. It makes a slam attack with an attack bonus and bludgeoning damage determined by its size. The DM might rule that a specific object inflicts slashing or piercing damage based on its form. At Higher Levels. If you cast this spell using a spell slot of 6th level or higher, you can animate two additional objects for each slot level above 5th.</t>
  </si>
  <si>
    <t>A 10-foot-radius invisible sphere of antimagic surrounds you. This area is divorced from the magical energy that suffuses the multiverse. Within the sphere, spells can’t be cast, summoned creatures disappear, and even magic items become mundane. Until the spell ends, the sphere moves with you, centered on you. Spells and other magical effects, except those created by an artifact or a deity, are suppressed in the sphere and can’t protrude into it. A slot expended to cast a suppressed spell is consumed. While an effect is suppressed, it doesn’t function, but the time it spends suppressed counts against its duration. Targeted Effects. Spells and other magical effects, such as magic missile and charm person, that target a creature or an object in the sphere have no effect on that target. Areas of Magic. The area of another spell or magical effect, such as fireball, can’t extend into the sphere. If the sphere overlaps an area of magic, the part of the area that is covered by the sphere is suppressed. For example, the flames created by a wall of fire are suppressed within the sphere, creating a gap in the wall if the overlap is large enough. Spells. Any active spell or other magical effect on a creature or an object in the sphere is suppressed while the creature or object is in it. Magic Items. The properties and powers of magic items are suppressed in the sphere. For example, a +1 longsword in the sphere functions as a nonmagical longsword. A magic weapon’s properties and powers are suppressed if it is used against a target in the sphere or wielded by an attacker in the sphere. If a magic weapon or a piece of magic ammunition fully leaves the sphere (for example, if you fire a magic arrow or throw a magic spear at a target outside the sphere), the magic of the item ceases to be suppressed as soon as it exits. Magical Travel. Teleportation and planar travel fail to work in the sphere, whether the sphere is the destination or the departure point for such magical travel. A portal to another location, world, or plane of existence, as well as an opening to an extradimensional space such as that created by the rope trick spell, temporarily closes while in the sphere. Creatures and Objects. A creature or object summoned or created by magic temporarily winks out of existence in the sphere. Such a creature instantly reappears once the space the creature occupied is no longer within the sphere. Dispel Magic. Spells and magical effects such as dispel magic have no effect on the sphere. Likewise, the spheres created by different antimagic field spells don’t nullify each other.</t>
  </si>
  <si>
    <t>This spell attracts or repels creatures of your choice. You target something within range, either a Huge or smaller object or creature or an area that is no larger than a 200-foot cube. Then specify a kind of intelligent creature, such as red dragons, goblins, or vampires. You invest the target with an aura that either attracts or repels the specified creatures for the duration. Choose antipathy or sympathy as the aura’s effect. Antipathy. The enchantment causes creatures of the kind you designated to feel an intense urge to leave the area and avoid the target. When such a creature can see the target or comes within 60 feet of it, the creature must succeed on a Wisdom saving throw or become frightened. The creature remains frightened while it can see the target or is within 60 feet of it. While frightened by the target, the creature must use its movement to move to the nearest safe spot from which it can’t see the target. If the creature moves more than 60 feet from the target and can’t see it, the creature is no longer frightened, but the creature becomes frightened again if it regains sight of the target or moves within 60 feet of it. Sympathy. The enchantment causes the specified creatures to feel an intense urge to approach the target while within 60 feet of it or able to see it. When such a creature can see the target or comes within 60 feet of it, the creature must succeed on a Wisdom saving throw or use its movement on each of its turns to enter the area or move within reach of the target. When the creature has done so, it can’t willingly move away from the target. If the target damages or otherwise harms an affected creature, the affected creature can make a Wisdom saving throw to end the effect, as described below. Ending the Effect. If an affected creature ends its turn while not within 60 feet of the target or able to see it, the creature makes a Wisdom saving throw. On a successful save, the creature is no longer affected by the target and recognizes the feeling of repugnance or attraction as magical. In addition, a creature affected by the spell is allowed another Wisdom saving throw every 24 hours while the spell persists. A creature that successfully saves against this effect is immune to it for 1 minute, after which time it can be affected again.</t>
  </si>
  <si>
    <t>You create an invisible, magical eye within range that hovers in the air for the duration. You mentally receive visual information from the eye, which has normal vision and darkvision out to 30 feet. The eye can look in every direction. As an action, you can move the eye up to 30 feet in any direction. There is no limit to how far away from you the eye can move, but it can’t enter another plane of existence. A solid barrier blocks the eye’s movement, but the eye can pass through an opening as small as 1 inch in diameter.</t>
  </si>
  <si>
    <t>You create linked teleportation portals that remain open for the duration. Choose two points on the ground that you can see, one point within 10 feet of you and one point within 500 feet of you. A circular portal, 10 feet in diameter, opens over each point. If the portal would open in the space occupied by a creature, the spell fails, and the casting is lost. The portals are two-dimensional glowing rings filled with mist, hovering inches from the ground and perpendicular to it at the points you choose. A ring is visible only from one side (your choice), which is the side that functions as a portal. Any creature or object entering the portal exits from the other portal as if the two were adjacent to each other; passing through a portal from the nonportal side has no effect. The mist that fills each portal is opaque and blocks vision through it. On your turn, you can rotate the rings as a bonus action so that the active side faces in a different direction.</t>
  </si>
  <si>
    <t>You touch a closed door, window, gate, chest, or other entryway, and it becomes locked for the duration. You and the creatures you designate when you cast this spell can open the object normally. You can also set a password that, when spoken within 5 feet of the object, suppresses this spell for 1 minute. Otherwise, it is impassable until it is broken or the spell is dispelled or suppressed. Casting knock on the object suppresses arcane lock for 10 minutes. While affected by this spell, the object is more difficult to break or force open; the DC to break it or pick any locks on it increases by 10.</t>
  </si>
  <si>
    <t>A protective magical force surrounds you, manifesting as a spectral frost that covers you and your gear. You gain 5 temporary hit points for the duration. If a creature hits you with a melee attack while you have these hit points, the creature takes 5 cold damage. At Higher Levels. When you cast this spell using a spell slot of 2nd level or higher, both the temporary hit points and the cold damage increase by 5 for each slot level above 1st.</t>
  </si>
  <si>
    <t>You invoke the power of Hadar, the Dark Hunger. Tendrils of dark energy erupt from you and batter all creatures within 10 feet of you. Each creature in that area must make a Strength saving throw. On a failed save, a target takes 2d6 necrotic damage and can’t take reactions until its next turn. On a successful save, the creature takes half damage, but suffers no other effect. At Higher Levels. When you cast this spell using a spell slot of 2nd level or higher, the damage increases by 1d6 for each slot level above 1st.</t>
  </si>
  <si>
    <t>You and up to eight willing creatures within range project your astral bodies into the Astral Plane (the spell fails and the casting is wasted if you are already on that plane). The material body you leave behind is unconscious and in a state of suspended animation; it doesn’t need food or air and doesn’t age. Your astral body resembles your mortal form in almost every way, replicating your game statistics and possessions. The principal difference is the addition of a silvery cord that extends from between your shoulder blades and trails behind you, fading to invisibility after 1 foot. This cord is your tether to your material body. As long as the tether remains intact, you can find your way home. If the cord is cut—something that can happen only when an effect specifically states that it does—your soul and body are separated, killing you instantly. Your astral form can freely travel through the Astral Plane and can pass through portals there leading to any other plane. If you enter a new plane or return to the plane you were on when casting this spell, your body and possessions are transported along the silver cord, allowing you to re-enter your body as you enter the new plane. Your astral form is a separate incarnation. Any damage or other effects that apply to it have no effect on your physical body, nor do they persist when you return to it. The spell ends for you and your companions when you use your action to dismiss it. When the spell ends, the affected creature returns to its physical body, and it awakens. The spell might also end early for you or one of your companions. A successful dispel magic spell used against an astral or physical body ends the spell for that creature. If a creature’s original body or its astral form drops to 0 hit points, the spell ends for that creature. If the spell ends and the silver cord is intact, the cord pulls the creature’s astral form back to its body, ending its state of suspended animation. If you are returned to your body prematurely, your companions remain in their astral forms and must find their own way back to their bodies, usually by dropping to 0 hit points.</t>
  </si>
  <si>
    <t>By casting gem-inlaid sticks, rolling dragon bones, laying out ornate cards, or employing some other divining tool, you receive an omen from an otherworldly entity about the results of a specific course of action that you plan to take within the next 30 minutes. The DM chooses from the following possible omens: • Weal, for good results • Woe, for bad results • Weal and woe, for both good and bad results • Nothing, for results that aren’t especially good or bad The spell doesn’t take into account any possible circumstances that might change the outcome, such as the casting of additional spells or the loss or gain of a companion. If you cast the spell two or more times before completing your next long rest, there is a cumulative 25 percent chance for each casting after the first that you get a random reading. The DM makes this roll in secret.</t>
  </si>
  <si>
    <t>After spending the casting time tracing magical pathways within a precious gemstone, you touch a Huge or smaller beast or plant. The target must have either no Intelligence score or an Intelligence of 3 or less. The target gains an Intelligence of 10. The target also gains the ability to speak one language you know. If the target is a plant, it gains the ability to move its limbs, roots, vines, creepers, and so forth, and it gains senses similar to a human’s. Your DM chooses statistics appropriate for the awakened plant, such as the statistics for the awakened shrub or the awakened tree. The awakened beast or plant is charmed by you for 30 days or until you or your companions do anything harmful to it. When the charmed condition ends, the awakened creature chooses whether to remain friendly to you, based on how you treated it while it was charmed.</t>
  </si>
  <si>
    <t>Up to three creatures of your choice that you can see within range must make Charisma saving throws. Whenever a target that fails this saving throw makes an attack roll or a saving throw before the spell ends, the target must roll a d4 and subtract the number rolled from the attack roll or saving throw. At Higher Levels. When you cast this spell using a spell slot of 2nd level or higher, you can target one additional creature for each slot level above 1st.</t>
  </si>
  <si>
    <t>You attempt to send one creature that you can see within range to another plane of existence. The target must succeed on a Charisma saving throw or be banished. If the target is native to the plane of existence you’re on, you banish the target to a harmless demiplane. While there, the target is incapacitated. The target remains there until the spell ends, at which point the target reappears in the space it left or in the nearest unoccupied space if that space is occupied. If the target is native to a different plane of existence than the one you’re on, the target is banished with a faint popping noise, returning to its home plane. If the spell ends before 1 minute has passed, the target reappears in the space it left or in the nearest unoccupied space if that space is occupied. Otherwise, the target doesn't return. At Higher Levels. When you cast this spell using a spell slot of 5th level or higher, you can target one additional creature for each slot level above 4th.</t>
  </si>
  <si>
    <t>You touch a creature, and that creature must succeed on a Wisdom saving throw or become cursed for the duration of the spell. When you cast this spell, choose the nature of the curse from the following options: • Choose one ability score. While cursed, the target has disadvantage on ability checks and saving throws made with that ability score. • While cursed, the target has disadvantage on attack rolls against you. • While cursed, the target must make a Wisdom saving throw at the start of each of its turns. If it fails, it wastes its action that turn doing nothing. • While the target is cursed, your attacks and spells deal an extra 1d8 necrotic damage to the target. A remove curse spell ends this effect. At the DM’s option, you may choose an alternative curse effect, but it should be no more powerful than those described above. The DM has final say on such a curse’s effect. At Higher Levels. If you cast this spell using a spell slot of 4th level or higher, the duration is concentration, up to 10 minutes. If you use a spell slot of 5th level or higher, the duration is 8 hours. If you use a spell slot of 7th level or higher, the duration is 24 hours. If you use a 9th level spell slot, the spell lasts until it is dispelled. Using a spell slot of 5th level or higher grants a duration that doesn’t require concentration.</t>
  </si>
  <si>
    <t>You create a Large hand of shimmering, translucent force in an unoccupied space that you can see within range. The hand lasts for the spell’s duration, and it moves at your command, mimicking the movements of your own hand. The hand is an object that has AC 20 and hit points equal to your hit point maximum. If it drops to 0 hit points, the spell ends. It has a Strength of 26 (+8) and a Dexterity of 10 (+0). The hand doesn’t fill its space. When you cast the spell and as a bonus action on your subsequent turns, you can move the hand up to 60 feet and then cause one of the following effects with it. Clenched Fist. The hand strikes one creature or object within 5 feet of it. Make a melee spell attack for the hand using your game statistics. On a hit, the target takes 4d8 force damage. Forceful Hand. The hand attempts to push a creature within 5 feet of it in a direction you choose. Make a check with the hand’s Strength contested by the Strength (Athletics) check of the target. If the target is Medium or smaller, you have advantage on the check. If you succeed, the hand pushes the target up to 5 feet plus a number of feet equal to five times your spellcasting ability modifier. The hand moves with the target to remain within 5 feet of it. Grasping Hand. The hand attempts to grapple a Huge or smaller creature within 5 feet of it. You use the hand’s Strength score to resolve the grapple. If the target is Medium or smaller, you have advantage on the check. While the hand is grappling the target, you can use a bonus action to have the hand crush it. When you do so, the target takes bludgeoning damage equal to 2d6 + your spellcasting ability modifier. Interposing Hand. The hand interposes itself between you and a creature you choose until you give the hand a different command. The hand moves to stay between you and the target, providing you with half cover against the target. The target can't move through the hand’s space if its Strength score is less than or equal to the hand’s Strength score. If its Strength score is higher than the hand’s Strength score, the target can move toward you through the hand’s space, but that space is difficult terrain for the target. At Higher Levels. When you cast this spell using a spell slot of 6th level or higher, the damage from the clenched fist option increases by 2d8 and the damage from the grasping hand increases by 2d6 for each slot level above 5th.</t>
  </si>
  <si>
    <t>You create a vertical wall of whirling, razor-sharp blades made of magical energy. The wall appears within range and lasts for the duration. You can make a straight wall up to 100 feet long, 20 feet high, and 5 feet thick, or a ringed wall up to 60 feet in diameter, 20 feet high, and 5 feet thick. The wall provides three-quarters cover to creatures behind it, and its space is difficult terrain. When a creature enters the wall’s area for the first time on a turn or starts its turn there, the creature must make a Dexterity saving throw. On a failed save, the creature takes 6d10 slashing damage. On a successful save, the creature takes half as much damage</t>
  </si>
  <si>
    <t>You bless up to three creatures of your choice within range. Whenever a target makes an attack roll or a saving throw before the spell ends, the target can roll a d4 and add the number rolled to the attack roll or saving throw. At Higher Levels. When you cast this spell using a spell slot of 2nd level or higher, you can target one additional creature for each slot level above 1st.</t>
  </si>
  <si>
    <t>Necromantic energy washes over a creature of your choice that you can see within range, draining moisture and vitality from it. The target must make a Constitution saving throw. The target takes 8d8 necrotic damage on a failed save, or half as much damage on a successful one. This spell has no effect on undead or constructs. If you target a plant creature or a magical plant, it makes the saving throw with disadvantage, and the spell deals maximum damage to it. If you target a nonmagical plant that isn’t a creature, such as a tree or shrub, it doesn’t make a saving throw; it simply withers and dies. At Higher Levels. When you cast this spell using a spell slot of 5th level or higher, the damage increases by 1d8 for each slot level above 4th.</t>
  </si>
  <si>
    <t>The next time you hit a creature with a melee weapon attack during this spell’s duration, your weapon flares with bright light, and the attack deals an extra 3d8 radiant damage to the target. Additionally, the target must succeed on a Constitution saving throw or be blinded until the spell ends. A creature blinded by this spell makes another Constitution saving throw at the end of each of its turns. On a successful save, it is no longer blinded.</t>
  </si>
  <si>
    <t>You can blind or deafen a foe. Choose one creature that you can see within range to make a Constitution saving throw. If it fails, the target is either blinded or deafened (your choice) for the duration. At the end of each of its turns, the target can make a Constitution saving throw. On a success, the spell ends. At Higher Levels. When you cast this spell using a spell slot of 3rd level or higher, you can target one additional creature for each slot level above 2nd</t>
  </si>
  <si>
    <t>Roll a d20 at the end of each of your turns for the duration of the spell. On a roll of 11 or higher, you vanish from your current plane of existence and appear in the Ethereal Plane (the spell fails and the casting is wasted if you were already on that plane). At the start of your next turn, and when the spell ends if you are on the Ethereal Plane, you return to an unoccupied space of your choice that you can see within 10 feet of the space you vanished from. If no unoccupied space is available within that range, you appear in the nearest unoccupied space (chosen at random if more than one space is equally near). You can dismiss this spell as an action. While on the Ethereal Plane, you can see and hear the plane you originated from, which is cast in shades of gray, and you can’t see anything there more than 60 feet away. You can only affect and be affected by other creatures on the Ethereal Plane. Creatures that aren’t there can’t perceive you or interact with you, unless they have the ability to do so.</t>
  </si>
  <si>
    <t>The next time you hit a creature with a weapon attack before this spell ends, the weapon gleams with astral radiance as you strike. The attack deals an extra 2d6 radiant damage to the target, which becomes visible if it’s invisible, and the target sheds dim light in a 5-foot radius and can’t become invisible until the spell ends. At Higher Levels. When you cast this spell using a spell slot of 3rd level or higher, the extra damage increases by 1d6 for each slot level above 2nd.</t>
  </si>
  <si>
    <t>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</si>
  <si>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A storm cloud appears in the shape of a cylinder that is 10 feet tall with a 60-foot radius, centered on a point you can see 100 feet directly above you. The spell fails if you can’t see a point in the air where the storm cloud could appear (for example, if you are in a room that can’t accommodate the cloud). When you cast the spell, choose a point you can see within range. A bolt of lightning flashes down from the cloud to that point. Each creature within 5 feet of that point must make a Dexterity saving throw. A creature takes 3d10 lightning damage on a failed save, or half as much damage on a successful one. On each of your turns until the spell ends, you can use your action to call down lightning in this way again, targeting the same point or a different one. If you are outdoors in stormy conditions when you cast this spell, the spell gives you control over the existing storm instead of creating a new one. Under such conditions, the spell’s damage increases by 1d10. At Higher Levels. When you cast this spell using a spell slot of 4th or higher level, the damage increases by 1d10 for each slot level above 3rd.</t>
  </si>
  <si>
    <t>You attempt to suppress strong emotions in a group of people. Each humanoid in a 20-foot-radius sphere centered on a point you choose within range must make a Charisma saving throw; a creature can choose to fail this saving throw if it wishes. If a creature fails its saving throw, choose one of the following two effects. You can suppress any effect causing a target to be charmed or frightened. When this spell ends, any suppressed effect resumes, provided that its duration has not expired in the meantime. Alternatively, you can make a target indifferent about creatures of your choice that it is hostile toward. This indifference ends if the target is attacked or harmed by a spell or if it witnesses any of its friends being harmed. When the spell ends, the creature becomes hostile again, unless the DM rules otherwise.</t>
  </si>
  <si>
    <t>You create a bolt of lightning that arcs toward a target of your choice that you can see within range. Three bolts then leap from that target to as many as three other targets, each of which must be within 30 feet of the first target. A target can be a creature or an object and can be targeted by only one of the bolts. A target must make a Dexterity saving throw. The target takes 10d8 lightning damage on a failed save, or half as much damage on a successful one. At Higher Levels. When you cast this spell using a spell slot of level or higher, one additional bolt leaps from the first target to another target for each slot level above 6th.</t>
  </si>
  <si>
    <t>You attempt to charm a humanoid you can see within range. It must make a Wisdom saving throw, and does so with advantage if you or your companions are fighting it. If it fails the saving throw, it is charmed by you until the spell ends or until you or your companions do anything harmful to it. The charmed creature regards you as a friendly acquaintance. When the spell ends, the creature knows it was charmed by you. At Higher Levels. When you cast this spell using a spell slot of 2nd level or higher, you can target one additional creature for each slot level above 1st. The creatures must be within 30 feet of each other when you target them.</t>
  </si>
  <si>
    <t>You create a ghostly, skeletal hand in the space of a creature within range. Make a ranged spell attack against the creature to assail it with the chill of the grave. On a hit, the target takes 1d8 necrotic damage, and it can’t regain hit points until the start of your next turn. Until then, the hand clings to the target. If you hit an undead target, it also has disadvantage on attack rolls against you until the end of your next turn. This spell’s damage increases by 1d8 when you reach 5th level (2d8), 11th level (3d8), and 17th level (4d8).</t>
  </si>
  <si>
    <t>You hurl a 4-inch-diameter sphere of energy at a creature that you can see within range. You choose acid, cold, fire, lightning, poison, or thunder for the type of orb you create, and then make a ranged spell attack against the target. If the attack hits, the creature takes 3d8 damage of the type you chose. At Higher Levels. When you cast this spell using a spell slot of 2nd level or higher, the damage increases by 1d8 for each slot level above 1st</t>
  </si>
  <si>
    <t>A sphere of negative energy ripples out in a 60-foot radius sphere from a point within range. Each creature in that area must make a Constitution saving throw. A target takes 8d6 necrotic damage on a failed save, or half as much damage on a successful one. At Higher Levels. When you cast this spell using a spell slot of 7th level or higher, the damage increases by 2d6 for each slot level above 6th.</t>
  </si>
  <si>
    <t>You create an invisible sensor within range in a location familiar to you (a place you have visited or seen before) or in an obvious location that is unfamiliar to you (such as behind a door, around a corner, or in a grove of trees). The sensor remains in place for the duration, and it can’t be attacked or otherwise interacted with. When you cast the spell, you choose seeing or hearing. You can use the chosen sense through the sensor as if you were in its space. As your action, you can switch between seeing and hearing. A creature that can see the sensor (such as a creature benefiting from see invisibility or truesight) sees a luminous, intangible orb about the size of your fist.</t>
  </si>
  <si>
    <t>This spell grows an inert duplicate of a living creature as a safeguard against death. This clone forms inside a sealed vessel and grows to full size and maturity after 120 days; you can also choose to have the clone be a younger version of the same creature. It remains inert and endures indefinitely, as long as its vessel remains undisturbed. At any time after the clone matures, if the original creature dies, its soul transfers to the clone, provided that the soul is free and willing to return. The clone is physically identical to the original and has the same personality, memories, and abilities, but none of the original’s equipment. The original creature’s physical remains, if they still exist, become inert and can’t thereafter be restored to life, since the creature’s soul is elsewhere.</t>
  </si>
  <si>
    <t>You fill the air with spinning daggers in a cube 5 feet on each side, centered on a point you choose within range. A creature takes 4d4 slashing damage when it enters the spell’s area for the first time on a turn or starts its turn there. At Higher Levels. When you cast this spell using a spell slot of 3rd level or higher, the damage increases by 2d4 for each slot level above 2nd.</t>
  </si>
  <si>
    <t>You create a 20-foot-radius sphere of poisonous, yellow green fog centered on a point you choose within range. The fog spreads around corners. It lasts for the duration or until strong wind disperses the fog, ending the spell. Its area is heavily obscured. When a creature enters the spell’s area for the first time on a turn or starts its turn there, that creature must make a Constitution saving throw. The creature takes 5d8 poison damage on a failed save, or half as much damage on a successful one. Creatures are affected even if they hold their breath or don’t need to breathe. The fog moves 10 feet away from you at the start of each of your turns, rolling along the surface of the ground. The vapors, being heavier than air, sink to the lowest level of the land, even pouring down openings. At Higher Levels. When you cast this spell using a spell slot of 6th level or higher, the damage increases by 1d8 for each slot level above 5th.</t>
  </si>
  <si>
    <t>A dazzling array of flashing, colored light springs from your hand. Roll 6d10; the total is how many hit points of creatures this spell can effect. Creatures in a 15-foot cone originating from you are affected in ascending order of their current hit points (ignoring unconscious creatures and creatures that can’t see). Starting with the creature that has the lowest current hit points, each creature affected by this spell is blinded until the spell ends. Subtract each creature’s hit points from the total before moving on to the creature with the next lowest hit points. A creature’s hit points must be equal to or less than the remaining total for that creature to be affected. At Higher Levels. When you cast this spell using a spell slot of 2nd level or higher, roll an additional 2d10 for each slot level above 1st.</t>
  </si>
  <si>
    <t>You speak a one-word command to a creature you can see within range. The target must succeed on a Wisdom saving throw or follow the command on its next turn. The spell has no effect if the target is undead, if it doesn’t understand your language, or if your command is directly harmful to it. Some typical commands and their effects follow. You might issue a command other than one described here. If you do so, the DM determines how the target behaves. If the target can’t follow your command, the spell ends. Approach. The target moves toward you by the shortest and most direct route, ending its turn if it moves within 5 feet of you. Drop. The target drops whatever it is holding and then ends its turn. Flee. The target spends its turn moving away from you by the fastest available means. Grovel. The target falls prone and then ends its turn. Halt. The target doesn’t move and takes no actions. A flying creature stays aloft, provided that it is able to do so. If it must move to stay aloft, it flies the minimum distance needed to remain in the air. At Higher Levels. When you cast this spell using a spell slot of 2nd level or higher, you can affect one additional creature for each slot level above 1st. The creatures must be within 30 feet of each other when you target them.</t>
  </si>
  <si>
    <t>You contact your deity or a divine proxy and ask up to three questions that can be answered with a yes or no. You must ask your questions before the spell ends. You receive a correct answer for each question. Divine beings aren’t necessarily omniscient, so you might receive “unclear” as an answer if a question pertains to information that lies beyond the deity’s knowledge. In a case where a one-word answer could be misleading or contrary to the deity’s interests, the DM might offer a short phrase as an answer instead. If you cast the spell two or more times before finishing your next long rest, there is a cumulative 25 percent chance for each casting after the first that you get no answer. The DM makes this roll in secret.</t>
  </si>
  <si>
    <t>You briefly become one with nature and gain knowledge of the surrounding territory. In the outdoors, the spell gives you knowledge of the land within 3 miles of you. In caves and other natural underground settings, the radius is limited to 300 feet. The spell doesn’t function where nature has been replaced by construction, such as in dungeons and towns. You instantly gain knowledge of up to three facts of your choice about any of the following subjects as they relate to the area: • terrain and bodies of water • prevalent plants, minerals, animals, or peoples • powerful celestials, fey, fiends, elementals, or undead • influence from other planes of existence • buildings For example, you could determine the location of powerful undead in the area, the location of major sources of safe drinking water, and the location of any nearby towns.</t>
  </si>
  <si>
    <t>You attempt to compel a creature into a duel. One creature that you can see within range must make a Wisdom saving throw. On a failed save, the creature is drawn to you, compelled by your divine demand. For the duration, it has disadvantage on attack rolls against creatures other than you, and must make a Wisdom saving throw each time it attempts to move to a space that is more than 30 feet away from you; if it succeeds on this saving throw, this spell doesn’t restrict the target’s movement for that turn. The spell ends if you attack any other creature, if you cast a spell that targets a hostile creature other than the target, if a creature friendly to you damages the target or casts a harmful spell on it, or if you end your turn more than 30 feet away from the target.</t>
  </si>
  <si>
    <t>For the duration, you understand the literal meaning of any spoken language that you hear. You also understand any written language that you see, but you must be touching the surface on which the words are written. It takes about 1 minute to read one page of text. This spell doesn’t decode secret messages in a text or a glyph, such as an arcane sigil, that isn’t part of a written language.</t>
  </si>
  <si>
    <t>Creatures of your choice that you can see within range and that can hear you must make a Wisdom saving throw. A target automatically succeeds on this saving throw if it can’t be charmed. On a failed save, a target is affected by this spell. Until the spell ends, you can use a bonus action on each of your turns to designate a direction that is horizontal to you. Each affected target must use as much of its movement as possible to move in that direction on its next turn. It can take its action before it moves. After moving in this way, it can make another Wisdom saving to try to end the effect. A target isn’t compelled to move into an obviously deadly hazard, such as a fire or pit, but it will provoke opportunity attacks to move in the designated direction.</t>
  </si>
  <si>
    <t>A blast of cold air erupts from your hands. Each creature in a 60-foot cone must make a Constitution saving throw. A creature takes 8d8 cold damage on a failed save, or half as much damage on a successful one. A creature killed by this spell becomes a frozen statue until it thaws. At Higher Levels. When you cast this spell using a spell slot of 6th level or higher, the damage increases by 1d8 for each slot level above 5th.</t>
  </si>
  <si>
    <t>This spell assaults and twists creatures' minds, spawning delusions and provoking uncontrolled action. Each creature in a 10-foot-radius sphere centered on a point you choose within range must succeed on a Wisdom saving throw when you cast this spell or be affected by it. An affected target can’t take reactions and must roll a d10 at the start of each of its turns to determine its behavior for that turn. d10 Behavior 1 The creature uses all its movement to move in a random direction. To determine the direction, roll a d8 and assign a direction to each die face. The creature doesn’t take an action this turn. 2-6 The creature doesn’t move or take actions this turn. 7-8 The creature uses its action to make a melee attack against a randomly determined creature within its reach. If there is no creature within its reach, the creature does nothing this turn. 9-10 The creature can act and move normally. At the end of each of its turns, an affected target can make a Wisdom saving throw. If it succeeds, this effect ends for that target. At Higher Levels. When you cast this spell using a spell slot of 5th level or higher, the radius of the sphere increases by 5 feet for each slot level above 4th.</t>
  </si>
  <si>
    <t>You summon fey spirits that take the form of beasts and appear in unoccupied spaces that you can see within range. Choose one of the following options for what appears: • One beast of challenge rating 2 or lower • Two beasts of challenge rating 1 or lower • Four beasts of challenge rating 1/2 or lower • Eight beasts of challenge rating 1/4 or lower Each beast is also considered fey, and it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5th-level slot, three times as many with a 7th-level slot, and four times as many with a 9th-level slot.</t>
  </si>
  <si>
    <t>You summon a celestial of challenge rating 4 or lower, which appears in an unoccupied space that you can see within range. The celestial disappears when it drops to 0 hit points or when the spell ends. The celestial is friendly to you and your companions for the duration. Roll initiative for the celestial, which has its own turns. It obeys any verbal commands that you issue to it (no action required by you), as long as they don’t violate its alignment. If you don’t issue any commands to the celestial, it defends itself from hostile creatures but otherwise takes no actions. The DM has the celestial’s statistics. At Higher Levels. When you cast this spell using a 9th-level spell slot, you summon a celestial of challenge rating 5 or lower.</t>
  </si>
  <si>
    <t>You call forth an elemental servant. Choose an area of air, earth, fire, or water that fills a 10-foot cube within range. An elemental of challenge rating 5 or lower appropriate to the area you chose appears in an unoccupied space within 10 feet of it. For example, a fire elemental emerges from a bonfire, and an earth elemental rises up from the ground. The elemental disappears when it drops to 0 hit points or when the spell ends. The elemental is friendly to you and your companions for the duration. Roll initiative for the elemental, which has its own turns. It obeys any verbal commands that you issue to it (no action required by you). If you don’t issue any commands to the elemental, it defends itself from hostile creatures but otherwise takes no actions. If your concentration is broken, the elemental doesn’t disappear. Instead, you lose control of the elemental, it becomes hostile toward you and your companions, and it might attack. An uncontrolled elemental can’t be dismissed by you, and it disappears 1 hour after you summoned it. The DM has the elemental’s statistics. At Higher Levels. When you cast this spell using a spell slot of 6th level or higher, the challenge rating increases by 1 for each slot level above 5th.</t>
  </si>
  <si>
    <t>You summon a fey creature of challenge rating 6 or lower, or a fey spirit that takes the form of a beast of challenge rating 6 or lower. It appears in an unoccupied space that you can see within range. The fey creature disappears when it drops to 0 hit points or when the spell ends. The fey creature is friendly to you and your companions for the duration. Roll initiative for the creature, which has its own turns. It obeys any verbal commands that you issue to it (no action required by you), as long as they don't violate its alignment. If you don’t issue any commands to the fey creature, it defends itself from hostile creatures but otherwise takes no actions. If your concentration is broken, the fey creature doesn’t disappear. Instead, you lose control of the fey creature, it becom es hostile toward you and your companions, and it might attack. An uncontrolled fey creature can't be dismissed by you, and it disappears 1 hour after you summoned it. The DM has the fey creature’s statistics. At Higher Levels. When you cast this spell using a spell slot of level or higher, the challenge rating increases by 1 for each slot level above 6th.</t>
  </si>
  <si>
    <t>You summon elementals that appear in unoccupied spaces that you can see within range. You choose one the following options for what appears: • One elemental of challenge rating 2 or lower • Two elementals of challenge rating 1 or lower • Four elementals of challenge rating 1/2 or lower • Eight elementals of challenge rating 1/4 or lower. An elemental summoned by this spell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6th-level slot and three times as many with an 8th-level slot.</t>
  </si>
  <si>
    <t>You summon fey creatures that appear in unoccupied spaces that you can see within range. Choose one of the following options for what appears: • One fey creature of challenge rating 2 or lower • Two fey creatures of challenge rating 1 or lower • Four fey creatures of challenge rating 1/2 or lower • Eight fey creatures of challenge rating 1/4 or lower A summoned creature disappears when it drops to 0 hit points or when the spell ends. The summoned creatures are friendly to you and your companions. Roll initiative for the summoned creatures as a group, which have their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6th-level slot and three times as many with an 8th-level slot.</t>
  </si>
  <si>
    <t>You mentally contact a demigod, the spirit of a long-dead sage, or some other mysterious entity from another plane. Contacting this extraplanar intelligence can strain or even break your mind. When you cast this spell, make a DC 15 Intelligence saving throw. On a failure, you take 6d6 psychic damage and are insane until you finish a long rest. While insane, you can’t take actions, can’t understand what other creatures say, can’t read, and speak only in gibberish. A greater restoration spell cast on you ends this effect. On a successful save, you can ask the entity up to five questions. You must ask your questions before the spell ends. The DM answers each question with one word, such as “yes,” “no,” “maybe,” “never,” “irrelevant,” or “unclear” (if the entity doesn’t know the answer to the question). If a one-word answer would be misleading, the DM might instead offer a short phrase as an answer.</t>
  </si>
  <si>
    <t>Your touch inflicts disease. Make a melee spell attack against a creature within your reach. On a hit, you afflict the creature with a disease of your choice from any of the ones described below. At the end of each of the target’s turns, it must make a Constitution saving throw. After failing three of these saving throws, the disease’s effects last for the duration, and the creature stops making these saves. After succeeding on three of these saving throws, the creature recovers from the disease, and the spell ends. Since this spell induces a natural disease in its target, any effect that removes a disease or otherwise ameliorates a disease’s effects apply to it. Blinding Sickness. Pain grips the creature’s mind, and its eyes turn milky white. The creature has disadvantage on Wisdom checks and Wisdom saving throws and is blinded. Filth Fever. A raging fever sweeps through the creature’s body. The creature has disadvantage on Strength checks, Strength saving throws, and attack rolls that use Strength. Flesh Rot. The creature’s flesh decays. The creature has disadvantage on Charisma checks and vulnerability to all damage. Mindfire. The creature’s mind becomes feverish. The creature has disadvantage on Intelligence checks and Intelligence saving throws, and the creature behaves as if under the effects of the confusion spell during combat. Seizure. The creature is overcome with shaking. The creature has disadvantage on Dexterity checks, Dexterity saving throws, and attack rolls that use Dexterity. Slimy Doom. The creature begins to bleed uncontrollably. The creature has disadvantage on Constitution checks and Constitution saving throws. In addition, whenever the creature takes damage, it is stunned until the end of its next turn.</t>
  </si>
  <si>
    <t>Until the spell ends, you control any freestanding water inside an area you choose that is a cube up to 100 feet on a side. You can choose from any of the following effects when you cast this spell. As an action on your turn, you can repeat the same effect or choose a different one. Flood. You cause the water level of all standing water in the area to rise by as much as 20 feet. If the area includes a shore, the flooding water spills over onto dry land. If you choose an area in a large body of water, you instead create a 20-foot tall wave that travels from one side of the area to the other and then crashes down. Any Huge or smaller vehicles in the wave’s path are carried with it to the other side. Any Huge or smaller vehicles struck by the wave have a 25 percent chance of capsizing. The water level remains elevated until the spell ends or you choose a different effect. If this effect produced a wave, the wave repeats on the start of your next turn while the flood effect lasts. Part Water. You cause water in the area to move apart and create a trench. The trench extends across the spell’s area, and the separated water forms a wall to either side. The trench remains until the spell ends or you choose a different effect. The water then slowly fills in the trench over the course of the next round until the normal water level is restored. Redirect Flow. You cause flowing water in the area to move in a direction you choose, even if the water has to flow over obstacles, up walls, or in other unlikely directions. The water in the area moves as you direct it, but once it moves beyond the spell’s area, it resumes its flow based on the terrain conditions. The water continues to move in the direction you chose until the spell ends or you choose a different effect. Whirlpool. This effect requires a body of water at least 50 feet square and 25 feet deep. You cause a whirlpool to form in the center of the area. The whirlpool forms a vortex that is 5 feet wide at the base, up to 50 feet wide at the top, and 25 feet tall. Any creature or object in the water and within 25 feet of the vortex is pulled 10 feet toward it. A creature can swim away from the vortex by making a Strength (Athletics) check against your spell save DC. When a creature enters the vortex for the first time on a turn or starts its turn there, it must make a Strength saving throw. On a failed save, the creature takes 2d8 bludgeoning damage and is caught in the vortex until the spell ends. On a successful save, the creature takes half damage, and isn’t caught in the vortex. A creature caught in the vortex can use its action to try to swim away from the vortex as described above, but has disadvantage on the Strength (Athletics) check to do so. The first time each turn that an object enters the vortex, the object takes 2d8 bludgeoning damage; this damage occurs each round it remains in the vortex.</t>
  </si>
  <si>
    <t>You take control of the weather within 5 miles of you for the duration. You must be outdoors to cast this spell. Moving to a place where you don’t have a clear path to the sky ends the spell early. When you cast the spell, you change the current weather conditions, which are determined by the DM based on the climate and season. You can change precipitation, temperature, and wind. It takes 1d4 x 10 minutes for the new conditions to take effect. Once they do so, you can change the conditions again. When the spell ends, the weather gradually returns to normal. When you change the weather conditions, find a current condition on the following tables and change its stage by one, up or down. When changing the wind, you can change its direction. Precipitation Stage Condition 1 Clear 2 Light clouds 3 Overcast or ground fog 4 Rain, hail, or snow 5 Torrential rain, driving hail, or blizzard Temperature Stage Condition 1 Unbearable heat 2 Hot 3 Warm 4 Cool 5 Cold 6 Arctic cold Wind Stage Condition 1 Calm 2 Moderate wind 3 Strong wind 4 Gale 5 Storm</t>
  </si>
  <si>
    <t>You plant four pieces of nonmagical ammunition— arrows or crossbow bolts—in the ground within range and lay magic upon them to protect an area. Until the spell ends, whenever a creature other than you comes within 30 feet of the ammunition for the first time on a turn or ends its turn there, one piece of ammunition flies up to strike it. The creature must succeed on a Dexterity saving throw or take 1d6 piercing damage. The piece of ammunition is then destroyed. The spell ends when no ammunition remains. When you cast this spell, you can designate any creatures you choose, and the spell ignores them. At Higher Levels. When you cast this spell using a spell slot of 3rd level or higher, the amount of ammunition that can be affected increases by two for each slot level above 2nd.</t>
  </si>
  <si>
    <t>You attempt to interrupt a creature in the process of casting a spell. If the creature is casting a spell of 3rd level or lower, its spell fails and has no effect. If it is casting a spell of 4th level or higher, make an ability check using your spellcasting ability. The DC equals 10 + the spell’s level. On a success, the creature’s spell fails and has no effect. At Higher Levels. When you cast this spell using a spell slot of 4th level or higher, the interrupted spell has no effect if its level is less than or equal to the level of the spell slot you used.</t>
  </si>
  <si>
    <t>You either create or destroy water. Create Water. You create up to 10 gallons of clean water within range in an open container. Alternatively, the water falls as rain in a 30-foot cube within range, extinguishing exposed flames in the area. Destroy Water. You destroy up to 10 gallons of water in an open container within range. Alternatively, you destroy fog in a 30-foot cube within range. At Higher Levels. When you cast this spell using a spell slot of 2nd level or higher, you create or destroy 10 additional gallons of water, or the size of the cube increases by 5 feet, for each slot level above 1st</t>
  </si>
  <si>
    <t>You can cast this spell only at night. Choose up to three corpses of Medium or Small humanoids within range. Each corpse becomes a ghoul under your control. (The DM has game statistics for these creatures.) As a bonus action on each of your turns, you can mentally command any creature you animated with this spell if the creature is within 120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 have given it. To maintain control of the creature for another hours, you must cast this spell on the creature before the current 24-hour period ends. This use of the spell reasserts your control over up to three creatures you have animated with this spell, rather than animating new ones. At Higher Levels. When you cast this spell using a 7th-level spell slot, you can animate or reassert control over four ghouls. When you cast this spell using an 8th-level spell slot, you can animate or reassert control over five ghouls or two ghasts or wights. When you cast this spell using a 9th-level spell slot, you can animate or reassert control over six ghouls, three ghasts or wights, or two mummies.</t>
  </si>
  <si>
    <t>You pull wisps of shadow material from the Shadowfell to create a nonliving object of vegetable matter within range: soft goods, rope, wood, or something similar. You can also use this spell to create mineral objects such as stone, crystal, or metal. The object created must be no larger than a 5-foot cube, and the object must be of a form and material that you have seen before. The duration depends on the object’s material. If the object is com posed of multiple materials, use the shortest duration. Material Duration Vegetable matter 1 day Stone or crystal 12 hours Precious metals 1 hour Gems 10 minutes Adamantine or mithral 1 minute Using any material created by this spell as another spell’s material component causes that spell to fail. At Higher Levels. When you cast this spell using a spell slot of 6th level or higher, the cube increases by 5 feet for each slot level above 5th.</t>
  </si>
  <si>
    <t>One humanoid of your choice that you can see within range must succeed on a Wisdom saving throw or become charmed by you for the duration. While the target is charmed in this way, a twisted crown of jagged iron appears on its head, and a madness glows in its eyes. The charmed target must use its action before moving on each of its turns to make a melee attack against a creature other than itself that you mentally choose. The target can act normally on its turn if you choose no creature or if none are within its reach. On your subsequent turns, you must use your action to maintain control over the target, or the spell ends. Also, the target can make a Wisdom saving throw at the end of each of its turns. On a success, the spell ends.</t>
  </si>
  <si>
    <t>A creature you touch regains a number of hit points equal to 1d8 + your spellcasting ability modifier. This spell has no effect on undead or constructs. At Higher Levels. When you cast this spell using a spell slot of 2nd level or higher, the healing increases by 1d8 for each slot level above 1st.</t>
  </si>
  <si>
    <t>You create up to four torch-sized lights within range, making them appear as torches, lanterns, or glowing orbs that hover in the air for the duration. You can also combine the four lights into one glowing vaguely humanoid form of Medium size. Whichever form you choose, each light sheds dim light in a 10-foot radius. As a bonus action on your turn, you can move the lights up to 60 feet to a new spot within range. A light must be within 20 feet of another light created by this spell, and a light winks out if it exceeds the spell’s range.</t>
  </si>
  <si>
    <t>Magical darkness spreads from a point you choose within range to fill a 15-foot-radius sphere for the duration. The darkness spreads around corners. A creature with darkvision can’t see through this darkness, and nonmagical light can’t illuminate it. If the point you choose is on an object you are holding or one that isn’t being worn or carried, the darkness emanates from the object and moves with it. Completely covering the source of the darkness with an opaque object, such as a bowl or a helm, blocks the darkness. If any of this spell’s area overlaps with an area of light created by a spell of 2nd level or lower, the spell that created the light is dispelled.</t>
  </si>
  <si>
    <t>A 60-foot-radius sphere of light spreads out from a point you choose within range. The sphere is bright light and sheds dim light for an additional 60 feet. If you chose a point on an object you are holding or one that isn’t being worn or carried, the light shines from the object and moves with it. Completely covering the affected object with an opaque object, such as a bowl or a helm, blocks the light. If any of this spell’s area overlaps with an area of darkness created by a spell of 3rd level or lower, the spell that created the darkness is dispelled.</t>
  </si>
  <si>
    <t>You touch a creature and grant it a measure of protection from death. The first time the target would drop to 0 hit points as a result of taking damage, the target instead drops to 1 hit point, and the spell ends. If the spell is still in effect when the target is subjected to an effect that would kill it instantaneously without dealing damage, that effect is instead negated against the target, and the spell ends.</t>
  </si>
  <si>
    <t>A beam of yellow light flashes from your pointing finger, then condenses to linger at a chosen point within range as a glowing bead for the duration. When the spell ends, either because your concentration is broken or because you decide to end it, the bead blossoms with a low roar into an explosion of flame that spreads around corners. Each creature in a 20-foot-radius sphere centered on that point must make a Dexterity saving throw. A creature takes fire damage equal to the total accumulated damage on a failed save, or half as much damage on a successful one. The spell’s base damage is 12d6. If at the end of your turn the bead has not yet detonated, the damage increases by 1d6. If the glowing bead is touched before the interval has expired, the creature touching it must make a Dexterity saving throw. On a failed save, the spell ends immediately, causing the bead to erupt in flame. On a successful save, the creature can throw the bead up to 40 feet. When it strikes a creature or a solid object, the spell ends, and the bead explodes. The fire damages objects in the area and ignites flammable objects that aren’t being worn or carried. At Higher Levels. When you cast this spell using a spell slot of 8th level or higher, the base damage increases by 1d6 for each slot level above 7th.</t>
  </si>
  <si>
    <t>You create a shadowy door on a flat solid surface that you can see within range. The door is large enough to allow Medium creatures to pass through unhindered. When opened, the door leads to a demiplane that appears to be an empty room 30 feet in each dimension, made of wood or stone. When the spell ends, the door disappears, and any creatures or objects inside the demiplane remain trapped there, as the door also disappears from the other side. Each time you cast this spell, you can create a new demiplane, or have the shadowy door connect to a demiplane you created with a previous casting of this spell. Additionally, if you know the nature and contents of a demiplane created by a casting of this spell by another creature, you can have the shadowy door connect to its demiplane instead.</t>
  </si>
  <si>
    <t>For the duration, you know if there is an aberration, celestial, elemental, fey, fiend, or undead within 30 feet of you, as well as where the creature is located. Similarly, you know if there is a place or object within 30 feet of you that has been magically consecrated or desecrated. The spell can penetrate most barriers, but it is blocked by 1 foot of stone, 1 inch of common metal, a thin sheet of lead, or 3 feet of wood or dirt.</t>
  </si>
  <si>
    <t>For the duration, you sense the presence of magic within 30 feet of you. If you sense magic in this way, you can use your action to see a faint aura around any visible creature or object in the area that bears magic, and you learn its school of magic, if any. The spell can penetrate most barriers, but it is blocked by 1 foot of stone, 1 inch of common metal, a thin sheet of lead, or 3 feet of wood or dirt.</t>
  </si>
  <si>
    <t>For the duration, you can sense the presence and location of poisons, poisonous creatures, and diseases within 30 feet of you. You also identify the kind of poison, poisonous creature, or disease in each case. The spell can penetrate most barriers, but it is blocked by 1 foot of stone, 1 inch of common metal, a thin sheet of lead, or 3 feet of wood or dirt.</t>
  </si>
  <si>
    <t>For the duration, you can read the thoughts of certain creatures. When you cast the spell and as your action on each turn until the spell ends, you can focus your mind on any one creature that you can see within 30 feet of you. If the creature you choose has an Intelligence of 3 or lower or doesn’t speak any language, the creature is unaffected. You initially learn the surface thoughts of the creature—what is most on its mind in that moment. As an action, you can either shift your attention to another creature’s thoughts or attempt to probe deeper into the same creature’s mind. If you probe deeper, the target must make a Wisdom saving throw. If it fails, you gain insight into its reasoning (if any), its emotional state, and something that looms large in its mind (such as something it worries over, loves, or hates). If it succeeds, the spell ends. Either way, the target knows that you are probing into its mind, and unless you shift your attention to another creature’s thoughts, the creature can use its action on its turn to make an Intelligence check contested by your Intelligence check; if it succeeds, the spell ends. Questions verbally directed at the target creature naturally shape the course of its thoughts, so this spell is particularly effective as part of an interrogation. You can also use this spell to detect the presence of thinking creatures you can’t see. When you cast the spell or as your action during the duration, you can search for thoughts within 30 feet of you. The spell can penetrate barriers, but 2 feet of rock, 2 inches of any metal other than lead, or a thin sheet of lead blocks you. You can’t detect a creature with an Intelligence of 3 or lower or one that doesn’t speak any language. Once you detect the presence of a creature in this way, you can read its thoughts for the rest of the duration as described above, even if you can’t see it, but it must still be within range.</t>
  </si>
  <si>
    <t>You teleport yourself from your current location to any other spot within range. You arrive at exactly the spot desired. It can be a place you can see, one you can visualize, or one you can describe by stating distance and direction, such as “200 feet straight downward” or “upward to the northwest at a 45-degree angle, 300 feet.” You can bring along objects as long as their weight doesn’t exceed what you can carry. You can also bring one willing creature of your size or smaller who is carrying gear up to its carrying capacity. The creature must be within 5 feet of you when you cast this spell. If you would arrive in a place already occupied by an object or a creature, you and any creature traveling with you each take 4d6 force damage, and the spell fails to teleport you.</t>
  </si>
  <si>
    <t>You make yourself—including your clothing, armor, weapons, and other belongings on your person—look different until the spell ends or until you use your action to dismiss it. You can seem 1 foot shorter or taller and can appear thin, fat, or in between. You can’t change your body type, so you must adopt a form that has the same basic arrangement of limbs. Otherwise, the extent of the illusion is up to you. The changes wrought by this spell fail to hold up to physical inspection. For example, if you use this spell to add a hat to your outfit, objects pass through the hat, and anyone who touches it would feel nothing or would feel your head and hair. If you use this spell to appear thinner than you are, the hand of someone who reaches out to touch you would bump into you while it was seemingly still in midair. To discern that you are disguised, a creature can use its action to inspect your appearance and must succeed on an Intelligence (Investigation) check against your spell save DC.</t>
  </si>
  <si>
    <t>A thin green ray springs from your pointing finger to a target that you can see within range. The target can be a creature, an object, or a creation of magical force, such as the wall created by wall of force. A creature targeted by this spell must make a Dexterity saving throw. On a failed save, the target takes 10d6+40 force damage. If this damage reduces the target to 0 hit points, it is disintegrated. A disintegrated creature and everything it is wearing and carrying, except magic items, are reduced to a pile of fine gray dust. The creature can be restored to life only by means of a true resurrection or a wish spell. This spell automatically disintegrates a Large or smaller nonmagical object or a creation of magical force. If the target is a Huge or larger object or creation of force, this spell disintegrates a 10-foot-cube portion of it. A magic item is unaffected by this spell. At Higher Levels. When you cast this spell using a spell slot of 7th level or higher, the damage increases by 3d6 for each slot level above 6th.</t>
  </si>
  <si>
    <t>Shimmering energy surrounds and protects you from fey, undead, and creatures originating from beyond the Material Plane. For the duration, celestials, elementals, fey, fiends, and undead have disadvantage on attack rolls against you. You can end the spell early by using either of the following special functions. Break Enchantment. As your action, you touch a creature you can reach that is charmed, frightened, or possessed by a celestial, an elemental, a fey, a fiend, or an undead. The creature you touch is no longer charmed, frightened, or possessed by such creatures. Dismissal. As your action, make a melee spell attack against a celestial, an elemental, a fey, a fiend, or an undead you can reach. On a hit, you attempt to drive the creature back to its home plane. The creature must succeed on a Charisma saving throw or be sent back to its home plane (if it isn't there already). If they aren’t on their home plane, undead are sent to the Shadowfell, and fey are sent to the Feywild.</t>
  </si>
  <si>
    <t>Choose one creature, object, or magical effect within range. Any spell of 3rd level or lower on the target ends. For each spell of 4th level or higher on the target, make an ability check using your spellcasting ability. The DC equals 10 + the spell’s level. On a successful check, the spell ends. At Higher Levels. When you cast this spell using a spell slot of 4th level or higher, you automatically end the effects of a spell on the target if the spell’s level is equal to or less than the level of the spell slot you used.</t>
  </si>
  <si>
    <t>You whisper a discordant melody that only one creature of your choice within range can hear, wracking it with terrible pain. The target must make a Wisdom saving throw. On a failed save, it takes 3d6 psychic damage and must immediately use its reaction, if available, to move as far as its speed allows away from you. The creature doesn’t move into obviously dangerous ground, such as a fire or a pit. On a successful save, the target takes half as much damage and doesn’t have to move away. A deafened creature automatically succeeds on the save. At Higher Levels. When you cast this spell using a spell slot of 2nd level or higher, the damage increases by 1d6 for each slot level above 1st.</t>
  </si>
  <si>
    <t>Your magic and an offering put you in contact with a god or a god’s servants. You ask a single question concerning a specific goal, event, or activity to occur within 7 days. The DM offers a truthful reply. The reply might be a short phrase, a cryptic rhyme, or an omen. The spell doesn’t take into account any possible circumstances that might change the outcome, such as the casting of additional spells or the loss or gain of a companion. If you cast the spell two or more times before finishing your next long rest, there is a cumulative 25 percent chance for each casting after the first that you get a random reading. The DM makes this roll in secret.</t>
  </si>
  <si>
    <t>You utter a divine word, imbued with the power that shaped the world at the dawn of creation. Choose any number of creatures you can see within range. Each creature that can hear you must make a Charisma saving throw. On a failed save, a creature suffers an effect based on its current hit points: • 50 hit points or fewer: deafened for 1 minute • 40 hit points or fewer: deafened and blinded for 10 minutes • 30 hit points or fewer: blinded, deafened, and stunned for 1 hour • 20 hit points or fewer: killed instantly Regardless of its current hit points, a celestial, an elemental, a fey, or a fiend that fails its save is forced back to its plane of origin (if it isn’t there already) and can’t return to your current plane for 24 hours by any means short of a wish spell.</t>
  </si>
  <si>
    <t>You attempt to beguile a beast that you can see within range. It must succeed on a Wisdom saving throw or be charmed by you for the duration. If you or creatures that are friendly to you are fighting it, it has advantage on the saving throw. While the beast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5th-level spell slot, the duration is concentration, up to 10 minutes. When you use a 6th-level spell slot, the duration is concentration, up to 1 hour. When you use a spell slot of 7th level or higher, the duration is concentration, up to 8 hours.</t>
  </si>
  <si>
    <t>You attempt to beguile a creature that you can see within range. It must succeed on a Wisdom saving throw or be charmed by you for the duration. If you or creatures that are friendly to you are fighting it, it has advantage on the saving throw. While the creature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9th-level spell slot, the duration is concentration, up to 8 hours.</t>
  </si>
  <si>
    <t>You attempt to beguile a humanoid that you can see within range. It must succeed on a Wisdom saving throw or be charmed by you for the duration. If you or creatures that are friendly to you are fighting it, it has advantage on the saving throw. While the target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using a 6th-level spell slot, the duration is concentration, up to 10 minutes. When you use a 7th-level spell slot, the duration is concentration, up to 1 hour. When you use a spell slot of 8th level or higher, the duration is concentration, up to 8 hours.</t>
  </si>
  <si>
    <t>You touch an object weighing 10 pounds or less whose longest dimension is 6 feet or less. The spell leaves an invisible mark on its surface and invisibly inscribes the name of the item on the sapphire you use as the material component. Each time you cast this spell, you must use a different sapphire. At any time thereafter, you can use your action to speak the item’s name and crush the sapphire. The item instantly appears in your hand regardless of physical or planar distances, and the spell ends. If another creature is holding or carrying the item, crushing the sapphire doesn’t transport the item to you, but instead you learn who the creature possessing the object is and roughly where that creature is located at that moment. Dispel magic or a similar effect successfully applied to the sapphire ends this spell’s effect.</t>
  </si>
  <si>
    <t>This spell shapes a creature’s dreams. Choose a creature known to you as the target of this spell. The target must be on the same plane of existence as you. Creatures that don’t sleep, such as elves, can’t be contacted by this spell. You, or a willing creature you touch, enters a trance state, acting as a messenger. While in the trance, the messenger is aware of his or her surroundings, but can’t take actions or move. If the target is asleep, the messenger appears in the target’s dreams and can converse with the target as long as it remains asleep, through the duration of the spell. The messenger can also shape the environment of the dream, creating landscapes, objects, and other images. The messenger can emerge from the trance at any time, ending the effect of the spell early. The target recalls the dream perfectly upon waking. If the target is awake when you cast the spell, the messenger knows it, and can either end the trance (and the spell) or wait for the target to fall asleep, at which point the messenger appears in the target’s dreams. You can make the messenger appear monstrous and terrifying to the target. If you do, the messenger can deliver a message of no more than ten words and then the target must make a Wisdom saving throw. On a failed save, echoes of the phantasmal monstrosity spawn a nightmare that lasts the duration of the target’s sleep and prevents the target from gaining any benefit from that rest. In addition, when the target wakes up, it takes 3d6 psychic damage. If you have a body part, lock of hair, clipping from a nail, or similar portion of the target’s body, the target makes its saving throw with disadvantage.</t>
  </si>
  <si>
    <t>Whispering to the spirits of nature, you create one of the following effects within range: • You create a tiny, harmless sensory effect that predicts what the weather will be at your location for the next 24 hours. The effect might manifest as a golden orb for clear skies, a cloud for rain, falling snowflakes for snow, and so on. This effect persists for 1 round. • You instantly make a flower blossom, a seed pod open, or a leaf bud bloom. • You create an instantaneous, harmless sensory effect, such as falling leaves, a puff of wind, the sound of a small animal, or the faint odor of skunk. The effect must fit in a 5-foot cube. • You instantly light or snuff out a candle, a torch, or a small campfire.</t>
  </si>
  <si>
    <t>You create a seismic disturbance at a point on the ground that you can see within range. For the duration, an intense tremor rips through the ground in a 100-foot-radius circle centered on that point and shakes creatures and structures in contact with the ground in that area. The ground in the area becomes difficult terrain. Each creature on the ground that is concentrating must make a Constitution saving throw. On a failed save, the creature’s concentration is broken. When you cast this spell and at the end of each turn you spend concentrating on it, each creature on the ground in the area must make a Dexterity saving throw. On a failed save, the creature is knocked prone. This spell can have additional effects depending on the terrain in the area, as determined by the DM. • Fissures. Fissures open throughout the spell’s area at the start of your next turn after you cast the spell. A total of 1d6 such fissures open in locations chosen by the DM. Each is 1d10 × 10 feet deep, 10 feet wide, and extends from one edge of the spell’s area to the opposite side. A creature standing on a spot where a fissure opens must succeed on a Dexterity saving throw or fall in. A creature that successfully saves moves with the fissure’s edge as it opens. A fissure that opens beneath a structure causes it to automatically collapse (see below). • Structures. The tremor deals 50 bludgeoning damage to any structure in contact with the ground in the area when you cast the spell and at the start of each of your turns until the spell ends. If a structure drops to 0 hit points, it collapses and potentially damages nearby creatures. A creature within half the distance of a structure’s height must make a Dexterity saving throw. On a failed save, the creature takes 5d6 bludgeoning damage, is knocked prone, and is buried in the rubble, requiring a DC 20 Strength (Athletics) check as an action to escape. The DM can adjust the DC higher or lower, depending on the nature of the rubble. On a successful save, the creature takes half as much damage and doesn’t fall prone or become buried.</t>
  </si>
  <si>
    <t>A beam of crackling energy streaks toward a creature within range. Make a ranged spell attack against the target. On a hit, the target takes 1d10 force damage. The spell creates more than one beam when you reach Higher Levels: two beams at 5th level, three beams at 11th level, and four beams at 17th level. You can direct the beams at the same target or at different ones. Make a separate attack roll for each beam.</t>
  </si>
  <si>
    <t>You touch a creature and bestow upon it a magical enhancement. Choose one of the following effects; the target gains that effect until the spell ends. Bear’s Endurance. The target has advantage on Constitution checks. It also gains 2d6 temporary hit points, which are lost when the spell ends. Bull’s Strength. The target has advantage on Strength checks, and his or her carrying capacity doubles. Cat’s Grace. The target has advantage on Dexterity checks. It also doesn’t take damage from falling 20 feet or less if it isn’t incapacitated. Eagle’s Splendor. The target has advantage on Charisma checks. Fox’s Cunning. The target has advantage on Intelligence checks. Owl’s Wisdom. The target has advantage on Wisdom checks. At Higher Levels. When you cast this spell using a spell slot of 3rd level or higher, you can target one additional creature for each slot level above 2nd.</t>
  </si>
  <si>
    <t>You cause a creature or an object you can see within range to grow larger or smaller for the duration. Choose either a creature or an object that is neither worn nor carried. If the target is unwilling, it can make a Constitution saving throw. On a success, the spell has no effect. If the target is a creature, everything it is wearing and carrying changes size with it. Any item dropped by an affected creature returns to normal size at once. Enlarge. The target’s size doubles in all dimensions, and its weight is multiplied by eight. This growth increases its size by one category—from Medium to Large, for example. If there isn’t enough room for the target to double its size, the creature or object attains the maximum possible size in the space available. Until the spell ends, the target also has advantage on Strength checks and Strength saving throws. The target’s weapons also grow to match its new size. While these weapons are enlarged, the target’s attacks with them deal 1d4 extra damage. Reduce. The target’s size is halved in all dimensions, and its weight is reduced to one-eighth of normal. This reduction decreases its size by one category—from Medium to Small, for example. Until the spell ends, the target also has disadvantage on Strength checks and Strength saving throws. The target’s weapons also shrink to match its new size. While these weapons are reduced, the target’s attacks with them deal 1d4 less damage (this can’t reduce the damage below 1).</t>
  </si>
  <si>
    <t>The next time you hit a creature with a weapon attack before this spell ends, a writhing mass of thorny vines appears at the point of impact, and the target must succeed on a Strength saving throw or be restrained by the magical vines until the spell ends. A Large or larger creature has advantage on this saving throw. If the target succeeds on the save, the vines shrivel away. While restrained by this spell, the target takes 1d6 piercing damage at the start of each of its turns. A creature restrained by the vines or one that can touch the creature can use its action to make a Strength check against your spell save DC. On a success, the target is freed. At Higher Levels. If you cast this spell using a spell slot of 2nd level or higher, the damage increases by 1d6 for each slot level above 1st.</t>
  </si>
  <si>
    <t>Grasping weeds and vines sprout from the ground in a 20-foot square starting from a point within range. For the duration, these plants turn the ground in the area into difficult terrain. A creature in the area when you cast the spell must succeed on a Strength saving throw or be restrained by the entangling plants until the spell ends. A creature restrained by the plants can use its action to make a Strength check against your spell save DC. On a success, it frees itself. When the spell ends, the conjured plants wilt away.</t>
  </si>
  <si>
    <t>You step into the border regions of the Ethereal Plane, in the area where it overlaps with your current plane. You remain in the Border Ethereal for the duration or until you use your action to dismiss the spell. During this time, you can move in any direction. If you move up or down, every foot of movement costs an extra foot. You can see and hear the plane you originated from, but everything there looks gray, and you can’t see anything more than 60 feet away. While on the Ethereal Plane, you can only affect and be affected by other creatures on that plane. Creatures that aren’t on the Ethereal Plane can’t perceive you and can’t interact with you, unless a special ability or magic has given them the ability to do so. You ignore all objects and effects that aren’t on the Ethereal Plane, allowing you to move through objects you perceive on the plane you originated from. When the spell ends, you immediately return to the plane you originated from in the spot you currently occupy. If you occupy the same spot as a solid object or creature when this happens, you are immediately shunted to the nearest unoccupied space that you can occupy and take force damage equal to twice the number of feet you are moved. This spell has no effect if you cast it while you are on the Ethereal Plane or a plane that doesn’t border it, such as one of the Outer Planes. At Higher Levels. When you cast this spell using a spell slot of 8th level or higher, you can target up to three willing creatures (including you) for each slot level above . The creatures must be within 10 feet of you when you cast the spell.</t>
  </si>
  <si>
    <t>Squirming, ebony tentacles fill a 20-foot square on ground that you can see within range. For the duration, these tentacles turn the ground in the area into difficult terrain. When a creature enters the affected area for the first time on a turn or starts its turn there, the creature must succeed on a Dexterity saving throw or take 3d6 bludgeoning damage and be restrained by the tentacles until the spell ends. A creature that starts its turn in the area and is already restrained by the tentacles takes 3d6 bludgeoning damage. A creature restrained by the tentacles can use its action to make a Strength or Dexterity check (its choice) against your spell save DC. On a success, it frees itself.</t>
  </si>
  <si>
    <t>For the spell’s duration, your eyes become an inky void imbued with dread power. One creature of your choice within 60 feet of you that you can see must succeed on a Wisdom saving throw or be affected by one of the following effects of your choice for the duration. On each of your turns until the spell ends, you can use your action to target another creature but can’t target a creature again if it has succeeded on a saving throw against this casting of eyebite. Asleep. The target falls unconscious. It wakes up if it takes any damage or if another creature uses its action to shake the sleeper awake. Panicked. The target is frightened of you. On each of its turns, the frightened creature must take the Dash action and move away from you by the safest and shortest available route, unless there is nowhere to move. If the target moves to a place at least 60 feet away from you where it can no longer see you, this effect ends. Sickened. The target has disadvantage on attack rolls and ability checks. At the end of each of its turns, it can make another Wisdom saving throw. If it succeeds, the effect ends.</t>
  </si>
  <si>
    <t>You convert raw materials into products of the same material. For example, you can fabricate a wooden bridge from a clump of trees, a rope from a patch of hemp, and clothes from flax or wool. Choose raw materials that you can see within range. You can fabricate a Large or smaller object (contained within a 10-foot cube, or eight connected 5-foot cubes), given a sufficient quantity of raw material. If you are working with metal, stone, or another mineral substance, however, the fabricated object can be no larger than Medium (contained within a single 5-foot cube). The quality of objects made by the spell is commensurate with the quality of the raw materials. Creatures or magic items can’t be created or transmuted by this spell. You also can’t use it to create items that ordinarily require a high degree of craftsmanship, such as jewelry, weapons, glass, or armor, unless you have proficiency with the type of artisan’s tools used to craft such objects.</t>
  </si>
  <si>
    <t>Each object in a 20-foot cube within range is outlined in blue, green, or violet light (your choice). Any creature in the area when the spell is cast is also outlined in light if it fails a Dexterity saving throw. For the duration, objects and affected creatures shed dim light in a 10-foot radius. Any attack roll against an affected creature or object has advantage if the attacker can see it, and the affected creature or object can’t benefit from being invisible.</t>
  </si>
  <si>
    <t>Bolstering yourself with a necromantic facsimile of life, you gain 1d4+4 temporary hit points for the duration. At Higher Levels. When you cast this spell using a spell slot of 2nd level or higher, you gain 5 additional temporary hit points for each slot level above 1st.</t>
  </si>
  <si>
    <t>You project a phantasmal image of a creature’s worst fears. Each creature in a 30-foot cone must succeed on a Wisdom saving throw or drop whatever it is holding and become frightened for the duration. While frightened by this spell, a creature must take the Dash action and move away from you by the safest available route on each of its turns, unless there is nowhere to move. If the creature ends its turn in a location where it doesn’t have line of sight to you, the creature can make a Wisdom saving throw. On a successful save, the spell ends for that creature.</t>
  </si>
  <si>
    <t>You blast the mind of a creature that you can see within range, attempting to shatter its intellect and personality. The target takes 4d6 psychic damage and must make an Intelligence saving throw. On a failed save, the creature’s Intelligence and Charisma scores become 1. The creature can’t cast spells, activate magic items, understand language, or communicate in any intelligible way. The creature can, however, identify its friends, follow them, and even protect them. At the end of every 30 days, the creature can repeat its saving throw against this spell. If it succeeds on its saving throw, the spell ends. The spell can also be ended by greater restoration, heal, or wish.</t>
  </si>
  <si>
    <t>You touch a willing creature and put it into a cataleptic state that is indistinguishable from death. For the spell’s duration, or until you use an action to touch the target and dismiss the spell, the target appears dead to all outward inspection and to spells used to determine the target’s status. The target is blinded and incapacitated, and its speed drops to 0. The target has resistance to all damage except psychic damage. If the target is diseased or poisoned when you cast the spell, or becomes diseased or poisoned while under the spell’s effect, the disease and poison have no effect until the spell ends.</t>
  </si>
  <si>
    <t>You gain the service of a familiar, a spirit that takes an animal form you choose: bat, cat, crab, frog (toad), hawk, lizard, octopus, owl, poisonous snake, fish (quipper), rat, raven, sea horse, spider, or weasel. Appearing in an unoccupied space within range, the familiar has the statistics of the chosen form, though it is a celestial, fey, or fiend (your choice) instead of a beast. Your familiar acts independently of you, but it always obeys your commands. In combat, it rolls its own initiative and acts on its own turn. A familiar can’t attack, but it can take other actions as normal. When the familiar drops to 0 hit points, it disappears, leaving behind no physical form. It reappears after you cast this spell again. While your familiar is within 100 feet of you, you can communicate with it telepathically. Additionally, as an action, you can see through your familiar’s eyes and hear what it hears until the start of your next turn, gaining the benefits of any special senses that the familiar has. During this time, you are deaf and blind with regard to your own senses. As an action, you can temporarily dismiss your familiar. It disappears into a pocket dimension where it awaits your summons. Alternatively, you can dismiss it forever. As an action while it is temporarily dismissed, you can cause it to reappear in any unoccupied space within 30 feet of you. You can’t have more than one familiar at a time. If you cast this spell while you already have a familiar, you instead cause it to adopt a new form. Choose one of the forms from the above list. Your familiar transforms into the chosen creature. Finally, when you cast a spell with a range of touch, your familiar can deliver the spell as if it had cast the spell. Your familiar must be within 100 feet of you, and it must use its reaction to deliver the spell when you cast it. If the spell requires an attack roll, you use your attack modifier for the roll.</t>
  </si>
  <si>
    <t>You summon a spirit that assumes the form of an unusually intelligent, strong, and loyal steed, creating a long-lasting bond with it. Appearing in an unoccupied space within range, the steed takes on a form that you choose, such as a warhorse, a pony, a camel, an elk, or a mastiff. (Your DM might allow other animals to be summoned as steeds.) The steed has the statistics of the chosen form, though it is a celestial, fey, or fiend (your choice) instead of its normal type. Additionally, if your steed has an Intelligence of 5 or less, its Intelligence becomes 6, and it gains the ability to understand one language of your choice that you speak. Your steed serves you as a mount, both in combat and out, and you have an instinctive bond with it that allows you to fight as a seamless unit. While mounted on your steed, you can make any spell you cast that targets only you also target your steed. When the steed drops to 0 hit points, it disappears, leaving behind no physical form. You can also dismiss your steed at any time as an action, causing it to disappear. In either case, casting this spell again summons the same steed, restored to its hit point maximum. While your steed is within 1 mile of you, you can communicate with it telepathically. You can’t have more than one steed bonded by this spell at a time. As an action, you can release the steed from its bond at any time, causing it to disappear</t>
  </si>
  <si>
    <t>This spell allows you to find the shortest, most direct physical route to a specific fixed location that you are familiar with on the same plane of existence. If you name a destination on another plane of existence, a destination that moves (such as a mobile fortress), or a destination that isn’t specific (such as “a green dragon’s lair”), the spell fails. For the duration, as long as you are on the same plane of existence as the destination, you know how far it is and in what direction it lies. While you are traveling there, whenever you are presented with a choice of paths along the way, you automatically determine which path is the shortest and most direct route (but not necessarily the safest route) to the destination.</t>
  </si>
  <si>
    <t>You sense the presence of any trap within range that is within line of sight. A trap, for the purpose of this spell, includes anything that would inflict a sudden or unexpected effect you consider harmful or undesirable, which was specifically intended as such by its creator. Thus, the spell would sense an area affected by the alarm spell, a glyph of warding, or a mechanical pit trap, but it would not reveal a natural weakness in the floor, an unstable ceiling, or a hidden sinkhole. This spell merely reveals that a trap is present. You don’t learn the location of each trap, but you do learn the general nature of the danger posed by a trap you sense</t>
  </si>
  <si>
    <t>You send negative energy coursing through a creature that you can see within range, causing it searing pain. The target must make a Constitution saving throw. It takes 7d8+30 necrotic damage on a failed save, or half as much damage on a successful one. A humanoid killed by this spell rises at the start of your next turn as a zombie that is permanently under your command, following your verbal orders to the best of its ability.</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</si>
  <si>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</si>
  <si>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Thin and wispy flames wreathe your body for the duration, shedding bright light in a 10-foot radius and dim light for an additional 10 feet. You can end the spell early by using an action to dismiss it. The flames provide you with a warm shield or a chill shield, as you choose. The warm shield grants you resistance to cold damage, and the chill shield grants you resistance to fire damage. In addition, whenever a creature within 5 feet of you hits you with a melee attack, the shield erupts with flame. The attacker takes 2d8 fire damage from a warm shield, or 2d8 cold damage from a cold shield.</t>
  </si>
  <si>
    <t>A storm made up of sheets of roaring flame appears in a location you choose within range. The area of the storm consists of up to ten 10-foot cubes, which you can arrange as you wish. Each cube must have at least one face adjacent to the face of another cube. Each creature in the area must make a Dexterity saving throw. It takes 7d10 fire damage on a failed save, or half as much damage on a successful one. The fire damages objects in the area and ignites flammable objects that aren't being worn or carried. If you choose, plant life in the area is unaffected by this spell.</t>
  </si>
  <si>
    <t>A bright streak flashes from your pointing finger to a point you choose within range and then blossoms with a low roar into an explosion of flame. Each creature in a 20-foot-radius sphere centered on that point must make a Dexterity saving throw. A target takes 8d6 fire damage on a failed save, or half as much damage on a successful one. The fire spreads around corners. It ignites flammable objects in the area that aren't being worn or carried. At Higher Levels. When you cast this spell using a spell slot of 4th level or higher, the damage increases by 1d6 for each slot level above 3rd.</t>
  </si>
  <si>
    <t>You evoke a fiery blade in your free hand. The blade is similar in size and shape to a scimitar, and it lasts for the duration. If you let go of the blade, it disappears, but you can evoke the blade again as a bonus action. You can use your action to make a melee spell attack with the fiery blade. On a hit, the target takes 3d6 fire damage. The flaming blade sheds bright light in a 10-foot radius and dim light for an additional 10 feet. At Higher Levels. When you cast this spell using a spell slot of 4th level or higher, the damage increases by 1d6 for every two slot levels above 2nd.</t>
  </si>
  <si>
    <t>A vertical column of divine fire roars down from the heavens in a location you specify. Each creature in a 10-foot-radius, 40-foot-high cylinder centered on a point within range must make a Dexterity saving throw. A creature takes 4d6 fire damage and 4d6 radiant damage on a failed save, or half as much damage on a successful one. At Higher Levels. When you cast this spell using a spell slot of 6th level or higher, the fire damage or the radiant damage (your choice) increases by 1d6 for each slot level above 5th.</t>
  </si>
  <si>
    <t>A 5-foot-diameter sphere of fire appears in an unoccupied space of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wide. The sphere ignites flammable objects not being worn or carried, and it sheds bright light in a 20-foot radius and dim light for an additional 20 feet. At Higher Levels. When you cast this spell using a spell slot of 3rd level or higher, the damage increases by 1d6 for each slot level above 2nd.</t>
  </si>
  <si>
    <t>You attempt to turn one creature that you can see within range into stone. If the target’s body is made of flesh, the creature must make a Constitution saving throw. On a failed save, it is restrained as its flesh begins to harden. On a successful save, the creature isn’t affected. A creature restrained by this spell must make another Constitution saving throw at the end of each of its turns. If it successfully saves against this spell three times, the spell ends. If it fails its saves three times, it is turned to stone and subjected to the petrified condition for the duration. The successes and failures don’t need to be consecutive; keep track of both until the target collects three of a kind. If the creature is physically broken while petrified, it suffers from similar deformities if it reverts to its original state. If you maintain your concentration on this spell for the entire possible duration, the creature is turned to stone until the effect is removed.</t>
  </si>
  <si>
    <t>You touch a willing creature. The target gains a flying speed of 60 feet for the duration. When the spell ends, the target falls if it is still aloft, unless it can stop the fall. At Higher Levels. When you cast this spell using a spell slot of 4th level or higher, you can target one additional creature for each slot level above 3rd.</t>
  </si>
  <si>
    <t>You create a 20-foot-radius sphere of fog centered on a point within range. The sphere spreads around corners, and its area is heavily obscured. It lasts for the duration or until a wind of moderate or greater speed (at least 10 miles per hour) disperses it. At Higher Levels. When you cast this spell using a spell slot of 2nd level or higher, the radius of the fog increases by 20 feet for each slot level above 1st.</t>
  </si>
  <si>
    <t>You create a ward against magical travel that protects up to 40,000 square feet of floor space to a height of 30 feet above the floor. For the duration, creatures can’t teleport into the area or use portals, such as those created by the gate spell, to enter the area. The spell proofs the area against planar travel, and therefore prevents creatures from accessing the area by way of the Astral Plane, Ethereal Plane, Feywild, Shadowfell, or the plane shift spell. In addition, the spell damages types of creatures that you choose when you cast it. Choose one or more of the following: celestials, elementals, fey, fiends, and undead. When a chosen creature enters the spell’s area for the first time on a turn or starts its turn there, the creature takes 5d10 radiant or necrotic damage (your choice when you cast this spell). When you cast this spell, you can designate a password. A creature that speaks the password as it enters the area takes no damage from the spell. The spell’s area can't overlap with the area of another forbiddance spell. If you cast forbiddance every day for 30 days in the same location, the spell lasts until it is dispelled, and the material components are consumed on the last casting.</t>
  </si>
  <si>
    <t>An immobile, invisible, cube-shaped prison composed of magical force springs into existence around an area you choose within range. The prison can be a cage or a solid box, as you choose. A prison in the shape of a cage can be up to 20 feet on a side and is made from 1/2 inch diameter bars spaced 1/2 inch apart. A prison in the shape of a box can be up to 10 feet on a side, creating a solid barrier that prevents any matter from passing through it and blocking any spells cast into or out from the area. When you cast the spell, any creature that is completely inside the cage's area is trapped. Creatures only partially within the area, or those too large to fit inside the area, are pushed away from the center of the area until they are completely outside the area. A creature inside the cage can’t leave it by nonmagical means. If the creature tries to use teleportation or interplanar travel to leave the cage, it must first make a Charisma saving throw. On a success, the creature can use that magic to exit the cage. On a failure, the creature can't exit the cage and wastes the use of the spell or effect. The cage also extends into the Ethereal Plane, blocking ethereal travel. This spell can’t be dispelled by dispel magic.</t>
  </si>
  <si>
    <t>You touch a willing creature and bestow a limited ability to see into the immediate future. For the duration, the target can’t be surprised and has advantage on attack rolls, ability checks, and saving throws. Additionally, other creatures have disadvantage on attack rolls against the target for the duration. This spell immediately ends if you cast it again before its duration ends.</t>
  </si>
  <si>
    <t>You touch a willing creature. For the duration, the target’s movement is unaffected by difficult terrain, and spells and other magical effects can neither reduce the target’s speed nor cause the target to be paralyzed or restrained. The target can also spend 5 feet of movement to automatically escape from nonmagical restraints, such as manacles or a creature that has it grappled. Finally, being underwater imposes no penalties on the target's movement or attacks.</t>
  </si>
  <si>
    <t>You transform a willing creature you touch, along with everything it’s wearing and carrying, into a misty cloud for the duration. The spell ends if the creature drops to 0 hit points. An incorporeal creature isn’t affected. While in this form, the target’s only method of movement is a flying speed of 10 feet. The target can enter and occupy the space of another creature. The target has resistance to nonmagical damage, and it has advantage on Strength, Dexterity, and Constitution saving throws. The target can pass through small holes, narrow openings, and even mere cracks, though it treats liquids as though they were solid surfaces. The target can't fall and remains hovering in the air even when stunned or otherwise incapacitated. While in the form of a misty cloud, the target can’t talk or manipulate objects, and any objects it was carrying or holding can’t be dropped, used, or otherwise interacted with. The target can’t attack or cast spells.</t>
  </si>
  <si>
    <t>You conjure a portal linking an unoccupied space you can see within range to a precise location on a different plane of existence. The portal is a circular opening, which you can make 5 to 20 feet in diameter. You can orient the portal in any direction you choose. The portal lasts for the duration. The portal has a front and a back on each plane where it appears. Travel through the portal is possible only by moving through its front. Anything that does so is instantly transported to the other plane, appearing in the unoccupied space nearest to the portal. Deities and other planar rulers can prevent portals created by this spell from opening in their presence or anywhere within their domains. When you cast this spell, you can speak the name of a specific creature (a pseudonym, title, or nickname doesn’t work). If that creature is on a plane other than the one you are on, the portal opens in the named creature’s immediate vicinity and draws the creature through it to the nearest unoccupied space on your side of the portal. You gain no special power over the creature, and it is free to act as the DM deems appropriate. It might leave, attack you, or help you.</t>
  </si>
  <si>
    <t>You place a magical command on a creature that you can see within range, forcing it to carry out some service or refrain from some action or course of activity as you decide. If the creature can understand you, it must succeed on a Wisdom saving throw or become charmed by you for the duration. While the creature is charmed by you, it takes 5d10 psychic damage each time it acts in a manner directly counter to your instructions, but no more than once each day. A creature that can't understand you is unaffected by the spell. You can issue any command you choose, short of an activity that would result in certain death. Should you issue a suicidal command, the spell ends. You can end the spell early by using an action to dismiss it. A remove curse, greater restoration, or wish spell also ends it. At Higher Levels. When you cast this spell using a spell slot of 7th or 8th level, the duration is 1 year. When you cast this spell using a spell slot of 9th level, the spell lasts until it is ended by one of the spells mentioned above.</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</si>
  <si>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</si>
  <si>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You transform up to ten centipedes, three spiders, five wasps, or one scorpion within range into giant versions of their natural forms for the duration. A centipede becomes a giant centipede, a spider becomes a giant spider, a wasp becomes a giant wasp, and a scorpion becomes a giant scorpion. Each creature obeys your verbal commands, and in combat, they act on your turn each round. The DM has the statistics for these creatures and resolves their actions and movement. A creature remains in its giant size for the duration, until it drops to 0 hit points, or until you use an action to dismiss the effect on it. The DM might allow you to choose different targets. For example, if you transform a bee, its giant version might have the same statistics as a giant wasp.</t>
  </si>
  <si>
    <t>An immobile, faintly shimmering barrier springs into existence in a 10-foot radius around you and remains for the duration. Any spell of 5th level or lower cast from outside the barrier can't affect creatures or objects within it, even if the spell is cast using a higher level spell slot. Such a spell can target creatures and objects within the barrier, but the spell has no effect on them. Similarly, the area within the barrier is excluded from the areas affected by such spells. At Higher Levels. When you cast this spell using a spell slot of 7th level or higher, the barrier blocks spells of one level higher for each slot level above 6th.</t>
  </si>
  <si>
    <t>When you cast this spell, you inscribe a glyph that harms other creatures, either upon a surface (such as a table or a section of floor or wall) or within an object that can be closed (such as a book, a scroll, or a treasure chest) to conceal the glyph.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and requires a successful Intelligence (Investigation) check against your spell save DC to be found. You decide what triggers the glyph when you cast the spell. For glyphs inscribed on a surface, the most typical triggers include touching or standing on the glyph, removing another object covering the glyph, approaching within a certain distance of the glyph, or manipulating the object on which the glyph is inscribed. For glyphs inscribed within an object, the most common triggers include opening that object, approaching within a certain distance of the object, or seeing or reading the glyph. Once a glyph is triggered, this spell ends. You can further refine the trigger so the spell activates only under certain circumstances or according to physical characteristics (such as height or weight), creature kind (for example, the ward could be set to affect aberrations or drow), or alignment. You can also set conditions for creatures that don’t trigger the glyph, such as those who say a certain password. When you inscribe the glyph, choose explosive runes or a spell glyph. Explosive Runes. When triggered, the glyph erupts with magical energy in a 20-foot-radius sphere centered on the glyph. The sphere spreads around corners. Each creature in the area must make a Dexterity saving throw. A creature takes 5d8 acid, cold, fire, lightning, or thunder damage on a failed saving throw (your choice when you create the glyph), or half as much damage on a successful one. Spell Glyph. You can store a prepared spell of 3rd level or lower in the glyph by casting it as part of creating the glyph. The spell must target a single creature or an area. The spell being stored has no immediate effect when cast in this way. When the glyph is triggered, the stored spell is cast. If the spell has a target, it targets the creature that triggered the glyph. If the spell affects an area, the area is centered on that creature. If the spell summons hostile creatures or creates harmful objects or traps, they appear as close as possible to the intruder and attack it. If the spell requires concentration, it lasts until the end of its full duration. At Higher Levels. When you cast this spell using a spell slot of 4th level or higher, the damage of an explosive runes glyph increases by 1d8 for each slot level above 3rd. If you create a spell glyph, you can store any spell of up to the same level as the slot you use for the glyph of warding.</t>
  </si>
  <si>
    <t>You conjure a vine that sprouts from the ground in an unoccupied space of your choice that you can see within range. When you cast this spell, you can direct the vine to lash out at a creature within 30 feet of it that you can see. That creature must succeed on a Dexterity saving throw or be pulled 20 feet directly toward the vine. Until the spell ends, you can direct the vine to lash out at the same creature or another one as a bonus action on each of your turns.</t>
  </si>
  <si>
    <t>Slick grease covers the ground in a 10-foot square centered on a point within range and turns it into difficult terrain for the duration. When the grease appears, each creature standing in its area must succeed on a Dexterity saving throw or fall prone. A creature that enters the area or ends its turn there must also succeed on a Dexterity saving throw or fall prone.</t>
  </si>
  <si>
    <t>You imbue a creature you touch with positive energy to undo a debilitating effect. You can reduce the target’s exhaustion level by one, or end one of the following effects on the target: • One effect that charmed or petrified the target • One curse, including the target’s attunement to a cursed magic item • Any reduction to one of the target’s ability scores • One effect reducing the target’s hit point maximum</t>
  </si>
  <si>
    <t>A Large spectral guardian appears and hovers for the duration in an unoccupied space of your choice that you can see within range. The guardian occupies that space and is indistinct except for a gleaming sword and shield emblazoned with the symbol of your deity. Any creature hostile to you that moves to a space within 10 feet of the guardian for the first time on a turn must succeed on a Dexterity saving throw. The creature takes 20 radiant damage on a failed save, or half as much damage on a successful one. The guardian vanishes when it has dealt a total of 60 damage.</t>
  </si>
  <si>
    <t>You create a ward that protects up to 2,500 square feet of floor space (an area 50 feet square, or one hundred 5-foot squares or twenty-five 10-foot squares). The warded area can be up to 20 feet tall, and shaped as you desire. You can ward several stories of a stronghold by dividing the area among them, as long as you can walk into each contiguous area while you are casting the spell. When you cast this spell, you can specify individuals that are unaffected by any or all of the effects that you choose. You can also specify a password that, when spoken aloud, makes the speaker immune to these effects. Guards and wards creates the following effects within the warded area. Corridors. Fog fills all the warded corridors, making them heavily obscured. In addition, at each intersection or branching passage offering a choice of direction, there is a 50 percent chance that a creature other than you will believe it is going in the opposite direction from the one it chooses. Doors. All doors in the warded area are magically locked, as if sealed by an arcane lock spell. In addition, you can cover up to ten doors with an illusion (equivalent to the illusory object function of the minor illusion spell) to make them appear as plain sections of wall. Stairs. Webs fill all stairs in the warded area from top to bottom, as the web spell. These strands regrow in 10 minutes if they are burned or torn away while guards and wards lasts. Other Spell Effect. You can place your choice of one of the following magical effects within the warded area of the stronghold. • Place dancing lights in four corridors. You can designate a simple program that the lights repeat as long as guards and wards lasts. • Place magic mouth in two locations. • Place stinking cloud in two locations. The vapors appear in the places you designate; they return within 10 minutes if dispersed by wind while guards and wards lasts. • Place a constant gust of wind in one corridor or room.</t>
  </si>
  <si>
    <t>A flash of light streaks toward a creature of your choice within range. Make a ranged spell attack against the target. On a hit, the target takes 4d6 radiant damage, and the next attack roll made against this target before the end of your next turn has advantage, thanks to the mystical dim light glittering on the target until then. At Higher Levels. When you cast this spell using a spell slot of 2nd level or higher, the damage increases by 1d6 for each slot level above 1st.</t>
  </si>
  <si>
    <t>A line of strong wind 60 feet long and 10 feet wide blasts from you in a direction you choose for the spell’s duration. Each creature that starts its turn in the line must succeed on a Strength saving throw or be pushed 15 feet away from you in a direction following the line. Any creature in the line must spend 2 feet of movement for every 1 foot it moves when moving closer to you. The gust disperses gas or vapor, and it extinguishes candles, torches, and similar unprotected flames in the area. It causes protected flames, such as those of lanterns, to dance wildly and has a 50 percent chance to extinguish them. As a bonus action on each of your turns before the spell ends, you can change the direction in which the line blasts from you.</t>
  </si>
  <si>
    <t>The next time you hit a creature with a ranged weapon attack before the spell ends, this spell creates a rain of thorns that sprouts from your ranged weapon or ammunition. In addition to the normal effect of the attack, the target of the attack and each creature within 5 feet of it must make a Dexterity saving throw. A creature takes 1d10 piercing damage on a failed save, or half as much damage on a successful one. At Higher Levels. If you cast this spell using a spell slot of 2nd level or higher, the damage increases by 1d10 for each slot level above 1st (to a maximum of 6d10).</t>
  </si>
  <si>
    <t>You touch a point and infuse an area around it with holy (or unholy) power. The area can have a radius up to 60 feet, and the spell fails if the radius includes an area already under the effect a hallow spell. The affected area is subject to the following effects. First, celestials, elementals, fey, fiends, and undead can’t enter the area, nor can such creatures charm, frighten, or possess creatures within it. Any creature charmed, frightened, or possessed by such a creature is no longer charmed, frightened, or possessed upon entering the area. You can exclude one or more of those types of creatures from this effect. Second, you can bind an extra effect to the area. Choose the effect from the following list, or choose an effect offered by the DM. Some of these effects apply to creatures in the area; you can designate whether the effect applies to all creatures, creatures that follow a specific deity or leader, or creatures of a specific sort, such as ores or trolls. When a creature that would be affected enters the spell’s area for the first time on a turn or starts its turn there, it can make a Charisma saving throw. On a success, the creature ignores the extra effect until it leaves the area. Courage. Affected creatures can’t be frightened while in the area. Darkness. Darkness fills the area. Normal light, as well as magical light created by spells of a lower level than the slot you used to cast this spell, can’t illuminate the area. Daylight. Bright light fills the area. Magical darkness created by spells of a lower level than the slot you used to cast this spell can’t extinguish the light. Energy Protection. Affected creatures in the area have resistance to one damage type of your choice, except for bludgeoning, piercing, or slashing. Energy Vulnerability. Affected creatures in the area have vulnerability to one damage type of your choice, except for bludgeoning, piercing, or slashing. Everlasting Rest. Dead bodies interred in the area can’t be turned into undead. Extradimensional Interference. Affected creatures can’t move or travel using teleportation or by extradimensional or interplanar means. Fear. Affected creatures are frightened while in the area. Silence. No sound can emanate from within the area, and no sound can reach into it. Tongues. Affected creatures can communicate with any other creature in the area, even if they don’t share a common language.</t>
  </si>
  <si>
    <t>You make natural terrain in a 150-foot cube in range look, sound, and smell like some other sort of natural terrain. Thus, open fields or a road can be made to resemble a swamp, hill, crevasse, or some other difficult or impassable terrain. A pond can be made to seem like a grassy meadow, a precipice like a gentle slope, or a rock-strewn gully like a wide and smooth road. Manufactured structures, equipment, and creatures within the area aren’t changed in appearance. The tactile characteristics of the terrain are unchanged, so creatures entering the area are likely to see through the illusion. If the difference isn’t obvious by touch, a creature carefully examining the illusion can attempt an Intelligence (Investigation) check against your spell save DC to disbelieve it. A creature who discerns the illusion for what it is, sees it as a vague image superimposed on the terrain.</t>
  </si>
  <si>
    <t>Choose a willing creature that you can see within range. Until the spell ends, the target’s speed is doubled, it gains a +2 bonus to AC, it has advantage on Dexterity saving throws, and it gains an additional action on each of its turns. That action can be used only to take the Attack (one weapon attack only), Dash, Disengage, Hide, or Use an Object action. When the spell ends, the target can’t move or take actions until after its next turn, as a wave of lethargy sweeps over it.</t>
  </si>
  <si>
    <t>Choose a creature that you can see within range. A surge of positive energy washes through the creature, causing it to regain 70 hit points. This spell also ends blindness, deafness, and any diseases affecting the target. This spell has no effect on constructs or undead. At Higher Levels. When you cast this spell using a spell slot of 7th level or higher, the amount of healing increases by 10 for each slot level above 6th.</t>
  </si>
  <si>
    <t>A creature of your choice that you can see within range regains hit points equal to 1d4 + your spellcasting ability modifier. This spell has no effect on undead or constructs. At Higher Levels. When you cast this spell using a spell slot of 2nd level or higher, the healing increases by 1d4 for each slot level above 1st.</t>
  </si>
  <si>
    <t>Choose a manufactured metal object, such as a metal weapon or a suit of heavy or medium metal armor, that you can see within range. You cause the object to glow red-hot. Any creature in physical contact with the object takes 2d8 fire damage when you cast the spell. Until the spell ends, you can use a bonus action on each of your subsequent turns to cause this damage again. At Higher Levels. When you cast this spell using a spell slot of 2nd level or higher, you can target one additional creature for each slot level above 1st</t>
  </si>
  <si>
    <t>You point your finger, and the creature that damaged you is momentarily surrounded by hellish flames. The creature must make a Dexterity saving throw. It takes 2d10 fire damage on a failed save, or half as much damage on a successful one. At Higher Levels. When you cast this spell using a spell slot of 2nd level or higher, the damage increases by 1d10 for each slot level above 1st.</t>
  </si>
  <si>
    <t>You bring forth a great feast, including magnificent food and drink. The feast takes 1 hour to consume and disappears at the end of that time, and the beneficial effects don’t set in until this hour is over. Up to twelve other creatures can partake of the feast. A creature that partakes of the feast gains several benefits. The creature is cured of all diseases and poison, becomes immune to poison and being frightened, and makes all Wisdom saving throws with advantage. Its hit point maximum also increases by 2d10, and it gains the same number of hit points. These benefits last for 24 hours.</t>
  </si>
  <si>
    <t>A willing creature you touch is imbued with bravery. Until the spell ends, the creature is immune to being frightened and gains temporary hit points equal to your spellcasting ability modifier at the start of each of its turns. When the spell ends, the target loses any remaining temporary hit points from this spell. At Higher Levels. W hen you cast this spell using a spell slot of 2nd level or higher, you can target one additional creature for each slot level above 1st.</t>
  </si>
  <si>
    <t>You place a curse on a creature that you can see within range. Until the spell ends, you deal an extra 1d6 necrotic damage to the target whenever you hit it with an attack. Also, choose one ability when you cast the spell. The target has disadvantage on ability checks made with the chosen ability. If the target drops to 0 hit points before this spell ends, you can use a bonus action on a subsequent turn of yours to curse a new creature. A remove curse cast on the target ends this spell early. At Higher Levels. When you cast this spell using a spell slot of 3rd or 4th level, you can maintain your concentration on the spell for up to 8 hours. When you use a spell slot of 5th level or higher, you can maintain your concentration on the spell for up to 24 hours.</t>
  </si>
  <si>
    <t>Choose a creature that you can see within range. The target must succeed on a Wisdom saving throw or be paralyzed for the duration. This spell has no effect on undead. At the end of each of its turns, the target can make another Wisdom saving throw. On a success, the spell ends on the target. At Higher Levels. When you cast this spell using a spell slot of 6th level or higher, you can target one additional creature for each slot level above 5th. The creatures must be within 30 feet of each other when you target them.</t>
  </si>
  <si>
    <t>Choose a humanoid that you can see within range. The target must succeed on a Wisdom saving throw or be paralyzed for the duration. At the end of each of its turns, the target can make another Wisdom saving throw. On a success, the spell ends on the target. At Higher Levels. When you cast this spell using a spell slot of 3rd level or higher, you can target one additional humanoid for each slot level above 2nd. The humanoids must be within 30 feet of each other when you target them.</t>
  </si>
  <si>
    <t>You open a gateway to the dark between the stars, a region infested with unknown horrors. A 20-foot-radius sphere of blackness and bitter cold appears, centered on a point with range and lasting for the duration. This void is filled with a cacophony of soft whispers and slurping noises that can be heard up to 30 feet away. No light, magical or otherwise, can illuminate the area, and creatures fully within the area are blinded. The void creates a warp in the fabric of space, and the area is difficult terrain. Any creature that starts its turn in the area takes 2d6 cold damage. Any creature that ends its turn in the area must succeed on a Dexterity saving throw or take 2d6 acid damage as milky, otherworldly tentacles rub against it.</t>
  </si>
  <si>
    <t>You choose a creature you can see within range and mystically mark it as your quarry. Until the spell ends, you deal an extra 1d6 damage to the target whenever you hit it with a weapon attack, and you have advantage on any Wisdom (Perception) or Wisdom (Survival) check you make to find it. If the target drops to 0 hit points before this spell ends, you can use a bonus action on a subsequent turn of yours to mark a new creature. At Higher Levels. When you cast this spell using a spell slot of 3rd or 4th level, you can maintain your concentration on the spell for up to 8 hours. When you use a spell slot of 5th level or higher, you can maintain your concentration on the spell for up to 24 hours.</t>
  </si>
  <si>
    <t>You create a twisting pattern of colors that weaves through the air inside a 30-foot cube within range. The pattern appears for a moment and vanishes. Each creature in the area who sees the pattern must make a Wisdom saving throw. On a failed save, the creature becomes charmed for the duration. While charmed by this spell, the creature is incapacitated and has a speed of 0. The spell ends for an affected creature if it takes any damage or if someone else uses an action to shake the creature out of its stupor.</t>
  </si>
  <si>
    <t>A hail of rock-hard ice pounds to the ground in a 20-foot-radius, 40-foot-high cylinder centered on a point within range. Each creature in the cylinder must make a Dexterity saving throw. A creature takes 2d8 bludgeoning damage and 4d6 cold damage on a failed save, or half as much damage on a successful one. Hailstones turn the storm's area of effect into difficult terrain until the end of your next turn. At Higher Levels. When you cast this spell using a spell slot of 5th level or higher, the bludgeoning damage increases by 1d8 for each slot level above 4th.</t>
  </si>
  <si>
    <t>You choose one object that you must touch throughout the casting of the spell. If it is a magic item or some other magic-imbued object, you learn its properties and how to use them, whether it requires attunement to use, and how many charges it has, if any. You learn whether any spells are affecting the item and what they are. If the item was created by a spell, you learn which spell created it. If you instead touch a creature throughout the casting, you learn what spells, if any, are currently affecting it.</t>
  </si>
  <si>
    <t>You write on parchment, paper, or some other suitable writing material and imbue it with a potent illusion that lasts for the duration. To you and any creatures you designate when you cast the spell, the writing appears normal, written in your hand, and conveys whatever meaning you intended when you wrote the text. To all others, the writing appears as if it were written in an unknown or magical script that is unintelligible. Alternatively, you can cause the writing to appear to be an entirely different message, written in a different hand and language, though the language must be one you know. Should the spell be dispelled, the original script and the illusion both disappear. A creature with truesight can read the hidden message.</t>
  </si>
  <si>
    <t>You create a magical restraint to hold a creature that you can see within range. The target must succeed on a Wisdom saving throw or be bound by the spell; if it succeeds, it is immune to this spell if you cast it again. While affected by this spell, the creature doesn't need to breathe, eat, or drink, and it doesn’t age. Divination spells can’t locate or perceive the target. When you cast the spell, you choose one of the following forms of imprisonment. Burial. The target is entombed far beneath the earth in a sphere of magical force that is just large enough to contain the target. Nothing can pass through the sphere, nor can any creature teleport or use planar travel to get into or out of it. The special component for this version of the spell is a small mithral orb. Chaining. Heavy chains, firmly rooted in the ground, hold the target in place. The target is restrained until the spell ends, and it can’t move or be moved by any means until then. The special component for this version of the spell is a fine chain of precious metal. Hedged Prison. The spell transports the target into a tiny demiplane that is warded against teleportation and planar travel. The demiplane can be a labyrinth, a cage, a tower, or any similar confined structure or area of your choice. The special component for this version of the spell is a miniature representation of the prison made from jade. Minimus Containment. The target shrinks to a height of 1 inch and is imprisoned inside a gemstone or similar object. Light can pass through the gemstone normally (allowing the target to see out and other creatures to see in), but nothing else can pass through, even by means of teleportation or planar travel. The gemstone can’t be cut or broken while the spell remains in effect. The special component for this version of the spell is a large, transparent gemstone, such as a corundum, diamond, or ruby. Slumber. The target falls asleep and can’t be awoken. The special component for this version of the spell consists of rare soporific herbs. Ending the Spell. During the casting of the spell, in any of its versions, you can specify a condition that will cause the spell to end and release the target. The condition can be as specific or as elaborate as you choose, but the DM must agree that the condition is reasonable and has a likelihood of coming to pass. The conditions can be based on a creature’s name, identity, or deity but otherwise must be based on observable actions or qualities and not based on intangibles such as level, class, or hit points. A dispel magic spell can end the spell only if it is cast as a 9th-level spell, targeting either the prison or the special component used to create it. You can use a particular special component to create only one prison at a time. If you cast the spell again using the same component, the target of the first casting is immediately freed from its binding.</t>
  </si>
  <si>
    <t>swirling cloud of smoke shot through with white-hot embers appears in a 20-foot-radius sphere centered on a point within range. The cloud spreads around corners and is heavily obscured. It lasts for the duration or until a wind of moderate or greater speed (at least 10 miles per hour) disperses it. When the cloud appears, each creature in it must make a Dexterity saving throw. A creature takes 10d8 fire damage on a failed save, or half as much damage on a successful one. A creature must also make this saving throw when it enters the spell’s area for the first time on a turn or ends its turn there. The cloud moves 10 feet directly away from you in a direction that you choose at the start of each of your turns.</t>
  </si>
  <si>
    <t>Make a melee spell attack against a creature you can reach. On a hit, the target takes 3d10 necrotic damage. At Higher Levels. When you cast this spell using a spell slot of 2nd level or higher, the damage increases by 1d10 for each slot level above 1st.</t>
  </si>
  <si>
    <t>Swarming, biting locusts fill a 20-foot-radius sphere centered on a point you choose within range. The sphere spreads around corners. The sphere remains for the duration, and its area is lightly obscured. The sphere’s area is difficult terrain. When the area appears, each creature in it must make a Constitution saving throw. A creature takes 4d10 piercing damage on a failed save, or half as much damage on a successful one. A creature must also make this saving throw when it enters the spell’s area for the first time on a turn or ends its turn there. At Higher Levels. When you cast this spell using a spell slot of 6th level or higher, the damage increases by 1d10 for each slot level above 5th.</t>
  </si>
  <si>
    <t>A creature you touch becomes invisible until the spell ends. Anything the target is wearing or carrying is invisible as long as it is on the target’s person. The spell ends for a target that attacks or casts a spell. At Higher Levels. When you cast this spell using a spell slot of 3rd level or higher, you can target one additional creature for each slot level above 2nd.</t>
  </si>
  <si>
    <t>Choose an object that you can see within range. The object can be a door, a box, a chest, a set of manacles, a padlock, or another object that contains a mundane or magical means that prevents access. A target that is held shut by a mundane lock or that is stuck or barred becomes unlocked, unstuck, or unbarred. If the object has multiple locks, only one of them is unlocked. If you choose a target that is held shut with arcane lock, that spell is suppressed for 10 minutes, during which time the target can be opened and shut normally. When you cast the spell, a loud knock, audible from as far away as 300 feet, emanates from the target object.</t>
  </si>
  <si>
    <t>Name or describe a person, place, or object. The spell brings to your mind a brief summary of the significant lore about the thing you named. The lore might consist of current tales, forgotten stories, or even secret lore that has never been widely known. If the thing you named isn’t of legendary importance, you gain no information. The more information you already have about the thing, the more precise and detailed the information you receive is. The information you learn is accurate but might be couched in figurative language. For example, if you have a mysterious magic axe on hand, the spell might yield this information: “Woe to the evildoer whose hand touches the axe, for even the haft slices the hand of the evil ones. Only a true Child of Stone, lover and beloved of Moradin, may awaken the true powers of the axe, and only with the sacred word Rudnogg on the lips.”</t>
  </si>
  <si>
    <t>You hide a chest, and all its contents, on the Ethereal Plane. You must touch the chest and the miniature replica that serves as a material component for the spell. The chest can contain up to 12 cubic feet of nonliving material (3 feet by 2 feet by 2 feet). While the chest remains on the Ethereal Plane, you can use an action and touch the replica to recall the chest. It appears in an unoccupied space on the ground within 5 feet of you. You can send the chest back to the Ethereal Plane by using an action and touching both the chest and the replica. After 60 days, there is a cumulative 5 percent chance per day that the spell's effect ends. This effect ends if you cast this spell again, if the smaller replica chest is destroyed, or if you choose to end the spell as an action. If the spell ends and the larger chest is on the Ethereal Plane, it is irretrievably lost.</t>
  </si>
  <si>
    <t>A 10-foot-radius immobile dome of force springs into existence around and above you and remains stationary for the duration. The spell ends if you leave its area. Nine creatures of Medium size or smaller can fit inside the dome with you. The spell fails if its area includes a larger creature or more than nine creatures. Creatures and objects within the dome when you cast this spell can move through it freely. All other creatures and objects are barred from passing through it. Spells and other magical effects can’t extend through the dome or be cast through it. The atmosphere inside the space is comfortable and dry, regardless of the weather outside. Until the spell ends, you can command the interior to become dimly lit or dark. The dome is opaque from the outside, of any color you choose, but it is transparent from the inside.</t>
  </si>
  <si>
    <t>One creature or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</si>
  <si>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You touch one object that is no larger than 10 feet in any dimension. Until the spell ends, the object sheds bright light in a 20-foot radius and dim light for an additional 20 feet. The light can be colored as you like. Completely covering the object with something opaque blocks the light. The spell ends if you cast it again or dismiss it as an action. If you target an object held or worn by a hostile creature, that creature must succeed on a Dexterity saving throw to avoid the spell.</t>
  </si>
  <si>
    <t>The next time you make a ranged weapon attack during the spell’s duration, the weapon’s ammunition, or the weapon itself if it’s a thrown weapon, transforms into a bolt of lightning. Make the attack roll as normal. The target takes 4d8 lightning damage on a hit, or half as much damage on a miss, instead of the weapon’s normal damage. Whether you hit or miss, each creature within 10 feet of the target must make a Dexterity saving throw. Each of these creatures takes 2d8 lightning damage on a failed save, or half as much damage on a successful one. The piece of ammunition or weapon then returns to its normal form. At Higher Levels. When you cast this spell using a spell slot of 4th level or higher, the damage for both effects of the spell increases by 1d8 for each slot level above 3rd.</t>
  </si>
  <si>
    <t>A stroke of lightning forming a line 100 feet long and 5 feet wide blasts out from you in a direction you choose. Each creature in the line must make a Dexterity saving throw. A creature takes 8d6 lightning damage on a failed save, or half as much damage on a successful one. The lightning ignites flammable objects in the area that aren’t being worn or carried. At Higher Levels. When you cast this spell using a spell slot of 4th level or higher, the damage increases by 1d6 for each slot level above 3rd.</t>
  </si>
  <si>
    <t>Describe or name a creature that is familiar to you. You sense the direction to the creature’s location, as long as that creature is within 1,000 feet of you. If the creature is moving, you know the direction of its movement. The spell can locate a specific creature known to you, or the nearest creature of a specific kind (such as a human or a unicorn), so long as you have seen such a creature up close—within 30 feet—at least once. If the creature you described or named is in a different form, such as being under the effects of a polymorph spell, this spell doesn’t locate the creature. This spell can’t locate a creature if running water at least 10 feet wide blocks a direct path between you and the creature.</t>
  </si>
  <si>
    <t>Describe or name an object that is familiar to you. You sense the direction to the object’s location, as long as that object is within 1,000 feet of you. If the object is in motion, you know the direction of its movement. The spell can locate a specific object known to you, as long as you have seen it up close—within 30 feet—at least once. Alternatively, the spell can locate the nearest object of a particular kind, such as a certain kind of apparel, jewelry, furniture, tool, or weapon. This spell can’t locate an object if any thickness of lead, even a thin sheet, blocks a direct path between you and the object.</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</si>
  <si>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</si>
  <si>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You create a 10-foot-radius, 20-foot-tall cylinder of magical energy centered on a point on the ground that you can see within range. Glowing runes appear wherever the cylinder intersects with the floor or other surface. Choose one or more of the following types of creatures: celestials, elementals, fey, fiends, or undead. The circle affects a creature of the chosen type in the following ways: • The creature can’t willingly enter the cylinder by nonmagical means. If the creature tries to use teleportation or interplanar travel to do so, it must first succeed on a Charisma saving throw. • The creature has disadvantage on attack rolls against targets within the cylinder. • Targets within the cylinder can’t be charmed, frightened, or possessed by the creature. When you cast this spell, you can elect to cause its magic to operate in the reverse direction, preventing a creature of the specified type from leaving the cylinder and protecting targets outside it. At Higher Levels. When you cast this spell using a spell slot of 4th level or higher, the duration increases by 1 hour for each slot level above 3rd.</t>
  </si>
  <si>
    <t>Your body falls into a catatonic state as your soul leaves it and enters the container you used for the spell’s material component. While your soul inhabits the container, you are aware of your surroundings as if you were in the container’s space. You can’t move or use reactions. The only action you can take is to project your soul up to 100 feet out of the container, either returning to your living body (and ending the spell) or attempting to possess a humanoids body. You can attempt to possess any humanoid within 100 feet of you that you can see (creatures warded by a protection from evil and good or magic circle spell can’t be possessed). The target must make a Charisma saving throw. On a failure, your soul moves into the target’s body, and the target’s soul becomes trapped in the container. On a success, the target resists your efforts to possess it, and you can’t attempt to possess it again for 24 hours. Once you possess a creature’s body, you control it. Your game statistics are replaced by the statistics of the creature, though you retain your alignment and your Intelligence, Wisdom, and Charisma scores. You retain the benefit of your own class features. If the target has any class levels, you can’t use any of its class features. Meanwhile, the possessed creature’s soul can perceive from the container using its own senses, but it can’t move or take actions at all. While possessing a body, you can use your action to return from the host body to the container if it is within 100 feet of you, returning the host creature’s soul to its body. If the host body dies while you’re in it, the creature dies, and you must make a Charisma saving throw against your own spellcasting DC. On a success, you return to the container if it is within 100 feet of you. Otherwise, you die. If the container is destroyed or the spell ends, your soul immediately returns to your body. If your body is more than 100 feet away from you or if your body is dead when you attempt to return to it, you die. If another creature’s soul is in the container when it is destroyed, the creature’s soul returns to its body if the body is alive and within 100 feet. Otherwise, that creature dies. When the spell ends, the container is destroyed.</t>
  </si>
  <si>
    <t>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level above 1st.</t>
  </si>
  <si>
    <t>You implant a message within an object in range, a message that is uttered when a trigger condition is met. Choose an object that you can see and that isn’t being worn or carried by another creature. Then speak the message, which must be 25 words or less, though it can be delivered over as long as 10 minutes. Finally, determine the circumstance that will trigger the spell to deliver your message. When that circumstance occurs, a magical mouth appears on the object and recites the message in your voice and at the same volume you spoke. If the object you chose has a mouth or something that looks like a mouth (for example, the mouth of a statue), the magical mouth appears there so that the words appear to come from the object’s mouth. When you cast this spell, you can have the spell end after it delivers its message, or it can remain and repeat its message whenever the trigger occurs. The triggering circumstance can be as general or as detailed as you like, though it must be based on visual or audible conditions that occur within 30 feet of the object. For example, you could instruct the mouth to speak when any creature moves within 30 feet of the object or when a silver bell rings within 30 feet of it.</t>
  </si>
  <si>
    <t>You create the image of an object, a creature, or some other visible phenomenon that is no larger than a 20-foot cube. The image appears at a spot that you can see within range and lasts for the duration. It seems completely real, including sounds, smells, and temperature appropriate to the thing depicted. You can’t create sufficient heat or cold to cause damage, a sound loud enough to deal thunder damage or deafen a creature, or a smell that might sicken a creature (like a troglodyte’s stench). As long as you are within range of the illusion, you can use your action to cause the image to move to any other spot within range. As the image changes location, you can alter its appearance so that its movements appear natural for the image. For example, if you create an image of a creature and move it, you can alter the image so that it appears to be walking. Similarly, you can cause the illusion to make different sounds at different times, even making it carry on a conversation, for example.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its other sensory qualities become faint to the creature. At Higher Levels. When you cast this spell using a spell slot of 6th level or higher, the spell lasts until dispelled, without requiring your concentration.</t>
  </si>
  <si>
    <t>A wave of healing energy washes out from a point of your choice within range. Choose up to six creatures in a 30-foot-radius sphere centered on that point. Each target regains hit points equal to 3d8 + your spellcasting ability modifier. This spell has no effect on undead or constructs. At Higher Levels. When you cast this spell using a spell slot of 6th level or higher, the healing increases by 1d8 for each slot level above 5th.</t>
  </si>
  <si>
    <t>As you call out words of restoration, up to six creatures of your choice that you can see within range regain hit points equal to 1d4 + your spellcasting ability modifier. This spell has no effect on undead or constructs. At Higher Levels. When you cast this spell using a spell slot of 4th level or higher, the healing increases by 1d4 for each slot level above 3rd.</t>
  </si>
  <si>
    <t>You suggest a course of activity (limited to a sentence or two) and magically influence up to twelve creatures of your choice that you can see within range and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automatically negates the effect of the spell. Each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group of soldiers give all their money to the first beggar they meet. If the condition isn’t met before the spell ends, the activity isn’t performed. If you or any of your companions damage a creature affected by this spell, the spell ends for that creature. At Higher Levels. When you cast this spell using a 7th-level spell slot, the duration is 10 days. When you use an 8th-level spell slot, the duration is 30 days. When you use a 9th-level spell slot, the duration is a year and a day.</t>
  </si>
  <si>
    <t>You banish a creature that you can see within range into a labyrinthine demiplane. The target remains there for the duration or until it escapes the maze. The target can use its action to attempt to escape. When it does so, it makes a DC 20 Intelligence check. If it succeeds, it escapes, and the spell ends (a minotaur or goristro demon automatically succeeds). When the spell ends, the target reappears in the space it left or, if that space is occupied, in the nearest unoccupied space.</t>
  </si>
  <si>
    <t>You step into a stone object or surface large enough to fully contain your body, melding yourself and all the equipment you carry with the stone for the duration. Using your movement, you step into the stone at a point you can touch. Nothing of your presence remains visible or otherwise detectable by nonmagical senses. While merged with the stone, you can’t see what occurs outside it, and any Wisdom (Perception) checks you make to hear sounds outside it are made with disadvantage. You remain aware of the passage of time and can cast spells on yourself while merged in the stone. You can use your movement to leave the stone where you entered it, which ends the spell. You otherwise can’t move. Minor physical damage to the stone doesn’t harm you, but its partial destruction or a change in its shape (to the extent that you no longer fit within it) expels you and deals 6d6 bludgeoning damage to you. The stone’s complete destruction (or transmutation into a different substance) expels you and deals 50 bludgeoning damage to you. If expelled, you fall prone in an unoccupied space closest to where you first entered.</t>
  </si>
  <si>
    <t>A shimmering green arrow streaks toward a target within range and bursts in a spray of acid. Make a ranged spell attack against the target. On a hit, the target takes 4d4 acid damage immediately and 2d4 acid damage at the end of its next turn. On a miss, the arrow splashes the target with acid for half as much of the initial damage and no damage at the end of its next turn. At Higher Levels. When you cast this spell using a spell slot of 3rd level or higher, the damage (both initial and later) increases by 1d4 for each slot level above 2nd.</t>
  </si>
  <si>
    <t>You point your finger toward a creature within range and whisper a message. The target (and only the target) hears the message and can reply in a whisper that only you can hear. You can cast this spell through solid objects if you are familiar with the target and know it is beyond the barrier. Magical silence. 1 foot of stone, 1 inch of common metal, a thin sheet of lead, or 3 feet of wood blocks the spell. The spell doesn’t have to follow a straight line and can travel freely around corners or through openings.</t>
  </si>
  <si>
    <t>You create a sound or an image of an object within range that lasts for the duration. The illusion also ends if you dismiss it as an action or cast this spell again. If you create a sound, its volume can range from a whisper to a scream. It can be your voice, someone else’s voice, a lion’s roar, a beating of drums, or any other sound you choose. The sound continues unabated throughout the duration, or you can make discrete sounds at different times before the spell ends. If you create an image of an object—such as a chair, muddy footprints, or a small chest—it must be no larger than a 5-foot cube. The image can’t create sound, light, smell, or any other sensory effect. Physical interaction with the image reveals it to be an illusion, because things can pass through it. If a creature uses its action to examine the sound or image, the creature can determine that it is an illusion with a successful Intelligence (Investigation) check against your spell save DC. If a creature discerns the illusion for what it is, the illusion becomes faint to the creature.</t>
  </si>
  <si>
    <t>You make terrain in an area up to 1 mile square look, sound, smell, and even feel like some other sort of terrain. The terrain’s general shape remains the same, however. Open fields or a road could be made to resemble a swamp, hill, crevasse, or some other difficult or impassable terrain. A pond can be made to seem like a grassy meadow, a precipice like a gentle slope, or a rock-strewn gully like a wide and smooth road. Similarly, you can alter the appearance of structures, or add them where none are present. The spell doesn’t disguise, conceal, or add creatures. The illusion includes audible, visual, tactile, and olfactory elements, so it can turn clear ground into difficult terrain (or vice versa) or otherwise impede movement through the area. Any piece of the illusory terrain (such as a rock or stick) that is removed from the spell’s area disappears immediately. Creatures with truesight can see through the illusion to the terrain’s true form; however, all other elements of the illusion remain, so while the creature is aware of the illusion’s presence, the creature can still physically interact with the illusion.</t>
  </si>
  <si>
    <t>Three illusory duplicates of yourself appear in your space. Until the spell ends, the duplicates move with you and mimic your actions, shifting position so it’s impossible to track which image is real. You can use your action to dismiss the illusory duplicates. Each time a creature targets you with an attack during the spell’s duration, roll a d20 to determine whether the attack instead targets one of your duplicates. If you have three duplicates, you must roll a 6 or higher to change the attack’s target to a duplicate. With two duplicates, you must roll an 8 or higher. With one duplicate, you must roll an 11 or higher. A duplicate’s AC equals 10 + your Dexterity modifier. If an attack hits a duplicate, the duplicate is destroyed. A duplicate can be destroyed only by an attack that hits it. It ignores all other damage and effects. The spell ends when all three duplicates are destroyed. A creature is unaffected by this spell if it can’t see, if it relies on senses other than sight, such as blindsight, or if it can perceive illusions as false, as with truesight.</t>
  </si>
  <si>
    <t>You become invisible at the same time that an illusory double of you appears where you are standing. The double lasts for the duration, but the invisibility ends if you attack or cast a spell. You can use your action to move your illusory double up to twice your speed and make it gesture, speak, and behave in whatever way you choose. You can see through its eyes and hear through its ears as if you were located where it is. On each of your turns as a bonus action, you can switch from using its senses to using your own, or back again. While you are using its senses, you are blinded and deafened in regard to your own surroundings.</t>
  </si>
  <si>
    <t>You attempt to reshape another creature’s memories. One creature that you can see must make a Wisdom saving throw. If you are fighting the creature, it has advantage on the saving throw. On a failed save, the target becomes charmed by you for the duration. The charmed target is incapacitated and unaware of its surroundings, though it can still hear you. If it takes any damage or is targeted by another spell, this spell ends, and none of the target’s memories are modified. While this charm lasts, you can affect the target’s memory of an event that it experienced within the last 24 hours and that lasted no more than 10 minutes. You can permanently eliminate all memory of the event, allow the target to recall the event with perfect clarity and exacting detail, change its memory of the details of the event, or create a memory of some other event. You must speak to the target to describe how its memories are affected, and it must be able to understand your language for the modified memories to take root. Its mind fills in any gaps in the details of your description. If the spell ends before you have finished describing the modified memories, the creature’s memory isn’t altered. Otherwise, the modified memories take hold when the spell ends. A modified memory doesn’t necessarily affect how a creature behaves, particularly if the memory contradicts the creature’s natural inclinations, alignment, or beliefs. An illogical modified memory, such as implanting a memory of how much the creature enjoyed dousing itself in acid, is dismissed, perhaps as a bad dream. The DM might deem a modified memory too nonsensical to affect a creature in a significant manner. A remove curse or greater restoration spell cast on the target restores the creature’s true memory. At Higher Levels. If you cast this spell using a spell slot of 6th level or higher, you can alter the target’s memories of an event that took place up to 7 days ago (6th level), 30 days ago (7th level), 1 year ago (8th level), or any time in the creature’s past (9th level).</t>
  </si>
  <si>
    <t>A silvery beam of pale light shines down in a 5-foot- radius, 40-foot-high cylinder centered on a point within range. Until the spell ends, dim light fills the cylinder. When a creature enters the spell’s area for the first time on a turn or starts its turn there, it is engulfed in ghostly flames that cause searing pain, and it must make a Constitution saving throw. It takes 2d10 radiant damage on a failed save, or half as much damage on a successful one. A shapechanger makes its saving throw with disadvantage. If it fails, it also instantly reverts to its original form and can’t assume a different form until it leaves the spell’s light. On each of your turns after you cast this spell, you can use an action to move the beam 60 feet in any direction. At Higher Levels. When you cast this spell using a spell slot of 3rd level or higher, the damage increases by 1d10 for each slot level above 2nd.</t>
  </si>
  <si>
    <t>You conjure a phantom watchdog in an unoccupied space that you can see within range, where it remains for the duration, until you dismiss it as an action, or until you move more than 100 feet away from it. The hound is invisible to all creatures except you and can't be harmed. When a Small or larger creature comes within 30 feet of it without first speaking the password that you specify when you cast this spell, the hound starts barking loudly. The hound sees invisible creatures and can see into the Ethereal Plane. It ignores illusions. At the start of each of your turns, the hound attempts to bite one creature within 5 feet of it that is hostile to you. The hound’s attack bonus is equal to your spellcasting ability modifier + your proficiency bonus. On a hit, it deals 4d8 piercing damage.</t>
  </si>
  <si>
    <t>You conjure an extradimensional dwelling in range that lasts for the duration. You choose where its one entrance is located. The entrance shimmers faintly and is 5 feet wide and 10 feet tall. You and any creature you designate when you cast the spell can enter the extradimensional dwelling as long as the portal remains open. You can open or close the portal if you are within 30 feet of it. While closed, the portal is invisible. Beyond the portal is a magnificent foyer with numerous chambers beyond. The atmosphere is clean, fresh, and warm. You can create any floor plan you like, but the space can’t exceed 50 cubes, each cube being 10 feet on each side. The place is furnished and decorated as you choose. It contains sufficient food to serve a nine- course banquet for up to 100 people. A staff of 100 near-transparent servants attends all who enter. You decide the visual appearance of these servants and their attire. They are completely obedient to your orders. Each servant can perform any task a normal human servant could perform, but they can’t attack or take any action that would directly harm another creature. Thus the servants can fetch things, clean, mend, fold clothes, light fires, serve food, pour wine, and so on. The servants can go anywhere in the mansion but can’t leave it. Furnishings and other objects created by this spell dissipate into smoke if removed from the mansion. When the spell ends, any creatures inside the extradimensional space are expelled into the open spaces nearest to the entrance.</t>
  </si>
  <si>
    <t>You make an area within range magically secure. The area is a cube that can be as small as 5 feet to as large as 100 feet on each side. The spell lasts for the duration or until you use an action to dismiss it. When you cast the spell, you decide what sort of security the spell provides, choosing any or all of the following properties: • Sound can't pass through the barrier at the edge of the warded area. • The barrier of the warded area appears dark and foggy, preventing vision (including darkvision) through it. • Sensors created by divination spells can’t appear inside the protected area or pass through the barrier at its perimeter. • Creatures in the area can’t be targeted by divination spells. • Nothing can teleport into or out of the warded area. • Planar travel is blocked within the warded area. Casting this spell on the same spot every day for a year makes this effect permanent. At Higher Levels. When you cast this spell using a spell slot of 5th level or higher, you can increase the size of the cube by 100 feet for each slot level beyond 4th. Thus you could protect a cube that can be up to 200 feet on one side by using a spell slot of 5th level.</t>
  </si>
  <si>
    <t>You create a sword-shaped plane of force that hovers within range. It lasts for the duration. When the sword appears, you make a melee spell attack against a target of your choice within 5 feet of the sword. On a hit. the target takes 3d10 force damage. Until the spell ends, you can use a bonus action on each of your turns to move the sword up to 20 feet to a spot you can see and repeat this attack against the same target or a different one.</t>
  </si>
  <si>
    <t>Choose an area of terrain no larger than 40 feet on a side within range. You can reshape dirt, sand, or clay in the area in any manner you choose for the duration. You can raise or lower the area’s elevation, create or fill in a trench, erect or flatten a wall, or form a pillar. The extent of any such changes can’t exceed half the area’s largest dimension. So, if you affect a 40-foot square, you can create a pillar up to 20 feet high, raise or lower the square’s elevation by up to 20 feet, dig a trench up to 20 feet deep, and so on. It takes 10 minutes for these changes to complete. At the end of every 10 minutes you spend concentrating on the spell, you can choose a new area of terrain to affect. Because the terrain’s transformation occurs slowly, creatures in the area can’t usually be trapped or injured by the ground’s movement. This spell can’t manipulate natural stone or stone construction. Rocks and structures shift to accommodate the new terrain. If the way you shape the terrain would make a structure unstable, it might collapse. Similarly, this spell doesn’t directly affect plant growth. The moved earth carries any plants along with it.</t>
  </si>
  <si>
    <t>You place an illusion on a creature or an object you touch so that divination spells reveal false information about it. The target can be a willing creature or an object that isn’t being carried or worn by another creature. When you cast the spell, choose one or both of the following effects. The effect lasts for the duration. If you cast this spell on the same creature or object every day for 30 days, placing the same effect on it each time, the illusion lasts until it is dispelled. False Aura. You change the way the target appears to spells and magical effects, such as detect magic, that detect magical auras. You can make a nonmagical object appear magical, a magical object appear nonmagical, or change the object’s magical aura so that it appears to belong to a specific school of magic that you choose. When you use this effect on an object, you can make the false magic apparent to any creature that handles the item. Mask. You change the way the target appears to spells and magical effects that detect creature types, such as a paladin’s Divine Sense or the trigger of a symbol spell. You choose a creature type and other spells and magical effects treat the target as if it were a creature of that type or of that alignment.</t>
  </si>
  <si>
    <t>A frigid globe of cold energy streaks from your fingertips to a point of your choice within range, where it explodes in a 60-foot-radius sphere. Each creature within the area must make a Constitution saving throw. On a failed save, a creature takes 10d6 cold damage. On a successful save, it takes half as much damage. If the globe strikes a body of water or a liquid that is principally water (not including water-based creatures), it freezes the liquid to a depth of 6 inches over an area 30 feet square. This ice lasts for 1 minute. Creatures that were swimming on the surface of frozen water are trapped in the ice. A trapped creature can use an action to make a Strength check against your spell save DC to break free. You can refrain from firing the globe after completing the spell, if you wish. A small globe about the size of a sling stone, cool to the touch, appears in your hand. At any time, you or a creature you give the globe to can throw the globe (to a range of 40 feet) or hurl it with a sling (to the sling’s normal range). It shatters on impact, with the same effect as the normal casting of the spell. You can also set the globe down without shattering it. After 1 minute, if the globe hasn’t already shattered, it explodes. At Higher Levels. When you cast this spell using a spell slot of 7th level or higher, the damage increases by 1d6 for each slot level above 6th.</t>
  </si>
  <si>
    <t>A sphere of shimmering force encloses a creature or object of Large size or smaller within range. An unwilling creature must make a Dexterity saving throw. On a failed save, the creature is enclosed for the duration. Nothing—not physical objects, energy, or other spell effects—can pass through the barrier, in or out, though a creature in the sphere can breathe there. The sphere is immune to all damage, and a creature or object inside can’t be damaged by attacks or effects originating from outside, nor can a creature inside the sphere damage anything outside it. The sphere is weightless and just large enough to contain the creature or object inside. An enclosed creature can use its action to push against the sphere’s walls and thus roll the sphere at up to half the creature’s speed. Similarly, the globe can be picked up and moved by other creatures. A disintegrate spell targeting the globe destroys it without harming anything inside it.</t>
  </si>
  <si>
    <t>Choose one creature that you can see within range. The target begins a comic dance in place: shuffling, tapping its feet, and capering for the duration. Creatures that can’t be charmed are immune to this spell. A dancing creature must use all its movement to dance without leaving its space and has disadvantage on Dexterity saving throws and attack rolls. While the target is affected by this spell, other creatures have advantage on attack rolls against it. As an action, a dancing creature makes a Wisdom saving throw to regain control of itself. On a successful save, the spell ends.</t>
  </si>
  <si>
    <t>A passage appears at a point of your choice that you can see on a wooden, plaster, or stone surface (such as a wall, a ceiling, or a floor) within range, and lasts for the duration. You choose the opening’s dimensions: up to 5 feet wide, 8 feet tall, and 20 feet deep. The passage creates no instability in a structure surrounding it. When the opening disappears, any creatures or objects still in the passage created by the spell are safely ejected to an unoccupied space nearest to the surface on which you cast the spell.</t>
  </si>
  <si>
    <t>You craft an illusion that takes root in the mind of a creature that you can see within range. The target must make an Intelligence saving throw. On a failed save, you create a phantasmal object, creature, or other visible phenomenon of your choice that is no larger than a 10-foot cube and that is perceivable only to the target for the duration. This spell has no effect on undead or constructs. The phantasm includes sound, temperature, and other stimuli, also evident only to the creature. The target can use its action to examine the phantasm with an Intelligence (Investigation) check against your spell save DC. If the check succeeds, the target realizes that the phantasm is an illusion, and the spell ends. While a target is affected by the spell, the target treats the phantasm as if it were real. The target rationalizes any illogical outcomes from interacting with the phantasm. For example, a target attempting to walk across a phantasmal bridge that spans a chasm falls once it steps onto the bridge. If the target survives the fall, it still believes that the bridge exists and comes up with some other explanation for its fall—it was pushed, it slipped, or a strong wind might have knocked it off. An affected target is so convinced of the phantasm’s reality that it can even take damage from the illusion. A phantasm created to appear as a creature can attack the target. Similarly, a phantasm created to appear as fire, a pool of acid, or lava can burn the target. Each round on your turn, the phantasm can deal 1d6 psychic damage to the target if it is in the phantasm’s area or within 5 feet of the phantasm, provided that the illusion is of a creature or hazard that could logically deal damage, such as by attacking. The target perceives the damage as a type appropriate to the illusion.</t>
  </si>
  <si>
    <t>You tap into the nightmares of a creature you can see within range and create an illusory manifestation of its deepest fears, visible only to that creature. The target must make a Wisdom saving throw. On a failed save, the target becomes frightened for the duration. At the start of each of the target’s turns before the spell ends, the target must succeed on a Wisdom saving throw or take 4d10 psychic damage. On a successful save, the spell ends. At Higher Levels. When you cast this spell using a spell slot of 5th level or higher, the damage increases by 1d10 for each slot level above 4th.</t>
  </si>
  <si>
    <t>A Large quasi-real, horselike creature appears on the ground in an unoccupied space of your choice within range. You decide the creature’s appearance, but it is equipped with a saddle, bit, and bridle. Any of the equipment created by the spell vanishes in a puff of smoke if it is carried more than 10 feet away from the steed. For the duration, you or a creature you choose can ride the steed. The creature uses the statistics for a riding horse, except it has a speed of 100 feet and can travel 10 miles in an hour, or 13 miles at a fast pace. When the spell ends, the steed gradually fades, giving the rider 1 minute to dismount. The spell ends if you use an action to dismiss it or if the steed takes any damage</t>
  </si>
  <si>
    <t>You beseech an otherworldly entity for aid. The being must be known to you: a god, a primordial, a demon prince, or some other being of cosmic power. That entity sends a celestial, an elemental, or a fiend loyal to it to aid you, making the creature appear in an unoccupied space within range. If you know a specific creature’s name, you can speak that name when you cast this spell to request that creature, though you might get a different creature anyway (DM’s choice). When the creature appears, it is under no compulsion to behave in any particular way. You can ask the creature to perform a service in exchange for payment, but it isn’t obliged to do so. The requested task could range from simple (fly us across the chasm, or help us fight a battle) to complex (spy on our enemies, or protect during our foray into the dungeon). You must be able to communicate with the creature to bargain for its services. Payment can take a variety of forms. A celestial might require a sizable donation of gold or magic items to an allied temple, while a fiend might demand a living sacrifice or a gift of treasure. Some creatures might exchange their service for a quest undertaken by you. As a rule of thumb, a task that can be measured in minutes requires a payment worth 100 gp per minute. A task measured in hours requires 1,000 gp per hour. And a task measured in days (up to 10 days) requires 10,000 gp per day. The DM can adjust these payments based on the circumstances under which you cast the spell. If the task is aligned with the creature’s ethos, the payment might be halved or even waived. Nonhazardous tasks typically require only half the suggested payment, while especially dangerous tasks might require a greater gift. Creatures rarely accept tasks that seem suicidal. After the creature completes the task, or when the agreed-upon duration of service expires, the creature returns to its home plane after reporting back to you, if appropriate to the task and if possible. If you are unable to agree on a price for the creature’s service, the creature immediately returns to its home plane. A creature enlisted to join your group counts as a member of it, receiving a full share of experience points awarded.</t>
  </si>
  <si>
    <t>With this spell, you attempt to bind a celestial, an elemental, a fey, or a fiend to your service. The creature must be within range for the entire casting of the spell. (Typically, the creature is first summoned into the center of an inverted magic circle in order to keep it trapped while this spell is cast.) At the completion of the casting, the target must make a Charisma saving throw. On a failed save, it is bound to serve you for the duration. If the creature was summoned or created by another spell, that spell’s duration is extended to match the duration of this spell. A bound creature must follow your instructions to the best of its ability. You might command the creature to accompany you on an adventure, to guard a location, or to deliver a message. The creature obeys the letter of your instructions, but if the creature is hostile to you, it strives to twist your words to achieve its own objectives. If the creature carries out your instructions completely before the spell ends, it travels to you to report this fact if you are on the same plane of existence. If you are on a different plane of existence, it returns to the place where you bound it and remains there until the spell ends. At Higher Levels. When you cast this spell using a spell slot of a higher level, the duration increases to 10 days with a 6th-level slot, to 30 days with a 7th-level slot, to 180 days with an 8th-level slot, and to a year and a day with a 9th-level spell slot.</t>
  </si>
  <si>
    <t>You and up to eight willing creatures who link hands in a circle are transported to a different plane of existence. You can specify a target destination in general terms, such as the City of Brass on the Elemental Plane of Fire or the palace of Dispater on the second level of the Nine Hells, and you appear in or near that destination. If you are trying to reach the City of Brass, for example, you might arrive in its Street of Steel, before its Gate of Ashes, or looking at the city from across the Sea of Fire, at the DM’s discretion. Alternatively, if you know the sigil sequence of a teleportation circle on another plane of existence, this spell can take you to that circle. If the teleportation circle is too small to hold all the creatures you transported, they appear in the closest unoccupied spaces next to the circle. You can use this spell to banish an unwilling creature to another plane. Choose a creature within your reach and make a melee spell attack against it. On a hit, the creature must make a Charisma saving throw. If the creature fails this save, it is transported to a random location on the plane of existence you specify. A creature so transported must find its own way back to your current plane of existence.</t>
  </si>
  <si>
    <t>This spell transforms a creature that you can see within range into a new form. An unwilling creature must make a Wisdom saving throw to avoid the effect. A shapechanger automatically succeeds on this saving throw. The transformation lasts for the duration, or until the target drops to 0 hit points or dies. The new form can be any beast whose challenge rating is equal to or less than the target’s (or the target’s level, if it doesn't have a challenge rating). The target’s game statistics, including mental ability scores, are replaced by the statistics of the chosen beast. It retains its alignment and personality. The target assumes the hit points of its new form. When it reverts to its normal form, the creature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cast spells, or take any other action that requires hands or speech. The target’s gear melds into the new form. The creature can’t activate, use, wield, or otherwise benefit from any of its equipment.</t>
  </si>
  <si>
    <t>You speak a word of power that can overwhelm the mind of one creature you can see within range, leaving it dumbfounded. If the target has 150 hit points or fewer, it is stunned. Otherwise, the spell has no effect. The stunned target must make a Constitution saving throw at the end of each of its turns. On a successful save, this stunning effect ends.</t>
  </si>
  <si>
    <t>Up to six creatures of your choice that you can see within range each regain hit points equal to 2d8 + your spellcasting ability modifier. This spell has no effect on undead or constructs. At Higher Levels. When you cast this spell using a spell slot of 3rd level or higher, the healing increases by 1d8 for each slot level above 2nd.</t>
  </si>
  <si>
    <t>This spell is a minor magical trick that novice spellcasters use for practice. You create one of the following magical effects within range: • You create an instantaneous, harmless sensory effect, such as a shower of sparks, a puff of wind, faint musical notes, or an odd odor. • You instantaneously light or snuff out a candle, a torch, or a small campfire. • You instantaneously clean or soil an object no larger than 1 cubic foot. • You chill, warm, or flavor up to 1 cubic foot of nonliving material for 1 hour. • You make a color, a small mark, or a symbol appear on an object or a surface for 1 hour. • You create a nonmagical trinket or an illusory image that can fit in your hand and that lasts until the end of your next turn. If you cast this spell multiple times, you can have up to three of its non-instantaneous effects active at a time, and you can dismiss such an effect as an action.</t>
  </si>
  <si>
    <t>Eight multicolored rays of light flash from your hand. Each ray is a different color and has a different power and purpose. Each creature in a 60-foot cone must make a Dexterity saving throw. For each target, roll a d8 to determine which color ray affects it. 1. Red. The target takes 10d6 fire damage on a failed save, or half as much damage on a successful one. 2. Orange. The target takes 10d6 acid damage on a failed save, or half as much damage on a successful one. 3. Yellow. The target takes 10d6 lightning damage on a failed save, or half as much damage on a successful one. 4. Green. The target takes 10d6 poison damage on a failed save, or half as much damage on a successful one. 5. Blue. The target takes 10d6 cold damage on a failed save, or half as much damage on a successful one. 6. Indigo. On a failed save, the target is restrained. It must then make a Constitution saving throw at the end of each of its turns. If it successfully saves three times, the spell ends. If it fails its save three times, it permanently turns to stone and is subjected to the petrified condition. The successes and failures don’t need to be consecutive; keep track of both until the target collects three of a kind. 7. Violet. On a failed save, the target is blinded. It must then make a Wisdom saving throw at the start of your next turn. A successful save ends the blindness. If it fails that save, the creature is transported to another plane of existence of the DM’s choosing and is no longer blinded. (Typically, a creature that is on a plane that isn’t its home plane is banished home, while other creatures are usually cast into the Astral or Ethereal planes.) 8. Special. The target is struck by two rays. Roll twice more, rerolling any 8.</t>
  </si>
  <si>
    <t>A shimmering, multicolored plane of light forms a vertical opaque wall—up to 90 feet long, 30 feet high, and 1 inch thick—centered on a point you can see within range. Alternatively, you can shape the wall into a sphere up to 30 feet in diameter centered on a point you choose within range. The wall remains in place for the duration. If you position the wall so that it passes through a space occupied by a creature, the spell fails, and your action and the spell slot are wasted. The wall sheds bright light out to a range of 100 feet and dim light for an additional 100 feet. You and creatures you designate at the time you cast the spell can pass through and remain near the wall without harm. If another creature that can see the wall moves to within 20 feet of it or starts its turn there, the creature must succeed on a Constitution saving throw or become blinded for 1 minute. The wall consists of seven layers, each with a different color. When a creature attempts to reach into or pass through the wall, it does so one layer at a time through all the wall’s layers. As it passes or reaches through each layer, the creature must make a Dexterity saving throw or be affected by that layer’s properties as described below. The wall can be destroyed, also one layer at a time, in order from red to violet, by means specific to each layer. Once a layer is destroyed, it remains so for the duration of the spell. A rod of cancellation destroys a prismatic wall, but an antimagic field has no effect on it. 1. Red. The creature takes 10d6 fire damage on a failed save, or half as much damage on a successful one. While this layer is in place, nonmagical ranged attacks can’t pass through the wall. The layer can be destroyed by dealing at least 25 cold damage to it. 2. Orange. The creature takes 10d6 acid damage on a failed save, or half as much damage on a successful one. While this layer is in place, magical ranged attacks can’t pass through the wall. The layer is destroyed by a strong wind. 3. Yellow. The creature takes 10d6 lightning damage on a failed save, or half as much damage on a successful one. This layer can be destroyed by dealing at least 60 force damage to it. 4. Green. The creature takes 10d6 poison damage on a failed save, or half as much damage on a successful one. A passwall spell, or another spell of equal or greater level that can open a portal on a solid surface, destroys this layer. 5. Blue. The creature takes 10d6 cold damage on a failed save, or half as much damage on a successful one. This layer can be destroyed by dealing at least 25 fire damage to it. 6. Indigo. On a failed save, the creature is restrained. It must then make a Constitution saving throw at the end of each of its turns. If it successfully saves three times, the spell ends. If it fails its save three times, it permanently turns to stone and is subjected to the petrified condition. The successes and failures don’t need to be consecutive; keep track of both until the creature collects three of a kind. While this layer is in place, spells can’t be cast through the wall. The layer is destroyed by bright light shed by a daylight spell or a similar spell of equal or higher level. 7. Violet. On a failed save, the creature is blinded. It must then make a Wisdom saving throw at the start of your next turn. A successful save ends the blindness. If it fails that save, the creature is transported to another plane of the DM’s choosing and is no longer blinded. (Typically, a creature that is on a plane that isn’t its home plane is banished home, while other creatures are usually cast into the Astral or Ethereal planes.) This layer is destroyed by a dispel magic spell or a similar spell of equal or higher level that can end spells and magical effects.</t>
  </si>
  <si>
    <t>A flickering flame appears in your hand. The flame remains there for the duration and harms neither you nor your equipment. The flame sheds bright light in a 10-foot radius and dim light for an additional 10 feet. The spell ends if you dismiss it as an action or if you cast it again. You can also attack with the flame, although doing so ends the spell. When you cast this spell, or as an action on a later turn, you can hurl the flame at a creature within 30 feet of you. Make a ranged spell attack. On a hit, the target takes 1d8 fire damage. This spell’s damage increases by 1d8 when you reach 5th level (2d8), 11th level (3d8), and 17th level (4d8).</t>
  </si>
  <si>
    <t>You create an illusion of an object, a creature, or some other visible phenomenon within range that activates when a specific condition occurs. The illusion is imperceptible until then. It must be no larger than a 30-foot cube, and you decide when you cast the spell how the illusion behaves and what sounds it makes. This scripted performance can last up to 5 minutes. When the condition you specify occurs, the illusion springs into existence and performs in the manner you described. Once the illusion finishes performing, it disappears and remains dormant for 10 minutes. After this time, the illusion can be activated again. The triggering condition can be as general or as detailed as you like, though it must be based on visual or audible conditions that occur within 30 feet of the area. For example, you could create an illusion of yourself to appear and warn off others who attempt to open a trapped door, or you could set the illusion to trigger only when a creature says the correct word or phrase.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</si>
  <si>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You create an illusory copy of yourself that lasts for the duration. The copy can appear at any location within range that you have seen before, regardless of intervening obstacles. The illusion looks and sounds like you but is intangible. If the illusion takes any damage, it disappears, and the spell ends. You can use your action to move this illusion up to twice your speed, and make it gesture, speak, and behave in whatever way you choose. It mimics your mannerisms perfectly. You can see through its eyes and hear through its ears as if you were in its space. On your turn as a bonus action, you can switch from using its senses to using your own, or back again. While you are using its senses, you are blinded and deafened in regard to your own surroundings.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</si>
  <si>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Until the spell ends, one willing creature you touch is protected against certain types of creatures: aberrations, celestials, elementals, fey, fiends, and undead. The protection grants several benefits. Creatures of those types have disadvantage on attack rolls against the target. The target also can’t be charmed, frightened, or possessed by them. If the target is already charmed, frightened, or possessed by such a creature, the target has advantage on any new saving throw against the relevant effect.</t>
  </si>
  <si>
    <t>You touch a creature. If it is poisoned, you neutralize the poison. If more than one poison afflicts the target, you neutralize one poison that you know is present, or you neutralize one at random. For the duration, the target has advantage on saving throws against being poisoned, and it has resistance to poison damage.</t>
  </si>
  <si>
    <t>You return a dead creature you touch to life, provided that it has been dead no longer than 10 days. If the creature’s soul is both willing and at liberty to rejoin the body, the creature returns to life with 1 hit point. This spell also neutralizes any poisons and cures nonmagical diseases that affected the creature at the time it died. This spell doesn’t, however, remove magical diseases, curses, or similar effects; if these aren’t first removed prior to casting the spell, they take effect when the creature returns to life. The spell can’t return an undead creature to life. This spell closes all mortal wounds, but it doesn’t restore missing body parts. If the creature is lacking body parts or organs integral for its survival—its head, for instance—the spell automatically fails. Coming back from the dead is an ordeal. The target takes a -4 penalty to all attack rolls, saving throws, and ability checks. Every time the target finishes a long rest, the penalty is reduced by 1 until it disappears.</t>
  </si>
  <si>
    <t>You forge a telepathic link among up to eight willing creatures of your choice within range, psychically linking each creature to all the others for the duration. Creatures with Intelligence scores of 2 or less aren’t affected by this spell. Until the spell ends, the targets can communicate telepathically through the bond whether or not they have a common language. The communication is possible over any distance, though it can’t extend to other planes of existence.</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</si>
  <si>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</si>
  <si>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A frigid beam of blue-white light streaks toward a creature within range. Make a ranged spell attack against the target. On a hit, it takes 1d8 cold damage, and its speed is reduced by 10 feet until the start of your next turn. The spell’s damage increases by 1d8 when you reach 5th level (2d8), 11th level (3d8), and 17th level (4d8).</t>
  </si>
  <si>
    <t>A ray of sickening greenish energy lashes out toward a creature within range. Make a ranged spell attack against the target. On a hit, the target takes 2d8 poison damage and must make a Constitution saving throw. On a failed save, it is also poisoned until the end of your next turn. At Higher Levels. When you cast this spell using a spell slot of 2nd level or higher, the damage increases by 1d8 for each slot level above 1st.</t>
  </si>
  <si>
    <t>You touch a creature and stimulate its natural healing ability. The target regains 4d8+15 hit points. For the duration of the spell, the target regains 1 hit point at the start of each of its turns (10 hit points each minute). The target’s severed body members (fingers, legs, tails, and so on), if any, are restored after 2 minutes. If you have the severed part and hold it to the stump, the spell instantaneously causes the limb to knit to the stump.</t>
  </si>
  <si>
    <t>You touch a dead humanoid or a piece of a dead humanoid. Provided that the creature has been dead no longer than 10 days, the spell forms a new adult body for it and then calls the soul to enter that body. If the target’s soul isn’t free or willing to do so, the spell fails. The magic fashions a new body for the creature to inhabit, which likely causes the creature’s race to change. The DM rolls a d100 and consults the following table to determine what form the creature takes when restored to life, or the DM chooses a form. d100 Race 01-04 Dragonborn 05-13 Dwarf, hill 14-21 Dwarf, mountain 22-25 Elf, dark 26-34 Elf, high 35-42 Elf, wood 43-46 Gnome, forest 47-52 Gnome, rock 53-56 Half-elf 57-60 Half-orc 61-68 Halfling, lightfoot 69-76 Halfling, stout 77-96 Human 97-00 Tiefling The reincarnated creature recalls its former life and experiences. It retains the capabilities it had in its original form, except it exchanges its original race for the new one and changes its racial traits accordingly.</t>
  </si>
  <si>
    <t>You touch a dead creature that has been dead for no more than a century, that didn’t die of old age, and that isn’t undead. If its soul is free and willing, the target returns to life with all its hit points. This spell neutralizes any poisons and cures normal diseases afflicting the creature when it died. It doesn’t, however, remove magical diseases, curses, and the like; if such effects aren't removed prior to casting the spell, they afflict the target on its return to life. This spell closes all mortal wounds and restores any missing body parts. Coming back from the dead is an ordeal. The target takes a -4 penalty to all attack rolls, saving throws, and ability checks. Every time the target finishes a long rest, the penalty is reduced by 1 until it disappears. Casting this spell to restore life to a creature that has been dead for one year or longer taxes you greatly. Until you finish a long rest, you can’t cast spells again, and you have disadvantage on all attack rolls, ability checks, and saving throws.</t>
  </si>
  <si>
    <t>This spell reverses gravity in a 50-foot-radius, 100-foot high cylinder centered on a point within range. All creatures and objects that aren’t somehow anchored to the ground in the area fall upward and reach the top of the area when you cast this spell. A creature can make a Dexterity saving throw to grab onto a fixed object it can reach, thus avoiding the fall. If some solid object (such as a ceiling) is encountered in this fall, falling objects and creatures strike it just as they would during a normal downward fall. If an object or creature reaches the top of the area without striking anything, it remains there, oscillating slightly, for the duration. At the end of the duration, affected objects and creatures fall back down.</t>
  </si>
  <si>
    <t>You touch a length of rope that is up to 60 feet long. One end of the rope then rises into the air until the whole rope hangs perpendicular to the ground. At the upper end of the rope, an invisible entrance opens to an extradimensional space that lasts until the spell ends. The extradimensional space can be reached by climbing to the top of the rope. The space can hold as many as eight Medium or smaller creatures. The rope can be pulled into the space, making the rope disappear from view outside the space. Attacks and spells can’t cross through the entrance into or out of the extradimensional space, but those inside can see out of it as if through a 3-foot-by-5-foot window centered on the rope. Anything inside the extradimensional space drops out when the spell ends</t>
  </si>
  <si>
    <t>Flame-like radiance descends on a creature that you can see within range. The target must succeed on a Dexterity saving throw or take 1d8 radiant damage. The target gains no benefit from cover for this saving throw. The spell’s damage increases by 1d8 when you reach 5th level (2d8), 11th level (3d8), and 17th level (4d8).</t>
  </si>
  <si>
    <t>You create three rays of fire and hurl them at targets within range. You can hurl them at one target or several. Make a ranged spell attack for each ray. On a hit, the target takes 2d6 fire damage. At Higher Levels. When you cast this spell using a spell slot of 3rd level or higher, you create one additional ray for each slot level above 2nd.</t>
  </si>
  <si>
    <t>You can see and hear a particular creature you choose that is on the same plane of existence as you. The target must make a Wisdom saving throw, which is modified by how well you know the target and the sort of physical connection you have to it. If a target knows you're casting this spell, it can fail the saving throw voluntarily if it wants to be observed. Knowledge Save Modifier Secondhand (you have heard of the target) +5 Firsthand (you have met the target) +0 Familiar (you know the target well) -5 Connection Save Modifier Likeness or picture -2 Possession or garment -4 Body part, lock of hair, bit of nail, or the like -10 On a successful save, the target isn’t affected, and you can’t use this spell against it again for 24 hours. On a failed save, the spell creates an invisible sensor within 10 feet of the target. You can see and hear through the sensor as if you were there. The sensor moves with the target, remaining within 10 feet of it for the duration. A creature that can see invisible objects sees the sensor as a luminous orb about the size of your fist. Instead of targeting a creature, you can choose a location you have seen before as the target of this spell. When you do, the sensor appears at that location and doesn’t move.</t>
  </si>
  <si>
    <t>The next time you hit a creature with a melee weapon attack during the spell’s duration, your weapon flares with white-hot intensity, and the attack deals an extra 1d6 fire damage to the target and causes the target to ignite in flames. At the start of each of its turns until the spell ends, the target must make a Constitution saving throw. On a failed save, it takes 1d6 fire damage. On a successful save, the spell ends. If the target or a creature within 5 feet of it uses an action to put out the flames, or if some other effect douses the flames (such as the target being submerged in water), the spell ends. At Higher Levels. When you cast this spell using a spell slot of 2nd level or higher, the initial extra damage dealt by the attack increases by 1d6 for each slot level above 1st.</t>
  </si>
  <si>
    <t>This spell allows you to change the appearance of any number of creatures that you can see within range. You give each target you choose a new, illusory appearance. An unwilling target can make a Charisma saving throw, and if it succeeds, it is unaffected by this spell. The spell disguises physical appearance as well as clothing, armor, weapons, and equipment. You can make each creature seem 1 foot shorter or taller and appear thin, fat, or in between. You can’t change a target’s body type, so you must choose a form that has the same basic arrangement of limbs. Otherwise, the extent of the illusion is up to you. The spell lasts for the duration, unless you use your action to dismiss it sooner. The changes wrought by this spell fail to hold up to physical inspection. For example, if you use this spell to add a hat to a creature’s outfit, objects pass through the hat, and anyone who touches it would feel nothing or would feel the creature’s head and hair. If you use this spell to appear thinner than you are, the hand of someone who reaches out to touch you would bump into you while it was seemingly still in midair. A creature can use its action to inspect a target and make an Intelligence (Investigation) check against your spell save DC. If it succeeds, it becomes aware that the target is disguised.</t>
  </si>
  <si>
    <t>You send a short message of twenty-five words or less to a creature with which you are familiar. The creature hears the message in its mind, recognizes you as the sender if it knows you, and can answer in a like manner immediately. The spell enables creatures with Intelligence scores of at least 1 to understand the meaning of your message. You can send the message across any distance and even to other planes of existence, but if the target is on a different plane than you, there is a 5 percent chance that the message doesn’t arrive.</t>
  </si>
  <si>
    <t>By means of this spell, a willing creature or an object can be hidden away, safe from detection for the duration. When you cast the spell and touch the target, it becomes invisible and can’t be targeted by divination spells or perceived through scrying sensors created by divination spells. If the target is a creature, it falls into a state of suspended animation. Time ceases to flow for it, and it doesn’t grow older. You can set a condition for the spell to end early. The condition can be anything you choose, but it must occur or be visible within 1 mile of the target. Examples include “after 1,000 years” or “when the tarrasque awakens.” This spell also ends if the target takes any damage.</t>
  </si>
  <si>
    <t>You assume the form of a different creature for the duration. The new form can be of any creature with a challenge rating equal to your level or lower. The creature can’t be a construct or an undead, and you must have seen the sort of creature at least once. You transform into an average example of that creature, one without any class levels or the Spellcasting trait. Your game statistics are replaced by the statistics of the chosen creature, though you retain your alignment and Intelligence, Wisdom, and Charisma scores. You also retain all of your skill and saving throw proficiencies, in addition to gaining those of the creature. If the creature has the same proficiency as you and the bonus listed in its statistics is higher than yours, use the creature’s bonus in place of yours. You can’t use any legendary actions or lair actions of the new form. You assume the hit points and Hit Dice of the new form. When you revert to your normal form, you return to the number of hit points you had before you transformed. If you revert as a result of dropping to 0 hit points, any excess damage carries over to your normal form. As long as the excess damage doesn’t reduce your normal form to 0 hit points, you aren’t knocked unconscious. You retain the benefit of any features from your class, race, or other source and can use them, provided that your new form is physically capable of doing so. You can’t use any special senses you have (for example, darkvision) unless your new form also has that sense. You can only speak if the creature can normally speak. When you transform, you choose whether your equipment falls to the ground, merges into the new form, or is worn by it. Worn equipment functions as normal. The DM determines whether it is practical for the new form to wear a piece of equipment, based on the creature’s shape and size. Your equipment doesn’t change shape or size to match the new form, and any equipment that the new form can’t wear must either fall to the ground or merge into your new form. Equipment that merges has no effect in that state. During this spell’s duration, you can use your action to assume a different form following the same restrictions and rules for the original form, with one exception: if your new form has more hit points than your current one, your hit points remain at their current value.</t>
  </si>
  <si>
    <t>A sudden loud ringing noise, painfully intense, erupts from a point of your choice within range. Each creature in a 10-foot-radius sphere centered on that point must make a Constitution saving throw. A creature takes 3d8 thunder damage on a failed save, or half as much damage on a successful one. A creature made of inorganic material such as stone, crystal, or metal has disadvantage on this saving throw. A nonmagical object that isn’t being worn or carried also takes the damage if it’s in the spell's area. At Higher Levels. When you cast this spell using a spell slot of 3rd level or higher, the damage increases by 1d8 for each slot level above 2nd.</t>
  </si>
  <si>
    <t>Lightning springs from your hand to deliver a shock to a creature you try to touch. Make a melee spell attack against the target. You have advantage on the attack roll if the target is wearing armor made of metal. On a hit, the target takes 1d8 lightning damage, and it can’t take reactions until the start of its next turn. The spell’s damage increases by 1d8 when you reach 5th level (2d8), 11th level (3d8), and 17th level (4d8).</t>
  </si>
  <si>
    <t>You create the image of an object, a creature, or some other visible phenomenon that is no larger than a 15-foot cube. The image appears at a spot within range and lasts for the duration. The image is purely visual; it isn't accompanied by sound, smell, or other sensory effects. You can use your action to cause the image to move to any spot within range. As the image changes location, you can alter its appearance so that its movements appear natural for the image. For example, if you create an image of a creature and move it, you can alter the image so that it appears to be walking.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t>
  </si>
  <si>
    <t>You shape an illusory duplicate of one beast or humanoid that is within range for the entire casting time of the spell. The duplicate is a creature, partially real and formed from ice or snow, and it can take actions and otherwise be affected as a normal creature. It appears to be the same as the original, but it has half the creature’s hit point maximum and is formed without any equipment. Otherwise, the illusion uses all the statistics of the creature it duplicates. The simulacrum is friendly to you and creatures you designate. It obeys your spoken commands, moving and acting in accordance with your wishes and acting on your turn in combat. The simulacrum lacks the ability to learn or become more powerful, so it never increases its level or other abilities, nor can it regain expended spell slots. If the simulacrum is damaged, you can repair it in an alchemical laboratory, using rare herbs and minerals worth 100 gp per hit point it regains. The simulacrum lasts until it drops to 0 hit points, at which point it reverts to snow and melts instantly. If you cast this spell again, any currently active duplicates you created with this spell are instantly destroyed.</t>
  </si>
  <si>
    <t>This spell sends creatures into a magical slumber. Roll 5d8; the total is how many hit points of creatures this spell can affect. Creatures within 20 feet of a point you choose within range are affected in ascending order of their current hit points (ignoring unconscious creatures). Starting with the creature that has the lowest current hit points, each creature affected by this spell falls unconscious until the spell ends, the sleeper takes damage, or someone uses an action to shake or slap the sleeper awake. Subtract each creature’s hit points from the total before moving on to the creature with the next lowest hit points. A creature’s hit points must be equal to or less than the remaining total for that creature to be affected. Undead and creatures immune to being charmed aren’t affected by this spell. At Higher Levels. When you cast this spell using a spell slot of 2nd level or higher, roll an additional 2d8 for each slot level above 1st.</t>
  </si>
  <si>
    <t>Until the spell ends, freezing rain and sleet fall in a 20-foot-tall cylinder with a 40-foot radius centered on a point you choose within range. The area is heavily obscured, and exposed flames in the area are doused. The ground in the area is covered with slick ice, making it difficult terrain. When a creature enters the spell’s area for the first time on a turn or starts its turn there, it must make a Dexterity saving throw. On a failed save, it falls prone. If a creature is concentrating in the spell’s area, the creature must make a successful Constitution saving throw against your spell save DC or lose concentration.</t>
  </si>
  <si>
    <t>You grant the semblance of life and intelligence to a corpse of your choice within range, allowing it to answer the questions you pose. The corpse must still have a mouth and can’t be undead. The spell fails if the corpse was the target of this spell within the last 10 days. Until the spell ends, you can ask the corpse up to five questions. The corpse knows only what it knew in life, including the languages it knew. Answers are usually brief, cryptic, or repetitive, and the corpse is under no compulsion to offer a truthful answer if you are hostile to it or it recognizes you as an enemy. This spell doesn’t return the creature’s soul to its body, only its animating spirit. Thus, the corpse can’t learn new information, doesn’t comprehend anything that has happened since it died, and can’t speculate about future events.</t>
  </si>
  <si>
    <t>You imbue plants within 30 feet of you with limited sentience and animation, giving them the ability to communicate with you and follow your simple commands. You can question plants about events in the spell’s area within the past day, gaining information about creatures that have passed, weather, and other circumstances. You can also turn difficult terrain caused by plant growth (such as thickets and undergrowth) into ordinary terrain that lasts for the duration. Or you can turn ordinary terrain where plants are present into difficult terrain that lasts for the duration, causing vines and branches to hinder pursuers, for example. Plants might be able to perform other tasks on your behalf, at the DM’s discretion. The spell doesn’t enable plants to uproot themselves and move about, but they can freely move branches, tendrils, and stalks. If a plant creature is in the area, you can communicate with it as if you shared a common language, but you gain no magical ability to influence it. This spell can cause the plants created by the entangle spell to release a restrained creature.</t>
  </si>
  <si>
    <t>The ground in a 20-foot radius centered on a point within range twists and sprouts hard spikes and thorns. The area becomes difficult terrain for the duration. When a creature moves into or within the area, it takes 2d4 piercing damage for every 5 feet it travels. The transformation of the ground is camouflaged to look natural. Any creature that can’t see the area at the time the spell is cast must make a Wisdom (Perception) check against your spell save DC to recognize the terrain as hazardous before entering it.</t>
  </si>
  <si>
    <t>You call forth spirits to protect you. They flit around you to a distance of 15 feet for the duration. If you are good or neutral, their spectral form appears angelic or fey (your choice). If you are evil, they appear fiendish. When you cast this spell, you can designate any number of creatures you can see to be unaffected by it. An affected creature’s speed is halved in the area, and when the creature enters the area for the first time on a turn or starts its turn there, it must make a Wisdom saving throw. On a failed save, the creature takes 3d8 radiant damage (if you are good or neutral) or 3d8 necrotic damage (if you are evil). On a successful save, the creature takes half as much damage. At Higher Levels. When you cast this spell using a spell slot of 4th level or higher, the damage increases by 1d8 for each slot level above 3rd.</t>
  </si>
  <si>
    <t>You create a floating, spectral weapon within range that lasts for the duration or until you cast this spell again. When you cast the spell, you can make a melee spell attack against a creature within 5 feet of the weapon. On a hit, the target takes force damage equal to 1d8 + your spellcasting ability modifier. As a bonus action on your turn, you can move the weapon up to 20 feet and repeat the attack against a creature within 5 feet of it. The weapon can take whatever form you choose. Clerics of deities who are associated with a particular weapon (as St. Cuthbert is known for his mace and Thor for his hammer) make this spell’s effect resemble that weapon. At Higher Levels. When you cast this spell using a spell slot of 3rd level or higher, the damage increases by 1d8 for every two slot levels above the 2nd.</t>
  </si>
  <si>
    <t>You create a 20-foot-radius sphere of yellow, nauseating gas centered on a point within range. The cloud spreads around corners, and its area is heavily obscured. The cloud lingers in the air for the duration. Each creature that is completely within the cloud at the start of its turn must make a Constitution saving throw against poison. On a failed save, the creature spends its action that turn retching and reeling. Creatures that don’t need to breathe or are immune to poison automatically succeed on this saving throw. A moderate wind (at least 10 miles per hour) disperses the cloud after 4 rounds. A strong wind (at least 20 miles per hour) disperses it after 1 round.</t>
  </si>
  <si>
    <t>A churning storm cloud forms, centered on a point you can see and spreading to a radius of 360 feet. Lightning flashes in the area, thunder booms, and strong winds roar. Each creature under the cloud (no more than 5,000 feet beneath the cloud) when it appears must make a Constitution saving throw. On a failed save, a creature takes 2d6 thunder damage and becomes deafened for 5 minutes. Each round you maintain concentration on this spell, the storm produces additional effects on your turn. Round 2. Acidic rain falls from the cloud. Each creature and object under the cloud takes 1d6 acid damage. Round 3. You call six bolts of lightning from the cloud to strike six creatures or objects of your choice beneath the cloud. A given creature or object can’t be struck by more than one bolt. A struck creature must make a Dexterity saving throw. The creature takes 10d6 lightning damage on a failed save, or half as much damage on a successful one. Round 4. Hailstones rain down from the cloud. Each creature under the cloud takes 2d6 bludgeoning damage. Round 5-10. Gusts and freezing rain assail the area under the cloud. The area becomes difficult terrain and is heavily obscured. Each creature there takes 1d6 cold damage. Ranged weapon attacks in the area are impossible. The wind and rain count as a severe distraction for the purposes of maintaining concentration on spells. Finally, gusts of strong wind (ranging from 20 to 50 miles per hour) automatically disperse fog, mists, and similar phenomena in the area, whether mundane or magical.</t>
  </si>
  <si>
    <t>You suggest a course of activity (limited to a sentence or two) and magically influence a creature you can see within range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ends the spell. The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knight give her warhorse to the first beggar she meets. If the condition isn’t met before the spell expires, the activity isn’t performed. If you or any of your companions damage the target, the spell ends.</t>
  </si>
  <si>
    <t>A beam of brilliant light flashes out from your hand in a 5-foot-wide, 60-foot-long line. Each creature in the line must make a Constitution saving throw. On a failed save, a creature takes 6d8 radiant damage and is blinded until your next turn. On a successful save, it takes half as much damage and isn’t blinded by this spell. Undead and oozes have disadvantage on this saving throw. You can create a new line of radiance as your action on any turn until the spell ends. For the duration, a mote of brilliant radiance shines in your hand. It sheds bright light in a 30-foot radius and dim light for an additional 30 feet. This light is sunlight.</t>
  </si>
  <si>
    <t>Brilliant sunlight flashes in a 60-foot radius centered on a point you choose within range. Each creature in that light must make a Constitution saving throw. On a failed save, a creature takes 12d6 radiant damage and is blinded for 1 minute. On a successful save, it takes half as much damage and isn’t blinded by this spell. Undead and oozes have disadvantage on this saving throw. A creature blinded by this spell makes another Constitution saving throw at the end of each of its turns. On a successful save, it is no longer blinded. This spell dispels any darkness in its area that was created by a spell.</t>
  </si>
  <si>
    <t>You transmute your quiver so it produces an endless supply of nonmagical ammunition, which seems to leap into your hand when you reach for it. On each of your turns until the spell ends, you can use a bonus action to make two attacks with a weapon that uses ammunition from the quiver. Each time you make such a ranged attack, your quiver magically replaces the piece of ammunition you used with a similar piece of nonmagical ammunition. Any pieces of ammunition created by this spell disintegrate when the spell ends. If the quiver leaves your possession, the spell ends</t>
  </si>
  <si>
    <t>When you cast this spell, you inscribe a harmful glyph either on a surface (such as a section of floor, a wall, or a table) or within an object that can be closed to conceal the glyph (such as a book, a scroll, or a treasure chest).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requiring an Intelligence (Investigation) check against your spell save DC to find it. You decide what triggers the glyph when you cast the spell. For glyphs inscribed on a surface, the most typical triggers include touching or stepping on the glyph, removing another object covering it, approaching within a certain distance of it, or manipulating the object that holds it. For glyphs inscribed within an object, the most common triggers are opening the object, approaching within a certain distance of it, or seeing or reading the glyph. You can further refine the trigger so the spell is activated only under certain circumstances or according to a creature’s physical characteristics (such as height or weight), or physical kind (for example, the ward could be set to affect hags or shapechangers). You can also specify creatures that don’t trigger the glyph, such as those who say a certain password. When you inscribe the glyph, choose one of the options below for its effect. Once triggered, the glyph glows, filling a 60-foot-radius sphere with dim light for 10 minutes, after which time the spell ends. Each creature in the sphere when the glyph activates is targeted by its effect, as is a creature that enters the sphere for the first time on a turn or ends its turn there. Death. Each target must make a Constitution saving throw, taking 10d10 necrotic damage on a failed save, or half as much damage on a successful save. Discord. Each target must make a Constitution saving throw. On a failed save, a target bickers and argues with other creatures for 1 minute. During this time, it is incapable of meaningful communication and has disadvantage on attack rolls and ability checks. Fear. Each target must make a Wisdom saving throw and becomes frightened for 1 minute on a failed save. While frightened, the target drops whatever it is holding and must move at least 30 feet away from the glyph on each of its turns, if able. Hopelessness. Each target must make a Charisma saving throw. On a failed save, the target is overwhelmed with despair for 1 minute. During this time, it can’t attack or target any creature with harmful abilities, spells, or other magical effects. Insanity. Each target must make an Intelligence saving throw. On a failed save, the target is driven insane for 1 minute. An insane creature can’t take actions, can't understand what other creatures say, can’t read, and speaks only in gibberish. The DM controls its movement, which is erratic. Pain. Each target must make a Constitution saving throw and becomes incapacitated with excruciating pain for 1 minute on a failed save. Sleep. Each target must make a Wisdom saving throw and falls unconscious for 10 minutes on a failed save. A creature awakens if it takes damage or if someone uses an action to shake or slap it awake. Stunning. Each target must make a Wisdom saving throw and becomes stunned for 1 minute on a failed save.</t>
  </si>
  <si>
    <t>A creature of your choice that you can see within range perceives everything as hilariously funny and falls into fits of laughter if this spell affects it. The target must succeed on a Wisdom saving throw or fall prone, becoming incapacitated and unable to stand up for the duration. A creature with an Intelligence score of 4 or less isn’t affected. At the end of each of its turns, and each time it takes damage, the target can make another Wisdom saving throw. The target has advantage on the saving throw if it’s triggered by damage. On a success, the spell ends.</t>
  </si>
  <si>
    <t>You gain the ability to move or manipulate creatures or objects by thought. When you cast the spell, and as your action each round for the duration, you can exert your will on one creature or object that you can see within range, causing the appropriate effect below. You can affect the same target round after round, or choose a new one at any time. If you switch targets, the prior target is no longer affected by the spell. Creature. You can try to move a Huge or smaller creature. Make an ability check with your spellcasting ability contested by the creature’s Strength check. If you win the contest, you move the creature up to 30 feet in any direction, including upward but not beyond the range of this spell. Until the end of your next turn, the creature is restrained in your telekinetic grip. A creature lifted upward is suspended in mid-air. On subsequent rounds, you can use your action to attempt to maintain your telekinetic grip on the creature by repeating the contest. Object. You can try to move an object that weighs up to 1,000 pounds. If the object isn’t being worn or carried, you automatically move it up to 30 feet in any direction, but not beyond the range of this spell. If the object is worn or carried by a creature, you must make an ability check with your spellcasting ability contested by that creature’s Strength check. If you succeed, you pull the object away from that creature and can move it up to 30 feet in any direction but not beyond the range of this spell. You can exert fine control on objects with your telekinetic grip, such as manipulating a simple tool, opening a door or a container, stowing or retrieving an item from an open container, or pouring the contents from a vial.</t>
  </si>
  <si>
    <t>You create a telepathic link between yourself and a willing creature with which you are familiar. The creature can be anywhere on the same plane of existence as you. The spell ends if you or the target are no longer on the same plane. Until the spell ends, you and the target can instantaneously share words, images, sounds, and other sensory messages with one another through the link, and the target recognizes you as the creature it is communicating with. The spell enables a creature with an Intelligence score of at least 1 to understand the meaning of your words and take in the scope of any sensory messages you send to it.</t>
  </si>
  <si>
    <t>This spell instantly transports you and up to eight willing creatures of your choice that you can see within range, or a single object that you can see within range, to a destination you select. If you target an object, it must be able to fit entirely inside a 10-foot cube, and it can’t be held or carried by an unwilling creature. The destination you choose must be known to you, and it must be on the same plane of existence as you. Your familiarity with the destination determines whether you arrive there successfully. The DM rolls d100 and consults the table. Familiarity Mishap Similar Off On Area Target Target Permanent circle — — — 01-100 Associated object — — — 01-100 Very familiar 01-05 06-13 14-24 25-100 Seen casually 01-33 34-43 44-53 54-100 Viewed once 01-43 44-53 54-73 74-100 Description 01-43 44-53 54-73 74-100 False destination 01-50 51-100 — — Familiarity. “Permanent circle” means a permanent teleportation circle whose sigil sequence you know. “Associated object” means that you possess an object taken from the desired destination within the last six months, such as a book from a wizard’s library, bed linen from a royal suite, or a chunk of marble from a lich’s secret tomb. “Very familiar” is a place you have been very often, a place you have carefully studied, or a place you can see when you cast the spell. “Seen casually” is someplace you have seen more than once but with which you aren’t very familiar. “Viewed once” is a place you have seen once, possibly using magic. “Description” is a place whose location and appearance you know through someone else’s description, perhaps from a map. “False destination” is a place that doesn’t exist. Perhaps you tried to scry an enemy’s sanctum but instead viewed an illusion, or you are attempting to teleport to a familiar location that no longer exists. On Target. You and your group (or the target object) appear where you want to. Off Target. You and your group (or the target object) appear a random distance away from the destination in a random direction. Distance off target is 1d10 x 1d10 percent of the distance that was to be traveled. For example, if you tried to travel 120 miles, landed off target, and rolled a 5 and 3 on the two d 10s, then you would be off target by 15 percent, or 18 miles. The DM determines the direction off target randomly by rolling a d8 and designating 1 as north, 2 as northeast, 3 as east, and so on around the points of the compass. If you were teleporting to a coastal city and wound up 18 miles out at sea, you could be in trouble. Similar Area. You and your group (or the target object) wind up in a different area that’s visually or thematically similar to the target area. If you are heading for your home laboratory, for example, you might wind up in another wizard’s laboratory or in an alchemical supply shop that has many of the same tools and implements as your laboratory. Generally, you appear in the closest similar place, but since the spell has no range limit, you could conceivably wind up anywhere on the plane. Mishap. The spell’s unpredictable magic results in a difficult journey. Each teleporting creature (or the target object) takes 3d10 force damage, and the DM rerolls on the table to see where you wind up (multiple mishaps can occur, dealing damage each time).</t>
  </si>
  <si>
    <t>As you cast the spell, you draw a 10-foot-diameter circle on the ground inscribed with sigils that link your location to a permanent teleportation circle of your choice whose sigil sequence you know and that is on the same plane of existence as you. A shimmering portal opens within the circle you drew and remains open until the end of your next turn. Any creature that enters the portal instantly appears within 5 feet of the destination circle or in the nearest unoccupied space if that space is occupied. Many major temples, guilds, and other important places have permanent teleportation circles inscribed somewhere within their confines. Each such circle includes a unique sigil sequence—a string of magical runes arranged in a particular pattern. When you first gain the ability to cast this spell, you learn the sigil sequences for two destinations on the Material Plane, determined by the DM. You can learn additional sigil sequences during your adventures. You can commit a new sigil sequence to memory after studying it for 1 minute. You can create a permanent teleportation circle by casting this spell in the same location every day for one year. You need not use the circle to teleport when you cast the spell in this way.</t>
  </si>
  <si>
    <t>This spell creates a circular, horizontal plane of force, 3 feet in diameter and 1 inch thick, that floats 3 feet above the ground in an unoccupied space of your choice that you can see within range. The disk remains for the duration, and can hold up to 500 pounds. If more weight is placed on it, the spell ends, and everything on the disk falls to the ground. The disk is immobile while you are within 20 feet of it. If you move more than 20 feet away from it, the disk follows you so that it remains within 20 feet of you. It can move across uneven terrain, up or down stairs, slopes and the like, but it can’t cross an elevation change of 10 feet or more. For example, the disk can’t move across a 10-foot-deep pit, nor could it leave such a pit if it was created at the bottom. If you move more than 100 feet from the disk (typically because it can’t move around an obstacle to follow you), the spell ends.</t>
  </si>
  <si>
    <t>You manifest a minor wonder, a sign of supernatural power, within range. You create one of the following magical effects within range: • Your voice booms up to three times as loud as normal for 1 minute. • You cause flames to flicker, brighten, dim, or change color for 1 minute. • You cause harmless tremors in the ground for 1 minute. • You create an instantaneous sound that originates from a point of your choice within range, such as a rumble of thunder, the cry of a raven, or omi- nous whispers. • You instantaneously cause an unlocked door or win- dow to fly open or slam shut. • You alter the appearance of your eyes for 1 minute. If you cast this spell multiple times, you can have up to three of its 1-minute effects active at a time, and you can dismiss such an effect as an action.</t>
  </si>
  <si>
    <t>You create a long, vine-like whip covered in thorns that lashes out at your command toward a creature in range. Make a melee spell attack against the target. If the attack hits, the creature takes 1d6 piercing damage, and if the creature is Large or smaller, you pull the creature up to 10 feet closer to you. This spell’s damage increases by 1d6 when you reach 5th level (2d6), 11th level (3d6), and 17th level (4d6).</t>
  </si>
  <si>
    <t>A wave of thunderous force sweeps out from you. Each creature in a 15-foot cube originating from you must make a Constitution saving throw. On a failed save, a creature takes 2d8 thunder damage and is pushed 10 feet away from you. On a successful save, the creature takes half as much damage and isn’t pushed. In addition, unsecured objects that are completely within the area of effect are automatically pushed 10 feet away from you by the spell’s effect, and the spell emits a thunderous boom audible out to 300 feet. At Higher Levels. When you cast this spell using a spell slot of 2nd level or higher, the damage increases by 1d8 for each slot level above 1st.</t>
  </si>
  <si>
    <t>You briefly stop the flow of time for everyone but yourself. No time passes for other creatures, while you take 1d4+1 turns in a row, during which you can use actions and move as normal. This spell ends if one of the actions you use during this period, or any effects that you create during this period, affects a creature other than you or an object being worn or carried by someone other than you. In addition, the spell ends if you move to a place more than 1,000 feet from the location where you cast it.</t>
  </si>
  <si>
    <t>Choose a creature within range that you can see. The target must make a Wisdom saving throw. On a failed save, you force the target’s soul into a gemstone. While its soul is so trapped, the target’s body and all the equipment it is carrying cease to exist. The gem holds the target indefinitely or until the gem is broken, at which time the target’s body reforms in an unoccupied space nearest to the gem and in the same state as when this spell was cast on it, with all the equipment it was carrying when it was trapped. You, and you alone, can communicate telepathically with the trapped soul. Other creatures that inspect the gemstone see a tiny figure inside it. If you speak the target’s true name when you cast the spell, the target has disadvantage on the saving throw.</t>
  </si>
  <si>
    <t>You gain the ability to enter a tree and move from inside it to inside another tree of the same kind within 500 feet. Both trees must be living and at least the same size as you. You must use 5 feet of movement to enter a tree. You instantly know the location of all other trees of the same kind within 500 feet and, as part of the move used to enter the tree, can either pass into one of those trees or step out of the tree you’re in. You appear in a spot of your choice within 5 feet of the destination tree, using another 5 feet of movement. If you have no movement left, you appear within 5 feet of the tree you entered. You can use this transportation ability once per round for the duration. You must end each turn outside a tree.</t>
  </si>
  <si>
    <t>Choose one creature or nonmagical object that you can see within range. You transform the creature into a different creature, the creature into an object, or the object into a creature (the object must be neither worn nor carried by another creature). The transformation lasts for the duration, or until the target drops to 0 hit points or dies. If you concentrate on this spell for the full duration, the transformation becomes permanent. Shapechangers aren’t affected by this spell. An unwilling creature can make a Wisdom saving throw, and if it succeeds, it isn’t affected by this spell. Creature into Creature. If you turn a creature into another kind of creature, the new form can be any kind you choose whose challenge rating is equal to or less than the target’s (or its level, if the target doesn’t have a challenge rating). The target’s game statistics, including mental ability scores, are replaced by the statistics of the new form. It retains its alignment and personality. The target assumes the hit points of its new form, and when it reverts to its normal form, the creature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cast spells, or take any other action that requires hands or speech unless its new form is capable of such actions. The target’s gear melds into the new form. The creature can’t activate, use, wield, or otherwise benefit from any of its equipment. Object into Creature. You can turn an object into any kind of creature, as long as the creature’s size is no larger than the object’s size and the creature’s challenge rating is 9 or lower. The creature is friendly to you and your companions. It acts on each of your turns. You decide what action it takes and how it moves. The DM has the creature’s statistics and resolves all of its actions and movement. If the spell becomes permanent, you no longer control the creature. It might remain friendly to you, depending on how you have treated it. Creature into Object. If you turn a creature into an object, it transforms along with whatever it is wearing and carrying into that form. The creature’s statistics become those of the object, and the creature has no memory of time spent in this form, after the spell ends and it returns to its normal form.</t>
  </si>
  <si>
    <t>You touch a creature that has been dead for no longer than 200 years and that died for any reason except old age. If the creature’s soul is free and willing, the creature is restored to life with all its hit points. This spell closes all wounds, neutralizes any poison, cures all diseases, and lifts any curses affecting the creature when it died. The spell replaces damaged or missing organs and limbs. The spell can even provide a new body if the original no longer exists, in which case you must speak the creature’s name. The creature then appears in an unoccupied space you choose within 10 feet of you.</t>
  </si>
  <si>
    <t>A wall of water springs into existence at a point you choose within range. You can make the wall up to 300 feet long, 300 feet high, and 50 feet thick. The wall lasts for the duration. When the wall appears, each creature within its area must make a Strength saving throw. On a failed save, a creature takes 6d10 bludgeoning damage, or half as much damage on a successful save. At the start of each of your turns after the wall appears, the wall, along with any creatures in it, moves 50 feet away from you. Any Huge or smaller creature inside the wall or whose space the wall enters when it moves must succeed on a Strength saving throw or take 5d10 bludgeoning damage. A creature can take this damage only once per round. At the end of the turn, the wall’s height is reduced by 50 feet, and the damage creatures take from the spell on subsequent rounds is reduced by 1d10. When the wall reaches 0 feet in height, the spell ends. A creature caught in the wall can move by swimming. Because of the force of the wave, though, the creature must make a successful Strength (Athletics) check against your spell save DC in order to move at all. If it fails the check, it can’t move. A creature that moves out of the area falls to the ground.</t>
  </si>
  <si>
    <t>This spell creates an invisible, mindless, shapeless force that performs simple tasks at your command until the spell ends. The servant springs into existence in an unoccupied space on the ground within range. It has AC 10, 1 hit point, and a Strength of 2, and it can’t attack. If it drops to 0 hit points, the spell ends. Once on each of your turns as a bonus action, you can mentally command the servant to move up to 15 feet and interact with an object. The servant can perform simple tasks that a human servant could do, such as fetching things, cleaning, mending, folding clothes, lighting fires, serving food, and pouring wine. Once you give the command, the servant performs the task to the best of its ability until it completes the task, then waits for your next command. If you command the servant to perform a task that would move it more than 60 feet away from you, the spell ends.</t>
  </si>
  <si>
    <t>The touch of your shadow-wreathed hand can siphon life force from others to heal your wounds. Make a melee spell attack against a creature within your reach. On a hit, the target takes 3d6 necrotic damage, and you regain hit points equal to half the amount of necrotic damage dealt. Until the spell ends, you can make the attack again on each of your turns as an action. At Higher Levels. When you cast this spell using a spell slot of 4th level or higher, the damage increases by 1d6 for each slot level above 3rd.</t>
  </si>
  <si>
    <t>You unleash a string of insults laced with subtle enchantments at a creature you can see within range. If the target can hear you (though it need not understand you), it must succeed on a Wisdom saving throw or take 1d4 psychic damage and have disadvantage on the next attack roll it makes before the end of its next turn. This spell’s damage increases by 1d4 when you reach 5th level (2d4), 11th level (3d4), and 17th level (4d4).</t>
  </si>
  <si>
    <t>You create a wall of fire on a solid surface within range. You can make the wall up to 60 feet long, 20 feet high, and 1 foot thick, or a ringed wall up to 20 feet in diameter, 20 feet high, and 1 foot thick. The wall is opaque and lasts for the duration. When the wall appears, each creature within its area must make a Dexterity saving throw. On a failed save, a creature takes 5d8 fire damage, or half as much damage on a successful save. One side of the wall, selected by you when you cast this spell, deals 5d8 fire damage to each creature that ends its turn within 10 feet of that side or inside the wall. A creature takes the same damage when it enters the wall for the first time on a turn or ends its turn there. The other side of the wall deals no damage. At Higher Levels. When you cast this spell using a spell slot of 5th level or higher, the damage increases by 1d8 for each slot level above 4th.</t>
  </si>
  <si>
    <t>An invisible wall of force springs into existence at a point you choose within range. The wall appears in any orientation you choose, as a horizontal or vertical barrier or at an angle. It can be free floating or resting on a solid surface. You can form it into a hemispherical dome or a sphere with a radius of up to 10 feet, or you can shape a flat surface made up of ten 10-foot-by- 10-foot panels. Each panel must be contiguous with another panel. In any form, the wall is 1/4 inch thick. It lasts for the duration. If the wall cuts through a creature’s space when it appears, the creature is pushed to one side of the wall (your choice which side). Nothing can physically pass through the wall. It is immune to all damage and can’t be dispelled by dispel magic. A disintegrate spell destroys the wall instantly, however. The wall also extends into the Ethereal Plane, blocking ethereal travel through the wall.</t>
  </si>
  <si>
    <t>You create a wall of ice on a solid surface within range. You can form it into a hemispherical dome or a sphere with a radius of up to 10 feet, or you can shape a flat surface made up of ten 10-foot-square panels. Each panel must be contiguous with another panel. In any form, the wall is 1 foot thick and lasts for the duration. If the wall cuts through a creature’s space when it appears, the creature within its area is pushed to one side of the wall and must make a Dexterity saving throw. On a failed save, the creature takes 10d6 cold damage, or half as much damage on a successful save. The wall is an object that can be damaged and thus breached. It has AC 12 and 30 hit points per 10-foot section, and it is vulnerable to fire damage. Reducing a 10-foot section of wall to 0 hit points destroys it and leaves behind a sheet of frigid air in the space the wall occupied. A creature moving through the sheet of frigid air for the first time on a turn must make a Constitution saving throw. That creature takes 5d6 cold damage on a failed save, or half as much damage on a successful one. At Higher Levels. When you cast this spell using a spell slot of 7th level or higher, the damage the wall deals when it appears increases by 2d6, and the damage from passing through the sheet of frigid air increases by 1d6, for each slot level above 6th.</t>
  </si>
  <si>
    <t>A nonmagical wall of solid stone springs into existence at a point you choose within range. The wall is 6 inches thick and is com posed of ten 10-foot-by-10-foot panels. Each panel must be contiguous with at least one other panel. Alternatively, you can create 10-foot-by-20-foot panels that are only 3 inches thick. If the wall cuts through a creature’s space when it appears, the creature is pushed to one side of the wall (your choice). If a creature would be surrounded on all sides by the wall (or the wall and another solid surface), that creature can make a Dexterity saving throw. On a success, it can use its reaction to move up to its speed so that it is no longer enclosed by the wall. The wall can have any shape you desire, though it can’t occupy the same space as a creature or object. The wall doesn’t need to be vertical or rest on any firm foundation. It must, however, merge with and be solidly supported by existing stone. Thus, you can use this spell to bridge a chasm or create a ramp. If you create a span greater than 20 feet in length, you must halve the size of each panel to create supports. You can crudely shape the wall to create crenellations, battlements, and so on. The wall is an object made of stone that can be damaged and thus breached. Each panel has AC 15 and 30 hit points per inch of thickness. Reducing a panel to 0 hit points destroys it and might cause connected panels to collapse at the DM’s discretion. If you maintain your concentration on this spell for its whole duration, the wall becomes permanent and can’t be dispelled. Otherwise, the wall disappears when the spell ends.</t>
  </si>
  <si>
    <t>You create a wall of tough, pliable, tangled brush bristling with needle-sharp thorns. The wall appears within range on a solid surface and lasts for the duration. You choose to make the wall up to 60 feet long, 10 feet high, and 5 feet thick or a circle that has a 20-foot diameter and is up to 20 feet high and 5 feet thick. The wall blocks line of sight. When the wall appears, each creature within its area must make a Dexterity saving throw. On a failed save, a creature takes 7d8 piercing damage, or half as much damage on a successful save. A creature can move through the wall, albeit slowly and painfully. For every 1 foot a creature moves through the wall, it must spend 4 feet of movement. Furthermore, the first time a creature enters the wall on a turn or ends its turn there, the creature must make a Dexterity saving throw. It takes 7d8 slashing damage on a failed save, or half as much damage on a successful one. At Higher Levels. When you cast this spell using a spell slot of 7th level or higher, both types of damage increase by 1d8 for each slot level above 6th.</t>
  </si>
  <si>
    <t>You conjure a mass of thick, sticky webbing at a point of your choice within range. The webs fill a 20-foot cube from that point for the duration. The webs are difficult terrain and lightly obscure their area. If the webs aren’t anchored between two solid masses (such as walls or trees) or layered across a floor, wall, or ceiling, the conjured web collapses on itself, and the spell ends at the start of your next turn. Webs layered over a flat surface have a depth of 5 feet. Each creature that starts its turn in the webs or that enters them during its turn must make a Dexterity saving throw. On a failed save, the creature is restrained as long as it remains in the webs or until it breaks free. A creature restrained by the webs can use its action to make a Strength check against your spell save DC. If it succeeds, it is no longer restrained. The webs are flammable. Any 5-foot cube of webs exposed to fire burns away in 1 round, dealing 2d4 fire damage to any creature that starts its turn in the fire.</t>
  </si>
  <si>
    <t>You and up to ten willing creatures you can see within range assume a gaseous form for the duration, appearing as wisps of cloud. While in this cloud form, a creature has a flying speed of 300 feet and has resistance to damage from nonmagical weapons. The only actions a creature can take in this form are the Dash action or to revert to its normal form. Reverting takes 1 minute, during which time a creature is incapacitated and can’t move. Until the spell ends, a creature can revert to cloud form, which also requires the 1-minute transformation. If a creature is in cloud form and flying when the effect ends, the creature descends 60 feet per round for 1 minute until it lands, which it does safely. If it can’t land after 1 minute, the creature falls the remaining distance.</t>
  </si>
  <si>
    <t>A wall of strong wind rises from the ground at a point you choose within range. You can make the wall up to 50 feet long, 15 feet high, and 1 foot thick. You can shape the wall in any way you choose so long as it makes one continuous path along the ground. The wall lasts for the duration. When the wall appears, each creature within its area must make a Strength saving throw. A creature takes 3d8 bludgeoning damage on a failed save, or half as much damage on a successful one. The strong wind keeps fog, smoke, and other gases at bay. Small or smaller flying creatures or objects can’t pass through the wall. Loose, lightweight materials brought into the wall fly upward. Arrows, bolts, and other ordinary projectiles launched at targets behind the wall are deflected upward and automatically miss. (Boulders hurled by giants or siege engines, and similar projectiles, are unaffected.) Creatures in gaseous form can’t pass through it.</t>
  </si>
  <si>
    <t>Wish is the mightiest spell a mortal creature can cast. By simply speaking aloud, you can alter the very foundations of reality in accord with your desires. The basic use of this spell is to duplicate any other spell of 8th level or lower. You don’t need to meet any requirements in that spell, including costly components. The spell simply takes effect. Alternatively, you can create one of the following effects of your choice: • You create one object of up to 25,000 gp in value that isn’t a magic item. The object can be no more than 300 feet in any dimension, and it appears in an unoc­ cupied space you can see on the ground. • You allow up to twenty creatures that you can see to regain all hit points, and you end all effects on them described in the greater restoration spell. • You grant up to ten creatures that you can see resistance to a damage type you choose. • You grant up to ten creatures you can see immunity to a single spell or other magical effect for 8 hours. For instance, you could make yourself and all your com ­ panions immune to a lich’s life drain attack. • You undo a single recent event by forcing a reroll of any roll made within the last round (including your last turn). Reality reshapes itself to accommodate the new result. For example, a wish spell could undo an opponent’s successful save, a foe’s critical hit, or a friend’s failed save. You can force the reroll to be made with advantage or disadvantage, and you can choose whether to use the reroll or the original roll. You might be able to achieve something beyond the scope of the above examples. State your wish to the DM as precisely as possible. The DM has great latitude in ruling what occurs in such an instance; the greater the wish, the greater the likelihood that something goes wrong. This spell might simply fail, the effect you desire might only be partly achieved, or you might suffer some unforeseen consequence as a result of how you worded the wish. For example, wishing that a villain were dead might propel you forward in time to a period when that villain is no longer alive, effectively removing you from the game. Similarly, wishing for a legendary magic item or artifact might instantly transport you to the presence of the item’s current owner. The stress of casting this spell to produce any effect other than duplicating another spell weakens you. After enduring that stress, each time you cast a spell until you finish a long rest, you take 1d10 necrotic damage per level of that spell. This damage can’t be reduced or prevented in any way. In addition, your Strength drops to 3, if it isn’t 3 or lower already, for 2d4 days. For each of those days that you spend resting and doing nothing more than light activity, your remaining recovery time decreases by 2 days. Finally, there is a 33 percent chance that you are unable to cast wish ever again if you suffer this stress.</t>
  </si>
  <si>
    <t>A beam of crackling, blue energy lances out toward a creature within range, forming a sustained arc of lightning between you and the target. Make a ranged spell attack against that creature. On a hit, the target takes 1d12 lightning damage, and on each of your turns for the duration, you can use your action to deal 1d12 lightning damage to the target automatically. The spell ends if you use your action to do anything else. The spell also ends if the target is ever outside the spell’s range or if it has total cover from you. At Higher Levels. When you cast this spell using a spell slot of 2nd level or higher, the initial damage increases by 1d12 for each slot level above 1st.</t>
  </si>
  <si>
    <t>You and up to five willing creatures within 5 feet of you instantly teleport to a previously designated sanctuary. You and any creatures that teleport with you appear in the nearest unoccupied space to the spot you designated when you prepared your sanctuary (see below). If you cast this spell without first preparing a sanctuary, the spell has no effect. You must designate a sanctuary by casting this spell within a location, such as a temple, dedicated to or strongly linked to your deity. If you attempt to cast the spell in this manner in an area that isn’t dedicated to your deity, the spell has no effect.</t>
  </si>
  <si>
    <t>You create a magical zone that guards against deception in a 15-foot-radius sphere centered on a point of your choice within range. Until the spell ends, a creature that enters the spell’s area for the first time on a turn or starts its turn there must make a Charisma saving throw. On a failed save, a creature can’t speak a deliberate lie while in the radius. You know whether each creature succeeds or fails on its saving throw. An affected creature is aware of the spell and can thus avoid answering questions to which it would normally respond with a lie. Such a creature can be evasive in its answers as long as it remains within the boundaries of the truth.</t>
  </si>
  <si>
    <t>You draw the moisture from every creature in a 30-foot cube centered on a point you choose within range. Each creature in that area must make a Constitution saving throw. Constructs and undead aren’t affected, and plants and water elementals make this saving throw with disadvantage. A creature takes 10d8 necrotic damage on a failed save, or half as much damage on a successful one.</t>
  </si>
  <si>
    <t>The spell captures some of the incoming energy, lessening its effect on you and storing it for your next melee attack. You have resistance to the triggering damage type until the start of your next turn. Also, the first time you hit with a melee attack on your next turn, the target takes an extra 1d6 damage of the triggering type, and the spell ends. At Higher Levels. When you cast this spell using a spell slot of 2nd level or higher, the extra damage increases by 1d6 for each slot level above 1st.</t>
  </si>
  <si>
    <t>A line of roaring flame 30 feet long and 5 feet wide emanates from you in a direction you choose. Each creature in the line must make a Dexterity saving throw. A creature takes 3d8 fire damage on a failed save, or half as much damage on a successful one. At Higher Levels. When you cast this spell using a spell slot of 3rd level or higher, the damage increases by 1d8 for each slot level above 2nd.</t>
  </si>
  <si>
    <t>You establish a telepathic link with one beast you touch that is friendly to you or charmed by you. The spell fails if the beast’s Intelligence is 4 or higher. Until the spell ends, the link is active while you and the beast are within line of sight of each other. Through the link, the beast can understand your telepathic messages to it, and it can telepathically communicate simple emotions and concepts back to you. While the link is active, the beast gains advantage on attack rolls against any creature within 5 feet of you that you can see.</t>
  </si>
  <si>
    <t>You cause up to six pillars of stone to burst from places on the ground that you can see within range. Each pillar is a cylinder that has a diameter of 5 feet and a height of up to 30 feet. The ground where a pillar appears must be wide enough for its diameter, and you can target ground under a creature if that creature is Medium or smaller. Each pillar has AC 5 and 30 hit points. When reduced to 0 hit points, a pillar crumbles into rubble, which creates an area of difficult terrain with a 10-foot radius. The rubble lasts until cleared. If a pillar is created under a creature, that creature must succeed on a Dexterity saving throw or be lifted by the pillar. A creature can choose to fail the save. If a pillar is prevented from reaching its full height because of a ceiling or other obstacle, a creature on the pillar takes 6d6 bludgeoning damage and is restrained, pinched between the pillar and the obstacle. The restrained creature can use an action to make a Strength or Dexterity check (the creature’s choice) against the spell’s saving throw DC. On a success, the creature is no longer restrained and must either move off the pillar or fall off it. At Higher Levels. When you cast this spell using a spell slot of 7th level or higher, you can create two additional pillars for each slot level above 6th.</t>
  </si>
  <si>
    <t>You create a bonfire on ground that you can see within range. Until the spells ends, the bonfire fills a 5-foot cube. Any creature in the bonfire’s space when you cast the spell must succeed on a Dexterity saving throw or take 1d8 fire damage. A creature must also make the saving throw when it enters the bonfire’s space for the first time on a turn or ends its turn there. The spell’s damage increases by 1d8 when you reach 5th level (2d8), 11th level (3d8), and 17th level (4d8).</t>
  </si>
  <si>
    <t>You choose nonmagical flame that you can see within range and that fits within a 5-foot cube. You affect it in one of the following ways: • You instantaneously expand the flame 5 feet in one direction, provided that wood or other fuel is present in the new location. • You instantaneously extinguish the flames within the cube. • You double or halve the area of bright light and dim light cast by the flame, change its color, or both. The change lasts for 1 hour. • You cause simple shapes such as the vague form of a creature, an inanimate object, or a location to appear within the flames and animate as you like. The shapes last for 1 hour. If you cast this spell multiple times, you can have up to three of its non-instantaneous effects active at a time, and you can dismiss such an effect as an action.</t>
  </si>
  <si>
    <t>You take control of the air in a 100-foot cube that you can see within range. Choose one of the following effects when you cast the spell. The effect lasts for the spell’s duration, unless you use your action on a later turn to switch to a different effect. You can also use your action to temporarily halt the effect or to restart one you’ve halted. Gusts. A wind picks up within the cube, continually blowing in a horizontal direction that you choose. You choose the intensity of the wind: calm, moderate, or strong. If the wind is moderate or strong, ranged weapon attacks that pass through it or that are made against targets within the cube have disadvantage on their attack rolls. If the wind is strong, any creature moving against the wind must spend 1 extra foot of movement for each foot moved. Downdraft. You cause a sustained blast of strong wind to blow downward from the top of the cube. Ranged weapon attacks that pass through the cube or that are made against targets within it have disadvantage on their attack rolls. A creature must make a Strength saving throw if it flies into the cube for the first time on a turn or starts its turn there flying. On a failed save, the creature is knocked prone. Updraft. You cause a sustained updraft within the cube, rising upward from the cube’s bottom edge. Creatures that end a fall within the cube take only half damage from the fall. When a creature in the cube makes a vertical jump, the creature can jump up to 10 feet higher than normal.</t>
  </si>
  <si>
    <t>Choose an unoccupied 5-foot cube of air that you can see within range. An elemental force that resembles a dust devil appears in the cube and lasts for the spell’s duration. Any creature that ends its turn within 5 feet of the dust devil must make a Strength saving throw. On a failed save, the creature takes 1d8 bludgeoning damage and is pushed 10 feet away. On a successful save, the creature takes half as much damage and isn’t pushed. As a bonus action, you can move the dust devil up to 30 feet in any direction. If the dust devil moves over sand, dust, loose dirt, or small gravel, it sucks up the material and forms a 10-foot-radius cloud of debris around itself that lasts until the start of your next turn. The cloud heavily obscures its area. At Higher Levels. When you cast this spell using a spell slot of 3rd level or higher, the damage increases by 1d8 for each slot level above 2nd.</t>
  </si>
  <si>
    <t>Choose one creature you can see within range. Yellow strips of magical energy loop around the creature. The target must succeed on a Strength saving throw or its flying speed (if any) is reduced to 0 feet for the spell’s duration. An airborne creature affected by this spell descends at 60 feet per round until it reaches the ground or the spell ends.</t>
  </si>
  <si>
    <t>You cause a tremor in the ground in a 10-foot radius. Each creature other than you in that area must make a Dexterity saving throw. On a failed save, a creature takes 1d6 bludgeoning damage and is knocked prone. If the ground in that area is loose earth or stone, it becomes difficult terrain until cleared. At Higher Levels. When you cast this spell using a spell slot of 2nd level or higher, the damage increases by 1d6 for each slot level above 1st.</t>
  </si>
  <si>
    <t>Choose one creature you can see within range, and choose one of the following damage types: acid, cold, fire, lightning, or thunder. The target must succeed on a Constitution saving throw or be affected by the spell for its duration. The first time each turn the affected target takes damage of the chosen type, the target takes an extra 2d6 damage of that type. Moreover, the target loses any resistance to that damage type until the spell ends. At Higher Levels. When you cast this spell using a spell slot of 5th level or higher, you can target one additional creature for each slot level above 4th. The creatures must be within 30 feet of each other when you target them.</t>
  </si>
  <si>
    <t>Choose a point you can see on the ground within range. A fountain of churned earth and stone erupts in a 20-foot cube centered on that point. Each creature in that area must make a Dexterity saving throw. A creature takes 3d12 bludgeoning damage on a failed save, or half as much damage on a successful one. Additionally, the ground in that area becomes difficult terrain until cleared away. Each 5-foot-square portion of the area requires at least 1 minute to clear by hand. At Higher Levels. When you cast this spell using a spell slot of 3rd level or higher, the damage increases by 1d12 for each slot level above 2nd.</t>
  </si>
  <si>
    <t>You touch a quiver containing arrows or bolts. When a target is hit by a ranged weapon attack using a piece of ammunition drawn from the quiver, the target takes an extra 1d6 fire damage. The spell’s magic ends on the piece of ammunition when it hits or misses, and the spell ends when twelve pieces of ammunition have been drawn from the quiver. At Higher Levels. When you cast this spell using a spell slot of 4th level or higher, the number of pieces of ammunition you can affect with this spell increases by two for each slot level above 3rd.</t>
  </si>
  <si>
    <t>You cause numbing frost to form on one creature that you can see within range. The target must make a Constitution saving throw. On a failed save, the target takes 1d6 cold damage, and it has disadvantage on the next weapon attack roll it makes before the end of its next turn. The spell’s damage increases by 1d6 when you reach 5th level (2d6), 11th level (3d6), and 17th level (4d6).</t>
  </si>
  <si>
    <t>You seize the air and compel it to create one of the following effects at a point you can see within range: • One Medium or smaller creature that you choose must succeed on a Strength saving throw or be pushed up to 5 feet away from you. • You create a small blast of air capable of moving one object that is neither held nor carried and that weighs no more than 5 pounds. The object is pushed up to 10 feet away from you. It isn’t pushed with enough force to cause damage. • You create a harmless sensory affect using air, such as causing leaves to rustle, wind to slam shutters shut, or your clothing to ripple in a breeze.</t>
  </si>
  <si>
    <t>You create a shard of ice and fling it at one creature within range. Make a ranged spell attack against the target. On a hit, the target takes 1d10 piercing damage. Hit or miss, the shard then explodes. The target and each creature within 5 feet of the point where the ice exploded must succeed on a Dexterity saving throw or take 2d6 cold damage. At Higher Levels. When you cast this spell using a spell slot of 2nd level or higher, the cold damage increases by 1d6 for each slot level above 1st.</t>
  </si>
  <si>
    <t>Flames wreathe one creature you can see within range. The target must make a Dexterity saving throw. It takes 7d6 fire damage on a failed save, or half as much damage on a successful one. On a failed save, the target also burns for the spell’s duration. The burning target sheds bright light in a 30-foot radius and dim light for an additional 30 feet. At the end of each of its turns, the target repeats the saving throw. It takes 3d6 fire damage on a failed save, and the spell ends on a successful one. These magical flames can’t be extinguished through nonmagical means. If damage from this spell reduces a target to 0 hit points, the target is turned to ash.</t>
  </si>
  <si>
    <t>Flames race across your body, shedding bright light in a 30-foot radius and dim light for an additional 30 feet for the spell’s duration. The flames don’t harm you. Until the spell ends, you gain the following benefits: • You are immune to fire damage and have resistance to cold damage. • Any creature that moves within 5 feet of you for the first time on a turn or ends its turn there takes 1d10 fire damage. • You can use your action to create a line of fire 15 feet long and 5 feet wide extending from you in a direction you choose. Each creature in the line must make a Dexterity saving throw. A creature takes 4d8 fire damage on a failed save, or half as much damage on a successful one.</t>
  </si>
  <si>
    <t>Until the spell ends, ice rimes your body, and you gain the following benefits: • You are immune to cold damage and have resistance to fire damage. • You can move across difficult terrain created by ice or snow without spending extra movement. • The ground in a 10-foot radius around you is icy and is difficult terrain for creatures other than you. The radius moves with you. • You can use your action to create a 15-foot cone of freezing wind extending from your outstretched hand in a direction you choose. Each creature in the cone must make a Constitution saving throw. A creature takes 4d6 cold damage on a failed save, or half as much damage on a successful one. A creature that fails its save against this effect has its speed halved until the start of your next turn.</t>
  </si>
  <si>
    <t>Until the spell ends, bits of rock spread across your body, and you gain the following benefits: • You have resistance to bludgeoning, piercing, and slashing damage from nonmagical weapons. • You can use your action to create a small earthquake on the ground in a 15-foot radius centered on you. Other creatures on that ground must succeed on a Dexterity saving throw or be knocked prone. • You can move across difficult terrain made of earth or stone without spending extra movement. You can move through solid earth or stone as if it was air and without destabilizing it, but you can’t end your movement there. If you do so, you are ejected to the nearest unoccupied space, this spell ends, and you are stunned until the end of your next turn.</t>
  </si>
  <si>
    <t>Until the spell ends, wind whirls around you, and you gain the following benefits: • Ranged weapon attacks made against you have disadvantage on the attack roll. • You gain a flying speed of 60 feet. If you are still flying when the spell ends, you fall, unless you can somehow prevent it. • You can use your action to create a 15-foot cube of swirling wind centered on a point you can see within 60 feet of you. Each creature in that area must make a Constitution saving throw. A creature takes 2d10 bludgeoning damage on a failed save, or half as much damage on a successful one. If a Large or smaller creature fails the save, that creature is also pushed up to 10 feet away from the center of the cube.</t>
  </si>
  <si>
    <t>A mass of 5-foot-deep water appears and swirls in a 30-foot radius centered on a point you can see within range. The point must be on ground or in a body of water. Until the spell ends, that area is difficult terrain, and any creature that starts its turn there must succeed on a Strength saving throw or take 6d6 bludgeoning damage and be pulled 10 feet toward the center.</t>
  </si>
  <si>
    <t>You touch one to three pebbles and imbue them with magic. You or someone else can make a ranged spell attack with one of the pebbles by throwing it or hurling it with a sling. If thrown, it has a range of 60 feet. If someone else attacks with the pebble, that attacker adds your spellcasting ability modifier, not the attacker’s, to the attack roll. On a hit, the target takes bludgeoning damage equal to 1d6 + your spellcasting ability modifier. Hit or miss, the spell then ends on the stone. If you cast this spell again, the spell ends early on any pebbles still affected by it.</t>
  </si>
  <si>
    <t>You choose a 5-foot-square unoccupied space on the ground that you can see within range. A Medium hand made from compacted soil rises there and reaches for one creature you can see within 5 feet of it. The target must make a Strength saving throw. On a failed save, the target takes 2d6 bludgeoning damage and is restrained for the spell’s duration. As an action, you can cause the hand to crush the restrained target, who must make a Strength saving throw. It takes 2d6 bludgeoning damage on a failed save, or half as much damage on a successful one. To break out, the restrained target can make a Strength check against your spell save DC. On a success, the target escapes and is no longer restrained by the hand. As an action, you can cause the hand to reach for a different creature or to move to a different unoccupied space within range. The hand releases a restrained target if you do either.</t>
  </si>
  <si>
    <t>You create six tiny meteors in your space. They float in the air and orbit you for the spell’s duration. When you cast the spell and as a bonus action on each of your turns thereafter you can expend one or two of the meteors, sending them streaking toward a point or points you choose within 120 feet of you. Once a meteor reaches its destination or impacts against a solid surface, the meteor explodes. Each creature within 5 feet of the point where the meteor explodes must make a Dexterity saving throw. A creature takes 2d6 fire damage on a failed save, or half as much damage on a successful one. At Higher Levels. When you cast this spell using a spell slot of 4th level or higher, the number of meteors created increases by two for each slot level above 3rd</t>
  </si>
  <si>
    <t>You choose a portion of dirt or stone that you can see within range and that fits within a 5-foot cube. You manipulate it in one of the following ways: • If you target an area of loose earth, you can instantaneously excavate it, move it along the ground, and deposit it up to 5 feet away. This movement doesn’t have enough force to cause damage. • You cause shapes, colors, or both to appear on the dirt or stone, spelling out words, creating images, or shaping patterns. The changes last for 1 hour. • If the dirt or stone you target is on the ground, you cause it to become difficult terrain. Alternatively, you can cause the ground to become normal terrain if it is already difficult terrain. This change lasts for 1 hour. If you cast this spell multiple times, you can have no more than two of its non-instantaneous effects active at a time, and you can dismiss such an effect as an action.</t>
  </si>
  <si>
    <t>You have resistance to acid, cold, fire, lightning, and thunder damage for the spell’s duration. When you take damage of one of those types, you can use your reaction to gain immunity to that type of damage, including against the triggering damage. If you do so, the resistances end, and you have the immunity until the end of your next turn, at which time the spell ends.</t>
  </si>
  <si>
    <t>Choose an area of flame that you can see and that can fit within a 5-foot cube within range. You can extinguish the fire in that area, and you create either fireworks or smoke. Fireworks. The target explodes with a dazzling display of colors. Each creature within 10 feet of the target must succeed on a Constitution saving throw or become blinded until the end of your next turn. Smoke. Thick black smoke spreads out from the target in a 20-foot radius, moving around corners. The area of the smoke is heavily obscured. The smoke persists for 1 minute or until a strong wind disperses it.</t>
  </si>
  <si>
    <t>You choose an area of water that you can see within range and that fits within a 5-foot cube. You manipulate it in one of the following ways: • You instantaneously move or otherwise change the flow of the water as you direct, up to 5 feet in any direction. This movement doesn’t have enough force to cause damage. • You cause the water to form into simple shapes and animate at your direction. This change lasts for 1 hour. • You change the water’s color or opacity. The water must be changed in the same way throughout. This change lasts for 1 hour. • You freeze the water, provided that there are no creatures in it. The water unfreezes in 1 hour. If you cast this spell multiple times, you can have no more than two of its non-instantaneous effects active at a time, and you can dismiss such an effect as an action.</t>
  </si>
  <si>
    <t>You cause up to ten words to form in a part of the sky you can see. The words appear to be made of cloud and remain in place for the spell’s duration. The words dissipate when the spell ends. A strong wind can disperse the clouds and end the spell early.</t>
  </si>
  <si>
    <t>A flurry of magic snowballs erupts from a point you choose within range. Each creature in a 5-foot-radius sphere centered on that point must make a Dexterity saving throw. A creature takes 3d6 cold damage on a failed save, or half as much damage on a successful one. At Higher Levels. When you cast this spell using a spell slot of 3rd level or higher, the damage increases by 1d6 for each slot level above 2nd.</t>
  </si>
  <si>
    <t>A 20-foot-radius sphere of whirling air springs into existence centered on a point you choose within range. The sphere remains for the spell’s duration. Each creature in the sphere when it appears or that ends its turn there must succeed on a Strength saving throw or take 2d6 bludgeoning damage. The sphere’s space is difficult terrain. Until the spell ends, you can use a bonus action on each of your turns to cause a bolt of lightning to leap from the center of the sphere toward one creature you choose within 60 feet of the center. Make a ranged spell attack. You have advantage on the attack roll if the target is in the sphere. On a hit, the target takes 4d6 lightning damage. Creatures within 30 feet of the sphere have disadvantage on Wisdom (Perception) checks made to listen. At Higher Levels. When you cast this spell using a spell slot of 5th level or higher, the damage increases for each of its effects by 1d6 for each slot level above 4th.</t>
  </si>
  <si>
    <t>You create a burst of thunderous sound, which can be heard 100 feet away. Each creature other than you within 5 feet of you must make a Constitution saving throw. On a failed save, the creature takes 1d6 thunder damage. The spell’s damage increases by 1d6 when you reach 5th level (2d6), 11th level (3d6), and 17th level (4d6).</t>
  </si>
  <si>
    <t>You conjure up a wave of water that crashes down on an area within range. The area can be up to 30 feet long, up to 10 feet wide, and up to 10 feet tall. Each creature in that area must make a Dexterity saving throw. On a failure, a creature takes 4d8 bludgeoning damage and is knocked prone. On a success, a creature takes half as much damage and isn’t knocked prone. The water then spreads out across the ground in all directions, extinguishing unprotected flames in its area and within 30 feet of it.</t>
  </si>
  <si>
    <t>You choose an area of stone or mud that you can see that fits within a 40-foot cube and that is within range, and choose one of the following effects. Transmute Rock to Mud. Nonmagical rock of any sort in the area becomes an equal volume of thick and flowing mud that remains for the spell’s duration. If you cast the spell on an area of ground, it becomes muddy enough that creatures can sink into it. Each foot that a creature moves through the mud costs 4 feet of movement, and any creature on the ground when you cast the spell must make a Strength saving throw. A creature must also make this save the first time it enters the area on a turn or ends its turn there. On a failed save, a creature sinks into the mud and is restrained, though it can use an action to end the restrained condition on itself by pulling itself free of the mud. If you cast the spell on a ceiling, the mud falls. Any creature under the mud when it falls must make a Dexterity saving throw. A creature takes 4d8 bludgeoning damage on a failed save, or half as much damage on a successful one. Transmute Mud to Rock. Nonmagical mud or quicksand in the area no more than 10 feet deep transforms into soft stone for the spell’s duration. Any creature in the mud when it transforms must make a Dexterity saving throw. On a failed save, a creature becomes restrained by the rock. The restrained creature can use an action to try to break free by succeeding on a Strength check (DC 20) or by dealing 25 damage to the rock around it. On a successful save, a creature is shunted safely to the surface to an unoccupied space.</t>
  </si>
  <si>
    <t>You point at a place within range, and a glowing 1-foot ball of emerald acid streaks there and explodes in a 20-foot radius. Each creature in that area must make a Dexterity saving throw. On a failed save, a creature takes 10d4 acid damage and 5d4 acid damage at the end of its next turn. On a successful save, a creature takes half the initial damage and no damage at the end of its next turn. At Higher Levels. When you cast this spell using a spell slot of 5th level or higher, the initial damage increases by 2d4 for each slot level above 4th.</t>
  </si>
  <si>
    <t>You conjure up a wall of water on the ground at a point you can see within range. You can make the wall up to 30 feet long, 10 feet high, and 1 foot thick, or you can make a ringed wall up to 20 feet in diameter, 20 feet high, and 1 foot thick. The wall vanishes when the spell ends. The wall’s space is difficult terrain. Any ranged weapon attack that enters the wall’s space has disadvantage on the attack roll, and fire damage is halved if the fire effect passes through the wall to reach its target. Spells that deal cold damage that pass through the wall cause the area of the wall they pass through to freeze solid (at least a 5-foot square section is frozen). Each 5-foot-square frozen section has AC 5 and 15 hit points. Reducing a frozen section to 0 hit points destroys it. When a section is destroyed, the wall’s water doesn’t fill it.</t>
  </si>
  <si>
    <t>A strong wind (20 miles per hour) blows around you in a 10-foot radius and moves with you, remaining centered on you. The wind lasts for the spell’s duration. The wind has the following effects: • It deafens you and other creatures in its area. • It extinguishes unprotected flames in its area that are torch-sized or smaller. • The area is difficult terrain for creatures other than you. • The attack rolls of ranged weapon attacks have disadvantage if they pass in or out of the wind. • It hedges out vapor, gas, and fog that can be dispersed by strong wind.</t>
  </si>
  <si>
    <t>You conjure up a sphere of water with a 10-foot radius on a point you can see within range. The sphere can hover in the air, but no more than 10 feet off the ground. The sphere remains for the spell’s duration. Any creature in the sphere’s space must make a Strength saving throw. On a successful save, a creature is ejected from that space to the nearest unoccupied space outside it. A Huge or larger creature succeeds on the saving throw automatically. On a failed save, a creature is restrained by the sphere and is engulfed by the water. At the end of each of its turns, a restrained target can repeat the saving throw. The sphere can restrain a maximum of four Medium or smaller creatures or one Large creature. If the sphere restrains a creature in excess of these numbers, a random creature that was already restrained by the sphere falls out of it and lands prone in a space within 5 feet of it. As an action, you can move the sphere up to 30 feet in a straight line. If it moves over a pit, cliff, or other drop, it safely descends until it is hovering 10 feet over ground. Any creature restrained by the sphere moves with it. You can ram the sphere into creatures, forcing them to make the saving throw, but no more than once per turn. When the spell ends, the sphere falls to the ground and extinguishes all normal flames within 30 feet of it. Any creature restrained by the sphere is knocked prone in the space where it falls.</t>
  </si>
  <si>
    <t>A whirlwind howls down to a point on the ground you specify. The whirlwind is a 10-foot-radius, 30-foot-high cylinder centered on that point. Until the spell ends, you can use your action to move the whirlwind up to 30 feet in any direction along the ground. The whirlwind sucks up any Medium or smaller objects that aren’t secured to anything and that aren’t worn or carried by anyone. A creature must make a Dexterity saving throw the first time on a turn that it enters the whirlwind or that the whirlwind enters its space, including when the whirlwind first appears. A creature takes 10d6 bludgeoning damage on a failed save, or half as much damage on a successful one. In addition, a Large or smaller creature that fails the save must succeed on a Strength saving throw or become restrained in the whirlwind until the spell ends. When a creature starts its turn restrained by the whirlwind, the creature is pulled 5 feet higher inside it, unless the creature is at the top. A restrained creature moves with the whirlwind and falls when the spell ends, unless the creature has some means to stay aloft. A restrained creature can use an action to make a Strength or Dexterity check against your spell save DC. If successful, the creature is no longer restrained by the whirlwind and is hurled 3d6 × 10 feet away from it in a random direction.</t>
  </si>
  <si>
    <t>School</t>
  </si>
  <si>
    <t>Material Component</t>
  </si>
  <si>
    <t>Ritual</t>
  </si>
  <si>
    <t>action</t>
  </si>
  <si>
    <t>action ᴿ</t>
  </si>
  <si>
    <t>action/8 hr</t>
  </si>
  <si>
    <t>Choose a spell of 5th level or lower that you can cast, that has a casting time of actionion, and that can target you. You cast that spell—called the contingent spell—as part of casting contingency, expending spell slots for both, but the contingent spell doesn't come into effect. Instead, it takes effect when a certain circumstance occurs. You describe that circumstance when you cast the two spells. For example, a contingency cast with water breathing might stipulate that water breathing comes into effect when you are engulfed in water or a similar liquid. The contingent spell takes effect immediately after the circumstance is met for the first time, whether or not you want it to and then contingency ends. The contingent spell takes effect only on you, even if it can normally target others. You can use only one contingency spell at a time. If you cast this spell again, the effect of another contingency spell on you ends. Also, contingency ends on you if its material component is ever not on your person.</t>
  </si>
  <si>
    <t>This spell channels vitality into plants within a specific area. There are two possible uses for the spell, granting either immediate or long-term benefits. If you cast this spell using actionion, choose a point within range. All normal plants in a 100-foot radius centered on that point become thick and overgrown. A creature moving through the area must spend 4 feet of movement for every 1 foot it moves. You can exclude one or more areas of any size within the spell’s area from being affected. If you cast this spell over 8 hours, you enrich the land. All plants in a half-mile radius centered on a point within range become enriched for 1 year. The plants yield twice the normal amount of food when harvested.</t>
  </si>
  <si>
    <t>You alter time around up to six creatures of your choice in a 40-foot cube within range. Each target must succeed on a Wisdom saving throw or be affected by this spell for the duration. An affected target’s speed is halved, it takes a -2 penalty to AC and Dexterity saving throws, and it can’t use reactions. On its turn, it can use either an action or a bonus action, not both. Regardless of the creature’s abilities or magic items, it can’t make more than one melee or ranged attack during its turn. If the creature attempts to cast a spell with a casting time of actionion, roll a d20. On an 11 or higher, the spell doesn’t take effect until the creature’s next turn, and the creature must use its action on that turn to complete the spell. If it can’t, the spell is wasted. A creature affected by this spell makes another Wisdom saving throw at the end of its turn. On a successful save, the effect ends for it.</t>
  </si>
  <si>
    <t>bonus action</t>
  </si>
  <si>
    <t>You assume a different form. When you cast the spell, choose one of the following options, the effects of which last for the duration of the spell. While the spell lasts, you can end one option as an action to gain the benefits of a different one. Aquatic Adaptation. You adapt your body to an aquatic environment, sprouting gills and growing webbing between your fingers. You can breathe underwater and gain a swimming speed equal to your walking speed. Change Appearance. You transform your appearance. You decide what you look like, including your height, weight, facial features, sound of your voice, hair length, coloration, and distinguishing characteristics, if any. You can make yourself appear as a member of another race, though none of your statistics change. You also can’t appear as a creature of a different size than you, and your basic shape stays the same; if you're bipedal, you can’t use this spell to become quadrupedal, for instance. At any time for the duration of the spell, you can use your action to change your appearance in this way again. Natural Weapons. You grow claws, fangs, spines, horns, or a different natural weapon of your choice. Your unarmed strikes deal 1d6 bludgeoning, piercing, or slashing damage, as appropriate to the natural weapon you chose, and you are proficient with your unarmed strikes. Finally, the natural weapon is magic and you have a +bonus actionus to the attack and damage rolls you make using it.</t>
  </si>
  <si>
    <t>A nonmagical weapon you touch becomes a magic weapon. Choose one of the following damage types: acid, cold, fire, lightning, or thunder. For the duration, the weapon has a +bonus actionus to attack rolls and deals an extra 1d4 damage of the chosen type when it hits. At Higher Levels. When you cast this spell using a spell slot of 5th or 6th level, the bonus to attack rolls increases to +2 and the extra damage increases to 2d4. When you use a spell slot of 7th level or higher, the bonus increases to +3 and the extra damage increases to 3d4.</t>
  </si>
  <si>
    <t>You touch a nonmagical weapon. Until the spell ends, that weapon becomes a magic weapon with a +bonus actionus to attack rolls and damage rolls. At Higher Levels. When you cast this spell using a spell slot of 4th level or higher, the bonus increases to +2. When you use a spell slot of 6th level or higher, the bonus increases to +3.</t>
  </si>
  <si>
    <t>This spell wards a willing creature you touch and creates a mystic connection between you and the target until the spell ends. While the target is within 60 feet of you, it gains a +bonus actionus to AC and saving throws, and it has resistance to all damage. Also, each time it takes damage, you take the same amount of damage. The spell ends if you drop to 0 hit points or if you and the target becom e separated by more than 60 feet. It also ends if the spell is cast again on either of the connected creatures. You can also dismiss the spell as an action.</t>
  </si>
  <si>
    <t>Concentration</t>
  </si>
  <si>
    <t>Work Name</t>
  </si>
  <si>
    <t>Display Name</t>
  </si>
  <si>
    <t>Casting time</t>
  </si>
  <si>
    <t>Skin</t>
  </si>
  <si>
    <t>Eyes</t>
  </si>
  <si>
    <t>Hair</t>
  </si>
  <si>
    <t>Starting gold</t>
  </si>
  <si>
    <t>Racial Languages</t>
  </si>
  <si>
    <t>DruidicLanguage</t>
  </si>
  <si>
    <t>RogueLanguage</t>
  </si>
  <si>
    <t>Background Languages</t>
  </si>
  <si>
    <t>Rogue Language</t>
  </si>
  <si>
    <t>Druidic Language</t>
  </si>
  <si>
    <t>aasimar</t>
  </si>
  <si>
    <t>bugbear</t>
  </si>
  <si>
    <t>bullywug</t>
  </si>
  <si>
    <t>catfolk</t>
  </si>
  <si>
    <t>darfellan</t>
  </si>
  <si>
    <t>dark one</t>
  </si>
  <si>
    <t>dragonborn</t>
  </si>
  <si>
    <t>dwarf</t>
  </si>
  <si>
    <t>eladrin</t>
  </si>
  <si>
    <t>elf</t>
  </si>
  <si>
    <t>genasi</t>
  </si>
  <si>
    <t>gibberling</t>
  </si>
  <si>
    <t>githyanki</t>
  </si>
  <si>
    <t>githzerai</t>
  </si>
  <si>
    <t>gnoll</t>
  </si>
  <si>
    <t>gnome</t>
  </si>
  <si>
    <t>goblin</t>
  </si>
  <si>
    <t>goliath</t>
  </si>
  <si>
    <t>grippli</t>
  </si>
  <si>
    <t>half-elf</t>
  </si>
  <si>
    <t>half-orc</t>
  </si>
  <si>
    <t>halfling</t>
  </si>
  <si>
    <t>hobgoblin</t>
  </si>
  <si>
    <t>human</t>
  </si>
  <si>
    <t>kenku</t>
  </si>
  <si>
    <t>kobold</t>
  </si>
  <si>
    <t>lizardfolk</t>
  </si>
  <si>
    <t>locathah</t>
  </si>
  <si>
    <t>merfolk</t>
  </si>
  <si>
    <t>mongrelfolk</t>
  </si>
  <si>
    <t>mul</t>
  </si>
  <si>
    <t>nilbog</t>
  </si>
  <si>
    <t>norker</t>
  </si>
  <si>
    <t>orc</t>
  </si>
  <si>
    <t>orog</t>
  </si>
  <si>
    <t>rakasta</t>
  </si>
  <si>
    <t>saurial</t>
  </si>
  <si>
    <t>selkie</t>
  </si>
  <si>
    <t>shifter</t>
  </si>
  <si>
    <t>skulk</t>
  </si>
  <si>
    <t>swanmay</t>
  </si>
  <si>
    <t>tasloi</t>
  </si>
  <si>
    <t>tiefling</t>
  </si>
  <si>
    <t>troglodyte</t>
  </si>
  <si>
    <t>Dwarven</t>
  </si>
  <si>
    <t>Languages List</t>
  </si>
  <si>
    <t>Language</t>
  </si>
  <si>
    <t>Typical Speakers</t>
  </si>
  <si>
    <t>Thieve's Cant</t>
  </si>
  <si>
    <t>Single tools</t>
  </si>
  <si>
    <t>Racial Tools1</t>
  </si>
  <si>
    <t>Background Tools1</t>
  </si>
  <si>
    <t>Background Tools2</t>
  </si>
  <si>
    <t>Class Tools1</t>
  </si>
  <si>
    <t>Class Tools2</t>
  </si>
  <si>
    <t>Number of proficiency</t>
  </si>
  <si>
    <t>Tools 1</t>
  </si>
  <si>
    <t>Tools 2</t>
  </si>
  <si>
    <t>Tools 3</t>
  </si>
  <si>
    <t>Tools 4</t>
  </si>
  <si>
    <t>Tools 5</t>
  </si>
  <si>
    <t>Tools 6</t>
  </si>
  <si>
    <t>Tools 7</t>
  </si>
  <si>
    <t>Tools 8</t>
  </si>
  <si>
    <t>Tools 9</t>
  </si>
  <si>
    <t>Tools 10</t>
  </si>
  <si>
    <t>Tools 11</t>
  </si>
  <si>
    <t>Tools 12</t>
  </si>
  <si>
    <t>Tools 13</t>
  </si>
  <si>
    <t>ToolsProficiencyThievesTools</t>
  </si>
  <si>
    <t>BeguilingInfluence2</t>
  </si>
  <si>
    <t>BeguilingInfluence1</t>
  </si>
  <si>
    <t>RaceTools</t>
  </si>
  <si>
    <t>multiclass</t>
  </si>
  <si>
    <t>Other</t>
  </si>
  <si>
    <t>lvl</t>
  </si>
  <si>
    <t>Tools
User defined</t>
  </si>
  <si>
    <t>Class Traits Description</t>
  </si>
  <si>
    <t>Roguish Archetype, Roguish Archetype Feature3-1</t>
  </si>
  <si>
    <t>Stat</t>
  </si>
  <si>
    <t>Class Level</t>
  </si>
  <si>
    <t>Statmod</t>
  </si>
  <si>
    <t>Spellcasting Level</t>
  </si>
  <si>
    <t>Spells Prepared</t>
  </si>
  <si>
    <t>Total Spellcaster Level</t>
  </si>
  <si>
    <t>MaxSpellLevelKnown</t>
  </si>
  <si>
    <t>MaxSpellLevel</t>
  </si>
  <si>
    <t>Druid Form List</t>
  </si>
  <si>
    <t>Baboon</t>
  </si>
  <si>
    <t>Deer</t>
  </si>
  <si>
    <t>Giant fire beetle</t>
  </si>
  <si>
    <t>Hyena</t>
  </si>
  <si>
    <t>Jackal</t>
  </si>
  <si>
    <t>Sea horse</t>
  </si>
  <si>
    <t>Vulture</t>
  </si>
  <si>
    <t>Weasel</t>
  </si>
  <si>
    <t>Blood hawk</t>
  </si>
  <si>
    <t>Flying snake</t>
  </si>
  <si>
    <t>Giant crab</t>
  </si>
  <si>
    <t>Giant rat</t>
  </si>
  <si>
    <t>Giant weasel</t>
  </si>
  <si>
    <t>Poisonous snake</t>
  </si>
  <si>
    <t>Axe beak</t>
  </si>
  <si>
    <t>Constrictor snake</t>
  </si>
  <si>
    <t>Draft horse</t>
  </si>
  <si>
    <t>Elk</t>
  </si>
  <si>
    <t>Giant badger</t>
  </si>
  <si>
    <t>Giant bat</t>
  </si>
  <si>
    <t>Giant centipede</t>
  </si>
  <si>
    <t>Giant frog</t>
  </si>
  <si>
    <t>Giant lizard</t>
  </si>
  <si>
    <t>Giant owl</t>
  </si>
  <si>
    <t>Giant poisonous snake</t>
  </si>
  <si>
    <t>Giant wolf spider</t>
  </si>
  <si>
    <t>Panther</t>
  </si>
  <si>
    <t>Pteranodon</t>
  </si>
  <si>
    <t>Riding horse</t>
  </si>
  <si>
    <t>Swarm of bats</t>
  </si>
  <si>
    <t>Swarm of rats</t>
  </si>
  <si>
    <t>Swarm of ravens</t>
  </si>
  <si>
    <t>Ape</t>
  </si>
  <si>
    <t>Black bear</t>
  </si>
  <si>
    <t>Crocodile</t>
  </si>
  <si>
    <t>Giant goat</t>
  </si>
  <si>
    <t>Giant sea horse</t>
  </si>
  <si>
    <t>Giant wasp</t>
  </si>
  <si>
    <t>Reef shark</t>
  </si>
  <si>
    <t>Swarm of insects</t>
  </si>
  <si>
    <t>Worg</t>
  </si>
  <si>
    <t>Brown bear</t>
  </si>
  <si>
    <t>Dire wolf</t>
  </si>
  <si>
    <t>Giant eagle</t>
  </si>
  <si>
    <t>Giant hyena</t>
  </si>
  <si>
    <t>Giant octopus</t>
  </si>
  <si>
    <t>Giant spider</t>
  </si>
  <si>
    <t>Giant toad</t>
  </si>
  <si>
    <t>Giant vulture</t>
  </si>
  <si>
    <t>Lion</t>
  </si>
  <si>
    <t>Swarm of quippers</t>
  </si>
  <si>
    <t>Tiger</t>
  </si>
  <si>
    <t>Allosaurus</t>
  </si>
  <si>
    <t>Giant boar</t>
  </si>
  <si>
    <t>Giant constrictor snake</t>
  </si>
  <si>
    <t>Giant elk</t>
  </si>
  <si>
    <t>Hunter shark</t>
  </si>
  <si>
    <t>Plesiosaurus</t>
  </si>
  <si>
    <t>Polar bear/Cave bear</t>
  </si>
  <si>
    <t>Rhinoceros</t>
  </si>
  <si>
    <t>Saber-toothed tiger</t>
  </si>
  <si>
    <t>Swarm of poisonous snakes</t>
  </si>
  <si>
    <t>Ankylosaurus</t>
  </si>
  <si>
    <t>Giant scorpion</t>
  </si>
  <si>
    <t>Killer whale</t>
  </si>
  <si>
    <t>Giant crocodile</t>
  </si>
  <si>
    <t>Giant shark</t>
  </si>
  <si>
    <t>Triceratops</t>
  </si>
  <si>
    <t>Challenge 6 (2,300 XP)</t>
  </si>
  <si>
    <t>Mammoth</t>
  </si>
  <si>
    <t>Air elemental</t>
  </si>
  <si>
    <t>Earth Elemental</t>
  </si>
  <si>
    <t>Fire Elemental</t>
  </si>
  <si>
    <t>Water elemental</t>
  </si>
  <si>
    <t>CR</t>
  </si>
  <si>
    <t>Blood Hawk</t>
  </si>
  <si>
    <t>Flying Snake</t>
  </si>
  <si>
    <t>Echolocation, Keen Hearing</t>
  </si>
  <si>
    <t>Amphibious, Standing Leap,</t>
  </si>
  <si>
    <t>Keen Sight,</t>
  </si>
  <si>
    <t>Keen Hearing and Smell,</t>
  </si>
  <si>
    <t>Hold Breath, Underwater Camouflage, Water Breathing,</t>
  </si>
  <si>
    <t>Flyby, Keen Sight,</t>
  </si>
  <si>
    <t>Keen Senses, Magic Resistance, Limited Telepathy,</t>
  </si>
  <si>
    <t>Blood Frenzy, Water Breathing,</t>
  </si>
  <si>
    <t>Keen Smell,</t>
  </si>
  <si>
    <t>Mimicry,</t>
  </si>
  <si>
    <t>Spider Climb, Web Sense,Web Walker,</t>
  </si>
  <si>
    <t>Beast o fBurden, Sure Footed,</t>
  </si>
  <si>
    <t>Charge, Relentless,</t>
  </si>
  <si>
    <t>Experience per Level</t>
  </si>
  <si>
    <t>Skill Name</t>
  </si>
  <si>
    <t>Ability</t>
  </si>
  <si>
    <t>Shifting</t>
  </si>
  <si>
    <t>Innate Spellcasting</t>
  </si>
  <si>
    <t>Breath Weapon (acid)</t>
  </si>
  <si>
    <t>You gain proficiency in the Intimidation skill.</t>
  </si>
  <si>
    <t>Tool Proficiency (dwarf)</t>
  </si>
  <si>
    <t>Tool Proficiency</t>
  </si>
  <si>
    <t>Medium Armor</t>
  </si>
  <si>
    <t>Heavy Armor</t>
  </si>
  <si>
    <t>Group</t>
  </si>
  <si>
    <t>Blackmailer</t>
  </si>
  <si>
    <t>Burglar</t>
  </si>
  <si>
    <t>Enforcer</t>
  </si>
  <si>
    <t>Fence</t>
  </si>
  <si>
    <t>Highwayrobber</t>
  </si>
  <si>
    <t>HiredKiller</t>
  </si>
  <si>
    <t>Pickpocket</t>
  </si>
  <si>
    <t>Smuggler</t>
  </si>
  <si>
    <t>Spyvariant</t>
  </si>
  <si>
    <t>Retainers</t>
  </si>
  <si>
    <t>you can find a place to perform in any place that features combat for entertainment-perhaps a gladiatorial arena or secret pit fighting club. Vou can replace the musical instrument in your equipment package with an inexpensive but unusual weapon, such as a trident or neto</t>
  </si>
  <si>
    <t>Pirate</t>
  </si>
  <si>
    <t>Bad Reputation</t>
  </si>
  <si>
    <t>No matter where you go, people are afraid of you due to  your reputation. When you are in a civilized seltlement, you can gel away wilh minor criminal offenses, such as refusing to pay for food at a tavern ar breaking down doors at a local shop, since mosl people will nol reporl your aclivity to the aulhorilies.</t>
  </si>
  <si>
    <t xml:space="preserve">Svirfneblin seem more like creatures of stone than flesh. Their leathery skin is usually a gray, brown, or dun hue that acts as a natural camouflage with the rock around them. Their bodies are gnarled with hard muscle or fat, and they are heavier than their small stature suggests; svirfneblin often weigh 100 pounds or more but rarely stand much more than 3 feet tall.
Male svirfneblin are bald from early childhood, although adults can grow stiff beards or mustaches. Females have full heads of hair, and they usually tie their hair back in braids or cut it short to keep it from getting in their way as they work.
Svirfneblin are well adapted for their subterranean existence. They have excellent darkvision, and many of them have magical talents that rival the innate spellcasting of the drow and duergar. They are surprisingly strong for their size, enduring toil and danger that would overwhelm most other people.
</t>
  </si>
  <si>
    <t xml:space="preserve">Male Names: Belwar, Brickers, Durthmeck, Firble, Krieger, Kronthud, Schneltheck, Schnicktick, Thulwar, Walschud
Female Names: Beliss, Durthee, Fricknarti, Ivridda, Krivi, Lulthiss, Nalvarti, Schnella, Thulmarra,
W ll si Id. |
Clan Names: Crystalfist, Gemcutter, Ironfoot, Rockhewer, Seamfinder, Stonecutter
</t>
  </si>
  <si>
    <t>As an air genasi, you are descended from the djinn. As changeable as the weather, your moods shift from calm to wild and violent with little warning, but these storms rarely last long.
Air genasi typically have light blue skin, hair, and eyes. A faint but constant breeze accompanies them, tousling the hair and stirring the clothing. Some air genasi speak with breathy voices, marked by a faint echo. A few display odd patterns in their flesh or grow crystals from their scalps.</t>
  </si>
  <si>
    <t xml:space="preserve">As an earth genasi, you are descended from the cruel and greedy dao, though you aren’t necessarily evil. You have inherited some measure of control over earth, reveling in superior strength and solid power. You tend to avoid rash decisions, pausing long enough to consider your options before taking action.
Elemental earth manifests differently from one individual to the next. Some earth genasi always have bits of dust falling from their bodies and mud clinging to their clothes, never getting clean no matter how often they bathe. Others are as shiny and polished as gemstones, with skin tones of deep brown or black, eyes sparkling like agates. Earth genasi can also have smooth metallic flesh, dull iron skin spotted with rust, a pebbled and rough hide, or even a coating of tiny embedded crystals. The most arresting have fissures in their flesh, from which faint light shines.
</t>
  </si>
  <si>
    <t>As a fire genasi, you have inherited the volatile mood and keen mind of the efreet. You tend toward impatience and making snap judgments. Rather than hide your distinctive appearance, you exult in it.
Nearly all fire genasi are feverishly hot as if burning inside, an impression reinforced by flaming red, coal- black, or ash-gray skin tones. The more human-looking have fiery red hair that writhes under extreme emotion, while more exotic specimens sport actual flames dancing on their heads. Fire genasi voices might sound like crackling flames, and their eyes flare when angered. Some are accompanied by the faint scent of brimstone.</t>
  </si>
  <si>
    <t>The lapping of waves, the spray of sea foam on the wind, the ocean depths—all of these things call to your heart. You wander freely and take pride in your independence, though others might consider you selfish.
Most water genasi look as if they just finished bathing, with beads of moisture collecting on their skin and hair. They smell of fresh rain and clean water. Blue or green skin is common, and most have somewhat overlarge eyes, blue-black in color. A water genasi’s hair might float freely, swaying and waving as if underwater. Some have voices with undertones reminiscent of whale song or trickling streams.</t>
  </si>
  <si>
    <t>At the highest mountain peaks—far above the slopes where trees grow and where the air is thin and the frigid winds howl—dwell the reclusive goliaths. Few folk can claim to have seen a goliath, and fewer still can claim friendship with them. Goliaths wander a bleak realm of rock, wind, and cold. Their bodies look as if they are carved from mountain stone and give them great physical power. Their spirits take after the wandering wind, making them nomads who wander from peak to peak. Their hearts are infused with the cold regard of their frigid realm, leaving each goliath with the responsibility to earn a place in the tribe or die trying.</t>
  </si>
  <si>
    <t>Goliaths present all three names when identifying themselves, in the order of birth name, nickname, and clan name. In casual conversation, they use their nickname.
Birth Names: Aukan, Eglath, Gae-Al, Gauthak, Ilikan, Keothi, Kuori, Lo-Kag, Manneo, Maveith, Nalla, Orilo, Paavu, Pethani, Thalai, Thotham, Uthal, Vaunea, Vimak
Nicknames: Bearkiller, Dawncaller, Fearless, Flintfinder, Horncarver, Keeneye, Lonehunter, Longleaper, Rootsmasher, Skywatcher, Steadyhand, Threadtwister, Twice-Orphaned, Twistedlimb, Wordpainter
Clan Names: Anakalathai, Elanithino, Gathakanathi, Kalagiano, Katho-Olavi, Kolae-Gileana, Ogolakanu, Thuliaga, Thunukalathi, Vaimei-Laga</t>
  </si>
  <si>
    <t xml:space="preserve">Goliaths are between 7 and 8 feet tall </t>
  </si>
  <si>
    <t>weigh between 280 and 340 pounds</t>
  </si>
  <si>
    <t>Goliaths have lifespans comparable to humans. They enter adulthood in their late teens and usually live less than a century.</t>
  </si>
  <si>
    <t xml:space="preserve">Male Names: Adrik, Alberich, Baern, Barendd, Brottor, Bruenor, Dain, Darrak, Delg, Eberk, Einkil, Fargrim, Flint, Gardain, Harbek, Kildrak, Morgran, Orsik, Oskar, Rangrim, Rurik, Taklinn, Thoradin, Thorin, Tordek, Traubon, Travok, Ulfgar, Veit, Vondal Female Names: Amber, Artin, Audhild, Bardryn,
Dagnal, Diesa, Eldeth, Falkrunn, Finellen, Gunnloda, Gurdis, Helja, Hlin, Kathra, Kristryd, Ilde, Liftrasa, Mardred, Riswynn, Sannl, Torbera, Torgga, Vistra Clan Names: Balderk, Battlehammer, Brawnanvil, Dankil, Fireforge, Frostbeard, Gorunn, Holderhek, Ironfist, Loderr, Lutgehr, Rumnaheim, Strakeln, Torunn, Ungart
</t>
  </si>
  <si>
    <t xml:space="preserve">Male Names: Alton, Ander, Cade, Corrin, Eldon, Errich, Finnan, Garret, Lindal, Lyle, Merric, Milo, Osborn, Perrin, Reed, Roscoe, Wellby Female Names: Andry, Bree, Callie, Cora, Euphemia, Jillian, Kithri, Lavinia, Lidda, Merla, Nedda, Paela, Portia, Seraphina, Shaena, Trym, Vani, Verna Family Names: Brushgather, Goodbarrel, Greenbottle, High-hill, Hilltopple, Leagallow, Tealeaf, Thorngage, Tosscobble, Underbough </t>
  </si>
  <si>
    <t xml:space="preserve">Child Names: Ara, Bryn, Del, Eryn, Faen, Innil,
Lael, Mella, Naill, Naeris, Phann, Rael, Rinn, Sai, Syllin, Thia, Vail
Male Adult Names: Adran, Aelar, Aramil, Arannis, Aust, Beiro, Berrian, Carrie, Enialis, Erdan, Erevan, Galinndan, Hadarai, Heian, Himo, Immeral, Ivellios, Laucian, Mindartis, Paelias, Peren, Quarion, Riardon, Rolen, Soveliss, Thamior, Tharivol, Theren, Varis
Female Adult Names: Adrie, Althaea, Anastrianna,
Andraste, Antinua, Bethrynna, Birel, Caelynn,
Drusilia, Enna, Felosial, Ielenia, Jelenneth, Keyleth, Leshanna, Lia, Meriele, Mialee, Naivara, Quelenna, Quillathe, Sariel, Shanairra, Shava, Silaqui, Theirastra, Thia, Vadania, Valanthe, Xanaphia Family Names (Common Translations): Amakiir (Gemflower), Amastacia (Starflower), Galanodel (Moonwhisper), Holimion (Diamonddew), Ilphelkiir (Gemblossom), Liadon (Silverfrond), Meliamne (Oakenheel), Nai'lo (Nightbreeze), Siannodel (Moonbrook), Xiloscient (Goidpetal)
</t>
  </si>
  <si>
    <t>Chondathan Names: (Male) Darvin, Dorn, Evendur, Gorstag, Grim, Helm, Malark, Morn, Randal,
Stedd: (female) Arveene, Esvele, Jhessail, Kerri, Lureene, Miri, Rowan, Shandri, Tessele; (surnames) Amblecrown, Buckman, Dundragon, Evenwood, Greycastle, Tallstag</t>
  </si>
  <si>
    <t>Found primarily in the northwest of Faerfin, Damarans are of moderate height and build, with skin hues ranging from tawny to fair. Their hair is usually brown or black, and their eye color varies widely, though brown is most common.</t>
  </si>
  <si>
    <t>Damaran Names: (Male) Bor, Fodel, Glar, Grigor,
Igan, Ivor, Kosef, Mival, Orel, Pavel, Sergor; (female) Alethra, Kara, Katernin, Mara, Natali, Olma, Tana, Zora; (surnames) Bersk, Chernin, Dotsk, Kulenov, Marsk, Nemetsk, Shemov, Starag</t>
  </si>
  <si>
    <t>Illuskans are tall, fair-skinned folk with blue or steely gray eyes. Most have raven-black hair, but those who inhabit the extreme northwest have blond, red, or light brown hair.</t>
  </si>
  <si>
    <t>Illuskan Names: (Male) Ander, Blath, Bran, Frath,
Geth, Lander, Luth, Malcer, Stor, Taman, Urth; (female) Amafrey, Betha, Cefrey, Kethra, Mara, Olga, Silifrey, Westra; (surnames) Brightwood, Helder, Hornraven, Lackman, Stormwind, Windrivver</t>
  </si>
  <si>
    <t>Dominant in the eastern and southeastern shores of the Inner Sea, the Mulan are generally tall, slim, and amber-skinned, with eyes of hazel or brown. Their hair ranges from black to dark brown, but in the lands where the Mulan are most prominent, nobles and many other Mulan shave off all their hair.</t>
  </si>
  <si>
    <t xml:space="preserve">Mulan Names: (Male) Aoth, Bareris, Ehput-Ki,
Kethoth, Mumed, Ramas, So-Kehur, Thazar-De, Urhur; (female) Arizima, Chathi, Nephis, Nulara, Murithi, Sefris, Thola, Umara, Zolis; (surnames) Ankhalab, Anskuld, Fezim, Hahpet, Nathandem, Sepret, Uuthrakt
</t>
  </si>
  <si>
    <t>Most often found east of the Inner Sea and often intermingled with the Mulan, Rashemis tend to be short, stout, and muscular, They usually have dusky skin, dark eyes, and thick black hair.</t>
  </si>
  <si>
    <t>Rashemi Names: (Male) Borivik, Faurgar, Jandar, Kanithar, Madislak, Ralmevik, Shaumar, Vladislak; (female) Fyevarra, Hulmarra, Immith, Imzel,
Navarra, Shevarra, Tammith, Yuldra; (surnames) Chergoba, Dyernina, Iltazyara, Murnyethara, Stayanoga, Ulmokina</t>
  </si>
  <si>
    <t>Shou Names: (Male) An, Chen, Chi, Fai, Jiang, Jun,
Lian, Long, Meng, On, Shan, Shui, Wen; (female)
Bai, Chao, Jia, Lei, Mei, Qiao, Shui, Tai; (surnames) Chien, Huang, Kao, Kung, Lao, Ling, Mei, Pin, Shin, Sum, Tan, Wan</t>
  </si>
  <si>
    <t>The Shou are the most numerous and powerful ethnic group in Kara-Tur, far to the east of Faerun. They are yellowish-bronze in hue, with black hair and dark eyes. Shou surnames are usually presented before the given name.</t>
  </si>
  <si>
    <t>Widespread along the entire Sword Coast at the western edge of Faerun, Tethyrians are of medium build and height, with dusky skin that tends to grow fairer the farther north they dwell. Their hair and eye color varies widely, but brown hair and blue eyes are the most common. Tethyrians primarily use Chondathan names.</t>
  </si>
  <si>
    <t>Native to the southern shore of the Inner Sea, the Turami people are generally tall and muscular, with dark mahogany skin, curly black hair, and dark eyes.</t>
  </si>
  <si>
    <t>Turami Names: (Male) Anton, Diero, Marcon, Pieron, Rimardo, Romero, Salazar, Umbero; (female) Balama, Dona, Faila, jalana, Luisa, Marta, Quara, Selise, Vonda; (surnames) Agosto, Astorio, Calabra, Domine, Falone, Marivaldi, Pisacar, Ramondo</t>
  </si>
  <si>
    <t>Calishite Names: (Male) Aseir, Bardeid, Haseid, Khemed, Mehmen, Sudeiman, Zasheir; (female)
Atala, Ceidil, Hama, Jasmal, Meilil, Seipora, Yasheira, Zasheida; (surnames) Basha, Dumein, Jassan, Khalid, Mostana, Pashar, Rein</t>
  </si>
  <si>
    <t>Shorter and slighter in build than most other humans, Calishites have dusky brown skin, hair, and eyes. They’re found primarily in southwest Faerun.</t>
  </si>
  <si>
    <t>Chondathans are slender, tawny-skinned folk with brown hair that ranges from almost blond to almost black. Most are tall and have green or brown eyes, but these traits are hardly universal. Humans of Chondathan descent dominate the central lands of Faerun, around the Inner Sea</t>
  </si>
  <si>
    <t>Male Names: Arjhan, Balasar, Bharash, Donaar, Ghesh Heskan, Kriv, Medrash, Mehen, Nadarr, Pandjed, Patrin, Rhogar, Shamash, Shedinn, Tarhun, Torinn Female Names: Akra, Вігі, Daar, Farideh, Harann, Havilar, Jheri, Kava, Korinn, Mishann, Nala, Perra, Raiann, Sora, Surina, Thava, Uadjit
Childhood Names: Climber, Earbender, Leaper, Pious, Shieldbiter, Zealous
Clan Names: Clethtinthiallor, Daardendrian, Delmirev, Drachedandion, Fenkenkabradon, Kepeshkmolik, Kerrhylon. Kimbatuul, Linxakasendalor, Myastan, Nemmonis, Norixius, Ophinshtalajiir, Prexijandilin, Shestendeliath, Turnuroth, Verthisathurgiesh, Yarjerit</t>
  </si>
  <si>
    <t>Mate Names: Alston, Alvyn, Boddynock, Brocc, Burgell. Dimble, Eldon, Erky, Fonkin, Frug, Gerbo, Gimble, Glim, Jebeddo, Kellen, Namfoodle, Orryn, Roondar, Seebo, Sindri, Warryn, Wrenn, Zook Female Names: Bimpnottin, Breena, Caramip, Carlin, Donella, Duvamil, Ella, Ellyjobell, Ellywick, Lilli, Loopmottin, Lorilla, Mardnab, Nissa, Nyx, Oda, Orla, Roywyn, Shamil, Tana, Waywocket, Zanna Clan Names: Beren, Daergel, Folkor, Garrick, Nackle, Murnig, Ningel, Raulnor, Scheppen, Timbers, Turen Nicknames: Aleslosh, Ashhearth, Badger, Cloak, Doublelock, Filchbatter, Fnipper, Ku, Nim, Oneshoe, Pock, Sparkiegem, Stumbleduck</t>
  </si>
  <si>
    <t>Curious and impulsive, gnomes might take up adventuring as a way to see the world or for the love of exploring. As lovers of gems and other fine items, some gnomes take to adventuring as a quick, if dangerous, path to wealth. Regardless of what spurs them to adventure, gnomes who adopt this way of life eke as much enjoyment out of it as they do out of any other activity they undertake, sometimes to the great annoyance of their adventuring companions.</t>
  </si>
  <si>
    <t>As a forest gnome, you have a natural knack for illusion and inherent quickness and stealth. In the worlds of D&amp;D, forest gnomes are rare and secretive. They gather in hidden communities in sylvan forests, using illusions and trickery to conceal themselves from threats or to mask their escape should they be detected. Forest gnomes tend to be friendly with other good spirited woodland folk, and they regard elves and good fey as their most important allies. These gnomes also befriend small forest animals and rely on them for information about threats that might prowl their lands.</t>
  </si>
  <si>
    <t xml:space="preserve">Half-elves have no lands of their own, though they are welcome in human cities and somewhat less welcome in elven forests. In large cities in regions where elves and humans interact often, half-elves are sometimes numerous enough to form small communities of their own. They enjoy the company of other half-elves, the only people who truly understand what it is to live between these two worlds.
In most parts of the world, though, half-elves are uncommon enough that one might live for years without meeting another. Some half-elves prefer to avoid company altogether, wandering the wilds as trappers, foresters, hunters, or adventurers and visiting civilization only rarely. Like elves, they are driven by the wanderlust that comes of their longevity. Others, in contrast, throw themselves into the thick of society, putting their charisma and social skills to great use in diplomatic roles or as swindlers.
</t>
  </si>
  <si>
    <t>Male Infernal Names: Akmenos, Amnon, Barakas, Damakos, Ekemon, Iados, Kairon, Leucis, Melech, Mordai, Morthos, Pelaios, Skamos, Therai Female Infernal Names: Akta, Anakis, Bryseis, Criella, Damaia, Ea, Kallista, Lerissa, Makaria, Nemeia, Orianna, Phelaia, Rieta
“Virtue” Names: Art, Carrion, Chant, Creed, Despair, Excellence, Fear, Glory, Hope, Ideal, Music, Nowhere, Open, Poetry, Quest, Random, Reverence, Sorrow, Temerity, Torment, Weary</t>
  </si>
  <si>
    <t>A fierce warrior of primitive background who can enter a battle rage</t>
  </si>
  <si>
    <t>An inspiring magician whose power echoes the music of creation</t>
  </si>
  <si>
    <t>A priestly champion who wields divine magic in service of a higher power</t>
  </si>
  <si>
    <t>A priest of the Old Faith, wielding the powers of nature—moonlight and plant growth, fire and lightning—and adopting animal forms</t>
  </si>
  <si>
    <t>A master of martial combat, skilled with a variety of weapons and armor</t>
  </si>
  <si>
    <t>An master of martial arts, harnessing the power of the body in pursuit of physical and spiritual perfection</t>
  </si>
  <si>
    <t>A holy warrior bound to a sacred oath</t>
  </si>
  <si>
    <t>A warrior who uses martial prowess and nature magic to combat threats on the edges of civilization</t>
  </si>
  <si>
    <t>A scoundrel who uses stealth and trickery to overcome obstacles and enemies</t>
  </si>
  <si>
    <t>A spellcaster who draws on inherent magic from a gift or bloodline</t>
  </si>
  <si>
    <t>A wielder of magic that is derived from a bargain with an extraplanar entity</t>
  </si>
  <si>
    <t>A scholarly magic-user capable of manipulating the structures of reality</t>
  </si>
  <si>
    <t xml:space="preserve">You have spent your life in the service of a temple to a specific god or pantheon of gods. You act as an intermediary between the realm of the holy and the mortal world, performing sacred rites and offering sacrifices in order to conduct worshipers into the presence of the divine. You are not necessarily a cleric—performing sacred rites is not the same thing as channeling divine power.
Choose a god, a pantheon of gods, or some other quasi-divine being from among those listed in appendix B or those specified by your DM, and work with your DM to detail the nature of your religious service.
Were you a lesser functionary in a temple, raised from childhood to assist the priests in the sacred rites? Or were you a high priest who suddenly experienced a call to serve your god in a different way? Perhaps you were the leader of a small cult outside of any established temple structure, or even an occult group that served a fiendish master that you now deny.
</t>
  </si>
  <si>
    <t xml:space="preserve">You have always had a way with people. You know what makes them tick, you can tease out their hearts' desires after a few minutes of conversation, and with a few leading questions you can read them like they were children’s books, it's a useful talent, and one that you're perfectly willing to use for your advantage.
You know what people want and you deliver, or rather, you promise to deliver. Common sense should steer people away from things that sound too good to be true, but common sense seems to be in short supply when you’re around. The bottle of pink-colored liquid will surely cure that unseemly rash, this ointment—nothing more than a bit of fat with a sprinkle of silver dust—can restore youth and vigor, and there’s a bridge in the city that just happens to be for sale. These marvels sound implausible, but you make them sound like the real deal.
</t>
  </si>
  <si>
    <t>Although your capabilities are not much different from those of a burglar or smuggler, you learned and practiced them in a very different context: as an espionage agent. You might have been an officially sanctioned agent of the crown, or perhaps you sold the secrets you uncovered to the highest bidder.</t>
  </si>
  <si>
    <t xml:space="preserve">A gladiator is as much an entertainer as any minstrel or circus performer, trained to make the arts of combat into a spectacle the crowd can enjoy. This kind of flashy combat is your entertainer routine, though you might also have some skills as a tumbler or actor.
Using your By Popular Demand feature, you can find a place to perform in any place that features combat for entertainment—perhaps a gladiatorial arena or secret pit fighting club. You can replace the musical instrument in your equipment package with an inexpensive but unusual weapon, such as a trident or net.
</t>
  </si>
  <si>
    <t>You come from a humble social rank, but you are destined for so much more. Already the people of your home village regard you as their champion, and your destiny calls you to stand against the tyrants and monsters that threaten the common folk everywhere.</t>
  </si>
  <si>
    <t>You are a member of an artisan’s guild, skilled in a particular field and closely associated with other artisans. You are a well-established part of the mercantile world, freed by talent and wealth from the constraints of a feudal social order. You learned your skills as an apprentice to a master artisan, under the sponsorship of your guild, until you became a master in your own right.</t>
  </si>
  <si>
    <t>Guild Merchant</t>
  </si>
  <si>
    <t xml:space="preserve">Instead of an artisans’ guild, you might belong to a guild of traders, caravan masters, or shopkeepers. You don’t craft items yourself but earn a living by buying and selling the works of others (or the raw materials artisans need to practice their craft). Your guild might be a large merchant consortium (or family) with interests across the region. Perhaps you transported goods from one place to another, by ship, wagon, or caravan, or bought them from traveling traders and sold them in your own little shop. In some ways, the traveling merchant’s life lends itself to adventure far more than the life of an artisan.
</t>
  </si>
  <si>
    <t>mule</t>
  </si>
  <si>
    <t>cart</t>
  </si>
  <si>
    <t>You lived in seclusion—either in a sheltered community such as a monastery, or entirely alone—for a formative part of your life. In your time apart from the clamor of society, you found quiet, solitude, and perhaps some of the answers you were looking for.</t>
  </si>
  <si>
    <t>You have the service of three retainers loyal to your family. These retainers can be attendants or messengers, and one might be a majordomo. Your retainers are commoners who can perform mundane tasks for you, but they do not fight for you, will not follow you into obviously dangerous areas (such as dungeons), and will leave if they are frequently endangered or abused.</t>
  </si>
  <si>
    <t xml:space="preserve">A knighthood is among the lowest noble titles in most societies, but it can be a path to higher status. If you wish to be a knight, choose the Retainers feature (see the sidebar) instead of the Position of Privilege feature. One of your commoner retainers is replaced by a noble who serves as your squire, aiding you in exchange for
^ h.
VARIANT FEATURE: RETAINERS
If your character has a noble background, you may select this background feature instead of Position of Privilege.
You have the service of three retainers loyal to your family. These retainers can be attendants or messengers, and one might be a majordomo. Your retainers are commoners who can perform mundane tasks for you, but they do not fight for you, will not follow you into obviously dangerous areas (such as dungeons), and will leave if they are frequently endangered or abused.
training on his or her own path to knighthood. Your two remaining retainers might include a groom to care for your horse and a servant who polishes your armor (and even helps you put it on).
As an emblem of chivalry and the ideals of courtly love, you might include among your equipment a banner or other token from a noble lord or lady to whom you have given your heart—in a chaste sort of devotion.
(This person could be your bond.)
</t>
  </si>
  <si>
    <t>You grew up in the wilds, far from civilization and the comforts of town and technology. You've witnessed the migration of herds larger than forests, survived weather more extreme than any city-dweller could comprehend, and enjoyed the solitude of being the only thinking creature for miles in any direction. The wilds are in your blood, whether you were a nomad, an explorer, a recluse, a hunter-gatherer, or even a marauder. Even in places where you don’t know the specific features of the terrain, you know the ways of the wild.</t>
  </si>
  <si>
    <t xml:space="preserve">You sailed on a seagoing vessel for years. In that time, you faced down mighty storms, monsters of the deep, and those who wanted to sink your craft to the bottomless depths. Your first love is the distant line of the horizon, but the time has come to try your hand at something new.
Discuss the nature of the ship you previously sailed with your Dungeon Master. Was it a merchant ship, a naval vessel, a ship of discovery, or a pirate ship?
How famous (or infamous) is it? Is it widely traveled?
Is it still sailing, or is it missing and presumed lost with all hands?
What were your duties on board—boatswain, captain, navigator, cook, or some other position? Who were the captain and first mate? Did you leave your ship on good terms with your fellows, or on the run?
</t>
  </si>
  <si>
    <t xml:space="preserve">You spent your youth under the sway of a dread pirate, a ruthless cutthroat who taught you how to survive in a world of sharks and savages. You’ve indulged in larceny on the high seas and sent more than one deserving soul to a briny grave. Fear and bloodshed are no strangers to you, and you’ve garnered a somewhat unsavory reputation in many a port town.
If you decide that your sailing career involved piracy, you can choose the Bad Reputation feature (see sidebar) instead of the Ship’s Passage feature.
</t>
  </si>
  <si>
    <t xml:space="preserve">War has been your life for as long as you care to remember. You trained as a youth, studied the use of weapons and armor, learned basic survival techniques, including how to stay alive on the battlefield. You might have been part of a standing national army or a mercenary company, or perhaps a member of a local militia who rose to prominence during a recent war.
When you choose this background, work with your DM to determine which military organization you were a part of, how far through its ranks you progressed, and what kind of experiences you had during your military career. Was it a standing army, a town guard, or a village militia? Or it might have been a noble's or merchant’s private army, or a mercenary company.
</t>
  </si>
  <si>
    <t xml:space="preserve">You grew up on the streets alone, orphaned, and poor. You had no one to watch over you or to provide for you, so you learned to provide for yourself. You fought fiercely over food and kept a constant watch out for other desperate souls who might steal from you. You slept on rooftops and in alleyways, exposed to the elements, and endured sickness without the advantage of medicine or a place to recuperate. You've survived despite all odds, and did so through cunning, strength, speed, or some combination of each.
You begin your adventuring career with enough money to live modestly but securely for at least ten days. How did you come by that money? What allowed you to break free of your desperate circumstances and embark on a better life?
</t>
  </si>
  <si>
    <t>You thrive in front of an audience. You know how to entrance them, entertain them, and even inspire them. Your poetics can stir the hearts of those who hear you, awakening grief or joy, laughter or anger. Your music raises their spirits or captures their sorrow. Your dance steps captivate, your humor cuts to the quick. Whatever techniques you use, your art is your life.</t>
  </si>
  <si>
    <t>You understand wealth, power, and privilege. You carry a noble title, and your family owns land, collects taxes, and wields significant political influence. You might be a pampered aristocrat unfamiliar with work or discomfort, a former merchant just elevated to the nobility, or a disinherited scoundrel with a disproportionate sense of entitlement. Or you could be an honest, hard-working landowner who cares deeply about the people who live and work on your land, keenly aware of your responsibility to them.</t>
  </si>
  <si>
    <t>Ability Roll</t>
  </si>
  <si>
    <t>As a high elf, you have a keen mind and a mastery of at least the basics of magic. In many of the worlds of D&amp;D, there are two kinds of high elves. One type (which includes the gray elves and valley elves of Greyhawk, the Silvanesti of Dragonlance, and the sun elves of the Forgotten Realms) is haughty and reclusive, believing themselves to be superior to non-elves and even other elves. The other type (including the high elves of Greyhawk. the Qualinesti of Dragonlance, and the moon elves of the Forgotten Realms) are more common and more friendly, and often encountered among humans and other races.
The sun elves of Faerun (also called gold elves or sunrise elves) have bronze skin and hair of copper, black, or golden blond. Their eyes are golden, silver, or black. Moon elves (also called silver elves or gray elves) are much paler, with alabaster skin sometimes tinged with blue. They often have hair of silver-white, black, or blue, but various shades of blond, brown, and red are not uncommon. Their eyes are blue or green and flecked with gold.</t>
  </si>
  <si>
    <t xml:space="preserve">As a wood elf, you have keen senses and intuition, and your fleet feet carry you quickly and stealthily through your native forests. This category includes the wild elves (grugach) of Greyhawk and the Kagonesti of Dragonlance, as well as the races called wood elves in Greyhawk and the Forgotten Realms. In Faerun, wood elves (also called wild elves, green elves, or forest elves) are reclusive and distrusting of non-elves.
Wood elves' skin tends to be copperish in hue, sometimes with traces of green. Their hair tends toward browns and blacks, but it is occasionally blond or copper-colored. Their eyes are green, brown, or hazel.
</t>
  </si>
  <si>
    <t xml:space="preserve">Descended from an earlier subrace of dark-skinned elves, the drow were banished from the surface world for following the goddess Lolth down the path to evil and corruption. Now they have built their own civilization in the depths of the Underdark, patterned after the Way of Lolth. Also called dark elves, the drow have black skin that resembles polished obsidian and stark white or pale yellow hair. They commonly have very pale eyes (so pale as to be mistaken for white) in shades of lilac, silver, pink, red, and blue. They tend to be smaller and thinner than most elves.
Drow adventurers are rare, and the race does not exist in all worlds. Check with your Dungeon Master to see if you can play a drow character.
</t>
  </si>
  <si>
    <t xml:space="preserve">As a lightfoot halfling, you can easily hide from notice, even using other people as cover. You're inclined to be affable and get along well with others. In the Forgotten Realms, lightfoot halflings have spread the farthest and thus are the most common variety.
Lightfoots are more prone to wanderlust than other halflings, and often dwell alongside other races or take up a nomadic life. In the world of Greyhawk, these halflings are called hairfeet or tallfellows.
</t>
  </si>
  <si>
    <t>As a stout halfling, you’re hardier than average and have some resistance to poison. Some say that stouts have dwarven blood. In the Forgotten Realms, these halflings are called stronghearts, and they’re most common in the south.</t>
  </si>
  <si>
    <t>As a hill dwarf, you have keen senses, deep intuition, and remarkable resilience. The gold dwarves of Faerun in their mighty southern kingdom are hill dwarves, as are the exiled Neidar and the debased Klar of Krynn in the Dragonlance setting.</t>
  </si>
  <si>
    <t>As a mountain dwarf, you’re strong and hardy, accustomed to a difficult life in rugged terrain. You’re probably on the tall side (for a dwarf), and tend toward lighter coloration. The shield dwarves of northern Faerun, as well as the ruling Hylar clan and the noble Daewar clan of Dragonlance, are mountain dwarves.</t>
  </si>
  <si>
    <t>Duergar</t>
  </si>
  <si>
    <t>Male Orc Names: Dench, Feng, Gell, Henk, Holg, Imsh, Keth, Krusk, Mhurren, Ront, Shump. Thokk Female Ore Names: Baggi, Emen, Engong, Kansif, Myev, Neega, Ovak, Ownka, Shautha, Sutha, Vola, Volen, Yevelda</t>
  </si>
  <si>
    <t>Duergar Resilience</t>
  </si>
  <si>
    <t>Duergar Combat Training</t>
  </si>
  <si>
    <t>The duergar has advantage on saving
throws against poison, spells, and illusions, as well as to resist
being charmed or paralyzed.</t>
  </si>
  <si>
    <t>Enlarge (1 min) per short rest, Invisibility per short rest</t>
  </si>
  <si>
    <t>The tyrannical duergar, also known as gray dwarves,
dwell in fantastic cities deep in the Underdark. Using
ancient dwarven knowledge and myriad slaves, they
work tirelessly to expand their subterranean kingdoms.
Most duergar (including females) are bald and have
ashen gray skin. They wear drab clothing designed
to blend in with stone, along with simple jewelry that
reflects their severe and utilitarian demeanor.</t>
  </si>
  <si>
    <t>Innate Spellcasting (duergar)</t>
  </si>
  <si>
    <t>Chosen Array</t>
  </si>
  <si>
    <t>Массив для выбора</t>
  </si>
  <si>
    <t>Выбранные значения</t>
  </si>
  <si>
    <t>Оставшие значения</t>
  </si>
  <si>
    <t>Additional Elemental Discipline</t>
  </si>
  <si>
    <t>Bard College, Expertise, Bard College Feature3-1, Bard College Feature3-2,</t>
  </si>
  <si>
    <t>ED1</t>
  </si>
  <si>
    <t>ED2</t>
  </si>
  <si>
    <t>ED3</t>
  </si>
  <si>
    <t>ED4</t>
  </si>
  <si>
    <t>ED5</t>
  </si>
  <si>
    <t>ASI</t>
  </si>
  <si>
    <t>age</t>
  </si>
  <si>
    <t>height</t>
  </si>
  <si>
    <t>weight</t>
  </si>
  <si>
    <t>eyes</t>
  </si>
  <si>
    <t>hair</t>
  </si>
  <si>
    <t>skin</t>
  </si>
  <si>
    <t>alignment</t>
  </si>
  <si>
    <t>ST</t>
  </si>
  <si>
    <t>Personal Traits</t>
  </si>
  <si>
    <t>Saving
Throw</t>
  </si>
  <si>
    <t>CHARACTER NAME</t>
  </si>
  <si>
    <t>BACKGROUND</t>
  </si>
  <si>
    <t>EXPERIENCE</t>
  </si>
  <si>
    <t>NEXT LEVEL</t>
  </si>
  <si>
    <t>PLAYER NAME</t>
  </si>
  <si>
    <t>CLASS</t>
  </si>
  <si>
    <t>SUBCLASS</t>
  </si>
  <si>
    <t>ALIGNMENT</t>
  </si>
  <si>
    <t>DEITY</t>
  </si>
  <si>
    <t>RACE</t>
  </si>
  <si>
    <t>GENDER</t>
  </si>
  <si>
    <t>AGE</t>
  </si>
  <si>
    <t>HEIGHT</t>
  </si>
  <si>
    <t>WEIGHT</t>
  </si>
  <si>
    <t>SKIN</t>
  </si>
  <si>
    <t>EYES</t>
  </si>
  <si>
    <t>HAIR</t>
  </si>
  <si>
    <t>ABILITIES</t>
  </si>
  <si>
    <t>SAVING THROWS</t>
  </si>
  <si>
    <t>ABILITY
NAME</t>
  </si>
  <si>
    <t>ABILITY SCORE</t>
  </si>
  <si>
    <t>ABILITY MODIFIER</t>
  </si>
  <si>
    <t>TEMPORARY
SCORE</t>
  </si>
  <si>
    <t>TEMPORARY
MODIFIER</t>
  </si>
  <si>
    <t>SAVING
THROW</t>
  </si>
  <si>
    <t>PROFICIENCY
BONUS</t>
  </si>
  <si>
    <t>OTHER MODIFIER</t>
  </si>
  <si>
    <t>SKILL NAME</t>
  </si>
  <si>
    <t>KEY ABILITY</t>
  </si>
  <si>
    <t>PROFICIENT</t>
  </si>
  <si>
    <t>SKILL MODIFIER</t>
  </si>
  <si>
    <t>ACROBATICS</t>
  </si>
  <si>
    <t>○</t>
  </si>
  <si>
    <t>STRENGTH</t>
  </si>
  <si>
    <t>ANIMAL HANDLING</t>
  </si>
  <si>
    <t>ARCANA</t>
  </si>
  <si>
    <t>DEXTERITY</t>
  </si>
  <si>
    <t>ATHLETICS</t>
  </si>
  <si>
    <t>DECEPTION</t>
  </si>
  <si>
    <t>CONSTITUTION</t>
  </si>
  <si>
    <t>HISTORY</t>
  </si>
  <si>
    <t>INSIGHT</t>
  </si>
  <si>
    <t>INTELLIGENCE</t>
  </si>
  <si>
    <t>INTIMIDATION</t>
  </si>
  <si>
    <t>INVESTIGATION</t>
  </si>
  <si>
    <t>WISDOM</t>
  </si>
  <si>
    <t>MEDICINE</t>
  </si>
  <si>
    <t>NATURE</t>
  </si>
  <si>
    <t>CHARISMA</t>
  </si>
  <si>
    <t>PERCEPTION</t>
  </si>
  <si>
    <t>HEALTH &amp; ARMOR</t>
  </si>
  <si>
    <t>PERFORMANCE</t>
  </si>
  <si>
    <t>PERSUASION</t>
  </si>
  <si>
    <t>HD</t>
  </si>
  <si>
    <t xml:space="preserve">PASS  </t>
  </si>
  <si>
    <t>RELIGION</t>
  </si>
  <si>
    <t>HIT POINTS</t>
  </si>
  <si>
    <t>HIT DICE</t>
  </si>
  <si>
    <t xml:space="preserve">FAIL  </t>
  </si>
  <si>
    <t>TOTAL</t>
  </si>
  <si>
    <t>REMAINING</t>
  </si>
  <si>
    <t>DEATH ROLLS</t>
  </si>
  <si>
    <t>SLEIGHT OF HAND</t>
  </si>
  <si>
    <t>STEALTH</t>
  </si>
  <si>
    <t>ARMOR CLASS</t>
  </si>
  <si>
    <t>SURVIVAL</t>
  </si>
  <si>
    <t>ARMOR</t>
  </si>
  <si>
    <t>SHIELD</t>
  </si>
  <si>
    <t>DEXTERITY MODIFIER</t>
  </si>
  <si>
    <t>OTHER
ARMOR</t>
  </si>
  <si>
    <t>DAMAGE RESISTANCE</t>
  </si>
  <si>
    <t>DAMAGE REDUCTION</t>
  </si>
  <si>
    <t>PROFICIENCIES</t>
  </si>
  <si>
    <t>DEX MOD</t>
  </si>
  <si>
    <t>ARMOR TYPE</t>
  </si>
  <si>
    <t>PROPERTIES</t>
  </si>
  <si>
    <t>WEAPONS</t>
  </si>
  <si>
    <t>ACTIONS</t>
  </si>
  <si>
    <t>INSPIRATION</t>
  </si>
  <si>
    <t>PASSIVE</t>
  </si>
  <si>
    <t>NORMAL</t>
  </si>
  <si>
    <t>LANGUAGES</t>
  </si>
  <si>
    <t>WISDOM
MODIFIER</t>
  </si>
  <si>
    <t>PECEPTION
PROFICIENCY
BONUS</t>
  </si>
  <si>
    <t>INITIATIVE</t>
  </si>
  <si>
    <t>MODIFIER</t>
  </si>
  <si>
    <t>PER ATTACK ACTION</t>
  </si>
  <si>
    <t>STANDARD</t>
  </si>
  <si>
    <t>EXTRA
ATTACKS</t>
  </si>
  <si>
    <t>ATTACK 1</t>
  </si>
  <si>
    <t>ATTACK BONUS</t>
  </si>
  <si>
    <t>DAMAGE</t>
  </si>
  <si>
    <t>EQUIPMENT WORN</t>
  </si>
  <si>
    <t>RANGE</t>
  </si>
  <si>
    <t>HEAD</t>
  </si>
  <si>
    <t>HANDS</t>
  </si>
  <si>
    <t>HEADBAND, HAT, HELMET, OR PHYLACTERY</t>
  </si>
  <si>
    <t>GLOVES OR GAUNTLETS</t>
  </si>
  <si>
    <t>AMMUNITION</t>
  </si>
  <si>
    <t>£</t>
  </si>
  <si>
    <t>ATTACK 2</t>
  </si>
  <si>
    <t>ARMS / WRISTS</t>
  </si>
  <si>
    <t>EYE LENSES OR GOGGLES</t>
  </si>
  <si>
    <t>BRACERS OR BRACLETS</t>
  </si>
  <si>
    <t>NECK</t>
  </si>
  <si>
    <t>BODY</t>
  </si>
  <si>
    <t>AMULET, BROOCH, MEDALLION, PERIAPT, OR SCARAB</t>
  </si>
  <si>
    <t>ROBE OR SUIT OF ARMOR</t>
  </si>
  <si>
    <t>ATTACK 3</t>
  </si>
  <si>
    <t>SHOUDLERS</t>
  </si>
  <si>
    <t>TORSO</t>
  </si>
  <si>
    <t>CLOAK, CAPE OR MANTLE</t>
  </si>
  <si>
    <t>VEST, VESTMENT, OR SHIRT</t>
  </si>
  <si>
    <t>RINGS</t>
  </si>
  <si>
    <t>WAIST</t>
  </si>
  <si>
    <t>ATTACK 4</t>
  </si>
  <si>
    <t>RIGHT HAND</t>
  </si>
  <si>
    <t>BELT OR GIRDLE</t>
  </si>
  <si>
    <t>FEET</t>
  </si>
  <si>
    <t>LEFT HAND</t>
  </si>
  <si>
    <t>BOOTS, SHOES, OR SLIPPERS</t>
  </si>
  <si>
    <t>ATTACK 5</t>
  </si>
  <si>
    <t>CARRYING CAPACITY</t>
  </si>
  <si>
    <t>COINAGE</t>
  </si>
  <si>
    <t>CURRENT</t>
  </si>
  <si>
    <t>PLATINUM (PP)</t>
  </si>
  <si>
    <t>1 PLATINUM = 10 GOLD</t>
  </si>
  <si>
    <t>GOLD (GP)</t>
  </si>
  <si>
    <t>ENCUMBERED</t>
  </si>
  <si>
    <t>1 GOLD = 2 ELECTRUM</t>
  </si>
  <si>
    <t>ATTACK 6</t>
  </si>
  <si>
    <t>SPEED -10 FEET</t>
  </si>
  <si>
    <t>ELECTRUM (EP)</t>
  </si>
  <si>
    <t>1 ELECTRUM = 5 SILVER</t>
  </si>
  <si>
    <t>SPEED -20 FEET</t>
  </si>
  <si>
    <t>SILVER (SP)</t>
  </si>
  <si>
    <t>DISADVANTAGE ON STR, DEX, CON CHECKS, ATTACKS &amp; SAVES</t>
  </si>
  <si>
    <t>1 SILVER = 10 COPPER</t>
  </si>
  <si>
    <t>PUSH, DRAG, LIFT</t>
  </si>
  <si>
    <t>COPPER (CP)</t>
  </si>
  <si>
    <t>PUSHING OR DRAGGING ABOVE 15 x STR LBS, SPEED DROPS TO 5 FEET</t>
  </si>
  <si>
    <t>Mercenary</t>
  </si>
  <si>
    <t>Military Profession</t>
  </si>
  <si>
    <t>Scout</t>
  </si>
  <si>
    <t>Engineer</t>
  </si>
  <si>
    <t>short sword</t>
  </si>
  <si>
    <t>light crossbow</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</si>
</sst>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0&quot; lbs&quot;"/>
    <numFmt numFmtId="167" formatCode="0;\-0;;@"/>
    <numFmt numFmtId="168" formatCode="0&quot; ft&quot;"/>
  </numFmts>
  <fonts count="118" x14ac:knownFonts="1">
    <font>
      <sz val="11"/>
      <color theme="1"/>
      <name val="Calibri"/>
      <family val="2"/>
      <charset val="204"/>
      <scheme val="minor"/>
    </font>
    <font>
      <sz val="10"/>
      <name val="Arial"/>
      <family val="2"/>
      <charset val="204"/>
    </font>
    <font>
      <b/>
      <sz val="10"/>
      <name val="Arial"/>
      <family val="2"/>
    </font>
    <font>
      <sz val="10"/>
      <name val="Arial"/>
      <family val="2"/>
    </font>
    <font>
      <b/>
      <sz val="11"/>
      <color theme="1"/>
      <name val="Calibri"/>
      <family val="2"/>
      <charset val="204"/>
      <scheme val="minor"/>
    </font>
    <font>
      <b/>
      <i/>
      <sz val="11"/>
      <color theme="1"/>
      <name val="Monotype Corsiva"/>
      <family val="4"/>
      <charset val="204"/>
    </font>
    <font>
      <sz val="10"/>
      <color theme="0" tint="-0.249977111117893"/>
      <name val="Arial"/>
      <family val="2"/>
    </font>
    <font>
      <sz val="12"/>
      <color theme="1"/>
      <name val="Palatino Linotype"/>
      <family val="1"/>
      <charset val="204"/>
    </font>
    <font>
      <sz val="14"/>
      <color theme="1"/>
      <name val="Palatino Linotype"/>
      <family val="1"/>
      <charset val="204"/>
    </font>
    <font>
      <b/>
      <sz val="14"/>
      <color theme="1"/>
      <name val="Palatino Linotype"/>
      <family val="1"/>
      <charset val="204"/>
    </font>
    <font>
      <b/>
      <sz val="12"/>
      <color theme="0"/>
      <name val="Monotype Corsiva"/>
      <family val="4"/>
      <charset val="204"/>
    </font>
    <font>
      <b/>
      <sz val="24"/>
      <color theme="1"/>
      <name val="Palatino Linotype"/>
      <family val="1"/>
      <charset val="204"/>
    </font>
    <font>
      <sz val="9"/>
      <color theme="1"/>
      <name val="Calibri"/>
      <family val="2"/>
      <scheme val="minor"/>
    </font>
    <font>
      <sz val="8"/>
      <color theme="1"/>
      <name val="Calibri"/>
      <family val="2"/>
      <scheme val="minor"/>
    </font>
    <font>
      <b/>
      <u/>
      <sz val="8"/>
      <color theme="1"/>
      <name val="Calibri"/>
      <family val="2"/>
      <scheme val="minor"/>
    </font>
    <font>
      <sz val="8"/>
      <name val="Calibri"/>
      <family val="2"/>
      <scheme val="minor"/>
    </font>
    <font>
      <b/>
      <i/>
      <u/>
      <sz val="8"/>
      <color theme="1"/>
      <name val="Calibri"/>
      <family val="2"/>
      <scheme val="minor"/>
    </font>
    <font>
      <sz val="9"/>
      <color theme="1"/>
      <name val="Times New Roman"/>
      <family val="1"/>
    </font>
    <font>
      <b/>
      <sz val="8"/>
      <color theme="1"/>
      <name val="Calibri"/>
      <family val="2"/>
      <scheme val="minor"/>
    </font>
    <font>
      <u/>
      <sz val="8"/>
      <color theme="1"/>
      <name val="Calibri"/>
      <family val="2"/>
      <scheme val="minor"/>
    </font>
    <font>
      <sz val="8"/>
      <color rgb="FF2D2530"/>
      <name val="Calibri"/>
      <family val="2"/>
      <scheme val="minor"/>
    </font>
    <font>
      <sz val="8"/>
      <color rgb="FF141216"/>
      <name val="Calibri"/>
      <family val="2"/>
      <scheme val="minor"/>
    </font>
    <font>
      <sz val="8"/>
      <color rgb="FF2E2630"/>
      <name val="Calibri"/>
      <family val="2"/>
      <scheme val="minor"/>
    </font>
    <font>
      <sz val="8"/>
      <color rgb="FF121013"/>
      <name val="Calibri"/>
      <family val="2"/>
      <scheme val="minor"/>
    </font>
    <font>
      <sz val="8"/>
      <color rgb="FF453C4D"/>
      <name val="Calibri"/>
      <family val="2"/>
      <scheme val="minor"/>
    </font>
    <font>
      <sz val="8"/>
      <color rgb="FF2F2631"/>
      <name val="Calibri"/>
      <family val="2"/>
      <scheme val="minor"/>
    </font>
    <font>
      <sz val="8"/>
      <color rgb="FF121015"/>
      <name val="Calibri"/>
      <family val="2"/>
      <scheme val="minor"/>
    </font>
    <font>
      <sz val="8"/>
      <color rgb="FF433B48"/>
      <name val="Calibri"/>
      <family val="2"/>
      <scheme val="minor"/>
    </font>
    <font>
      <sz val="8"/>
      <color rgb="FF564A58"/>
      <name val="Calibri"/>
      <family val="2"/>
      <scheme val="minor"/>
    </font>
    <font>
      <sz val="8"/>
      <color rgb="FF2F2731"/>
      <name val="Calibri"/>
      <family val="2"/>
      <scheme val="minor"/>
    </font>
    <font>
      <sz val="8"/>
      <color rgb="FF131115"/>
      <name val="Calibri"/>
      <family val="2"/>
      <scheme val="minor"/>
    </font>
    <font>
      <sz val="8"/>
      <color rgb="FF463C4D"/>
      <name val="Calibri"/>
      <family val="2"/>
      <scheme val="minor"/>
    </font>
    <font>
      <sz val="8"/>
      <color rgb="FF000000"/>
      <name val="Calibri"/>
      <family val="2"/>
      <scheme val="minor"/>
    </font>
    <font>
      <sz val="8"/>
      <color rgb="FF443B4D"/>
      <name val="Calibri"/>
      <family val="2"/>
      <scheme val="minor"/>
    </font>
    <font>
      <sz val="8"/>
      <color rgb="FF172338"/>
      <name val="Calibri"/>
      <family val="2"/>
      <scheme val="minor"/>
    </font>
    <font>
      <sz val="8"/>
      <color rgb="FF5E4D57"/>
      <name val="Calibri"/>
      <family val="2"/>
      <scheme val="minor"/>
    </font>
    <font>
      <sz val="8"/>
      <color rgb="FF5B4D59"/>
      <name val="Calibri"/>
      <family val="2"/>
      <scheme val="minor"/>
    </font>
    <font>
      <b/>
      <sz val="20"/>
      <color theme="1"/>
      <name val="Palatino Linotype"/>
      <family val="1"/>
      <charset val="204"/>
    </font>
    <font>
      <sz val="11"/>
      <color theme="1"/>
      <name val="Palatino Linotype"/>
      <family val="1"/>
      <charset val="204"/>
    </font>
    <font>
      <sz val="10"/>
      <name val="Arial"/>
      <family val="2"/>
      <charset val="204"/>
    </font>
    <font>
      <b/>
      <sz val="10"/>
      <color theme="0"/>
      <name val="Calibri"/>
      <family val="2"/>
      <charset val="204"/>
      <scheme val="minor"/>
    </font>
    <font>
      <b/>
      <sz val="12"/>
      <color theme="1"/>
      <name val="Palatino Linotype"/>
      <family val="1"/>
      <charset val="204"/>
    </font>
    <font>
      <b/>
      <sz val="12"/>
      <color theme="0"/>
      <name val="Palatino Linotype"/>
      <family val="1"/>
      <charset val="204"/>
    </font>
    <font>
      <b/>
      <i/>
      <sz val="11"/>
      <color theme="1"/>
      <name val="Palatino Linotype"/>
      <family val="1"/>
      <charset val="204"/>
    </font>
    <font>
      <b/>
      <sz val="11"/>
      <color theme="1"/>
      <name val="Palatino Linotype"/>
      <family val="1"/>
      <charset val="204"/>
    </font>
    <font>
      <sz val="10"/>
      <name val="Palatino Linotype"/>
      <family val="1"/>
      <charset val="204"/>
    </font>
    <font>
      <sz val="11"/>
      <color theme="0" tint="-4.9989318521683403E-2"/>
      <name val="Calibri"/>
      <family val="2"/>
      <charset val="204"/>
      <scheme val="minor"/>
    </font>
    <font>
      <sz val="11"/>
      <color theme="1"/>
      <name val="Calibri"/>
      <family val="2"/>
      <scheme val="minor"/>
    </font>
    <font>
      <sz val="11"/>
      <color rgb="FF006100"/>
      <name val="Calibri"/>
      <family val="2"/>
      <scheme val="minor"/>
    </font>
    <font>
      <sz val="11"/>
      <color theme="0"/>
      <name val="Calibri"/>
      <family val="2"/>
      <charset val="204"/>
      <scheme val="minor"/>
    </font>
    <font>
      <sz val="11"/>
      <color rgb="FFFF0000"/>
      <name val="Calibri"/>
      <family val="2"/>
      <charset val="204"/>
      <scheme val="minor"/>
    </font>
    <font>
      <sz val="11"/>
      <color rgb="FFFF0000"/>
      <name val="Palatino Linotype"/>
      <family val="1"/>
      <charset val="204"/>
    </font>
    <font>
      <sz val="10"/>
      <color theme="1"/>
      <name val="Palatino Linotype"/>
      <family val="1"/>
      <charset val="204"/>
    </font>
    <font>
      <sz val="11"/>
      <color theme="0"/>
      <name val="Palatino Linotype"/>
      <family val="1"/>
      <charset val="204"/>
    </font>
    <font>
      <b/>
      <sz val="11"/>
      <name val="Palatino Linotype"/>
      <family val="1"/>
      <charset val="204"/>
    </font>
    <font>
      <sz val="11"/>
      <color rgb="FF000000"/>
      <name val="Calibri"/>
      <family val="2"/>
      <charset val="204"/>
    </font>
    <font>
      <sz val="11"/>
      <name val="Calibri"/>
      <family val="2"/>
      <charset val="204"/>
      <scheme val="minor"/>
    </font>
    <font>
      <sz val="8"/>
      <color theme="1"/>
      <name val="Palatino Linotype"/>
      <family val="1"/>
      <charset val="204"/>
    </font>
    <font>
      <u/>
      <sz val="11"/>
      <color theme="10"/>
      <name val="Calibri"/>
      <family val="2"/>
      <charset val="204"/>
      <scheme val="minor"/>
    </font>
    <font>
      <sz val="8"/>
      <color theme="1"/>
      <name val="Book Antiqua"/>
      <family val="1"/>
      <charset val="204"/>
    </font>
    <font>
      <b/>
      <sz val="10"/>
      <color theme="1"/>
      <name val="Palatino Linotype"/>
      <family val="1"/>
      <charset val="204"/>
    </font>
    <font>
      <b/>
      <sz val="11"/>
      <color theme="0"/>
      <name val="Palatino Linotype"/>
      <family val="1"/>
      <charset val="204"/>
    </font>
    <font>
      <sz val="9"/>
      <color indexed="81"/>
      <name val="Tahoma"/>
      <family val="2"/>
      <charset val="204"/>
    </font>
    <font>
      <b/>
      <sz val="9"/>
      <color indexed="81"/>
      <name val="Tahoma"/>
      <family val="2"/>
      <charset val="204"/>
    </font>
    <font>
      <b/>
      <sz val="8"/>
      <color theme="1"/>
      <name val="Palatino Linotype"/>
      <family val="1"/>
      <charset val="204"/>
    </font>
    <font>
      <sz val="8.5"/>
      <color rgb="FF000000"/>
      <name val="Century Schoolbook"/>
      <family val="1"/>
      <charset val="204"/>
    </font>
    <font>
      <sz val="11"/>
      <color rgb="FF000000"/>
      <name val="Calibri"/>
      <family val="2"/>
      <charset val="204"/>
      <scheme val="minor"/>
    </font>
    <font>
      <sz val="9.5"/>
      <color rgb="FF000000"/>
      <name val="Georgia"/>
      <family val="1"/>
      <charset val="204"/>
    </font>
    <font>
      <b/>
      <sz val="8"/>
      <color theme="0"/>
      <name val="Arial"/>
      <family val="2"/>
    </font>
    <font>
      <sz val="8"/>
      <name val="Arial"/>
      <family val="2"/>
    </font>
    <font>
      <sz val="8"/>
      <color rgb="FF000000"/>
      <name val="Segoe UI"/>
      <family val="2"/>
      <charset val="204"/>
    </font>
    <font>
      <sz val="4"/>
      <color rgb="FF000000"/>
      <name val="Segoe UI"/>
      <family val="2"/>
      <charset val="204"/>
    </font>
    <font>
      <b/>
      <sz val="11"/>
      <color rgb="FF000000"/>
      <name val="Tahoma"/>
      <family val="2"/>
      <charset val="204"/>
    </font>
    <font>
      <sz val="11"/>
      <color rgb="FF000000"/>
      <name val="Tahoma"/>
      <family val="2"/>
      <charset val="204"/>
    </font>
    <font>
      <i/>
      <sz val="11"/>
      <color rgb="FF000000"/>
      <name val="Tahoma"/>
      <family val="2"/>
      <charset val="204"/>
    </font>
    <font>
      <b/>
      <sz val="10"/>
      <color rgb="FF333333"/>
      <name val="Verdana"/>
      <family val="2"/>
      <charset val="204"/>
    </font>
    <font>
      <b/>
      <sz val="8"/>
      <color theme="0"/>
      <name val="Monotype Corsiva"/>
      <family val="4"/>
      <charset val="204"/>
    </font>
    <font>
      <sz val="7"/>
      <color theme="1"/>
      <name val="Palatino Linotype"/>
      <family val="1"/>
      <charset val="204"/>
    </font>
    <font>
      <sz val="9"/>
      <color theme="1"/>
      <name val="Calibri"/>
      <family val="2"/>
      <charset val="204"/>
      <scheme val="minor"/>
    </font>
    <font>
      <sz val="8.5"/>
      <color theme="1"/>
      <name val="Arial"/>
      <family val="2"/>
      <charset val="204"/>
    </font>
    <font>
      <b/>
      <sz val="9"/>
      <color theme="1"/>
      <name val="Calibri"/>
      <family val="2"/>
      <charset val="204"/>
      <scheme val="minor"/>
    </font>
    <font>
      <sz val="11"/>
      <color theme="0"/>
      <name val="Monotype Corsiva"/>
      <family val="4"/>
      <charset val="204"/>
    </font>
    <font>
      <b/>
      <sz val="10"/>
      <color theme="0"/>
      <name val="Monotype Corsiva"/>
      <family val="4"/>
      <charset val="204"/>
    </font>
    <font>
      <b/>
      <sz val="11"/>
      <color theme="0"/>
      <name val="Monotype Corsiva"/>
      <family val="4"/>
      <charset val="204"/>
    </font>
    <font>
      <b/>
      <sz val="11"/>
      <name val="Monotype Corsiva"/>
      <family val="4"/>
      <charset val="204"/>
    </font>
    <font>
      <b/>
      <sz val="10"/>
      <name val="Monotype Corsiva"/>
      <family val="4"/>
      <charset val="204"/>
    </font>
    <font>
      <b/>
      <i/>
      <sz val="11"/>
      <color theme="0"/>
      <name val="Monotype Corsiva"/>
      <family val="4"/>
      <charset val="204"/>
    </font>
    <font>
      <sz val="11"/>
      <color theme="1"/>
      <name val="Monotype Corsiva"/>
      <family val="4"/>
      <charset val="204"/>
    </font>
    <font>
      <b/>
      <sz val="11"/>
      <color theme="1"/>
      <name val="Monotype Corsiva"/>
      <family val="4"/>
      <charset val="204"/>
    </font>
    <font>
      <b/>
      <sz val="8"/>
      <color theme="0"/>
      <name val="Palatino Linotype"/>
      <family val="1"/>
      <charset val="204"/>
    </font>
    <font>
      <sz val="8"/>
      <color theme="1"/>
      <name val="Monotype Corsiva"/>
      <family val="4"/>
      <charset val="204"/>
    </font>
    <font>
      <sz val="11"/>
      <name val="Arial"/>
      <family val="2"/>
    </font>
    <font>
      <b/>
      <sz val="22"/>
      <name val="Arial"/>
      <family val="2"/>
    </font>
    <font>
      <sz val="20"/>
      <name val="Arial"/>
      <family val="2"/>
    </font>
    <font>
      <sz val="10"/>
      <name val="Arial Narrow"/>
      <family val="2"/>
    </font>
    <font>
      <b/>
      <sz val="11"/>
      <name val="Arial"/>
      <family val="2"/>
    </font>
    <font>
      <b/>
      <sz val="16"/>
      <name val="Arial"/>
      <family val="2"/>
    </font>
    <font>
      <b/>
      <sz val="20"/>
      <name val="Arial"/>
      <family val="2"/>
    </font>
    <font>
      <b/>
      <sz val="18"/>
      <color indexed="9"/>
      <name val="Arial"/>
      <family val="2"/>
    </font>
    <font>
      <b/>
      <sz val="14"/>
      <name val="Arial"/>
      <family val="2"/>
    </font>
    <font>
      <sz val="8"/>
      <name val="Arial Narrow"/>
      <family val="2"/>
    </font>
    <font>
      <sz val="14"/>
      <name val="Arial"/>
      <family val="2"/>
    </font>
    <font>
      <sz val="16"/>
      <name val="Arial"/>
      <family val="2"/>
    </font>
    <font>
      <sz val="13"/>
      <name val="Arial"/>
      <family val="2"/>
    </font>
    <font>
      <sz val="28"/>
      <name val="Arial"/>
      <family val="2"/>
    </font>
    <font>
      <sz val="18"/>
      <name val="Arial"/>
      <family val="2"/>
    </font>
    <font>
      <b/>
      <sz val="10"/>
      <color indexed="9"/>
      <name val="Arial"/>
      <family val="2"/>
    </font>
    <font>
      <sz val="9"/>
      <name val="Arial"/>
      <family val="2"/>
    </font>
    <font>
      <sz val="22"/>
      <name val="Arial"/>
      <family val="2"/>
    </font>
    <font>
      <sz val="16"/>
      <name val="Arial Narrow"/>
      <family val="2"/>
    </font>
    <font>
      <b/>
      <sz val="12"/>
      <color indexed="9"/>
      <name val="Arial"/>
      <family val="2"/>
    </font>
    <font>
      <sz val="9"/>
      <name val="Arial Narrow"/>
      <family val="2"/>
    </font>
    <font>
      <sz val="12"/>
      <name val="Arial"/>
      <family val="2"/>
    </font>
    <font>
      <b/>
      <sz val="13"/>
      <name val="Arial"/>
      <family val="2"/>
    </font>
    <font>
      <sz val="12"/>
      <name val="Wingdings 2"/>
      <family val="1"/>
      <charset val="2"/>
    </font>
    <font>
      <b/>
      <sz val="12"/>
      <name val="Arial"/>
      <family val="2"/>
    </font>
    <font>
      <b/>
      <sz val="10"/>
      <color rgb="FF000000"/>
      <name val="Arial"/>
      <family val="2"/>
      <charset val="204"/>
    </font>
    <font>
      <sz val="10"/>
      <color rgb="FF000000"/>
      <name val="Arial"/>
      <family val="2"/>
      <charset val="204"/>
    </font>
  </fonts>
  <fills count="45">
    <fill>
      <patternFill patternType="none"/>
    </fill>
    <fill>
      <patternFill patternType="gray125"/>
    </fill>
    <fill>
      <patternFill patternType="solid">
        <fgColor rgb="FFFFFFCC"/>
        <bgColor indexed="64"/>
      </patternFill>
    </fill>
    <fill>
      <patternFill patternType="solid">
        <fgColor theme="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99FF99"/>
        <bgColor indexed="64"/>
      </patternFill>
    </fill>
    <fill>
      <patternFill patternType="solid">
        <fgColor theme="0" tint="-0.249977111117893"/>
        <bgColor indexed="64"/>
      </patternFill>
    </fill>
    <fill>
      <patternFill patternType="solid">
        <fgColor theme="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2" tint="-0.249977111117893"/>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6" tint="-0.249977111117893"/>
        <bgColor indexed="64"/>
      </patternFill>
    </fill>
    <fill>
      <patternFill patternType="solid">
        <fgColor rgb="FFFFD961"/>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indexed="43"/>
        <bgColor indexed="64"/>
      </patternFill>
    </fill>
    <fill>
      <patternFill patternType="solid">
        <fgColor indexed="44"/>
        <bgColor indexed="64"/>
      </patternFill>
    </fill>
    <fill>
      <patternFill patternType="solid">
        <fgColor indexed="46"/>
        <bgColor indexed="64"/>
      </patternFill>
    </fill>
    <fill>
      <patternFill patternType="solid">
        <fgColor rgb="FFC6EFCE"/>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49998474074526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00FF00"/>
        <bgColor indexed="64"/>
      </patternFill>
    </fill>
    <fill>
      <patternFill patternType="solid">
        <fgColor theme="5" tint="0.79998168889431442"/>
        <bgColor indexed="64"/>
      </patternFill>
    </fill>
    <fill>
      <patternFill patternType="solid">
        <fgColor rgb="FFCCFFCC"/>
        <bgColor indexed="64"/>
      </patternFill>
    </fill>
    <fill>
      <patternFill patternType="solid">
        <fgColor rgb="FF00B050"/>
        <bgColor indexed="64"/>
      </patternFill>
    </fill>
    <fill>
      <patternFill patternType="solid">
        <fgColor rgb="FFFFFFFF"/>
        <bgColor indexed="64"/>
      </patternFill>
    </fill>
    <fill>
      <patternFill patternType="solid">
        <fgColor theme="7" tint="0.39997558519241921"/>
        <bgColor indexed="64"/>
      </patternFill>
    </fill>
    <fill>
      <patternFill patternType="solid">
        <fgColor rgb="FFFFFF99"/>
        <bgColor indexed="64"/>
      </patternFill>
    </fill>
    <fill>
      <patternFill patternType="solid">
        <fgColor indexed="8"/>
        <bgColor indexed="64"/>
      </patternFill>
    </fill>
    <fill>
      <patternFill patternType="solid">
        <fgColor indexed="13"/>
        <bgColor indexed="64"/>
      </patternFill>
    </fill>
  </fills>
  <borders count="8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indexed="64"/>
      </left>
      <right style="medium">
        <color indexed="64"/>
      </right>
      <top style="thin">
        <color indexed="64"/>
      </top>
      <bottom style="thin">
        <color indexed="64"/>
      </bottom>
      <diagonal/>
    </border>
    <border>
      <left style="thin">
        <color theme="2" tint="-0.249977111117893"/>
      </left>
      <right style="thin">
        <color theme="2" tint="-0.249977111117893"/>
      </right>
      <top/>
      <bottom style="thin">
        <color theme="2" tint="-0.249977111117893"/>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thin">
        <color auto="1"/>
      </left>
      <right/>
      <top/>
      <bottom/>
      <diagonal/>
    </border>
    <border>
      <left/>
      <right/>
      <top style="thin">
        <color indexed="64"/>
      </top>
      <bottom style="thin">
        <color indexed="64"/>
      </bottom>
      <diagonal/>
    </border>
    <border>
      <left/>
      <right/>
      <top style="thin">
        <color auto="1"/>
      </top>
      <bottom/>
      <diagonal/>
    </border>
    <border>
      <left/>
      <right style="medium">
        <color indexed="64"/>
      </right>
      <top style="medium">
        <color indexed="64"/>
      </top>
      <bottom style="thin">
        <color auto="1"/>
      </bottom>
      <diagonal/>
    </border>
    <border>
      <left/>
      <right style="medium">
        <color indexed="64"/>
      </right>
      <top style="thin">
        <color indexed="64"/>
      </top>
      <bottom style="thin">
        <color indexed="64"/>
      </bottom>
      <diagonal/>
    </border>
    <border>
      <left/>
      <right style="medium">
        <color auto="1"/>
      </right>
      <top style="thin">
        <color auto="1"/>
      </top>
      <bottom style="medium">
        <color auto="1"/>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auto="1"/>
      </bottom>
      <diagonal/>
    </border>
    <border>
      <left style="medium">
        <color indexed="64"/>
      </left>
      <right style="medium">
        <color indexed="64"/>
      </right>
      <top/>
      <bottom/>
      <diagonal/>
    </border>
    <border>
      <left style="thin">
        <color auto="1"/>
      </left>
      <right/>
      <top style="thin">
        <color auto="1"/>
      </top>
      <bottom style="medium">
        <color indexed="64"/>
      </bottom>
      <diagonal/>
    </border>
    <border>
      <left style="medium">
        <color auto="1"/>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style="thin">
        <color auto="1"/>
      </left>
      <right style="thin">
        <color auto="1"/>
      </right>
      <top/>
      <bottom style="medium">
        <color indexed="64"/>
      </bottom>
      <diagonal/>
    </border>
    <border>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style="slantDashDot">
        <color auto="1"/>
      </left>
      <right/>
      <top style="slantDashDot">
        <color auto="1"/>
      </top>
      <bottom style="double">
        <color auto="1"/>
      </bottom>
      <diagonal/>
    </border>
    <border>
      <left/>
      <right/>
      <top style="slantDashDot">
        <color auto="1"/>
      </top>
      <bottom style="double">
        <color auto="1"/>
      </bottom>
      <diagonal/>
    </border>
    <border>
      <left/>
      <right style="slantDashDot">
        <color auto="1"/>
      </right>
      <top style="slantDashDot">
        <color auto="1"/>
      </top>
      <bottom style="double">
        <color auto="1"/>
      </bottom>
      <diagonal/>
    </border>
    <border>
      <left/>
      <right/>
      <top style="double">
        <color auto="1"/>
      </top>
      <bottom style="double">
        <color auto="1"/>
      </bottom>
      <diagonal/>
    </border>
    <border>
      <left/>
      <right/>
      <top/>
      <bottom style="medium">
        <color theme="0"/>
      </bottom>
      <diagonal/>
    </border>
    <border>
      <left style="medium">
        <color theme="0"/>
      </left>
      <right/>
      <top/>
      <bottom style="medium">
        <color theme="0"/>
      </bottom>
      <diagonal/>
    </border>
    <border>
      <left style="medium">
        <color indexed="64"/>
      </left>
      <right style="thin">
        <color indexed="64"/>
      </right>
      <top/>
      <bottom/>
      <diagonal/>
    </border>
  </borders>
  <cellStyleXfs count="7">
    <xf numFmtId="0" fontId="0" fillId="0" borderId="0"/>
    <xf numFmtId="0" fontId="1" fillId="0" borderId="0"/>
    <xf numFmtId="0" fontId="3" fillId="0" borderId="0"/>
    <xf numFmtId="0" fontId="47" fillId="0" borderId="0"/>
    <xf numFmtId="0" fontId="48" fillId="27" borderId="0" applyNumberFormat="0" applyBorder="0" applyAlignment="0" applyProtection="0"/>
    <xf numFmtId="0" fontId="58" fillId="0" borderId="0" applyNumberFormat="0" applyFill="0" applyBorder="0" applyAlignment="0" applyProtection="0"/>
    <xf numFmtId="0" fontId="3" fillId="0" borderId="0"/>
  </cellStyleXfs>
  <cellXfs count="1363">
    <xf numFmtId="0" fontId="0" fillId="0" borderId="0" xfId="0"/>
    <xf numFmtId="0" fontId="1" fillId="0" borderId="0" xfId="1" applyBorder="1"/>
    <xf numFmtId="0" fontId="3" fillId="0" borderId="2" xfId="1" applyFont="1" applyBorder="1"/>
    <xf numFmtId="0" fontId="1" fillId="0" borderId="2" xfId="1" applyBorder="1"/>
    <xf numFmtId="0" fontId="3" fillId="0" borderId="2" xfId="1" applyFont="1" applyFill="1" applyBorder="1"/>
    <xf numFmtId="0" fontId="1" fillId="0" borderId="0" xfId="1"/>
    <xf numFmtId="0" fontId="0" fillId="0" borderId="2" xfId="0" applyBorder="1"/>
    <xf numFmtId="0" fontId="0" fillId="0" borderId="2" xfId="0" applyBorder="1" applyAlignment="1">
      <alignment horizontal="center" vertical="center"/>
    </xf>
    <xf numFmtId="0" fontId="3" fillId="0" borderId="2" xfId="0" applyFont="1" applyBorder="1"/>
    <xf numFmtId="0" fontId="0" fillId="5" borderId="2" xfId="0" applyFill="1" applyBorder="1"/>
    <xf numFmtId="0" fontId="1" fillId="7" borderId="0" xfId="1" applyFill="1"/>
    <xf numFmtId="0" fontId="6" fillId="7" borderId="0" xfId="1" applyFont="1" applyFill="1"/>
    <xf numFmtId="0" fontId="10" fillId="8" borderId="0" xfId="0" applyFont="1" applyFill="1" applyAlignment="1">
      <alignment horizontal="center" vertical="center"/>
    </xf>
    <xf numFmtId="0" fontId="13" fillId="0" borderId="28" xfId="0" applyFont="1" applyBorder="1"/>
    <xf numFmtId="0" fontId="13" fillId="0" borderId="28" xfId="0" applyFont="1" applyBorder="1" applyAlignment="1">
      <alignment horizontal="center"/>
    </xf>
    <xf numFmtId="0" fontId="13" fillId="0" borderId="2" xfId="0" applyFont="1" applyBorder="1"/>
    <xf numFmtId="0" fontId="13" fillId="0" borderId="4" xfId="0" applyFont="1" applyBorder="1"/>
    <xf numFmtId="0" fontId="13" fillId="0" borderId="30" xfId="0" applyFont="1" applyBorder="1"/>
    <xf numFmtId="0" fontId="13" fillId="0" borderId="14" xfId="0" applyFont="1" applyBorder="1"/>
    <xf numFmtId="0" fontId="13" fillId="0" borderId="25" xfId="0" applyFont="1" applyBorder="1"/>
    <xf numFmtId="0" fontId="13" fillId="0" borderId="7" xfId="0" applyFont="1" applyBorder="1"/>
    <xf numFmtId="0" fontId="13" fillId="0" borderId="1" xfId="0" applyFont="1" applyBorder="1"/>
    <xf numFmtId="0" fontId="13" fillId="4" borderId="7" xfId="0" applyFont="1" applyFill="1" applyBorder="1"/>
    <xf numFmtId="0" fontId="13" fillId="0" borderId="3" xfId="0" applyFont="1" applyBorder="1"/>
    <xf numFmtId="0" fontId="16" fillId="18" borderId="15" xfId="0" applyFont="1" applyFill="1" applyBorder="1"/>
    <xf numFmtId="0" fontId="13" fillId="0" borderId="15" xfId="0" applyFont="1" applyBorder="1"/>
    <xf numFmtId="0" fontId="13" fillId="0" borderId="15" xfId="0" applyFont="1" applyBorder="1" applyAlignment="1">
      <alignment horizontal="center"/>
    </xf>
    <xf numFmtId="0" fontId="17" fillId="0" borderId="2" xfId="0" applyFont="1" applyBorder="1" applyAlignment="1">
      <alignment vertical="center"/>
    </xf>
    <xf numFmtId="0" fontId="13" fillId="0" borderId="2" xfId="0" applyFont="1" applyBorder="1" applyAlignment="1">
      <alignment horizontal="center"/>
    </xf>
    <xf numFmtId="0" fontId="17" fillId="0" borderId="4" xfId="0" applyFont="1" applyBorder="1" applyAlignment="1">
      <alignment vertical="center"/>
    </xf>
    <xf numFmtId="0" fontId="13" fillId="0" borderId="4" xfId="0" applyFont="1" applyBorder="1" applyAlignment="1">
      <alignment horizontal="center"/>
    </xf>
    <xf numFmtId="0" fontId="17" fillId="0" borderId="0" xfId="0" applyFont="1" applyAlignment="1">
      <alignment vertical="center"/>
    </xf>
    <xf numFmtId="0" fontId="13" fillId="0" borderId="30" xfId="0" applyFont="1" applyBorder="1" applyAlignment="1">
      <alignment horizontal="center"/>
    </xf>
    <xf numFmtId="0" fontId="12" fillId="0" borderId="0" xfId="0" applyFont="1" applyAlignment="1">
      <alignment vertical="center"/>
    </xf>
    <xf numFmtId="0" fontId="13" fillId="0" borderId="0" xfId="0" applyFont="1" applyAlignment="1">
      <alignment horizontal="center"/>
    </xf>
    <xf numFmtId="0" fontId="13" fillId="0" borderId="7" xfId="0" applyFont="1" applyBorder="1" applyAlignment="1">
      <alignment horizontal="center"/>
    </xf>
    <xf numFmtId="0" fontId="13" fillId="14" borderId="25" xfId="0" applyFont="1" applyFill="1" applyBorder="1" applyAlignment="1">
      <alignment horizontal="center"/>
    </xf>
    <xf numFmtId="0" fontId="13" fillId="14" borderId="2" xfId="0" applyFont="1" applyFill="1" applyBorder="1" applyAlignment="1">
      <alignment horizontal="center"/>
    </xf>
    <xf numFmtId="0" fontId="13" fillId="0" borderId="32" xfId="0" applyFont="1" applyBorder="1" applyAlignment="1">
      <alignment horizontal="center"/>
    </xf>
    <xf numFmtId="0" fontId="13" fillId="0" borderId="0" xfId="0" applyFont="1" applyAlignment="1">
      <alignment horizontal="left"/>
    </xf>
    <xf numFmtId="0" fontId="13" fillId="19" borderId="2" xfId="0" applyFont="1" applyFill="1" applyBorder="1" applyAlignment="1">
      <alignment horizontal="left"/>
    </xf>
    <xf numFmtId="0" fontId="13" fillId="19" borderId="7" xfId="0" applyFont="1" applyFill="1" applyBorder="1" applyAlignment="1">
      <alignment horizontal="left"/>
    </xf>
    <xf numFmtId="0" fontId="13" fillId="16" borderId="7" xfId="0" applyFont="1" applyFill="1" applyBorder="1" applyAlignment="1">
      <alignment horizontal="left"/>
    </xf>
    <xf numFmtId="0" fontId="13" fillId="10" borderId="2" xfId="0" applyFont="1" applyFill="1" applyBorder="1" applyAlignment="1">
      <alignment horizontal="left"/>
    </xf>
    <xf numFmtId="0" fontId="15" fillId="14" borderId="31" xfId="0" applyFont="1" applyFill="1" applyBorder="1" applyAlignment="1">
      <alignment horizontal="left"/>
    </xf>
    <xf numFmtId="0" fontId="13" fillId="14" borderId="32" xfId="0" applyFont="1" applyFill="1" applyBorder="1" applyAlignment="1">
      <alignment horizontal="left"/>
    </xf>
    <xf numFmtId="0" fontId="15" fillId="19" borderId="32" xfId="0" applyFont="1" applyFill="1" applyBorder="1" applyAlignment="1">
      <alignment horizontal="left"/>
    </xf>
    <xf numFmtId="0" fontId="13" fillId="19" borderId="32" xfId="0" applyFont="1" applyFill="1" applyBorder="1" applyAlignment="1">
      <alignment horizontal="left"/>
    </xf>
    <xf numFmtId="0" fontId="13" fillId="19" borderId="6" xfId="0" applyFont="1" applyFill="1" applyBorder="1" applyAlignment="1">
      <alignment horizontal="left"/>
    </xf>
    <xf numFmtId="0" fontId="13" fillId="0" borderId="2" xfId="0" applyFont="1" applyBorder="1" applyAlignment="1">
      <alignment horizontal="left"/>
    </xf>
    <xf numFmtId="0" fontId="18" fillId="15" borderId="2" xfId="0" applyFont="1" applyFill="1" applyBorder="1" applyAlignment="1">
      <alignment horizontal="center"/>
    </xf>
    <xf numFmtId="0" fontId="18" fillId="15" borderId="2" xfId="0" applyFont="1" applyFill="1" applyBorder="1"/>
    <xf numFmtId="0" fontId="18" fillId="7" borderId="2" xfId="0" applyFont="1" applyFill="1" applyBorder="1"/>
    <xf numFmtId="0" fontId="18" fillId="15" borderId="7" xfId="0" applyFont="1" applyFill="1" applyBorder="1"/>
    <xf numFmtId="0" fontId="18" fillId="15" borderId="33" xfId="0" applyFont="1" applyFill="1" applyBorder="1"/>
    <xf numFmtId="0" fontId="18" fillId="7" borderId="7" xfId="0" applyFont="1" applyFill="1" applyBorder="1"/>
    <xf numFmtId="0" fontId="14" fillId="15" borderId="2" xfId="0" applyFont="1" applyFill="1" applyBorder="1"/>
    <xf numFmtId="0" fontId="18" fillId="15" borderId="26" xfId="0" applyFont="1" applyFill="1" applyBorder="1"/>
    <xf numFmtId="0" fontId="18" fillId="15" borderId="15" xfId="0" applyFont="1" applyFill="1" applyBorder="1"/>
    <xf numFmtId="0" fontId="18" fillId="15" borderId="16" xfId="0" applyFont="1" applyFill="1" applyBorder="1"/>
    <xf numFmtId="0" fontId="14" fillId="19" borderId="25" xfId="0" applyFont="1" applyFill="1" applyBorder="1" applyAlignment="1">
      <alignment horizontal="left"/>
    </xf>
    <xf numFmtId="0" fontId="18" fillId="19" borderId="2" xfId="0" applyFont="1" applyFill="1" applyBorder="1"/>
    <xf numFmtId="0" fontId="18" fillId="19" borderId="7" xfId="0" applyFont="1" applyFill="1" applyBorder="1"/>
    <xf numFmtId="0" fontId="14" fillId="15" borderId="25" xfId="0" applyFont="1" applyFill="1" applyBorder="1"/>
    <xf numFmtId="0" fontId="18" fillId="15" borderId="0" xfId="0" applyFont="1" applyFill="1"/>
    <xf numFmtId="0" fontId="19" fillId="15" borderId="2" xfId="0" applyFont="1" applyFill="1" applyBorder="1" applyAlignment="1">
      <alignment horizontal="center"/>
    </xf>
    <xf numFmtId="0" fontId="19" fillId="7" borderId="2" xfId="0" applyFont="1" applyFill="1" applyBorder="1" applyAlignment="1">
      <alignment horizontal="center"/>
    </xf>
    <xf numFmtId="0" fontId="19" fillId="15" borderId="7" xfId="0" applyFont="1" applyFill="1" applyBorder="1" applyAlignment="1">
      <alignment horizontal="center"/>
    </xf>
    <xf numFmtId="0" fontId="19" fillId="15" borderId="34" xfId="0" applyFont="1" applyFill="1" applyBorder="1" applyAlignment="1">
      <alignment horizontal="center"/>
    </xf>
    <xf numFmtId="0" fontId="19" fillId="7" borderId="7" xfId="0" applyFont="1" applyFill="1" applyBorder="1" applyAlignment="1">
      <alignment horizontal="center"/>
    </xf>
    <xf numFmtId="0" fontId="19" fillId="15" borderId="25" xfId="0" applyFont="1" applyFill="1" applyBorder="1" applyAlignment="1">
      <alignment horizontal="center"/>
    </xf>
    <xf numFmtId="0" fontId="19" fillId="15" borderId="29" xfId="0" applyFont="1" applyFill="1" applyBorder="1" applyAlignment="1">
      <alignment horizontal="center"/>
    </xf>
    <xf numFmtId="0" fontId="19" fillId="15" borderId="1" xfId="0" applyFont="1" applyFill="1" applyBorder="1" applyAlignment="1">
      <alignment horizontal="left"/>
    </xf>
    <xf numFmtId="0" fontId="19" fillId="15" borderId="1" xfId="0" applyFont="1" applyFill="1" applyBorder="1" applyAlignment="1">
      <alignment horizontal="center"/>
    </xf>
    <xf numFmtId="0" fontId="19" fillId="15" borderId="0" xfId="0" applyFont="1" applyFill="1" applyAlignment="1">
      <alignment horizontal="center"/>
    </xf>
    <xf numFmtId="0" fontId="13" fillId="12" borderId="2" xfId="0" applyFont="1" applyFill="1" applyBorder="1" applyAlignment="1">
      <alignment horizontal="center"/>
    </xf>
    <xf numFmtId="0" fontId="13" fillId="12" borderId="7" xfId="0" applyFont="1" applyFill="1" applyBorder="1" applyAlignment="1">
      <alignment horizontal="center"/>
    </xf>
    <xf numFmtId="0" fontId="13" fillId="12" borderId="34" xfId="0" applyFont="1" applyFill="1" applyBorder="1" applyAlignment="1">
      <alignment horizontal="center"/>
    </xf>
    <xf numFmtId="0" fontId="13" fillId="12" borderId="25" xfId="0" applyFont="1" applyFill="1" applyBorder="1" applyAlignment="1">
      <alignment horizontal="center"/>
    </xf>
    <xf numFmtId="0" fontId="13" fillId="12" borderId="29" xfId="0" applyFont="1" applyFill="1" applyBorder="1" applyAlignment="1">
      <alignment horizontal="center"/>
    </xf>
    <xf numFmtId="0" fontId="13" fillId="8" borderId="2" xfId="0" applyFont="1" applyFill="1" applyBorder="1" applyAlignment="1">
      <alignment horizontal="center"/>
    </xf>
    <xf numFmtId="0" fontId="13" fillId="12" borderId="0" xfId="0" applyFont="1" applyFill="1" applyAlignment="1">
      <alignment horizontal="center"/>
    </xf>
    <xf numFmtId="0" fontId="20" fillId="0" borderId="2" xfId="0" applyFont="1" applyBorder="1"/>
    <xf numFmtId="0" fontId="22" fillId="7" borderId="2" xfId="0" applyFont="1" applyFill="1" applyBorder="1"/>
    <xf numFmtId="0" fontId="24" fillId="7" borderId="2" xfId="0" applyFont="1" applyFill="1" applyBorder="1"/>
    <xf numFmtId="0" fontId="25" fillId="7" borderId="2" xfId="0" applyFont="1" applyFill="1" applyBorder="1"/>
    <xf numFmtId="0" fontId="29" fillId="0" borderId="2" xfId="0" applyFont="1" applyBorder="1"/>
    <xf numFmtId="0" fontId="29" fillId="0" borderId="7" xfId="0" applyFont="1" applyBorder="1"/>
    <xf numFmtId="0" fontId="29" fillId="0" borderId="34" xfId="0" applyFont="1" applyBorder="1"/>
    <xf numFmtId="0" fontId="13" fillId="7" borderId="2" xfId="0" applyFont="1" applyFill="1" applyBorder="1"/>
    <xf numFmtId="0" fontId="13" fillId="7" borderId="7" xfId="0" applyFont="1" applyFill="1" applyBorder="1"/>
    <xf numFmtId="0" fontId="32" fillId="0" borderId="2" xfId="0" applyFont="1" applyBorder="1"/>
    <xf numFmtId="0" fontId="13" fillId="20" borderId="25" xfId="0" applyFont="1" applyFill="1" applyBorder="1"/>
    <xf numFmtId="0" fontId="13" fillId="20" borderId="2" xfId="0" applyFont="1" applyFill="1" applyBorder="1"/>
    <xf numFmtId="0" fontId="13" fillId="20" borderId="29" xfId="0" applyFont="1" applyFill="1" applyBorder="1"/>
    <xf numFmtId="0" fontId="13" fillId="4" borderId="25" xfId="0" applyFont="1" applyFill="1" applyBorder="1"/>
    <xf numFmtId="0" fontId="13" fillId="4" borderId="2" xfId="0" applyFont="1" applyFill="1" applyBorder="1"/>
    <xf numFmtId="0" fontId="13" fillId="21" borderId="25" xfId="0" applyFont="1" applyFill="1" applyBorder="1"/>
    <xf numFmtId="0" fontId="13" fillId="21" borderId="2" xfId="0" applyFont="1" applyFill="1" applyBorder="1"/>
    <xf numFmtId="0" fontId="13" fillId="17" borderId="2" xfId="0" applyFont="1" applyFill="1" applyBorder="1"/>
    <xf numFmtId="0" fontId="13" fillId="8" borderId="2" xfId="0" applyFont="1" applyFill="1" applyBorder="1"/>
    <xf numFmtId="0" fontId="13" fillId="0" borderId="0" xfId="0" applyFont="1"/>
    <xf numFmtId="0" fontId="27" fillId="7" borderId="2" xfId="0" applyFont="1" applyFill="1" applyBorder="1"/>
    <xf numFmtId="0" fontId="30" fillId="0" borderId="7" xfId="0" applyFont="1" applyBorder="1"/>
    <xf numFmtId="0" fontId="21" fillId="0" borderId="2" xfId="0" applyFont="1" applyBorder="1"/>
    <xf numFmtId="0" fontId="33" fillId="0" borderId="2" xfId="0" applyFont="1" applyBorder="1"/>
    <xf numFmtId="0" fontId="26" fillId="7" borderId="2" xfId="0" applyFont="1" applyFill="1" applyBorder="1"/>
    <xf numFmtId="0" fontId="30" fillId="0" borderId="34" xfId="0" applyFont="1" applyBorder="1"/>
    <xf numFmtId="0" fontId="30" fillId="0" borderId="2" xfId="0" applyFont="1" applyBorder="1"/>
    <xf numFmtId="0" fontId="23" fillId="7" borderId="2" xfId="0" applyFont="1" applyFill="1" applyBorder="1"/>
    <xf numFmtId="0" fontId="13" fillId="7" borderId="2" xfId="0" applyFont="1" applyFill="1" applyBorder="1" applyAlignment="1">
      <alignment horizontal="center"/>
    </xf>
    <xf numFmtId="0" fontId="21" fillId="7" borderId="2" xfId="0" applyFont="1" applyFill="1" applyBorder="1"/>
    <xf numFmtId="0" fontId="20" fillId="7" borderId="2" xfId="0" applyFont="1" applyFill="1" applyBorder="1"/>
    <xf numFmtId="0" fontId="30" fillId="7" borderId="2" xfId="0" applyFont="1" applyFill="1" applyBorder="1"/>
    <xf numFmtId="0" fontId="29" fillId="7" borderId="7" xfId="0" applyFont="1" applyFill="1" applyBorder="1"/>
    <xf numFmtId="0" fontId="29" fillId="7" borderId="34" xfId="0" applyFont="1" applyFill="1" applyBorder="1"/>
    <xf numFmtId="0" fontId="13" fillId="7" borderId="7" xfId="0" applyFont="1" applyFill="1" applyBorder="1" applyAlignment="1">
      <alignment horizontal="center"/>
    </xf>
    <xf numFmtId="0" fontId="13" fillId="7" borderId="0" xfId="0" applyFont="1" applyFill="1"/>
    <xf numFmtId="0" fontId="29" fillId="7" borderId="35" xfId="0" applyFont="1" applyFill="1" applyBorder="1"/>
    <xf numFmtId="0" fontId="31" fillId="0" borderId="2" xfId="0" applyFont="1" applyBorder="1"/>
    <xf numFmtId="0" fontId="13" fillId="0" borderId="8" xfId="0" applyFont="1" applyBorder="1"/>
    <xf numFmtId="0" fontId="13" fillId="4" borderId="36" xfId="0" applyFont="1" applyFill="1" applyBorder="1"/>
    <xf numFmtId="0" fontId="29" fillId="7" borderId="2" xfId="0" applyFont="1" applyFill="1" applyBorder="1"/>
    <xf numFmtId="0" fontId="13" fillId="20" borderId="37" xfId="0" applyFont="1" applyFill="1" applyBorder="1"/>
    <xf numFmtId="0" fontId="13" fillId="20" borderId="4" xfId="0" applyFont="1" applyFill="1" applyBorder="1"/>
    <xf numFmtId="0" fontId="13" fillId="20" borderId="5" xfId="0" applyFont="1" applyFill="1" applyBorder="1"/>
    <xf numFmtId="0" fontId="13" fillId="0" borderId="27" xfId="0" applyFont="1" applyBorder="1"/>
    <xf numFmtId="0" fontId="13" fillId="0" borderId="36" xfId="0" applyFont="1" applyBorder="1"/>
    <xf numFmtId="0" fontId="13" fillId="4" borderId="7" xfId="0" applyFont="1" applyFill="1" applyBorder="1" applyAlignment="1">
      <alignment horizontal="center"/>
    </xf>
    <xf numFmtId="0" fontId="13" fillId="0" borderId="36" xfId="0" applyFont="1" applyBorder="1" applyAlignment="1">
      <alignment horizontal="center"/>
    </xf>
    <xf numFmtId="0" fontId="0" fillId="22" borderId="0" xfId="0" applyFill="1"/>
    <xf numFmtId="0" fontId="0" fillId="23" borderId="0" xfId="0" applyFill="1" applyBorder="1"/>
    <xf numFmtId="0" fontId="0" fillId="23" borderId="0" xfId="0" applyFill="1"/>
    <xf numFmtId="0" fontId="0" fillId="5" borderId="14" xfId="0" applyFill="1" applyBorder="1"/>
    <xf numFmtId="0" fontId="0" fillId="5" borderId="15" xfId="0" applyFill="1" applyBorder="1"/>
    <xf numFmtId="0" fontId="0" fillId="5" borderId="4" xfId="0" applyFill="1" applyBorder="1"/>
    <xf numFmtId="0" fontId="0" fillId="0" borderId="33" xfId="0" applyBorder="1" applyAlignment="1">
      <alignment horizontal="left"/>
    </xf>
    <xf numFmtId="0" fontId="0" fillId="0" borderId="34" xfId="0" applyBorder="1" applyAlignment="1">
      <alignment horizontal="left"/>
    </xf>
    <xf numFmtId="0" fontId="0" fillId="0" borderId="35" xfId="0" applyBorder="1" applyAlignment="1">
      <alignment horizontal="left"/>
    </xf>
    <xf numFmtId="0" fontId="2" fillId="0" borderId="0" xfId="0" applyFont="1"/>
    <xf numFmtId="0" fontId="2" fillId="24" borderId="0" xfId="0" applyFont="1" applyFill="1"/>
    <xf numFmtId="0" fontId="0" fillId="25" borderId="0" xfId="0" applyFill="1"/>
    <xf numFmtId="0" fontId="0" fillId="25" borderId="0" xfId="0" applyFill="1" applyAlignment="1"/>
    <xf numFmtId="0" fontId="0" fillId="26" borderId="0" xfId="0" applyFill="1"/>
    <xf numFmtId="0" fontId="0" fillId="26" borderId="0" xfId="0" applyFill="1" applyAlignment="1"/>
    <xf numFmtId="0" fontId="0" fillId="24" borderId="0" xfId="0" applyFill="1" applyAlignment="1"/>
    <xf numFmtId="0" fontId="39" fillId="0" borderId="0" xfId="0" applyFont="1"/>
    <xf numFmtId="0" fontId="0" fillId="24" borderId="0" xfId="0" applyFill="1"/>
    <xf numFmtId="0" fontId="40" fillId="8" borderId="0" xfId="0" applyFont="1" applyFill="1" applyAlignment="1">
      <alignment horizontal="center" vertical="center"/>
    </xf>
    <xf numFmtId="0" fontId="0" fillId="0" borderId="50" xfId="0" applyBorder="1"/>
    <xf numFmtId="0" fontId="0" fillId="0" borderId="52" xfId="0" applyBorder="1"/>
    <xf numFmtId="0" fontId="0" fillId="0" borderId="51" xfId="0" applyBorder="1"/>
    <xf numFmtId="0" fontId="38" fillId="23" borderId="0" xfId="0" applyFont="1" applyFill="1"/>
    <xf numFmtId="0" fontId="38" fillId="0" borderId="0" xfId="0" applyFont="1"/>
    <xf numFmtId="0" fontId="42" fillId="8" borderId="0" xfId="0" applyFont="1" applyFill="1" applyAlignment="1">
      <alignment horizontal="center" vertical="center"/>
    </xf>
    <xf numFmtId="0" fontId="45" fillId="7" borderId="0" xfId="1" applyFont="1" applyFill="1"/>
    <xf numFmtId="0" fontId="4" fillId="0" borderId="2" xfId="0" applyFont="1" applyBorder="1"/>
    <xf numFmtId="0" fontId="1" fillId="7" borderId="2" xfId="1" applyFill="1" applyBorder="1"/>
    <xf numFmtId="0" fontId="0" fillId="0" borderId="0" xfId="0" applyAlignment="1">
      <alignment horizontal="center"/>
    </xf>
    <xf numFmtId="0" fontId="0" fillId="0" borderId="0" xfId="0" applyBorder="1"/>
    <xf numFmtId="0" fontId="0" fillId="0" borderId="2" xfId="0" applyFill="1" applyBorder="1"/>
    <xf numFmtId="0" fontId="7" fillId="5" borderId="2" xfId="0" applyFont="1" applyFill="1" applyBorder="1" applyAlignment="1">
      <alignment vertical="center"/>
    </xf>
    <xf numFmtId="0" fontId="46" fillId="23" borderId="0" xfId="0" applyFont="1" applyFill="1" applyBorder="1"/>
    <xf numFmtId="0" fontId="0" fillId="17" borderId="0" xfId="0" applyFill="1"/>
    <xf numFmtId="0" fontId="0" fillId="0" borderId="0" xfId="0" applyAlignment="1">
      <alignment horizontal="left"/>
    </xf>
    <xf numFmtId="0" fontId="38" fillId="0" borderId="0" xfId="0" applyFont="1" applyFill="1"/>
    <xf numFmtId="0" fontId="37" fillId="0" borderId="0" xfId="0" applyFont="1" applyFill="1" applyBorder="1" applyAlignment="1">
      <alignment horizontal="center" vertical="center"/>
    </xf>
    <xf numFmtId="0" fontId="38" fillId="0" borderId="2" xfId="0" applyFont="1" applyFill="1" applyBorder="1"/>
    <xf numFmtId="0" fontId="7" fillId="0" borderId="9"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38" fillId="17" borderId="0" xfId="0" applyFont="1" applyFill="1"/>
    <xf numFmtId="0" fontId="37" fillId="17" borderId="0" xfId="0" applyFont="1" applyFill="1" applyBorder="1" applyAlignment="1">
      <alignment horizontal="center" vertical="center"/>
    </xf>
    <xf numFmtId="0" fontId="7" fillId="17" borderId="9" xfId="0" applyFont="1" applyFill="1" applyBorder="1" applyAlignment="1">
      <alignment horizontal="left" vertical="center" wrapText="1"/>
    </xf>
    <xf numFmtId="0" fontId="7" fillId="17" borderId="44" xfId="0" applyFont="1" applyFill="1" applyBorder="1" applyAlignment="1">
      <alignment horizontal="left" vertical="center" wrapText="1"/>
    </xf>
    <xf numFmtId="0" fontId="7" fillId="17" borderId="45" xfId="0" applyFont="1" applyFill="1" applyBorder="1" applyAlignment="1">
      <alignment horizontal="left" vertical="center" wrapText="1"/>
    </xf>
    <xf numFmtId="0" fontId="0" fillId="0" borderId="18" xfId="0" applyBorder="1"/>
    <xf numFmtId="0" fontId="0" fillId="0" borderId="19" xfId="0" applyBorder="1"/>
    <xf numFmtId="0" fontId="0" fillId="0" borderId="20" xfId="0" applyBorder="1"/>
    <xf numFmtId="0" fontId="0" fillId="0" borderId="54" xfId="0" applyBorder="1"/>
    <xf numFmtId="0" fontId="0" fillId="0" borderId="55" xfId="0" applyBorder="1"/>
    <xf numFmtId="0" fontId="0" fillId="0" borderId="21" xfId="0" applyBorder="1"/>
    <xf numFmtId="0" fontId="0" fillId="0" borderId="22" xfId="0" applyBorder="1"/>
    <xf numFmtId="0" fontId="0" fillId="0" borderId="23" xfId="0" applyBorder="1"/>
    <xf numFmtId="0" fontId="0" fillId="8" borderId="0" xfId="0" applyFill="1"/>
    <xf numFmtId="0" fontId="41" fillId="4" borderId="2" xfId="0" applyFont="1" applyFill="1" applyBorder="1" applyAlignment="1">
      <alignment vertical="center"/>
    </xf>
    <xf numFmtId="0" fontId="0" fillId="0" borderId="14" xfId="0" applyBorder="1"/>
    <xf numFmtId="0" fontId="0" fillId="4" borderId="16" xfId="0" applyFill="1" applyBorder="1"/>
    <xf numFmtId="0" fontId="0" fillId="0" borderId="1" xfId="0" applyBorder="1"/>
    <xf numFmtId="0" fontId="0" fillId="4" borderId="29" xfId="0" applyFill="1" applyBorder="1"/>
    <xf numFmtId="0" fontId="0" fillId="0" borderId="3" xfId="0" applyBorder="1"/>
    <xf numFmtId="0" fontId="0" fillId="4" borderId="5" xfId="0" applyFill="1" applyBorder="1"/>
    <xf numFmtId="0" fontId="49" fillId="32" borderId="21" xfId="0" applyFont="1" applyFill="1" applyBorder="1"/>
    <xf numFmtId="0" fontId="0" fillId="33" borderId="23" xfId="0" applyFill="1" applyBorder="1"/>
    <xf numFmtId="0" fontId="38" fillId="0" borderId="0" xfId="0" applyFont="1" applyFill="1" applyBorder="1"/>
    <xf numFmtId="0" fontId="50" fillId="23" borderId="0" xfId="0" applyFont="1" applyFill="1" applyBorder="1"/>
    <xf numFmtId="0" fontId="50" fillId="0" borderId="0" xfId="0" applyFont="1"/>
    <xf numFmtId="0" fontId="0" fillId="0" borderId="0" xfId="0" applyFill="1" applyBorder="1"/>
    <xf numFmtId="0" fontId="0" fillId="0" borderId="25" xfId="0" applyBorder="1"/>
    <xf numFmtId="0" fontId="50" fillId="10" borderId="0" xfId="0" applyFont="1" applyFill="1" applyBorder="1"/>
    <xf numFmtId="0" fontId="51" fillId="23" borderId="0" xfId="0" applyFont="1" applyFill="1"/>
    <xf numFmtId="0" fontId="51" fillId="17" borderId="0" xfId="0" applyFont="1" applyFill="1"/>
    <xf numFmtId="0" fontId="51" fillId="0" borderId="0" xfId="0" applyFont="1" applyFill="1"/>
    <xf numFmtId="0" fontId="0" fillId="0" borderId="0" xfId="0" applyAlignment="1"/>
    <xf numFmtId="0" fontId="0" fillId="0" borderId="39" xfId="0" applyBorder="1" applyAlignment="1"/>
    <xf numFmtId="0" fontId="0" fillId="0" borderId="40" xfId="0" applyBorder="1" applyAlignment="1"/>
    <xf numFmtId="3" fontId="3" fillId="0" borderId="47" xfId="0" applyNumberFormat="1" applyFont="1" applyFill="1" applyBorder="1" applyAlignment="1"/>
    <xf numFmtId="3" fontId="3" fillId="0" borderId="48" xfId="0" applyNumberFormat="1" applyFont="1" applyFill="1" applyBorder="1" applyAlignment="1"/>
    <xf numFmtId="0" fontId="0" fillId="10" borderId="0" xfId="0" applyFill="1"/>
    <xf numFmtId="0" fontId="0" fillId="0" borderId="62" xfId="0" applyBorder="1" applyAlignment="1"/>
    <xf numFmtId="3" fontId="3" fillId="0" borderId="49" xfId="0" applyNumberFormat="1" applyFont="1" applyFill="1" applyBorder="1" applyAlignment="1"/>
    <xf numFmtId="0" fontId="4" fillId="0" borderId="0" xfId="0" applyFont="1" applyAlignment="1"/>
    <xf numFmtId="0" fontId="50" fillId="7" borderId="27" xfId="0" applyFont="1" applyFill="1" applyBorder="1" applyAlignment="1"/>
    <xf numFmtId="0" fontId="50" fillId="7" borderId="42" xfId="0" applyFont="1" applyFill="1" applyBorder="1" applyAlignment="1">
      <alignment horizontal="center"/>
    </xf>
    <xf numFmtId="0" fontId="50" fillId="7" borderId="36" xfId="0" applyFont="1" applyFill="1" applyBorder="1" applyAlignment="1">
      <alignment horizontal="center"/>
    </xf>
    <xf numFmtId="0" fontId="50" fillId="7" borderId="41" xfId="0" applyFont="1" applyFill="1" applyBorder="1" applyAlignment="1"/>
    <xf numFmtId="0" fontId="50" fillId="7" borderId="42" xfId="0" applyFont="1" applyFill="1" applyBorder="1" applyAlignment="1"/>
    <xf numFmtId="0" fontId="50" fillId="7" borderId="1" xfId="0" applyFont="1" applyFill="1" applyBorder="1" applyAlignment="1"/>
    <xf numFmtId="0" fontId="50" fillId="7" borderId="29" xfId="0" applyFont="1" applyFill="1" applyBorder="1" applyAlignment="1"/>
    <xf numFmtId="0" fontId="50" fillId="7" borderId="62" xfId="0" applyFont="1" applyFill="1" applyBorder="1" applyAlignment="1"/>
    <xf numFmtId="0" fontId="50" fillId="7" borderId="36" xfId="0" applyFont="1" applyFill="1" applyBorder="1" applyAlignment="1"/>
    <xf numFmtId="0" fontId="50" fillId="7" borderId="25" xfId="0" applyFont="1" applyFill="1" applyBorder="1" applyAlignment="1"/>
    <xf numFmtId="0" fontId="50" fillId="7" borderId="2" xfId="0" applyFont="1" applyFill="1" applyBorder="1" applyAlignment="1"/>
    <xf numFmtId="0" fontId="50" fillId="7" borderId="29" xfId="0" applyFont="1" applyFill="1" applyBorder="1" applyAlignment="1">
      <alignment horizontal="center"/>
    </xf>
    <xf numFmtId="0" fontId="0" fillId="9" borderId="41" xfId="0" applyFill="1" applyBorder="1" applyAlignment="1"/>
    <xf numFmtId="0" fontId="0" fillId="9" borderId="36" xfId="0" applyFill="1" applyBorder="1" applyAlignment="1"/>
    <xf numFmtId="0" fontId="0" fillId="9" borderId="36" xfId="0" applyFill="1" applyBorder="1" applyAlignment="1">
      <alignment horizontal="center"/>
    </xf>
    <xf numFmtId="0" fontId="0" fillId="9" borderId="42" xfId="0" applyFill="1" applyBorder="1" applyAlignment="1">
      <alignment horizontal="center"/>
    </xf>
    <xf numFmtId="0" fontId="0" fillId="9" borderId="41" xfId="0" applyFill="1" applyBorder="1" applyAlignment="1">
      <alignment horizontal="center"/>
    </xf>
    <xf numFmtId="0" fontId="0" fillId="9" borderId="27" xfId="0" applyFill="1" applyBorder="1" applyAlignment="1"/>
    <xf numFmtId="0" fontId="4" fillId="9" borderId="62" xfId="0" applyFont="1" applyFill="1" applyBorder="1" applyAlignment="1"/>
    <xf numFmtId="0" fontId="0" fillId="9" borderId="29" xfId="0" applyFill="1" applyBorder="1" applyAlignment="1">
      <alignment horizontal="center"/>
    </xf>
    <xf numFmtId="0" fontId="0" fillId="9" borderId="25" xfId="0" applyFill="1" applyBorder="1" applyAlignment="1"/>
    <xf numFmtId="0" fontId="0" fillId="9" borderId="2" xfId="0" applyFill="1" applyBorder="1" applyAlignment="1"/>
    <xf numFmtId="0" fontId="0" fillId="9" borderId="2" xfId="0" applyFill="1" applyBorder="1" applyAlignment="1">
      <alignment horizontal="center"/>
    </xf>
    <xf numFmtId="0" fontId="4" fillId="9" borderId="39" xfId="0" applyFont="1" applyFill="1" applyBorder="1" applyAlignment="1"/>
    <xf numFmtId="0" fontId="0" fillId="9" borderId="1" xfId="0" applyFill="1" applyBorder="1" applyAlignment="1">
      <alignment horizontal="center"/>
    </xf>
    <xf numFmtId="0" fontId="0" fillId="9" borderId="1" xfId="0" applyFill="1" applyBorder="1" applyAlignment="1"/>
    <xf numFmtId="0" fontId="0" fillId="9" borderId="2" xfId="0" quotePrefix="1" applyFill="1" applyBorder="1" applyAlignment="1">
      <alignment horizontal="center"/>
    </xf>
    <xf numFmtId="0" fontId="0" fillId="9" borderId="39" xfId="0" applyFill="1" applyBorder="1" applyAlignment="1"/>
    <xf numFmtId="0" fontId="0" fillId="9" borderId="29" xfId="0" applyFill="1" applyBorder="1" applyAlignment="1"/>
    <xf numFmtId="0" fontId="0" fillId="9" borderId="29" xfId="0" quotePrefix="1" applyFill="1" applyBorder="1" applyAlignment="1">
      <alignment horizontal="center"/>
    </xf>
    <xf numFmtId="0" fontId="0" fillId="9" borderId="37" xfId="0" applyFill="1" applyBorder="1" applyAlignment="1"/>
    <xf numFmtId="0" fontId="0" fillId="9" borderId="4" xfId="0" applyFill="1" applyBorder="1" applyAlignment="1"/>
    <xf numFmtId="0" fontId="0" fillId="9" borderId="5" xfId="0" applyFill="1" applyBorder="1" applyAlignment="1"/>
    <xf numFmtId="0" fontId="0" fillId="9" borderId="3" xfId="0" applyFill="1" applyBorder="1" applyAlignment="1"/>
    <xf numFmtId="0" fontId="0" fillId="9" borderId="4" xfId="0" applyFill="1" applyBorder="1" applyAlignment="1">
      <alignment horizontal="center"/>
    </xf>
    <xf numFmtId="0" fontId="0" fillId="9" borderId="5" xfId="0" applyFill="1" applyBorder="1" applyAlignment="1">
      <alignment horizontal="center"/>
    </xf>
    <xf numFmtId="0" fontId="0" fillId="9" borderId="3" xfId="0" applyFill="1" applyBorder="1" applyAlignment="1">
      <alignment horizontal="center"/>
    </xf>
    <xf numFmtId="0" fontId="0" fillId="9" borderId="40" xfId="0" applyFill="1" applyBorder="1" applyAlignment="1"/>
    <xf numFmtId="0" fontId="4" fillId="9" borderId="40" xfId="0" applyFont="1" applyFill="1" applyBorder="1" applyAlignment="1"/>
    <xf numFmtId="0" fontId="0" fillId="9" borderId="5" xfId="0" quotePrefix="1" applyFill="1" applyBorder="1" applyAlignment="1">
      <alignment horizontal="center"/>
    </xf>
    <xf numFmtId="0" fontId="38" fillId="30" borderId="2" xfId="0" applyFont="1" applyFill="1" applyBorder="1"/>
    <xf numFmtId="0" fontId="38" fillId="5" borderId="2" xfId="0" applyFont="1" applyFill="1" applyBorder="1"/>
    <xf numFmtId="0" fontId="38" fillId="29" borderId="2" xfId="0" applyFont="1" applyFill="1" applyBorder="1"/>
    <xf numFmtId="0" fontId="38" fillId="33" borderId="0" xfId="0" applyFont="1" applyFill="1"/>
    <xf numFmtId="0" fontId="0" fillId="0" borderId="36" xfId="0" applyBorder="1"/>
    <xf numFmtId="0" fontId="1" fillId="7" borderId="52" xfId="1" applyFill="1" applyBorder="1"/>
    <xf numFmtId="0" fontId="1" fillId="7" borderId="51" xfId="1" applyFill="1" applyBorder="1"/>
    <xf numFmtId="0" fontId="0" fillId="0" borderId="27" xfId="0" applyBorder="1"/>
    <xf numFmtId="0" fontId="0" fillId="0" borderId="42" xfId="0" applyBorder="1"/>
    <xf numFmtId="0" fontId="0" fillId="0" borderId="29" xfId="0" applyBorder="1"/>
    <xf numFmtId="0" fontId="0" fillId="0" borderId="27" xfId="0" applyFill="1" applyBorder="1"/>
    <xf numFmtId="0" fontId="0" fillId="0" borderId="25" xfId="0" applyFill="1" applyBorder="1"/>
    <xf numFmtId="0" fontId="0" fillId="0" borderId="49" xfId="0" applyBorder="1"/>
    <xf numFmtId="0" fontId="0" fillId="0" borderId="47" xfId="0" applyBorder="1"/>
    <xf numFmtId="0" fontId="38" fillId="10" borderId="0" xfId="0" applyFont="1" applyFill="1"/>
    <xf numFmtId="0" fontId="38" fillId="10" borderId="2" xfId="0" applyFont="1" applyFill="1" applyBorder="1"/>
    <xf numFmtId="0" fontId="0" fillId="0" borderId="0" xfId="0" applyAlignment="1">
      <alignment horizontal="center" vertical="center"/>
    </xf>
    <xf numFmtId="0" fontId="2" fillId="0" borderId="52" xfId="0" applyFont="1" applyFill="1" applyBorder="1" applyAlignment="1">
      <alignment horizontal="center"/>
    </xf>
    <xf numFmtId="0" fontId="2" fillId="0" borderId="55" xfId="0" applyFont="1" applyFill="1" applyBorder="1" applyAlignment="1">
      <alignment horizontal="center"/>
    </xf>
    <xf numFmtId="0" fontId="0" fillId="0" borderId="60" xfId="0" applyBorder="1" applyAlignment="1"/>
    <xf numFmtId="0" fontId="0" fillId="0" borderId="24" xfId="0" applyBorder="1" applyAlignment="1"/>
    <xf numFmtId="0" fontId="0" fillId="0" borderId="67" xfId="0" applyBorder="1" applyAlignment="1"/>
    <xf numFmtId="0" fontId="0" fillId="18" borderId="0" xfId="0" applyFill="1" applyAlignment="1"/>
    <xf numFmtId="0" fontId="0" fillId="33" borderId="0" xfId="0" applyFill="1"/>
    <xf numFmtId="0" fontId="38" fillId="4" borderId="0" xfId="0" applyFont="1" applyFill="1"/>
    <xf numFmtId="0" fontId="4" fillId="10" borderId="0" xfId="0" applyFont="1" applyFill="1" applyAlignment="1">
      <alignment horizontal="center" vertical="center"/>
    </xf>
    <xf numFmtId="0" fontId="56" fillId="4" borderId="2" xfId="0" applyFont="1" applyFill="1" applyBorder="1"/>
    <xf numFmtId="0" fontId="0" fillId="0" borderId="7" xfId="0" applyBorder="1"/>
    <xf numFmtId="0" fontId="38" fillId="2" borderId="0" xfId="0" applyFont="1" applyFill="1"/>
    <xf numFmtId="0" fontId="38" fillId="37" borderId="0" xfId="0" applyFont="1" applyFill="1"/>
    <xf numFmtId="0" fontId="0" fillId="0" borderId="2" xfId="0" applyBorder="1" applyAlignment="1">
      <alignment horizontal="left"/>
    </xf>
    <xf numFmtId="0" fontId="38" fillId="23" borderId="0" xfId="0" applyFont="1" applyFill="1" applyBorder="1"/>
    <xf numFmtId="0" fontId="0" fillId="10" borderId="2" xfId="0" applyFill="1" applyBorder="1"/>
    <xf numFmtId="0" fontId="0" fillId="10" borderId="0" xfId="0" applyFill="1" applyBorder="1"/>
    <xf numFmtId="0" fontId="0" fillId="0" borderId="25" xfId="0" applyBorder="1" applyAlignment="1">
      <alignment horizontal="center" vertical="center"/>
    </xf>
    <xf numFmtId="0" fontId="0" fillId="28" borderId="50" xfId="0" applyFill="1" applyBorder="1"/>
    <xf numFmtId="0" fontId="0" fillId="28" borderId="52" xfId="0" applyFill="1" applyBorder="1"/>
    <xf numFmtId="0" fontId="0" fillId="28" borderId="51" xfId="0" applyFill="1" applyBorder="1"/>
    <xf numFmtId="0" fontId="56" fillId="28" borderId="39" xfId="0" applyFont="1" applyFill="1" applyBorder="1"/>
    <xf numFmtId="0" fontId="56" fillId="28" borderId="40" xfId="0" applyFont="1" applyFill="1" applyBorder="1"/>
    <xf numFmtId="0" fontId="0" fillId="28" borderId="0" xfId="0" applyFill="1" applyBorder="1"/>
    <xf numFmtId="0" fontId="38" fillId="28" borderId="0" xfId="0" applyFont="1" applyFill="1"/>
    <xf numFmtId="0" fontId="58" fillId="0" borderId="0" xfId="5"/>
    <xf numFmtId="0" fontId="40" fillId="8" borderId="2" xfId="0" applyFont="1" applyFill="1" applyBorder="1" applyAlignment="1">
      <alignment horizontal="center" vertical="center"/>
    </xf>
    <xf numFmtId="0" fontId="4" fillId="10" borderId="2" xfId="0" applyFont="1" applyFill="1" applyBorder="1" applyAlignment="1">
      <alignment horizontal="center" vertical="center"/>
    </xf>
    <xf numFmtId="0" fontId="1" fillId="0" borderId="0" xfId="1" applyAlignment="1">
      <alignment wrapText="1"/>
    </xf>
    <xf numFmtId="0" fontId="0" fillId="0" borderId="55" xfId="0" applyBorder="1" applyAlignment="1">
      <alignment wrapText="1"/>
    </xf>
    <xf numFmtId="0" fontId="0" fillId="0" borderId="55" xfId="0" applyBorder="1" applyAlignment="1"/>
    <xf numFmtId="0" fontId="3" fillId="0" borderId="2" xfId="0" applyFont="1" applyBorder="1" applyAlignment="1"/>
    <xf numFmtId="0" fontId="3" fillId="0" borderId="2" xfId="0" applyNumberFormat="1" applyFont="1" applyBorder="1" applyAlignment="1"/>
    <xf numFmtId="1" fontId="3" fillId="0" borderId="2" xfId="0" applyNumberFormat="1" applyFont="1" applyBorder="1" applyAlignment="1"/>
    <xf numFmtId="49" fontId="3" fillId="0" borderId="2" xfId="0" applyNumberFormat="1" applyFont="1" applyBorder="1" applyAlignment="1"/>
    <xf numFmtId="0" fontId="0" fillId="0" borderId="2" xfId="0" applyNumberFormat="1" applyBorder="1" applyAlignment="1"/>
    <xf numFmtId="0" fontId="0" fillId="0" borderId="2" xfId="0" applyBorder="1" applyAlignment="1"/>
    <xf numFmtId="49" fontId="0" fillId="0" borderId="2" xfId="0" applyNumberFormat="1" applyBorder="1" applyAlignment="1"/>
    <xf numFmtId="1" fontId="0" fillId="0" borderId="2" xfId="0" applyNumberFormat="1" applyBorder="1" applyAlignment="1"/>
    <xf numFmtId="0" fontId="40" fillId="8" borderId="32" xfId="0" applyFont="1" applyFill="1" applyBorder="1" applyAlignment="1">
      <alignment horizontal="center" vertical="center"/>
    </xf>
    <xf numFmtId="0" fontId="0" fillId="0" borderId="63" xfId="0" applyBorder="1" applyAlignment="1"/>
    <xf numFmtId="0" fontId="50" fillId="7" borderId="9" xfId="0" applyFont="1" applyFill="1" applyBorder="1" applyAlignment="1"/>
    <xf numFmtId="0" fontId="0" fillId="9" borderId="44" xfId="0" applyFill="1" applyBorder="1" applyAlignment="1"/>
    <xf numFmtId="0" fontId="0" fillId="9" borderId="45" xfId="0" applyFill="1" applyBorder="1" applyAlignment="1"/>
    <xf numFmtId="0" fontId="0" fillId="39" borderId="19" xfId="0" applyFill="1" applyBorder="1"/>
    <xf numFmtId="0" fontId="0" fillId="39" borderId="20" xfId="0" applyFill="1" applyBorder="1"/>
    <xf numFmtId="0" fontId="0" fillId="39" borderId="0" xfId="0" applyFill="1" applyBorder="1"/>
    <xf numFmtId="0" fontId="0" fillId="39" borderId="55" xfId="0" applyFill="1" applyBorder="1"/>
    <xf numFmtId="0" fontId="0" fillId="39" borderId="23" xfId="0" applyFill="1" applyBorder="1"/>
    <xf numFmtId="0" fontId="0" fillId="33" borderId="19" xfId="0" applyFill="1" applyBorder="1"/>
    <xf numFmtId="0" fontId="0" fillId="33" borderId="20" xfId="0" applyFill="1" applyBorder="1"/>
    <xf numFmtId="0" fontId="0" fillId="33" borderId="0" xfId="0" applyFill="1" applyBorder="1"/>
    <xf numFmtId="0" fontId="0" fillId="33" borderId="55" xfId="0" applyFill="1" applyBorder="1"/>
    <xf numFmtId="0" fontId="0" fillId="33" borderId="22" xfId="0" applyFill="1" applyBorder="1"/>
    <xf numFmtId="0" fontId="38" fillId="31" borderId="18" xfId="0" applyFont="1" applyFill="1" applyBorder="1"/>
    <xf numFmtId="0" fontId="38" fillId="31" borderId="19" xfId="0" applyFont="1" applyFill="1" applyBorder="1"/>
    <xf numFmtId="0" fontId="0" fillId="31" borderId="19" xfId="0" applyFill="1" applyBorder="1"/>
    <xf numFmtId="0" fontId="38" fillId="31" borderId="54" xfId="0" applyFont="1" applyFill="1" applyBorder="1"/>
    <xf numFmtId="0" fontId="38" fillId="31" borderId="0" xfId="0" applyFont="1" applyFill="1" applyBorder="1"/>
    <xf numFmtId="0" fontId="0" fillId="31" borderId="0" xfId="0" applyFill="1" applyBorder="1"/>
    <xf numFmtId="0" fontId="0" fillId="31" borderId="55" xfId="0" applyFill="1" applyBorder="1"/>
    <xf numFmtId="0" fontId="38" fillId="31" borderId="21" xfId="0" applyFont="1" applyFill="1" applyBorder="1"/>
    <xf numFmtId="0" fontId="38" fillId="31" borderId="22" xfId="0" applyFont="1" applyFill="1" applyBorder="1"/>
    <xf numFmtId="0" fontId="0" fillId="31" borderId="22" xfId="0" applyFill="1" applyBorder="1"/>
    <xf numFmtId="0" fontId="0" fillId="31" borderId="23" xfId="0" applyFill="1" applyBorder="1"/>
    <xf numFmtId="0" fontId="0" fillId="29" borderId="0" xfId="0" applyFill="1"/>
    <xf numFmtId="0" fontId="0" fillId="13" borderId="18" xfId="0" applyFill="1" applyBorder="1"/>
    <xf numFmtId="0" fontId="0" fillId="13" borderId="19" xfId="0" applyFill="1" applyBorder="1"/>
    <xf numFmtId="0" fontId="0" fillId="13" borderId="20" xfId="0" applyFill="1" applyBorder="1"/>
    <xf numFmtId="0" fontId="0" fillId="13" borderId="54" xfId="0" applyFill="1" applyBorder="1"/>
    <xf numFmtId="0" fontId="0" fillId="13" borderId="0" xfId="0" applyFill="1" applyBorder="1"/>
    <xf numFmtId="0" fontId="0" fillId="13" borderId="55" xfId="0" applyFill="1" applyBorder="1"/>
    <xf numFmtId="0" fontId="0" fillId="13" borderId="21" xfId="0" applyFill="1" applyBorder="1"/>
    <xf numFmtId="0" fontId="0" fillId="13" borderId="22" xfId="0" applyFill="1" applyBorder="1"/>
    <xf numFmtId="0" fontId="0" fillId="13" borderId="23" xfId="0" applyFill="1" applyBorder="1"/>
    <xf numFmtId="0" fontId="0" fillId="39" borderId="18" xfId="0" applyFill="1" applyBorder="1"/>
    <xf numFmtId="0" fontId="0" fillId="39" borderId="54" xfId="0" applyFill="1" applyBorder="1"/>
    <xf numFmtId="0" fontId="0" fillId="39" borderId="21" xfId="0" applyFill="1" applyBorder="1"/>
    <xf numFmtId="0" fontId="0" fillId="19" borderId="19" xfId="0" applyFill="1" applyBorder="1"/>
    <xf numFmtId="0" fontId="0" fillId="19" borderId="20" xfId="0" applyFill="1" applyBorder="1"/>
    <xf numFmtId="0" fontId="0" fillId="19" borderId="54" xfId="0" applyFill="1" applyBorder="1"/>
    <xf numFmtId="0" fontId="0" fillId="19" borderId="0" xfId="0" applyFill="1" applyBorder="1"/>
    <xf numFmtId="0" fontId="0" fillId="19" borderId="55" xfId="0" applyFill="1" applyBorder="1"/>
    <xf numFmtId="0" fontId="0" fillId="19" borderId="21" xfId="0" applyFill="1" applyBorder="1"/>
    <xf numFmtId="0" fontId="0" fillId="19" borderId="22" xfId="0" applyFill="1" applyBorder="1"/>
    <xf numFmtId="0" fontId="0" fillId="19" borderId="23" xfId="0" applyFill="1" applyBorder="1"/>
    <xf numFmtId="0" fontId="0" fillId="14" borderId="18" xfId="0" applyFill="1" applyBorder="1"/>
    <xf numFmtId="0" fontId="0" fillId="14" borderId="19" xfId="0" applyFill="1" applyBorder="1"/>
    <xf numFmtId="0" fontId="0" fillId="14" borderId="20" xfId="0" applyFill="1" applyBorder="1"/>
    <xf numFmtId="0" fontId="0" fillId="14" borderId="54" xfId="0" applyFill="1" applyBorder="1"/>
    <xf numFmtId="0" fontId="0" fillId="14" borderId="0" xfId="0" applyFill="1" applyBorder="1"/>
    <xf numFmtId="0" fontId="0" fillId="14" borderId="55" xfId="0" applyFill="1" applyBorder="1"/>
    <xf numFmtId="0" fontId="0" fillId="14" borderId="21" xfId="0" applyFill="1" applyBorder="1"/>
    <xf numFmtId="0" fontId="0" fillId="14" borderId="22" xfId="0" applyFill="1" applyBorder="1"/>
    <xf numFmtId="0" fontId="0" fillId="14" borderId="23" xfId="0" applyFill="1" applyBorder="1"/>
    <xf numFmtId="0" fontId="0" fillId="35" borderId="18" xfId="0" applyFill="1" applyBorder="1"/>
    <xf numFmtId="0" fontId="0" fillId="35" borderId="19" xfId="0" applyFill="1" applyBorder="1"/>
    <xf numFmtId="0" fontId="0" fillId="35" borderId="54" xfId="0" applyFill="1" applyBorder="1"/>
    <xf numFmtId="0" fontId="0" fillId="35" borderId="0" xfId="0" applyFill="1" applyBorder="1"/>
    <xf numFmtId="0" fontId="0" fillId="35" borderId="21" xfId="0" applyFill="1" applyBorder="1"/>
    <xf numFmtId="0" fontId="0" fillId="35" borderId="22" xfId="0" applyFill="1" applyBorder="1"/>
    <xf numFmtId="0" fontId="0" fillId="33" borderId="18" xfId="0" applyFill="1" applyBorder="1"/>
    <xf numFmtId="0" fontId="0" fillId="33" borderId="54" xfId="0" applyFill="1" applyBorder="1"/>
    <xf numFmtId="0" fontId="56" fillId="33" borderId="55" xfId="0" applyFont="1" applyFill="1" applyBorder="1"/>
    <xf numFmtId="0" fontId="0" fillId="0" borderId="54" xfId="0" applyFill="1" applyBorder="1"/>
    <xf numFmtId="0" fontId="56" fillId="17" borderId="55" xfId="0" applyFont="1" applyFill="1" applyBorder="1"/>
    <xf numFmtId="0" fontId="0" fillId="33" borderId="21" xfId="0" applyFill="1" applyBorder="1"/>
    <xf numFmtId="0" fontId="38" fillId="7" borderId="0" xfId="0" applyFont="1" applyFill="1" applyBorder="1" applyAlignment="1">
      <alignment horizontal="center" vertical="center"/>
    </xf>
    <xf numFmtId="0" fontId="38" fillId="23" borderId="0" xfId="0" applyFont="1" applyFill="1" applyBorder="1" applyAlignment="1">
      <alignment horizontal="left"/>
    </xf>
    <xf numFmtId="0" fontId="3" fillId="0" borderId="25" xfId="0" applyFont="1" applyBorder="1"/>
    <xf numFmtId="0" fontId="38" fillId="19" borderId="18" xfId="0" applyFont="1" applyFill="1" applyBorder="1"/>
    <xf numFmtId="0" fontId="38" fillId="19" borderId="19" xfId="0" applyFont="1" applyFill="1" applyBorder="1"/>
    <xf numFmtId="0" fontId="38" fillId="19" borderId="20" xfId="0" applyFont="1" applyFill="1" applyBorder="1"/>
    <xf numFmtId="0" fontId="38" fillId="19" borderId="0" xfId="0" applyFont="1" applyFill="1" applyBorder="1"/>
    <xf numFmtId="0" fontId="38" fillId="19" borderId="55" xfId="0" applyFont="1" applyFill="1" applyBorder="1"/>
    <xf numFmtId="0" fontId="38" fillId="19" borderId="54" xfId="0" applyFont="1" applyFill="1" applyBorder="1"/>
    <xf numFmtId="0" fontId="38" fillId="19" borderId="21" xfId="0" applyFont="1" applyFill="1" applyBorder="1"/>
    <xf numFmtId="0" fontId="0" fillId="9" borderId="54" xfId="0" applyFill="1" applyBorder="1"/>
    <xf numFmtId="0" fontId="0" fillId="9" borderId="0" xfId="0" applyFill="1" applyBorder="1"/>
    <xf numFmtId="0" fontId="56" fillId="9" borderId="55" xfId="0" applyFont="1" applyFill="1" applyBorder="1"/>
    <xf numFmtId="0" fontId="65" fillId="0" borderId="0" xfId="0" applyFont="1" applyAlignment="1">
      <alignment vertical="center"/>
    </xf>
    <xf numFmtId="0" fontId="0" fillId="12" borderId="0" xfId="0" applyFill="1"/>
    <xf numFmtId="0" fontId="38" fillId="12" borderId="0" xfId="0" applyFont="1" applyFill="1"/>
    <xf numFmtId="0" fontId="0" fillId="12" borderId="55" xfId="0" applyFill="1" applyBorder="1"/>
    <xf numFmtId="0" fontId="0" fillId="12" borderId="55" xfId="0" applyFill="1" applyBorder="1" applyAlignment="1"/>
    <xf numFmtId="0" fontId="0" fillId="12" borderId="0" xfId="0" applyFill="1" applyBorder="1"/>
    <xf numFmtId="0" fontId="0" fillId="12" borderId="25" xfId="0" applyFill="1" applyBorder="1"/>
    <xf numFmtId="0" fontId="0" fillId="12" borderId="2" xfId="0" applyFill="1" applyBorder="1"/>
    <xf numFmtId="0" fontId="0" fillId="12" borderId="29" xfId="0" applyFill="1" applyBorder="1"/>
    <xf numFmtId="0" fontId="0" fillId="12" borderId="47" xfId="0" applyFill="1" applyBorder="1"/>
    <xf numFmtId="0" fontId="0" fillId="12" borderId="52" xfId="0" applyFill="1" applyBorder="1"/>
    <xf numFmtId="0" fontId="0" fillId="0" borderId="0" xfId="0" applyFont="1"/>
    <xf numFmtId="0" fontId="0" fillId="0" borderId="0" xfId="0" applyFont="1" applyBorder="1"/>
    <xf numFmtId="0" fontId="0" fillId="0" borderId="2" xfId="0" applyFont="1" applyBorder="1" applyAlignment="1"/>
    <xf numFmtId="0" fontId="56" fillId="0" borderId="2" xfId="1" applyFont="1" applyBorder="1" applyAlignment="1"/>
    <xf numFmtId="0" fontId="56" fillId="0" borderId="2" xfId="1" applyFont="1" applyFill="1" applyBorder="1" applyAlignment="1"/>
    <xf numFmtId="0" fontId="56" fillId="0" borderId="2" xfId="1" applyFont="1" applyBorder="1"/>
    <xf numFmtId="0" fontId="56" fillId="0" borderId="2" xfId="1" applyFont="1" applyFill="1" applyBorder="1"/>
    <xf numFmtId="0" fontId="68" fillId="8" borderId="83" xfId="0" applyFont="1" applyFill="1" applyBorder="1" applyAlignment="1">
      <alignment horizontal="center" vertical="center"/>
    </xf>
    <xf numFmtId="0" fontId="69" fillId="0" borderId="0" xfId="0" applyFont="1" applyAlignment="1">
      <alignment horizontal="left" vertical="center"/>
    </xf>
    <xf numFmtId="0" fontId="69" fillId="0" borderId="0" xfId="0" applyFont="1" applyAlignment="1">
      <alignment horizontal="center" vertical="center"/>
    </xf>
    <xf numFmtId="0" fontId="69" fillId="0" borderId="0" xfId="0" applyFont="1" applyAlignment="1">
      <alignment vertical="center"/>
    </xf>
    <xf numFmtId="0" fontId="0" fillId="0" borderId="44" xfId="0" applyBorder="1" applyAlignment="1"/>
    <xf numFmtId="0" fontId="70" fillId="0" borderId="0" xfId="0" applyFont="1"/>
    <xf numFmtId="0" fontId="70" fillId="40" borderId="0" xfId="0" applyFont="1" applyFill="1" applyAlignment="1">
      <alignment horizontal="right" vertical="center" wrapText="1"/>
    </xf>
    <xf numFmtId="0" fontId="70" fillId="40" borderId="0" xfId="0" applyFont="1" applyFill="1" applyAlignment="1"/>
    <xf numFmtId="0" fontId="71" fillId="40" borderId="0" xfId="0" applyFont="1" applyFill="1" applyAlignment="1"/>
    <xf numFmtId="0" fontId="38" fillId="0" borderId="2" xfId="0" applyFont="1" applyBorder="1"/>
    <xf numFmtId="0" fontId="50" fillId="10" borderId="2" xfId="0" applyFont="1" applyFill="1" applyBorder="1"/>
    <xf numFmtId="0" fontId="44" fillId="0" borderId="2" xfId="0" applyFont="1" applyBorder="1"/>
    <xf numFmtId="0" fontId="68" fillId="8" borderId="0" xfId="0" applyFont="1" applyFill="1" applyBorder="1" applyAlignment="1">
      <alignment horizontal="center" vertical="center"/>
    </xf>
    <xf numFmtId="0" fontId="72" fillId="0" borderId="0" xfId="0" applyFont="1"/>
    <xf numFmtId="0" fontId="73" fillId="0" borderId="0" xfId="0" applyFont="1"/>
    <xf numFmtId="0" fontId="0" fillId="0" borderId="58" xfId="0" applyBorder="1"/>
    <xf numFmtId="0" fontId="38" fillId="14" borderId="27" xfId="0" applyFont="1" applyFill="1" applyBorder="1"/>
    <xf numFmtId="0" fontId="38" fillId="14" borderId="25" xfId="0" applyFont="1" applyFill="1" applyBorder="1"/>
    <xf numFmtId="0" fontId="38" fillId="13" borderId="41" xfId="0" applyFont="1" applyFill="1" applyBorder="1"/>
    <xf numFmtId="0" fontId="38" fillId="13" borderId="42" xfId="0" applyFont="1" applyFill="1" applyBorder="1"/>
    <xf numFmtId="0" fontId="38" fillId="13" borderId="1" xfId="0" applyFont="1" applyFill="1" applyBorder="1"/>
    <xf numFmtId="0" fontId="38" fillId="13" borderId="29" xfId="0" applyFont="1" applyFill="1" applyBorder="1"/>
    <xf numFmtId="0" fontId="38" fillId="13" borderId="3" xfId="0" applyFont="1" applyFill="1" applyBorder="1"/>
    <xf numFmtId="0" fontId="38" fillId="13" borderId="5" xfId="0" applyFont="1" applyFill="1" applyBorder="1"/>
    <xf numFmtId="0" fontId="38" fillId="0" borderId="0" xfId="0" applyFont="1" applyAlignment="1"/>
    <xf numFmtId="0" fontId="0" fillId="31" borderId="18" xfId="0" applyFill="1" applyBorder="1"/>
    <xf numFmtId="0" fontId="0" fillId="31" borderId="20" xfId="0" applyFill="1" applyBorder="1"/>
    <xf numFmtId="0" fontId="0" fillId="31" borderId="54" xfId="0" applyFill="1" applyBorder="1"/>
    <xf numFmtId="0" fontId="0" fillId="31" borderId="21" xfId="0" applyFill="1" applyBorder="1"/>
    <xf numFmtId="0" fontId="38" fillId="0" borderId="18" xfId="0" applyFont="1" applyBorder="1"/>
    <xf numFmtId="0" fontId="38" fillId="0" borderId="54" xfId="0" applyFont="1" applyBorder="1"/>
    <xf numFmtId="0" fontId="38" fillId="0" borderId="0" xfId="0" applyFont="1" applyBorder="1"/>
    <xf numFmtId="0" fontId="38" fillId="12" borderId="19" xfId="0" applyFont="1" applyFill="1" applyBorder="1"/>
    <xf numFmtId="0" fontId="0" fillId="12" borderId="20" xfId="0" applyFill="1" applyBorder="1"/>
    <xf numFmtId="0" fontId="38" fillId="12" borderId="0" xfId="0" applyFont="1" applyFill="1" applyBorder="1"/>
    <xf numFmtId="0" fontId="38" fillId="12" borderId="22" xfId="0" applyFont="1" applyFill="1" applyBorder="1"/>
    <xf numFmtId="0" fontId="0" fillId="12" borderId="23" xfId="0" applyFill="1" applyBorder="1"/>
    <xf numFmtId="0" fontId="38" fillId="29" borderId="0" xfId="0" applyFont="1" applyFill="1" applyBorder="1"/>
    <xf numFmtId="0" fontId="0" fillId="29" borderId="0" xfId="0" applyFill="1" applyBorder="1"/>
    <xf numFmtId="0" fontId="38" fillId="29" borderId="18" xfId="0" applyFont="1" applyFill="1" applyBorder="1"/>
    <xf numFmtId="0" fontId="38" fillId="29" borderId="19" xfId="0" applyFont="1" applyFill="1" applyBorder="1"/>
    <xf numFmtId="0" fontId="0" fillId="29" borderId="19" xfId="0" applyFill="1" applyBorder="1"/>
    <xf numFmtId="0" fontId="0" fillId="29" borderId="20" xfId="0" applyFill="1" applyBorder="1"/>
    <xf numFmtId="0" fontId="38" fillId="29" borderId="54" xfId="0" applyFont="1" applyFill="1" applyBorder="1"/>
    <xf numFmtId="0" fontId="0" fillId="29" borderId="55" xfId="0" applyFill="1" applyBorder="1"/>
    <xf numFmtId="0" fontId="0" fillId="29" borderId="54" xfId="0" applyFill="1" applyBorder="1" applyAlignment="1">
      <alignment horizontal="center"/>
    </xf>
    <xf numFmtId="0" fontId="38" fillId="29" borderId="21" xfId="0" applyFont="1" applyFill="1" applyBorder="1"/>
    <xf numFmtId="0" fontId="0" fillId="29" borderId="22" xfId="0" applyFill="1" applyBorder="1"/>
    <xf numFmtId="0" fontId="38" fillId="29" borderId="22" xfId="0" applyFont="1" applyFill="1" applyBorder="1"/>
    <xf numFmtId="0" fontId="0" fillId="29" borderId="23" xfId="0" applyFill="1" applyBorder="1"/>
    <xf numFmtId="0" fontId="0" fillId="29" borderId="54" xfId="0" applyFill="1" applyBorder="1"/>
    <xf numFmtId="0" fontId="0" fillId="29" borderId="21" xfId="0" applyFill="1" applyBorder="1"/>
    <xf numFmtId="0" fontId="0" fillId="29" borderId="50" xfId="0" applyFill="1" applyBorder="1"/>
    <xf numFmtId="0" fontId="0" fillId="29" borderId="52" xfId="0" applyFill="1" applyBorder="1"/>
    <xf numFmtId="0" fontId="0" fillId="29" borderId="51" xfId="0" applyFill="1" applyBorder="1"/>
    <xf numFmtId="0" fontId="0" fillId="29" borderId="56" xfId="0" applyFill="1" applyBorder="1"/>
    <xf numFmtId="0" fontId="0" fillId="29" borderId="57" xfId="0" applyFill="1" applyBorder="1"/>
    <xf numFmtId="0" fontId="38" fillId="29" borderId="57" xfId="0" applyFont="1" applyFill="1" applyBorder="1"/>
    <xf numFmtId="0" fontId="0" fillId="29" borderId="59" xfId="0" applyFill="1" applyBorder="1"/>
    <xf numFmtId="0" fontId="69" fillId="0" borderId="0" xfId="0" applyFont="1" applyFill="1" applyAlignment="1">
      <alignment horizontal="left" vertical="center"/>
    </xf>
    <xf numFmtId="0" fontId="69" fillId="10" borderId="0" xfId="0" applyFont="1" applyFill="1" applyAlignment="1">
      <alignment vertical="center"/>
    </xf>
    <xf numFmtId="0" fontId="76" fillId="8" borderId="84" xfId="0" applyFont="1" applyFill="1" applyBorder="1" applyAlignment="1">
      <alignment horizontal="left" vertical="center"/>
    </xf>
    <xf numFmtId="0" fontId="76" fillId="8" borderId="83" xfId="0" applyFont="1" applyFill="1" applyBorder="1" applyAlignment="1">
      <alignment vertical="center"/>
    </xf>
    <xf numFmtId="0" fontId="76" fillId="8" borderId="83" xfId="0" applyFont="1" applyFill="1" applyBorder="1" applyAlignment="1">
      <alignment horizontal="center" vertical="center"/>
    </xf>
    <xf numFmtId="0" fontId="76" fillId="17" borderId="83" xfId="0" applyFont="1" applyFill="1" applyBorder="1" applyAlignment="1">
      <alignment horizontal="center" vertical="center"/>
    </xf>
    <xf numFmtId="0" fontId="0" fillId="5" borderId="16" xfId="0" applyFill="1" applyBorder="1"/>
    <xf numFmtId="0" fontId="0" fillId="5" borderId="1" xfId="0" applyFill="1" applyBorder="1"/>
    <xf numFmtId="0" fontId="0" fillId="5" borderId="29" xfId="0" applyFill="1" applyBorder="1"/>
    <xf numFmtId="0" fontId="0" fillId="5" borderId="3" xfId="0" applyFill="1" applyBorder="1"/>
    <xf numFmtId="0" fontId="0" fillId="5" borderId="5" xfId="0" applyFill="1" applyBorder="1"/>
    <xf numFmtId="0" fontId="0" fillId="9" borderId="46" xfId="0" applyFill="1" applyBorder="1" applyAlignment="1">
      <alignment horizontal="center" vertical="center"/>
    </xf>
    <xf numFmtId="0" fontId="0" fillId="9" borderId="47" xfId="0" applyFill="1" applyBorder="1" applyAlignment="1">
      <alignment horizontal="center" vertical="center"/>
    </xf>
    <xf numFmtId="0" fontId="0" fillId="9" borderId="48" xfId="0" applyFill="1" applyBorder="1" applyAlignment="1">
      <alignment horizontal="center" vertical="center"/>
    </xf>
    <xf numFmtId="0" fontId="38" fillId="0" borderId="54" xfId="0" applyFont="1" applyFill="1" applyBorder="1"/>
    <xf numFmtId="0" fontId="38" fillId="34" borderId="0" xfId="0" applyFont="1" applyFill="1" applyBorder="1"/>
    <xf numFmtId="0" fontId="38" fillId="4" borderId="0" xfId="0" applyFont="1" applyFill="1" applyBorder="1"/>
    <xf numFmtId="0" fontId="0" fillId="41" borderId="0" xfId="0" applyFill="1"/>
    <xf numFmtId="0" fontId="0" fillId="38" borderId="54" xfId="0" applyFill="1" applyBorder="1"/>
    <xf numFmtId="0" fontId="0" fillId="38" borderId="0" xfId="0" applyFill="1" applyBorder="1"/>
    <xf numFmtId="0" fontId="38" fillId="38" borderId="55" xfId="0" applyFont="1" applyFill="1" applyBorder="1"/>
    <xf numFmtId="0" fontId="0" fillId="38" borderId="21" xfId="0" applyFill="1" applyBorder="1"/>
    <xf numFmtId="0" fontId="0" fillId="38" borderId="22" xfId="0" applyFill="1" applyBorder="1"/>
    <xf numFmtId="0" fontId="38" fillId="38" borderId="23" xfId="0" applyFont="1" applyFill="1" applyBorder="1"/>
    <xf numFmtId="0" fontId="0" fillId="38" borderId="56" xfId="0" applyFill="1" applyBorder="1" applyAlignment="1"/>
    <xf numFmtId="0" fontId="50" fillId="38" borderId="54" xfId="0" applyFont="1" applyFill="1" applyBorder="1"/>
    <xf numFmtId="0" fontId="4" fillId="38" borderId="54" xfId="0" applyFont="1" applyFill="1" applyBorder="1"/>
    <xf numFmtId="0" fontId="0" fillId="42" borderId="58" xfId="0" applyFill="1" applyBorder="1" applyAlignment="1"/>
    <xf numFmtId="0" fontId="4" fillId="42" borderId="54" xfId="0" applyFont="1" applyFill="1" applyBorder="1"/>
    <xf numFmtId="0" fontId="0" fillId="42" borderId="0" xfId="0" applyFill="1" applyBorder="1"/>
    <xf numFmtId="0" fontId="38" fillId="42" borderId="55" xfId="0" applyFont="1" applyFill="1" applyBorder="1"/>
    <xf numFmtId="0" fontId="4" fillId="42" borderId="21" xfId="0" applyFont="1" applyFill="1" applyBorder="1"/>
    <xf numFmtId="0" fontId="0" fillId="42" borderId="22" xfId="0" applyFill="1" applyBorder="1"/>
    <xf numFmtId="0" fontId="38" fillId="42" borderId="23" xfId="0" applyFont="1" applyFill="1" applyBorder="1"/>
    <xf numFmtId="0" fontId="38" fillId="10" borderId="24" xfId="0" applyFont="1" applyFill="1" applyBorder="1"/>
    <xf numFmtId="0" fontId="0" fillId="11" borderId="0" xfId="0" applyFill="1"/>
    <xf numFmtId="0" fontId="0" fillId="0" borderId="2" xfId="0" applyBorder="1" applyAlignment="1">
      <alignment horizontal="left"/>
    </xf>
    <xf numFmtId="0" fontId="75" fillId="39" borderId="0" xfId="0" applyFont="1" applyFill="1" applyAlignment="1">
      <alignment horizontal="center"/>
    </xf>
    <xf numFmtId="0" fontId="2" fillId="0" borderId="0" xfId="0" applyFont="1" applyFill="1" applyBorder="1" applyAlignment="1">
      <alignment horizontal="center"/>
    </xf>
    <xf numFmtId="0" fontId="0" fillId="0" borderId="9" xfId="0" applyBorder="1" applyAlignment="1"/>
    <xf numFmtId="0" fontId="0" fillId="0" borderId="0" xfId="0" applyBorder="1" applyAlignment="1"/>
    <xf numFmtId="0" fontId="0" fillId="0" borderId="54" xfId="0" applyBorder="1" applyAlignment="1"/>
    <xf numFmtId="0" fontId="50" fillId="7" borderId="14" xfId="0" applyFont="1" applyFill="1" applyBorder="1" applyAlignment="1"/>
    <xf numFmtId="0" fontId="50" fillId="7" borderId="15" xfId="0" applyFont="1" applyFill="1" applyBorder="1" applyAlignment="1"/>
    <xf numFmtId="0" fontId="50" fillId="7" borderId="16" xfId="0" applyFont="1" applyFill="1" applyBorder="1" applyAlignment="1"/>
    <xf numFmtId="0" fontId="0" fillId="0" borderId="85" xfId="0" applyBorder="1" applyAlignment="1"/>
    <xf numFmtId="0" fontId="50" fillId="7" borderId="26" xfId="0" applyFont="1" applyFill="1" applyBorder="1" applyAlignment="1"/>
    <xf numFmtId="0" fontId="78" fillId="0" borderId="0" xfId="0" applyFont="1"/>
    <xf numFmtId="0" fontId="79" fillId="0" borderId="0" xfId="0" applyFont="1"/>
    <xf numFmtId="0" fontId="80" fillId="0" borderId="0" xfId="0" applyFont="1"/>
    <xf numFmtId="0" fontId="81" fillId="8" borderId="0" xfId="0" applyFont="1" applyFill="1"/>
    <xf numFmtId="0" fontId="81" fillId="8" borderId="0" xfId="0" applyFont="1" applyFill="1" applyAlignment="1">
      <alignment horizontal="center" vertical="center" wrapText="1"/>
    </xf>
    <xf numFmtId="0" fontId="81" fillId="8" borderId="0" xfId="0" applyFont="1" applyFill="1" applyAlignment="1">
      <alignment horizontal="center" vertical="center"/>
    </xf>
    <xf numFmtId="0" fontId="0" fillId="0" borderId="2" xfId="0" applyFont="1" applyBorder="1"/>
    <xf numFmtId="0" fontId="0" fillId="0" borderId="2" xfId="0" applyFont="1" applyBorder="1" applyAlignment="1">
      <alignment horizontal="left" vertical="center"/>
    </xf>
    <xf numFmtId="0" fontId="66" fillId="0" borderId="2" xfId="0" applyFont="1" applyBorder="1" applyAlignment="1">
      <alignment horizontal="left" vertical="center"/>
    </xf>
    <xf numFmtId="0" fontId="66" fillId="0" borderId="2" xfId="0" applyFont="1" applyBorder="1" applyAlignment="1">
      <alignment vertical="center"/>
    </xf>
    <xf numFmtId="0" fontId="66" fillId="0" borderId="2" xfId="0" applyFont="1" applyBorder="1"/>
    <xf numFmtId="0" fontId="0" fillId="0" borderId="2" xfId="0" applyFill="1" applyBorder="1" applyAlignment="1">
      <alignment horizontal="center" vertical="center"/>
    </xf>
    <xf numFmtId="0" fontId="0" fillId="10" borderId="2" xfId="0" applyFont="1" applyFill="1" applyBorder="1" applyAlignment="1">
      <alignment horizontal="left" vertical="center"/>
    </xf>
    <xf numFmtId="0" fontId="66" fillId="0" borderId="2" xfId="0" applyFont="1" applyBorder="1" applyAlignment="1"/>
    <xf numFmtId="0" fontId="65" fillId="0" borderId="2" xfId="0" applyFont="1" applyBorder="1" applyAlignment="1">
      <alignment vertical="center"/>
    </xf>
    <xf numFmtId="0" fontId="65" fillId="0" borderId="2" xfId="0" applyFont="1" applyBorder="1"/>
    <xf numFmtId="0" fontId="0" fillId="0" borderId="2" xfId="0" applyFont="1" applyFill="1" applyBorder="1"/>
    <xf numFmtId="0" fontId="66" fillId="0" borderId="2" xfId="0" applyFont="1" applyBorder="1" applyAlignment="1">
      <alignment horizontal="justify" vertical="center"/>
    </xf>
    <xf numFmtId="0" fontId="67" fillId="0" borderId="2" xfId="0" applyFont="1" applyBorder="1" applyAlignment="1">
      <alignment horizontal="justify" vertical="center"/>
    </xf>
    <xf numFmtId="0" fontId="81" fillId="8" borderId="4" xfId="0" applyFont="1" applyFill="1" applyBorder="1" applyAlignment="1">
      <alignment horizontal="center" vertical="center"/>
    </xf>
    <xf numFmtId="0" fontId="81" fillId="8" borderId="5" xfId="0" applyFont="1" applyFill="1" applyBorder="1" applyAlignment="1">
      <alignment horizontal="center" vertical="center"/>
    </xf>
    <xf numFmtId="0" fontId="81" fillId="8" borderId="3" xfId="0" applyFont="1" applyFill="1" applyBorder="1" applyAlignment="1">
      <alignment horizontal="center" vertical="center"/>
    </xf>
    <xf numFmtId="0" fontId="83" fillId="8" borderId="38" xfId="0" applyFont="1" applyFill="1" applyBorder="1" applyAlignment="1">
      <alignment horizontal="center" vertical="center"/>
    </xf>
    <xf numFmtId="0" fontId="81" fillId="8" borderId="37" xfId="0" applyFont="1" applyFill="1" applyBorder="1" applyAlignment="1">
      <alignment horizontal="center" vertical="center"/>
    </xf>
    <xf numFmtId="0" fontId="81" fillId="8" borderId="40" xfId="0" applyFont="1" applyFill="1" applyBorder="1" applyAlignment="1">
      <alignment horizontal="center" vertical="center"/>
    </xf>
    <xf numFmtId="0" fontId="81" fillId="8" borderId="63" xfId="0" applyFont="1" applyFill="1" applyBorder="1" applyAlignment="1">
      <alignment horizontal="center" vertical="center"/>
    </xf>
    <xf numFmtId="0" fontId="83" fillId="8" borderId="40" xfId="0" applyFont="1" applyFill="1" applyBorder="1" applyAlignment="1">
      <alignment horizontal="center" vertical="center"/>
    </xf>
    <xf numFmtId="0" fontId="83" fillId="8" borderId="23" xfId="0" applyFont="1" applyFill="1" applyBorder="1" applyAlignment="1">
      <alignment horizontal="center" vertical="center" wrapText="1"/>
    </xf>
    <xf numFmtId="0" fontId="83" fillId="8" borderId="22" xfId="0" applyFont="1" applyFill="1" applyBorder="1" applyAlignment="1">
      <alignment horizontal="center" vertical="center"/>
    </xf>
    <xf numFmtId="0" fontId="83" fillId="8" borderId="22" xfId="0" applyFont="1" applyFill="1" applyBorder="1" applyAlignment="1">
      <alignment horizontal="center" vertical="center" wrapText="1"/>
    </xf>
    <xf numFmtId="0" fontId="83" fillId="8" borderId="2" xfId="0" applyFont="1" applyFill="1" applyBorder="1" applyAlignment="1">
      <alignment horizontal="center" vertical="center" wrapText="1"/>
    </xf>
    <xf numFmtId="0" fontId="83" fillId="8" borderId="50" xfId="0" applyFont="1" applyFill="1" applyBorder="1" applyAlignment="1">
      <alignment horizontal="center" vertical="center"/>
    </xf>
    <xf numFmtId="0" fontId="83" fillId="8" borderId="20" xfId="0" applyFont="1" applyFill="1" applyBorder="1" applyAlignment="1">
      <alignment horizontal="center" vertical="center"/>
    </xf>
    <xf numFmtId="0" fontId="83" fillId="8" borderId="0" xfId="0" applyFont="1" applyFill="1" applyAlignment="1">
      <alignment horizontal="center" vertical="center"/>
    </xf>
    <xf numFmtId="0" fontId="83" fillId="8" borderId="51" xfId="0" applyFont="1" applyFill="1" applyBorder="1" applyAlignment="1">
      <alignment horizontal="center" vertical="center"/>
    </xf>
    <xf numFmtId="0" fontId="83" fillId="8" borderId="23" xfId="0" applyFont="1" applyFill="1" applyBorder="1" applyAlignment="1">
      <alignment horizontal="center" vertical="center"/>
    </xf>
    <xf numFmtId="0" fontId="83" fillId="8" borderId="37" xfId="0" applyFont="1" applyFill="1" applyBorder="1" applyAlignment="1">
      <alignment horizontal="center" vertical="center"/>
    </xf>
    <xf numFmtId="0" fontId="83" fillId="8" borderId="4" xfId="0" applyFont="1" applyFill="1" applyBorder="1" applyAlignment="1">
      <alignment horizontal="center" vertical="center"/>
    </xf>
    <xf numFmtId="0" fontId="83" fillId="8" borderId="5" xfId="0" applyFont="1" applyFill="1" applyBorder="1" applyAlignment="1">
      <alignment horizontal="center" vertical="center"/>
    </xf>
    <xf numFmtId="0" fontId="83" fillId="8" borderId="48" xfId="0" applyFont="1" applyFill="1" applyBorder="1" applyAlignment="1">
      <alignment horizontal="center" vertical="center"/>
    </xf>
    <xf numFmtId="0" fontId="83" fillId="8" borderId="65" xfId="0" applyFont="1" applyFill="1" applyBorder="1" applyAlignment="1">
      <alignment horizontal="center" vertical="center"/>
    </xf>
    <xf numFmtId="0" fontId="83" fillId="8" borderId="64" xfId="0" applyFont="1" applyFill="1" applyBorder="1" applyAlignment="1">
      <alignment horizontal="center" vertical="center"/>
    </xf>
    <xf numFmtId="0" fontId="83" fillId="8" borderId="66" xfId="0" applyFont="1" applyFill="1" applyBorder="1" applyAlignment="1">
      <alignment horizontal="center" vertical="center"/>
    </xf>
    <xf numFmtId="0" fontId="84" fillId="10" borderId="59" xfId="0" applyFont="1" applyFill="1" applyBorder="1" applyAlignment="1">
      <alignment horizontal="center" vertical="center" wrapText="1"/>
    </xf>
    <xf numFmtId="0" fontId="84" fillId="10" borderId="22" xfId="0" applyFont="1" applyFill="1" applyBorder="1" applyAlignment="1">
      <alignment horizontal="center" vertical="center"/>
    </xf>
    <xf numFmtId="0" fontId="83" fillId="8" borderId="2" xfId="0" applyFont="1" applyFill="1" applyBorder="1"/>
    <xf numFmtId="0" fontId="81" fillId="8" borderId="14" xfId="0" applyFont="1" applyFill="1" applyBorder="1" applyAlignment="1">
      <alignment horizontal="center" vertical="center"/>
    </xf>
    <xf numFmtId="0" fontId="81" fillId="8" borderId="12" xfId="0" applyFont="1" applyFill="1" applyBorder="1" applyAlignment="1">
      <alignment horizontal="center" vertical="center"/>
    </xf>
    <xf numFmtId="0" fontId="81" fillId="8" borderId="13" xfId="0" applyFont="1" applyFill="1" applyBorder="1" applyAlignment="1">
      <alignment horizontal="center" vertical="center"/>
    </xf>
    <xf numFmtId="0" fontId="0" fillId="4" borderId="2" xfId="0" applyFill="1" applyBorder="1" applyAlignment="1">
      <alignment horizontal="center" vertical="center"/>
    </xf>
    <xf numFmtId="0" fontId="0" fillId="33" borderId="1" xfId="0" applyFill="1" applyBorder="1"/>
    <xf numFmtId="0" fontId="0" fillId="33" borderId="3" xfId="0" applyFill="1" applyBorder="1"/>
    <xf numFmtId="0" fontId="0" fillId="33" borderId="2" xfId="0" applyFill="1" applyBorder="1"/>
    <xf numFmtId="0" fontId="69" fillId="33" borderId="2" xfId="0" applyFont="1" applyFill="1" applyBorder="1" applyAlignment="1">
      <alignment vertical="center"/>
    </xf>
    <xf numFmtId="0" fontId="49" fillId="32" borderId="2" xfId="0" applyFont="1" applyFill="1" applyBorder="1"/>
    <xf numFmtId="0" fontId="82" fillId="8" borderId="50" xfId="1" applyFont="1" applyFill="1" applyBorder="1" applyAlignment="1"/>
    <xf numFmtId="0" fontId="82" fillId="8" borderId="0" xfId="1" applyFont="1" applyFill="1" applyBorder="1" applyAlignment="1"/>
    <xf numFmtId="0" fontId="82" fillId="8" borderId="10" xfId="1" applyFont="1" applyFill="1" applyBorder="1" applyAlignment="1"/>
    <xf numFmtId="0" fontId="82" fillId="8" borderId="12" xfId="1" applyFont="1" applyFill="1" applyBorder="1" applyAlignment="1"/>
    <xf numFmtId="0" fontId="82" fillId="8" borderId="13" xfId="1" applyFont="1" applyFill="1" applyBorder="1" applyAlignment="1"/>
    <xf numFmtId="0" fontId="82" fillId="8" borderId="0" xfId="1" applyFont="1" applyFill="1" applyBorder="1" applyAlignment="1">
      <alignment horizontal="center" vertical="center" wrapText="1"/>
    </xf>
    <xf numFmtId="0" fontId="82" fillId="8" borderId="10" xfId="1" applyFont="1" applyFill="1" applyBorder="1" applyAlignment="1">
      <alignment horizontal="center" vertical="center" wrapText="1"/>
    </xf>
    <xf numFmtId="0" fontId="82" fillId="8" borderId="11" xfId="1" applyFont="1" applyFill="1" applyBorder="1" applyAlignment="1">
      <alignment horizontal="center" vertical="center" wrapText="1"/>
    </xf>
    <xf numFmtId="0" fontId="82" fillId="8" borderId="19" xfId="1" applyFont="1" applyFill="1" applyBorder="1" applyAlignment="1">
      <alignment horizontal="center" vertical="center" wrapText="1"/>
    </xf>
    <xf numFmtId="0" fontId="82" fillId="8" borderId="50" xfId="1" applyFont="1" applyFill="1" applyBorder="1" applyAlignment="1">
      <alignment horizontal="center" vertical="center" wrapText="1"/>
    </xf>
    <xf numFmtId="0" fontId="85" fillId="10" borderId="19" xfId="1" applyFont="1" applyFill="1" applyBorder="1" applyAlignment="1">
      <alignment horizontal="center" vertical="center" wrapText="1"/>
    </xf>
    <xf numFmtId="0" fontId="82" fillId="8" borderId="12" xfId="1" applyFont="1" applyFill="1" applyBorder="1" applyAlignment="1">
      <alignment horizontal="center" vertical="center" wrapText="1"/>
    </xf>
    <xf numFmtId="0" fontId="82" fillId="8" borderId="13" xfId="1" applyFont="1" applyFill="1" applyBorder="1" applyAlignment="1">
      <alignment horizontal="center" vertical="center" wrapText="1"/>
    </xf>
    <xf numFmtId="0" fontId="82" fillId="8" borderId="20" xfId="1" applyFont="1" applyFill="1" applyBorder="1" applyAlignment="1">
      <alignment horizontal="center" vertical="center" wrapText="1"/>
    </xf>
    <xf numFmtId="0" fontId="85" fillId="10" borderId="20" xfId="1" applyFont="1" applyFill="1" applyBorder="1" applyAlignment="1">
      <alignment horizontal="center" vertical="center" wrapText="1"/>
    </xf>
    <xf numFmtId="0" fontId="82" fillId="8" borderId="2" xfId="1" applyFont="1" applyFill="1" applyBorder="1" applyAlignment="1">
      <alignment horizontal="center" vertical="center"/>
    </xf>
    <xf numFmtId="0" fontId="83" fillId="8" borderId="2" xfId="0" applyFont="1" applyFill="1" applyBorder="1" applyAlignment="1">
      <alignment horizontal="center" vertical="center"/>
    </xf>
    <xf numFmtId="0" fontId="83" fillId="8" borderId="25" xfId="0" applyFont="1" applyFill="1" applyBorder="1" applyAlignment="1">
      <alignment horizontal="center" vertical="center"/>
    </xf>
    <xf numFmtId="0" fontId="82" fillId="8" borderId="2" xfId="0" applyFont="1" applyFill="1" applyBorder="1"/>
    <xf numFmtId="0" fontId="82" fillId="8" borderId="7" xfId="0" applyFont="1" applyFill="1" applyBorder="1"/>
    <xf numFmtId="0" fontId="85" fillId="10" borderId="59" xfId="0" applyFont="1" applyFill="1" applyBorder="1"/>
    <xf numFmtId="0" fontId="83" fillId="8" borderId="7" xfId="0" applyFont="1" applyFill="1" applyBorder="1"/>
    <xf numFmtId="0" fontId="83" fillId="8" borderId="25" xfId="0" applyFont="1" applyFill="1" applyBorder="1"/>
    <xf numFmtId="0" fontId="84" fillId="10" borderId="59" xfId="0" applyFont="1" applyFill="1" applyBorder="1"/>
    <xf numFmtId="0" fontId="86" fillId="8" borderId="2" xfId="0" applyFont="1" applyFill="1" applyBorder="1"/>
    <xf numFmtId="0" fontId="82" fillId="8" borderId="31" xfId="1" applyFont="1" applyFill="1" applyBorder="1" applyAlignment="1"/>
    <xf numFmtId="0" fontId="82" fillId="8" borderId="6" xfId="1" applyFont="1" applyFill="1" applyBorder="1" applyAlignment="1"/>
    <xf numFmtId="0" fontId="82" fillId="8" borderId="0" xfId="1" applyFont="1" applyFill="1"/>
    <xf numFmtId="0" fontId="82" fillId="8" borderId="18" xfId="1" applyFont="1" applyFill="1" applyBorder="1" applyAlignment="1"/>
    <xf numFmtId="0" fontId="82" fillId="8" borderId="31" xfId="1" applyFont="1" applyFill="1" applyBorder="1"/>
    <xf numFmtId="0" fontId="82" fillId="8" borderId="32" xfId="1" applyFont="1" applyFill="1" applyBorder="1"/>
    <xf numFmtId="0" fontId="3" fillId="0" borderId="2" xfId="1" applyFont="1" applyFill="1" applyBorder="1" applyAlignment="1"/>
    <xf numFmtId="0" fontId="3" fillId="28" borderId="2" xfId="1" applyFont="1" applyFill="1" applyBorder="1" applyAlignment="1"/>
    <xf numFmtId="0" fontId="0" fillId="0" borderId="2" xfId="0" applyBorder="1" applyAlignment="1">
      <alignment vertical="center"/>
    </xf>
    <xf numFmtId="0" fontId="1" fillId="28" borderId="2" xfId="1" applyFill="1" applyBorder="1"/>
    <xf numFmtId="0" fontId="1" fillId="0" borderId="2" xfId="1" applyFont="1" applyBorder="1"/>
    <xf numFmtId="0" fontId="85" fillId="10" borderId="0" xfId="1" applyFont="1" applyFill="1" applyBorder="1"/>
    <xf numFmtId="0" fontId="85" fillId="10" borderId="0" xfId="1" applyFont="1" applyFill="1" applyBorder="1" applyAlignment="1"/>
    <xf numFmtId="0" fontId="1" fillId="0" borderId="2" xfId="1" applyBorder="1" applyAlignment="1"/>
    <xf numFmtId="0" fontId="70" fillId="40" borderId="0" xfId="0" applyFont="1" applyFill="1" applyAlignment="1">
      <alignment vertical="center"/>
    </xf>
    <xf numFmtId="0" fontId="1" fillId="0" borderId="0" xfId="1" applyAlignment="1"/>
    <xf numFmtId="0" fontId="70" fillId="0" borderId="0" xfId="0" applyFont="1" applyAlignment="1">
      <alignment vertical="center"/>
    </xf>
    <xf numFmtId="0" fontId="1" fillId="0" borderId="2" xfId="1" applyFont="1" applyBorder="1" applyAlignment="1">
      <alignment horizontal="left" vertical="center"/>
    </xf>
    <xf numFmtId="49" fontId="1" fillId="0" borderId="2" xfId="1" applyNumberFormat="1" applyFont="1" applyBorder="1" applyAlignment="1">
      <alignment horizontal="left" vertical="center"/>
    </xf>
    <xf numFmtId="0" fontId="1" fillId="0" borderId="2" xfId="1" applyNumberFormat="1" applyFont="1" applyBorder="1" applyAlignment="1">
      <alignment horizontal="left" vertical="center"/>
    </xf>
    <xf numFmtId="49" fontId="1" fillId="4" borderId="2" xfId="1" applyNumberFormat="1" applyFont="1" applyFill="1" applyBorder="1" applyAlignment="1">
      <alignment horizontal="left" vertical="center"/>
    </xf>
    <xf numFmtId="0" fontId="1" fillId="4" borderId="2" xfId="1" applyFont="1" applyFill="1" applyBorder="1" applyAlignment="1">
      <alignment horizontal="left" vertical="center"/>
    </xf>
    <xf numFmtId="0" fontId="1" fillId="0" borderId="2" xfId="1" applyFont="1" applyFill="1" applyBorder="1" applyAlignment="1">
      <alignment horizontal="left" vertical="center"/>
    </xf>
    <xf numFmtId="0" fontId="1" fillId="4" borderId="2" xfId="1" applyNumberFormat="1" applyFont="1" applyFill="1" applyBorder="1" applyAlignment="1">
      <alignment horizontal="left" vertical="center"/>
    </xf>
    <xf numFmtId="165" fontId="1" fillId="0" borderId="2" xfId="0" applyNumberFormat="1" applyFont="1" applyBorder="1" applyAlignment="1">
      <alignment horizontal="left" vertical="center"/>
    </xf>
    <xf numFmtId="0" fontId="1" fillId="28" borderId="2" xfId="1" applyFont="1" applyFill="1" applyBorder="1" applyAlignment="1">
      <alignment horizontal="left" vertical="center"/>
    </xf>
    <xf numFmtId="0" fontId="1" fillId="7" borderId="2" xfId="1" applyFont="1" applyFill="1" applyBorder="1" applyAlignment="1">
      <alignment horizontal="left" vertical="center"/>
    </xf>
    <xf numFmtId="0" fontId="1" fillId="0" borderId="2" xfId="0" applyFont="1" applyBorder="1" applyAlignment="1">
      <alignment horizontal="left" vertical="center"/>
    </xf>
    <xf numFmtId="0" fontId="1" fillId="7" borderId="2" xfId="1" applyFill="1" applyBorder="1" applyAlignment="1"/>
    <xf numFmtId="0" fontId="56" fillId="0" borderId="43" xfId="1" applyFont="1" applyFill="1" applyBorder="1" applyAlignment="1"/>
    <xf numFmtId="0" fontId="0" fillId="0" borderId="0" xfId="0" applyAlignment="1">
      <alignment horizontal="left"/>
    </xf>
    <xf numFmtId="1" fontId="0" fillId="0" borderId="14" xfId="0" applyNumberFormat="1" applyBorder="1"/>
    <xf numFmtId="1" fontId="0" fillId="0" borderId="1" xfId="0" applyNumberFormat="1" applyBorder="1"/>
    <xf numFmtId="1" fontId="0" fillId="0" borderId="3" xfId="0" applyNumberFormat="1" applyBorder="1"/>
    <xf numFmtId="1" fontId="49" fillId="32" borderId="21" xfId="0" applyNumberFormat="1" applyFont="1" applyFill="1" applyBorder="1"/>
    <xf numFmtId="0" fontId="38" fillId="0" borderId="55" xfId="0" applyFont="1" applyBorder="1"/>
    <xf numFmtId="3" fontId="38" fillId="0" borderId="0" xfId="0" applyNumberFormat="1" applyFont="1" applyBorder="1"/>
    <xf numFmtId="0" fontId="38" fillId="0" borderId="21" xfId="0" applyFont="1" applyBorder="1"/>
    <xf numFmtId="0" fontId="38" fillId="0" borderId="22" xfId="0" applyFont="1" applyBorder="1"/>
    <xf numFmtId="0" fontId="38" fillId="0" borderId="23" xfId="0" applyFont="1" applyBorder="1"/>
    <xf numFmtId="0" fontId="0" fillId="0" borderId="24" xfId="0" applyFill="1" applyBorder="1"/>
    <xf numFmtId="0" fontId="87" fillId="0" borderId="0" xfId="0" applyFont="1" applyBorder="1" applyAlignment="1"/>
    <xf numFmtId="0" fontId="87" fillId="0" borderId="0" xfId="0" applyFont="1" applyBorder="1"/>
    <xf numFmtId="0" fontId="87" fillId="0" borderId="0" xfId="0" applyFont="1"/>
    <xf numFmtId="0" fontId="88" fillId="0" borderId="0" xfId="0" applyFont="1"/>
    <xf numFmtId="164" fontId="88" fillId="0" borderId="0" xfId="0" applyNumberFormat="1" applyFont="1" applyBorder="1"/>
    <xf numFmtId="0" fontId="88" fillId="0" borderId="0" xfId="0" applyFont="1" applyBorder="1"/>
    <xf numFmtId="0" fontId="57" fillId="0" borderId="0" xfId="0" applyFont="1" applyBorder="1"/>
    <xf numFmtId="0" fontId="3" fillId="0" borderId="0" xfId="6" applyFont="1" applyFill="1" applyBorder="1" applyProtection="1">
      <protection hidden="1"/>
    </xf>
    <xf numFmtId="0" fontId="91" fillId="0" borderId="0" xfId="6" applyFont="1" applyFill="1" applyBorder="1" applyAlignment="1" applyProtection="1">
      <alignment horizontal="center" vertical="center"/>
      <protection hidden="1"/>
    </xf>
    <xf numFmtId="0" fontId="3" fillId="0" borderId="0" xfId="6" applyFont="1" applyFill="1" applyProtection="1">
      <protection hidden="1"/>
    </xf>
    <xf numFmtId="0" fontId="92" fillId="0" borderId="0" xfId="6" applyFont="1" applyFill="1" applyBorder="1" applyAlignment="1" applyProtection="1">
      <alignment shrinkToFit="1"/>
      <protection hidden="1"/>
    </xf>
    <xf numFmtId="0" fontId="3" fillId="0" borderId="0" xfId="6" applyFont="1" applyFill="1" applyBorder="1" applyAlignment="1" applyProtection="1">
      <protection hidden="1"/>
    </xf>
    <xf numFmtId="0" fontId="3" fillId="0" borderId="0" xfId="6" applyBorder="1" applyAlignment="1" applyProtection="1">
      <protection hidden="1"/>
    </xf>
    <xf numFmtId="0" fontId="94" fillId="0" borderId="19" xfId="6" applyFont="1" applyFill="1" applyBorder="1" applyAlignment="1" applyProtection="1">
      <protection hidden="1"/>
    </xf>
    <xf numFmtId="0" fontId="94" fillId="0" borderId="0" xfId="6" applyFont="1" applyFill="1" applyBorder="1" applyAlignment="1" applyProtection="1">
      <protection hidden="1"/>
    </xf>
    <xf numFmtId="0" fontId="91" fillId="0" borderId="0" xfId="6" applyFont="1" applyFill="1" applyBorder="1" applyAlignment="1" applyProtection="1">
      <alignment horizontal="center"/>
      <protection hidden="1"/>
    </xf>
    <xf numFmtId="0" fontId="94" fillId="0" borderId="0" xfId="6" applyFont="1" applyFill="1" applyBorder="1" applyAlignment="1" applyProtection="1">
      <alignment horizontal="left"/>
      <protection hidden="1"/>
    </xf>
    <xf numFmtId="0" fontId="3" fillId="0" borderId="0" xfId="6"/>
    <xf numFmtId="0" fontId="95" fillId="0" borderId="0" xfId="6" applyFont="1" applyFill="1" applyBorder="1" applyAlignment="1" applyProtection="1">
      <alignment vertical="center"/>
      <protection hidden="1"/>
    </xf>
    <xf numFmtId="0" fontId="96" fillId="0" borderId="0" xfId="6" applyFont="1" applyFill="1" applyBorder="1" applyAlignment="1" applyProtection="1">
      <protection hidden="1"/>
    </xf>
    <xf numFmtId="0" fontId="3" fillId="0" borderId="0" xfId="6" applyFont="1" applyFill="1" applyBorder="1" applyAlignment="1" applyProtection="1">
      <alignment horizontal="left"/>
      <protection hidden="1"/>
    </xf>
    <xf numFmtId="0" fontId="97" fillId="0" borderId="0" xfId="6" applyFont="1" applyFill="1" applyBorder="1" applyAlignment="1" applyProtection="1">
      <alignment vertical="center"/>
      <protection hidden="1"/>
    </xf>
    <xf numFmtId="0" fontId="96" fillId="0" borderId="0" xfId="6" applyFont="1" applyFill="1" applyBorder="1" applyAlignment="1" applyProtection="1">
      <alignment horizontal="center" vertical="center"/>
      <protection hidden="1"/>
    </xf>
    <xf numFmtId="0" fontId="3" fillId="0" borderId="0" xfId="6" applyFont="1" applyBorder="1" applyProtection="1">
      <protection hidden="1"/>
    </xf>
    <xf numFmtId="0" fontId="3" fillId="0" borderId="0" xfId="6" applyFont="1" applyProtection="1">
      <protection hidden="1"/>
    </xf>
    <xf numFmtId="0" fontId="94" fillId="0" borderId="0" xfId="6" applyFont="1" applyFill="1" applyBorder="1" applyAlignment="1" applyProtection="1">
      <alignment vertical="center"/>
      <protection hidden="1"/>
    </xf>
    <xf numFmtId="0" fontId="94" fillId="0" borderId="0" xfId="6" applyFont="1" applyBorder="1" applyAlignment="1" applyProtection="1">
      <alignment vertical="center"/>
      <protection hidden="1"/>
    </xf>
    <xf numFmtId="0" fontId="94" fillId="0" borderId="0" xfId="6" applyFont="1" applyFill="1" applyBorder="1" applyAlignment="1" applyProtection="1">
      <alignment vertical="center" wrapText="1"/>
      <protection hidden="1"/>
    </xf>
    <xf numFmtId="0" fontId="3" fillId="0" borderId="0" xfId="6" applyFont="1" applyFill="1" applyBorder="1" applyAlignment="1" applyProtection="1">
      <alignment vertical="center"/>
      <protection hidden="1"/>
    </xf>
    <xf numFmtId="0" fontId="94" fillId="0" borderId="0" xfId="6" applyFont="1" applyBorder="1" applyAlignment="1" applyProtection="1">
      <alignment vertical="center" wrapText="1"/>
      <protection hidden="1"/>
    </xf>
    <xf numFmtId="0" fontId="100" fillId="0" borderId="0" xfId="6" applyFont="1" applyBorder="1" applyAlignment="1" applyProtection="1">
      <alignment horizontal="center" vertical="center"/>
      <protection hidden="1"/>
    </xf>
    <xf numFmtId="0" fontId="101" fillId="0" borderId="0" xfId="6" applyFont="1" applyFill="1" applyBorder="1" applyProtection="1">
      <protection hidden="1"/>
    </xf>
    <xf numFmtId="0" fontId="100" fillId="0" borderId="0" xfId="6" applyFont="1" applyBorder="1" applyAlignment="1" applyProtection="1">
      <alignment vertical="center"/>
      <protection hidden="1"/>
    </xf>
    <xf numFmtId="0" fontId="101" fillId="0" borderId="0" xfId="6" quotePrefix="1" applyFont="1" applyFill="1" applyBorder="1" applyAlignment="1" applyProtection="1">
      <alignment horizontal="center" vertical="center"/>
      <protection hidden="1"/>
    </xf>
    <xf numFmtId="165" fontId="3" fillId="0" borderId="0" xfId="6" applyNumberFormat="1" applyFont="1" applyProtection="1">
      <protection hidden="1"/>
    </xf>
    <xf numFmtId="0" fontId="3" fillId="0" borderId="0" xfId="6" applyFont="1" applyBorder="1" applyAlignment="1" applyProtection="1">
      <alignment horizontal="left"/>
      <protection hidden="1"/>
    </xf>
    <xf numFmtId="0" fontId="91" fillId="0" borderId="0" xfId="6" applyFont="1" applyFill="1" applyBorder="1" applyAlignment="1" applyProtection="1">
      <alignment vertical="center"/>
      <protection hidden="1"/>
    </xf>
    <xf numFmtId="0" fontId="108" fillId="0" borderId="0" xfId="6" applyFont="1" applyFill="1" applyBorder="1" applyAlignment="1" applyProtection="1">
      <alignment vertical="center"/>
      <protection hidden="1"/>
    </xf>
    <xf numFmtId="0" fontId="94" fillId="0" borderId="0" xfId="6" applyFont="1" applyFill="1" applyBorder="1" applyAlignment="1" applyProtection="1">
      <alignment horizontal="right" vertical="center"/>
      <protection hidden="1"/>
    </xf>
    <xf numFmtId="0" fontId="3" fillId="0" borderId="59" xfId="6" applyFont="1" applyBorder="1" applyAlignment="1" applyProtection="1">
      <alignment horizontal="center"/>
      <protection locked="0"/>
    </xf>
    <xf numFmtId="0" fontId="3" fillId="0" borderId="0" xfId="6" applyFont="1" applyBorder="1" applyAlignment="1" applyProtection="1">
      <alignment horizontal="center"/>
      <protection hidden="1"/>
    </xf>
    <xf numFmtId="0" fontId="3" fillId="0" borderId="0" xfId="6" applyFont="1" applyBorder="1" applyAlignment="1" applyProtection="1">
      <protection hidden="1"/>
    </xf>
    <xf numFmtId="0" fontId="94" fillId="0" borderId="0" xfId="6" applyFont="1" applyBorder="1" applyProtection="1">
      <protection hidden="1"/>
    </xf>
    <xf numFmtId="0" fontId="108" fillId="0" borderId="0" xfId="6" applyFont="1" applyFill="1" applyBorder="1" applyAlignment="1" applyProtection="1">
      <alignment horizontal="right" vertical="center"/>
      <protection hidden="1"/>
    </xf>
    <xf numFmtId="0" fontId="3" fillId="0" borderId="0" xfId="6" applyFont="1" applyFill="1" applyBorder="1" applyAlignment="1" applyProtection="1">
      <alignment vertical="center" wrapText="1"/>
      <protection hidden="1"/>
    </xf>
    <xf numFmtId="0" fontId="95" fillId="0" borderId="22" xfId="6" applyFont="1" applyFill="1" applyBorder="1" applyAlignment="1" applyProtection="1">
      <alignment vertical="top" wrapText="1"/>
      <protection hidden="1"/>
    </xf>
    <xf numFmtId="0" fontId="94" fillId="0" borderId="0" xfId="6" applyFont="1" applyFill="1" applyBorder="1" applyAlignment="1" applyProtection="1">
      <alignment vertical="top" wrapText="1"/>
      <protection hidden="1"/>
    </xf>
    <xf numFmtId="0" fontId="95" fillId="0" borderId="0" xfId="6" applyFont="1" applyFill="1" applyBorder="1" applyAlignment="1" applyProtection="1">
      <alignment vertical="top" wrapText="1"/>
      <protection hidden="1"/>
    </xf>
    <xf numFmtId="167" fontId="109" fillId="0" borderId="52" xfId="6" applyNumberFormat="1" applyFont="1" applyFill="1" applyBorder="1" applyAlignment="1" applyProtection="1">
      <alignment vertical="center" wrapText="1"/>
      <protection hidden="1"/>
    </xf>
    <xf numFmtId="0" fontId="94" fillId="0" borderId="0" xfId="6" applyFont="1" applyFill="1" applyBorder="1" applyProtection="1">
      <protection hidden="1"/>
    </xf>
    <xf numFmtId="0" fontId="3" fillId="0" borderId="0" xfId="6" applyFont="1" applyFill="1" applyBorder="1" applyAlignment="1" applyProtection="1">
      <alignment vertical="top" wrapText="1"/>
      <protection hidden="1"/>
    </xf>
    <xf numFmtId="0" fontId="95" fillId="0" borderId="0" xfId="6" applyFont="1" applyBorder="1" applyAlignment="1" applyProtection="1">
      <alignment horizontal="center" vertical="top" wrapText="1"/>
      <protection hidden="1"/>
    </xf>
    <xf numFmtId="0" fontId="3" fillId="0" borderId="0" xfId="6" applyFont="1" applyBorder="1" applyAlignment="1" applyProtection="1">
      <alignment horizontal="center" vertical="top" wrapText="1"/>
      <protection hidden="1"/>
    </xf>
    <xf numFmtId="0" fontId="102" fillId="0" borderId="0" xfId="6" applyFont="1" applyBorder="1" applyProtection="1">
      <protection hidden="1"/>
    </xf>
    <xf numFmtId="0" fontId="102" fillId="0" borderId="0" xfId="6" applyFont="1" applyBorder="1" applyAlignment="1" applyProtection="1">
      <alignment vertical="center"/>
      <protection hidden="1"/>
    </xf>
    <xf numFmtId="0" fontId="102" fillId="0" borderId="0" xfId="6" applyFont="1" applyFill="1" applyBorder="1" applyAlignment="1" applyProtection="1">
      <alignment vertical="center"/>
      <protection hidden="1"/>
    </xf>
    <xf numFmtId="0" fontId="3" fillId="0" borderId="0" xfId="6" applyFont="1" applyBorder="1" applyAlignment="1" applyProtection="1">
      <alignment vertical="center"/>
      <protection hidden="1"/>
    </xf>
    <xf numFmtId="0" fontId="92" fillId="0" borderId="55" xfId="6" applyNumberFormat="1" applyFont="1" applyFill="1" applyBorder="1" applyAlignment="1" applyProtection="1">
      <alignment vertical="center" shrinkToFit="1"/>
      <protection hidden="1"/>
    </xf>
    <xf numFmtId="0" fontId="3" fillId="0" borderId="0" xfId="6" applyFont="1" applyBorder="1" applyAlignment="1" applyProtection="1">
      <alignment vertical="top" wrapText="1"/>
      <protection hidden="1"/>
    </xf>
    <xf numFmtId="0" fontId="94" fillId="0" borderId="0" xfId="6" applyFont="1" applyBorder="1" applyAlignment="1" applyProtection="1">
      <alignment vertical="top" wrapText="1"/>
      <protection hidden="1"/>
    </xf>
    <xf numFmtId="0" fontId="95" fillId="0" borderId="0" xfId="6" applyFont="1" applyBorder="1" applyAlignment="1" applyProtection="1">
      <alignment vertical="top" wrapText="1"/>
      <protection hidden="1"/>
    </xf>
    <xf numFmtId="0" fontId="102" fillId="0" borderId="0" xfId="6" applyFont="1" applyBorder="1" applyAlignment="1" applyProtection="1">
      <alignment horizontal="left"/>
      <protection hidden="1"/>
    </xf>
    <xf numFmtId="0" fontId="112" fillId="0" borderId="0" xfId="6" applyFont="1" applyFill="1" applyBorder="1" applyAlignment="1" applyProtection="1">
      <alignment vertical="top" wrapText="1"/>
      <protection hidden="1"/>
    </xf>
    <xf numFmtId="0" fontId="91" fillId="0" borderId="0" xfId="6" applyFont="1" applyBorder="1" applyProtection="1">
      <protection hidden="1"/>
    </xf>
    <xf numFmtId="0" fontId="3" fillId="0" borderId="0" xfId="6" applyBorder="1" applyProtection="1">
      <protection hidden="1"/>
    </xf>
    <xf numFmtId="0" fontId="3" fillId="0" borderId="0" xfId="6" applyProtection="1">
      <protection hidden="1"/>
    </xf>
    <xf numFmtId="0" fontId="102" fillId="0" borderId="0" xfId="6" applyFont="1" applyBorder="1" applyAlignment="1" applyProtection="1">
      <alignment horizontal="left" vertical="center"/>
      <protection hidden="1"/>
    </xf>
    <xf numFmtId="0" fontId="3" fillId="0" borderId="0" xfId="6" applyBorder="1"/>
    <xf numFmtId="0" fontId="105" fillId="0" borderId="0" xfId="6" applyFont="1" applyFill="1" applyBorder="1" applyAlignment="1" applyProtection="1">
      <alignment wrapText="1"/>
      <protection hidden="1"/>
    </xf>
    <xf numFmtId="3" fontId="105" fillId="0" borderId="0" xfId="6" applyNumberFormat="1" applyFont="1" applyBorder="1" applyAlignment="1" applyProtection="1">
      <alignment vertical="center"/>
      <protection hidden="1"/>
    </xf>
    <xf numFmtId="3" fontId="105" fillId="0" borderId="9" xfId="6" applyNumberFormat="1" applyFont="1" applyBorder="1" applyAlignment="1" applyProtection="1">
      <alignment vertical="center"/>
      <protection hidden="1"/>
    </xf>
    <xf numFmtId="0" fontId="93" fillId="0" borderId="0" xfId="6" applyFont="1" applyFill="1" applyBorder="1" applyAlignment="1" applyProtection="1">
      <alignment horizontal="right" vertical="top"/>
      <protection hidden="1"/>
    </xf>
    <xf numFmtId="0" fontId="93" fillId="0" borderId="0" xfId="6" applyFont="1" applyBorder="1" applyProtection="1">
      <protection hidden="1"/>
    </xf>
    <xf numFmtId="0" fontId="102" fillId="0" borderId="0" xfId="6" applyFont="1" applyBorder="1" applyAlignment="1" applyProtection="1">
      <protection hidden="1"/>
    </xf>
    <xf numFmtId="0" fontId="93" fillId="0" borderId="0" xfId="6" applyFont="1" applyBorder="1" applyAlignment="1" applyProtection="1">
      <alignment horizontal="right"/>
      <protection hidden="1"/>
    </xf>
    <xf numFmtId="0" fontId="101" fillId="0" borderId="0" xfId="6" applyFont="1" applyBorder="1" applyAlignment="1" applyProtection="1">
      <protection hidden="1"/>
    </xf>
    <xf numFmtId="0" fontId="105" fillId="0" borderId="0" xfId="6" applyFont="1" applyBorder="1" applyAlignment="1" applyProtection="1">
      <protection hidden="1"/>
    </xf>
    <xf numFmtId="0" fontId="112" fillId="0" borderId="0" xfId="6" applyFont="1" applyFill="1" applyBorder="1" applyAlignment="1" applyProtection="1">
      <alignment vertical="center" wrapText="1"/>
      <protection hidden="1"/>
    </xf>
    <xf numFmtId="0" fontId="3" fillId="44" borderId="0" xfId="6" applyFont="1" applyFill="1" applyProtection="1">
      <protection hidden="1"/>
    </xf>
    <xf numFmtId="0" fontId="38" fillId="23" borderId="2" xfId="0" applyFont="1" applyFill="1" applyBorder="1"/>
    <xf numFmtId="0" fontId="51" fillId="23" borderId="0" xfId="0" applyFont="1" applyFill="1" applyBorder="1" applyAlignment="1">
      <alignment horizontal="center" vertical="center" wrapText="1"/>
    </xf>
    <xf numFmtId="0" fontId="53" fillId="8" borderId="0" xfId="0" applyFont="1" applyFill="1" applyBorder="1" applyAlignment="1">
      <alignment horizontal="center" vertical="center"/>
    </xf>
    <xf numFmtId="0" fontId="44" fillId="2" borderId="2" xfId="0" applyFont="1" applyFill="1" applyBorder="1" applyAlignment="1" applyProtection="1">
      <alignment horizontal="center" vertical="center" wrapText="1"/>
      <protection locked="0"/>
    </xf>
    <xf numFmtId="0" fontId="44" fillId="4" borderId="0" xfId="0" applyFont="1" applyFill="1" applyBorder="1" applyAlignment="1">
      <alignment horizontal="center" vertical="center" wrapText="1"/>
    </xf>
    <xf numFmtId="0" fontId="38" fillId="2" borderId="0" xfId="0" applyFont="1" applyFill="1" applyBorder="1" applyAlignment="1" applyProtection="1">
      <alignment horizontal="center" vertical="center"/>
      <protection locked="0"/>
    </xf>
    <xf numFmtId="0" fontId="51" fillId="23" borderId="2" xfId="0" applyFont="1" applyFill="1" applyBorder="1" applyAlignment="1" applyProtection="1">
      <alignment horizontal="center" vertical="center" wrapText="1"/>
      <protection hidden="1"/>
    </xf>
    <xf numFmtId="0" fontId="52" fillId="2" borderId="2" xfId="0" applyFont="1" applyFill="1" applyBorder="1" applyAlignment="1" applyProtection="1">
      <alignment horizontal="center" vertical="center"/>
      <protection locked="0"/>
    </xf>
    <xf numFmtId="0" fontId="60" fillId="4" borderId="2" xfId="0" applyFont="1" applyFill="1" applyBorder="1" applyAlignment="1">
      <alignment horizontal="center" vertical="center" wrapText="1"/>
    </xf>
    <xf numFmtId="0" fontId="53" fillId="8" borderId="2" xfId="0" applyFont="1" applyFill="1" applyBorder="1" applyAlignment="1">
      <alignment horizontal="center" vertical="center" wrapText="1"/>
    </xf>
    <xf numFmtId="0" fontId="54" fillId="7" borderId="2" xfId="0" applyFont="1" applyFill="1" applyBorder="1" applyAlignment="1" applyProtection="1">
      <alignment horizontal="center" vertical="center" wrapText="1"/>
      <protection hidden="1"/>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2" borderId="21" xfId="0" applyFont="1" applyFill="1" applyBorder="1" applyAlignment="1" applyProtection="1">
      <alignment horizontal="center" vertical="center"/>
      <protection locked="0"/>
    </xf>
    <xf numFmtId="0" fontId="8" fillId="2" borderId="22" xfId="0" applyFont="1" applyFill="1" applyBorder="1" applyAlignment="1" applyProtection="1">
      <alignment horizontal="center" vertical="center"/>
      <protection locked="0"/>
    </xf>
    <xf numFmtId="0" fontId="8" fillId="2" borderId="23" xfId="0" applyFont="1" applyFill="1" applyBorder="1" applyAlignment="1" applyProtection="1">
      <alignment horizontal="center" vertical="center"/>
      <protection locked="0"/>
    </xf>
    <xf numFmtId="0" fontId="41" fillId="4" borderId="18" xfId="0" applyFont="1" applyFill="1" applyBorder="1" applyAlignment="1">
      <alignment horizontal="center" vertical="center"/>
    </xf>
    <xf numFmtId="0" fontId="41" fillId="4" borderId="20" xfId="0" applyFont="1" applyFill="1" applyBorder="1" applyAlignment="1">
      <alignment horizontal="center" vertical="center"/>
    </xf>
    <xf numFmtId="0" fontId="41" fillId="4" borderId="21" xfId="0" applyFont="1" applyFill="1" applyBorder="1" applyAlignment="1">
      <alignment horizontal="center" vertical="center"/>
    </xf>
    <xf numFmtId="0" fontId="41" fillId="4" borderId="23" xfId="0" applyFont="1" applyFill="1" applyBorder="1" applyAlignment="1">
      <alignment horizontal="center" vertical="center"/>
    </xf>
    <xf numFmtId="0" fontId="38" fillId="2" borderId="82" xfId="0" applyFont="1" applyFill="1" applyBorder="1" applyAlignment="1" applyProtection="1">
      <alignment horizontal="center"/>
      <protection locked="0"/>
    </xf>
    <xf numFmtId="0" fontId="52" fillId="2" borderId="18" xfId="0" applyFont="1" applyFill="1" applyBorder="1" applyAlignment="1" applyProtection="1">
      <alignment horizontal="center" vertical="center"/>
      <protection locked="0"/>
    </xf>
    <xf numFmtId="0" fontId="52" fillId="2" borderId="19" xfId="0" applyFont="1" applyFill="1" applyBorder="1" applyAlignment="1" applyProtection="1">
      <alignment horizontal="center" vertical="center"/>
      <protection locked="0"/>
    </xf>
    <xf numFmtId="0" fontId="52" fillId="2" borderId="20" xfId="0" applyFont="1" applyFill="1" applyBorder="1" applyAlignment="1" applyProtection="1">
      <alignment horizontal="center" vertical="center"/>
      <protection locked="0"/>
    </xf>
    <xf numFmtId="0" fontId="52" fillId="2" borderId="21" xfId="0" applyFont="1" applyFill="1" applyBorder="1" applyAlignment="1" applyProtection="1">
      <alignment horizontal="center" vertical="center"/>
      <protection locked="0"/>
    </xf>
    <xf numFmtId="0" fontId="52" fillId="2" borderId="22" xfId="0" applyFont="1" applyFill="1" applyBorder="1" applyAlignment="1" applyProtection="1">
      <alignment horizontal="center" vertical="center"/>
      <protection locked="0"/>
    </xf>
    <xf numFmtId="0" fontId="52" fillId="2" borderId="23" xfId="0" applyFont="1" applyFill="1" applyBorder="1" applyAlignment="1" applyProtection="1">
      <alignment horizontal="center" vertical="center"/>
      <protection locked="0"/>
    </xf>
    <xf numFmtId="164" fontId="37" fillId="10" borderId="49" xfId="0" applyNumberFormat="1" applyFont="1" applyFill="1" applyBorder="1" applyAlignment="1" applyProtection="1">
      <alignment horizontal="center" vertical="center"/>
      <protection hidden="1"/>
    </xf>
    <xf numFmtId="164" fontId="37" fillId="10" borderId="48" xfId="0" applyNumberFormat="1" applyFont="1" applyFill="1" applyBorder="1" applyAlignment="1" applyProtection="1">
      <alignment horizontal="center" vertical="center"/>
      <protection hidden="1"/>
    </xf>
    <xf numFmtId="0" fontId="37" fillId="10" borderId="52" xfId="0" applyFont="1" applyFill="1" applyBorder="1" applyAlignment="1" applyProtection="1">
      <alignment horizontal="center" vertical="center"/>
      <protection hidden="1"/>
    </xf>
    <xf numFmtId="0" fontId="37" fillId="10" borderId="51" xfId="0" applyFont="1" applyFill="1" applyBorder="1" applyAlignment="1" applyProtection="1">
      <alignment horizontal="center" vertical="center"/>
      <protection hidden="1"/>
    </xf>
    <xf numFmtId="0" fontId="41" fillId="4" borderId="0" xfId="0" applyFont="1" applyFill="1" applyBorder="1" applyAlignment="1">
      <alignment horizontal="center" vertical="center" wrapText="1"/>
    </xf>
    <xf numFmtId="0" fontId="37" fillId="5" borderId="0" xfId="0" applyFont="1" applyFill="1" applyBorder="1" applyAlignment="1" applyProtection="1">
      <alignment horizontal="center" vertical="center"/>
      <protection hidden="1"/>
    </xf>
    <xf numFmtId="0" fontId="8" fillId="5" borderId="0" xfId="0" applyFont="1" applyFill="1" applyBorder="1" applyAlignment="1" applyProtection="1">
      <alignment horizontal="center" vertical="center"/>
      <protection hidden="1"/>
    </xf>
    <xf numFmtId="0" fontId="38" fillId="9" borderId="74" xfId="0" applyFont="1" applyFill="1" applyBorder="1" applyAlignment="1" applyProtection="1">
      <alignment horizontal="center"/>
    </xf>
    <xf numFmtId="0" fontId="41" fillId="4" borderId="14" xfId="0" applyFont="1" applyFill="1" applyBorder="1" applyAlignment="1">
      <alignment horizontal="center" vertical="center"/>
    </xf>
    <xf numFmtId="0" fontId="41" fillId="4" borderId="16" xfId="0" applyFont="1" applyFill="1" applyBorder="1" applyAlignment="1">
      <alignment horizontal="center" vertical="center"/>
    </xf>
    <xf numFmtId="0" fontId="41" fillId="4" borderId="3" xfId="0" applyFont="1" applyFill="1" applyBorder="1" applyAlignment="1">
      <alignment horizontal="center" vertical="center"/>
    </xf>
    <xf numFmtId="0" fontId="41" fillId="4" borderId="5" xfId="0" applyFont="1" applyFill="1" applyBorder="1" applyAlignment="1">
      <alignment horizontal="center" vertical="center"/>
    </xf>
    <xf numFmtId="0" fontId="37" fillId="19" borderId="18" xfId="0" applyFont="1" applyFill="1" applyBorder="1" applyAlignment="1">
      <alignment horizontal="left" vertical="center"/>
    </xf>
    <xf numFmtId="0" fontId="37" fillId="19" borderId="19" xfId="0" applyFont="1" applyFill="1" applyBorder="1" applyAlignment="1">
      <alignment horizontal="left" vertical="center"/>
    </xf>
    <xf numFmtId="0" fontId="37" fillId="19" borderId="20" xfId="0" applyFont="1" applyFill="1" applyBorder="1" applyAlignment="1">
      <alignment horizontal="left" vertical="center"/>
    </xf>
    <xf numFmtId="0" fontId="37" fillId="19" borderId="54" xfId="0" applyFont="1" applyFill="1" applyBorder="1" applyAlignment="1">
      <alignment horizontal="left" vertical="center"/>
    </xf>
    <xf numFmtId="0" fontId="37" fillId="19" borderId="0" xfId="0" applyFont="1" applyFill="1" applyBorder="1" applyAlignment="1">
      <alignment horizontal="left" vertical="center"/>
    </xf>
    <xf numFmtId="0" fontId="37" fillId="19" borderId="55" xfId="0" applyFont="1" applyFill="1" applyBorder="1" applyAlignment="1">
      <alignment horizontal="left" vertical="center"/>
    </xf>
    <xf numFmtId="0" fontId="44" fillId="4" borderId="14" xfId="0" applyFont="1" applyFill="1" applyBorder="1" applyAlignment="1" applyProtection="1">
      <alignment horizontal="center" vertical="center" wrapText="1"/>
      <protection hidden="1"/>
    </xf>
    <xf numFmtId="0" fontId="44" fillId="4" borderId="15" xfId="0" applyFont="1" applyFill="1" applyBorder="1" applyAlignment="1" applyProtection="1">
      <alignment horizontal="center" vertical="center" wrapText="1"/>
      <protection hidden="1"/>
    </xf>
    <xf numFmtId="0" fontId="44" fillId="4" borderId="3" xfId="0" applyFont="1" applyFill="1" applyBorder="1" applyAlignment="1" applyProtection="1">
      <alignment horizontal="center" vertical="center" wrapText="1"/>
      <protection hidden="1"/>
    </xf>
    <xf numFmtId="0" fontId="44" fillId="4" borderId="4" xfId="0" applyFont="1" applyFill="1" applyBorder="1" applyAlignment="1" applyProtection="1">
      <alignment horizontal="center" vertical="center" wrapText="1"/>
      <protection hidden="1"/>
    </xf>
    <xf numFmtId="0" fontId="37" fillId="19" borderId="21" xfId="0" applyFont="1" applyFill="1" applyBorder="1" applyAlignment="1">
      <alignment horizontal="left" vertical="center"/>
    </xf>
    <xf numFmtId="0" fontId="37" fillId="19" borderId="22" xfId="0" applyFont="1" applyFill="1" applyBorder="1" applyAlignment="1">
      <alignment horizontal="left" vertical="center"/>
    </xf>
    <xf numFmtId="0" fontId="37" fillId="19" borderId="23" xfId="0" applyFont="1" applyFill="1" applyBorder="1" applyAlignment="1">
      <alignment horizontal="left" vertical="center"/>
    </xf>
    <xf numFmtId="0" fontId="8" fillId="2" borderId="14" xfId="0" applyFont="1" applyFill="1" applyBorder="1" applyAlignment="1" applyProtection="1">
      <alignment horizontal="center" vertical="center"/>
      <protection locked="0"/>
    </xf>
    <xf numFmtId="0" fontId="8" fillId="2" borderId="16"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11" fillId="0" borderId="0" xfId="0" applyFont="1" applyBorder="1" applyAlignment="1">
      <alignment horizontal="center" vertical="center"/>
    </xf>
    <xf numFmtId="0" fontId="8" fillId="2" borderId="15"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57" fillId="5" borderId="18" xfId="0" applyFont="1" applyFill="1" applyBorder="1" applyAlignment="1" applyProtection="1">
      <alignment horizontal="left" vertical="center" wrapText="1"/>
      <protection hidden="1"/>
    </xf>
    <xf numFmtId="0" fontId="57" fillId="5" borderId="19" xfId="0" applyFont="1" applyFill="1" applyBorder="1" applyAlignment="1" applyProtection="1">
      <alignment horizontal="left" vertical="center" wrapText="1"/>
      <protection hidden="1"/>
    </xf>
    <xf numFmtId="0" fontId="57" fillId="5" borderId="20" xfId="0" applyFont="1" applyFill="1" applyBorder="1" applyAlignment="1" applyProtection="1">
      <alignment horizontal="left" vertical="center" wrapText="1"/>
      <protection hidden="1"/>
    </xf>
    <xf numFmtId="0" fontId="57" fillId="5" borderId="54" xfId="0" applyFont="1" applyFill="1" applyBorder="1" applyAlignment="1" applyProtection="1">
      <alignment horizontal="left" vertical="center" wrapText="1"/>
      <protection hidden="1"/>
    </xf>
    <xf numFmtId="0" fontId="57" fillId="5" borderId="0" xfId="0" applyFont="1" applyFill="1" applyBorder="1" applyAlignment="1" applyProtection="1">
      <alignment horizontal="left" vertical="center" wrapText="1"/>
      <protection hidden="1"/>
    </xf>
    <xf numFmtId="0" fontId="57" fillId="5" borderId="55" xfId="0" applyFont="1" applyFill="1" applyBorder="1" applyAlignment="1" applyProtection="1">
      <alignment horizontal="left" vertical="center" wrapText="1"/>
      <protection hidden="1"/>
    </xf>
    <xf numFmtId="0" fontId="57" fillId="5" borderId="21" xfId="0" applyFont="1" applyFill="1" applyBorder="1" applyAlignment="1" applyProtection="1">
      <alignment horizontal="left" vertical="center" wrapText="1"/>
      <protection hidden="1"/>
    </xf>
    <xf numFmtId="0" fontId="57" fillId="5" borderId="22" xfId="0" applyFont="1" applyFill="1" applyBorder="1" applyAlignment="1" applyProtection="1">
      <alignment horizontal="left" vertical="center" wrapText="1"/>
      <protection hidden="1"/>
    </xf>
    <xf numFmtId="0" fontId="57" fillId="5" borderId="23" xfId="0" applyFont="1" applyFill="1" applyBorder="1" applyAlignment="1" applyProtection="1">
      <alignment horizontal="left" vertical="center" wrapText="1"/>
      <protection hidden="1"/>
    </xf>
    <xf numFmtId="2" fontId="9" fillId="5" borderId="14" xfId="0" applyNumberFormat="1" applyFont="1" applyFill="1" applyBorder="1" applyAlignment="1" applyProtection="1">
      <alignment horizontal="center" vertical="center"/>
      <protection hidden="1"/>
    </xf>
    <xf numFmtId="2" fontId="9" fillId="5" borderId="16" xfId="0" applyNumberFormat="1" applyFont="1" applyFill="1" applyBorder="1" applyAlignment="1" applyProtection="1">
      <alignment horizontal="center" vertical="center"/>
      <protection hidden="1"/>
    </xf>
    <xf numFmtId="2" fontId="9" fillId="5" borderId="3" xfId="0" applyNumberFormat="1" applyFont="1" applyFill="1" applyBorder="1" applyAlignment="1" applyProtection="1">
      <alignment horizontal="center" vertical="center"/>
      <protection hidden="1"/>
    </xf>
    <xf numFmtId="2" fontId="9" fillId="5" borderId="5" xfId="0" applyNumberFormat="1" applyFont="1" applyFill="1" applyBorder="1" applyAlignment="1" applyProtection="1">
      <alignment horizontal="center" vertical="center"/>
      <protection hidden="1"/>
    </xf>
    <xf numFmtId="0" fontId="41" fillId="3" borderId="18" xfId="0" applyFont="1" applyFill="1" applyBorder="1" applyAlignment="1">
      <alignment horizontal="center" vertical="center" wrapText="1"/>
    </xf>
    <xf numFmtId="0" fontId="41" fillId="3" borderId="20" xfId="0" applyFont="1" applyFill="1" applyBorder="1" applyAlignment="1">
      <alignment horizontal="center" vertical="center" wrapText="1"/>
    </xf>
    <xf numFmtId="0" fontId="41" fillId="3" borderId="21" xfId="0" applyFont="1" applyFill="1" applyBorder="1" applyAlignment="1">
      <alignment horizontal="center" vertical="center" wrapText="1"/>
    </xf>
    <xf numFmtId="0" fontId="41" fillId="3" borderId="23" xfId="0" applyFont="1" applyFill="1" applyBorder="1" applyAlignment="1">
      <alignment horizontal="center" vertical="center" wrapText="1"/>
    </xf>
    <xf numFmtId="0" fontId="8" fillId="6" borderId="14" xfId="0" applyFont="1" applyFill="1" applyBorder="1" applyAlignment="1" applyProtection="1">
      <alignment horizontal="center" vertical="center"/>
      <protection locked="0"/>
    </xf>
    <xf numFmtId="0" fontId="8" fillId="6" borderId="16" xfId="0" applyFont="1" applyFill="1" applyBorder="1" applyAlignment="1" applyProtection="1">
      <alignment horizontal="center" vertical="center"/>
      <protection locked="0"/>
    </xf>
    <xf numFmtId="0" fontId="8" fillId="6" borderId="3" xfId="0" applyFont="1" applyFill="1" applyBorder="1" applyAlignment="1" applyProtection="1">
      <alignment horizontal="center" vertical="center"/>
      <protection locked="0"/>
    </xf>
    <xf numFmtId="0" fontId="8" fillId="6" borderId="5" xfId="0" applyFont="1" applyFill="1" applyBorder="1" applyAlignment="1" applyProtection="1">
      <alignment horizontal="center" vertical="center"/>
      <protection locked="0"/>
    </xf>
    <xf numFmtId="0" fontId="37" fillId="10" borderId="50" xfId="0" applyFont="1" applyFill="1" applyBorder="1" applyAlignment="1" applyProtection="1">
      <alignment horizontal="center" vertical="center"/>
      <protection hidden="1"/>
    </xf>
    <xf numFmtId="164" fontId="37" fillId="10" borderId="46" xfId="0" applyNumberFormat="1" applyFont="1" applyFill="1" applyBorder="1" applyAlignment="1" applyProtection="1">
      <alignment horizontal="center" vertical="center"/>
      <protection hidden="1"/>
    </xf>
    <xf numFmtId="0" fontId="38" fillId="6" borderId="19" xfId="0" applyFont="1" applyFill="1" applyBorder="1" applyAlignment="1" applyProtection="1">
      <alignment horizontal="center" vertical="center"/>
      <protection locked="0"/>
    </xf>
    <xf numFmtId="0" fontId="38" fillId="6" borderId="20" xfId="0" applyFont="1" applyFill="1" applyBorder="1" applyAlignment="1" applyProtection="1">
      <alignment horizontal="center" vertical="center"/>
      <protection locked="0"/>
    </xf>
    <xf numFmtId="0" fontId="38" fillId="6" borderId="22" xfId="0" applyFont="1" applyFill="1" applyBorder="1" applyAlignment="1" applyProtection="1">
      <alignment horizontal="center" vertical="center"/>
      <protection locked="0"/>
    </xf>
    <xf numFmtId="0" fontId="38" fillId="6" borderId="23" xfId="0" applyFont="1" applyFill="1" applyBorder="1" applyAlignment="1" applyProtection="1">
      <alignment horizontal="center" vertical="center"/>
      <protection locked="0"/>
    </xf>
    <xf numFmtId="0" fontId="38" fillId="6" borderId="18" xfId="0" applyFont="1" applyFill="1" applyBorder="1" applyAlignment="1" applyProtection="1">
      <alignment horizontal="center" vertical="center"/>
      <protection locked="0"/>
    </xf>
    <xf numFmtId="0" fontId="38" fillId="6" borderId="21" xfId="0" applyFont="1" applyFill="1" applyBorder="1" applyAlignment="1" applyProtection="1">
      <alignment horizontal="center" vertical="center"/>
      <protection locked="0"/>
    </xf>
    <xf numFmtId="0" fontId="41" fillId="4" borderId="0" xfId="0" applyFont="1" applyFill="1" applyBorder="1" applyAlignment="1">
      <alignment horizontal="center" vertical="center"/>
    </xf>
    <xf numFmtId="0" fontId="44" fillId="4" borderId="14" xfId="0" applyFont="1" applyFill="1" applyBorder="1" applyAlignment="1">
      <alignment horizontal="center" vertical="center" wrapText="1"/>
    </xf>
    <xf numFmtId="0" fontId="44" fillId="4" borderId="16" xfId="0" applyFont="1" applyFill="1" applyBorder="1" applyAlignment="1">
      <alignment horizontal="center" vertical="center" wrapText="1"/>
    </xf>
    <xf numFmtId="0" fontId="44" fillId="4" borderId="1" xfId="0" applyFont="1" applyFill="1" applyBorder="1" applyAlignment="1">
      <alignment horizontal="center" vertical="center" wrapText="1"/>
    </xf>
    <xf numFmtId="0" fontId="44" fillId="4" borderId="29" xfId="0" applyFont="1" applyFill="1" applyBorder="1" applyAlignment="1">
      <alignment horizontal="center" vertical="center" wrapText="1"/>
    </xf>
    <xf numFmtId="0" fontId="44" fillId="4" borderId="3" xfId="0" applyFont="1" applyFill="1" applyBorder="1" applyAlignment="1">
      <alignment horizontal="center" vertical="center" wrapText="1"/>
    </xf>
    <xf numFmtId="0" fontId="44" fillId="4" borderId="5" xfId="0" applyFont="1" applyFill="1" applyBorder="1" applyAlignment="1">
      <alignment horizontal="center" vertical="center" wrapText="1"/>
    </xf>
    <xf numFmtId="0" fontId="44" fillId="4" borderId="18" xfId="0" applyFont="1" applyFill="1" applyBorder="1" applyAlignment="1" applyProtection="1">
      <alignment horizontal="center" vertical="center"/>
      <protection hidden="1"/>
    </xf>
    <xf numFmtId="0" fontId="44" fillId="4" borderId="19" xfId="0" applyFont="1" applyFill="1" applyBorder="1" applyAlignment="1" applyProtection="1">
      <alignment horizontal="center" vertical="center"/>
      <protection hidden="1"/>
    </xf>
    <xf numFmtId="0" fontId="44" fillId="4" borderId="20" xfId="0" applyFont="1" applyFill="1" applyBorder="1" applyAlignment="1" applyProtection="1">
      <alignment horizontal="center" vertical="center"/>
      <protection hidden="1"/>
    </xf>
    <xf numFmtId="0" fontId="44" fillId="4" borderId="54" xfId="0" applyFont="1" applyFill="1" applyBorder="1" applyAlignment="1" applyProtection="1">
      <alignment horizontal="center" vertical="center"/>
      <protection hidden="1"/>
    </xf>
    <xf numFmtId="0" fontId="44" fillId="4" borderId="0" xfId="0" applyFont="1" applyFill="1" applyBorder="1" applyAlignment="1" applyProtection="1">
      <alignment horizontal="center" vertical="center"/>
      <protection hidden="1"/>
    </xf>
    <xf numFmtId="0" fontId="44" fillId="4" borderId="55" xfId="0" applyFont="1" applyFill="1" applyBorder="1" applyAlignment="1" applyProtection="1">
      <alignment horizontal="center" vertical="center"/>
      <protection hidden="1"/>
    </xf>
    <xf numFmtId="0" fontId="44" fillId="4" borderId="21" xfId="0" applyFont="1" applyFill="1" applyBorder="1" applyAlignment="1" applyProtection="1">
      <alignment horizontal="center" vertical="center"/>
      <protection hidden="1"/>
    </xf>
    <xf numFmtId="0" fontId="44" fillId="4" borderId="22" xfId="0" applyFont="1" applyFill="1" applyBorder="1" applyAlignment="1" applyProtection="1">
      <alignment horizontal="center" vertical="center"/>
      <protection hidden="1"/>
    </xf>
    <xf numFmtId="0" fontId="44" fillId="4" borderId="23"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locked="0"/>
    </xf>
    <xf numFmtId="0" fontId="60" fillId="4" borderId="0" xfId="0" applyFont="1" applyFill="1" applyBorder="1" applyAlignment="1">
      <alignment horizontal="left" vertical="center" wrapText="1"/>
    </xf>
    <xf numFmtId="0" fontId="38" fillId="2" borderId="0" xfId="0" applyFont="1" applyFill="1" applyBorder="1" applyAlignment="1" applyProtection="1">
      <alignment horizontal="left" vertical="center"/>
      <protection locked="0"/>
    </xf>
    <xf numFmtId="0" fontId="7" fillId="42" borderId="15" xfId="0" applyFont="1" applyFill="1" applyBorder="1" applyAlignment="1" applyProtection="1">
      <alignment horizontal="left" vertical="center" wrapText="1"/>
      <protection locked="0" hidden="1"/>
    </xf>
    <xf numFmtId="0" fontId="7" fillId="42" borderId="16" xfId="0" applyFont="1" applyFill="1" applyBorder="1" applyAlignment="1" applyProtection="1">
      <alignment horizontal="left" vertical="center" wrapText="1"/>
      <protection locked="0" hidden="1"/>
    </xf>
    <xf numFmtId="0" fontId="7" fillId="42" borderId="2" xfId="0" applyFont="1" applyFill="1" applyBorder="1" applyAlignment="1" applyProtection="1">
      <alignment horizontal="left" vertical="center" wrapText="1"/>
      <protection locked="0" hidden="1"/>
    </xf>
    <xf numFmtId="0" fontId="7" fillId="42" borderId="29" xfId="0" applyFont="1" applyFill="1" applyBorder="1" applyAlignment="1" applyProtection="1">
      <alignment horizontal="left" vertical="center" wrapText="1"/>
      <protection locked="0" hidden="1"/>
    </xf>
    <xf numFmtId="0" fontId="7" fillId="42" borderId="4" xfId="0" applyFont="1" applyFill="1" applyBorder="1" applyAlignment="1" applyProtection="1">
      <alignment horizontal="left" vertical="center" wrapText="1"/>
      <protection locked="0" hidden="1"/>
    </xf>
    <xf numFmtId="0" fontId="7" fillId="42" borderId="5" xfId="0" applyFont="1" applyFill="1" applyBorder="1" applyAlignment="1" applyProtection="1">
      <alignment horizontal="left" vertical="center" wrapText="1"/>
      <protection locked="0" hidden="1"/>
    </xf>
    <xf numFmtId="0" fontId="44" fillId="4" borderId="15" xfId="0" applyFont="1" applyFill="1" applyBorder="1" applyAlignment="1">
      <alignment horizontal="center" vertical="center" wrapText="1"/>
    </xf>
    <xf numFmtId="0" fontId="44" fillId="4" borderId="2" xfId="0" applyFont="1" applyFill="1" applyBorder="1" applyAlignment="1">
      <alignment horizontal="center" vertical="center" wrapText="1"/>
    </xf>
    <xf numFmtId="0" fontId="44" fillId="4" borderId="4" xfId="0" applyFont="1" applyFill="1" applyBorder="1" applyAlignment="1">
      <alignment horizontal="center" vertical="center" wrapText="1"/>
    </xf>
    <xf numFmtId="0" fontId="44" fillId="4" borderId="41" xfId="0" applyFont="1" applyFill="1" applyBorder="1" applyAlignment="1">
      <alignment horizontal="center" vertical="center" wrapText="1"/>
    </xf>
    <xf numFmtId="0" fontId="44" fillId="4" borderId="36" xfId="0" applyFont="1" applyFill="1" applyBorder="1" applyAlignment="1">
      <alignment horizontal="center" vertical="center" wrapText="1"/>
    </xf>
    <xf numFmtId="0" fontId="7" fillId="42" borderId="36" xfId="0" applyFont="1" applyFill="1" applyBorder="1" applyAlignment="1" applyProtection="1">
      <alignment horizontal="left" vertical="center" wrapText="1"/>
      <protection locked="0" hidden="1"/>
    </xf>
    <xf numFmtId="0" fontId="7" fillId="42" borderId="42" xfId="0" applyFont="1" applyFill="1" applyBorder="1" applyAlignment="1" applyProtection="1">
      <alignment horizontal="left" vertical="center" wrapText="1"/>
      <protection locked="0" hidden="1"/>
    </xf>
    <xf numFmtId="0" fontId="7" fillId="42" borderId="15" xfId="0" applyFont="1" applyFill="1" applyBorder="1" applyAlignment="1" applyProtection="1">
      <alignment horizontal="center" vertical="center"/>
      <protection locked="0" hidden="1"/>
    </xf>
    <xf numFmtId="0" fontId="7" fillId="42" borderId="16" xfId="0" applyFont="1" applyFill="1" applyBorder="1" applyAlignment="1" applyProtection="1">
      <alignment horizontal="center" vertical="center"/>
      <protection locked="0" hidden="1"/>
    </xf>
    <xf numFmtId="0" fontId="7" fillId="42" borderId="4" xfId="0" applyFont="1" applyFill="1" applyBorder="1" applyAlignment="1" applyProtection="1">
      <alignment horizontal="center" vertical="center"/>
      <protection locked="0" hidden="1"/>
    </xf>
    <xf numFmtId="0" fontId="7" fillId="42" borderId="5" xfId="0" applyFont="1" applyFill="1" applyBorder="1" applyAlignment="1" applyProtection="1">
      <alignment horizontal="center" vertical="center"/>
      <protection locked="0" hidden="1"/>
    </xf>
    <xf numFmtId="0" fontId="38" fillId="0" borderId="0" xfId="0" applyFont="1" applyFill="1" applyAlignment="1">
      <alignment horizontal="center"/>
    </xf>
    <xf numFmtId="0" fontId="38" fillId="29" borderId="7" xfId="0" applyFont="1" applyFill="1" applyBorder="1" applyAlignment="1">
      <alignment horizontal="center"/>
    </xf>
    <xf numFmtId="0" fontId="38" fillId="29" borderId="25" xfId="0" applyFont="1" applyFill="1" applyBorder="1" applyAlignment="1">
      <alignment horizontal="center"/>
    </xf>
    <xf numFmtId="0" fontId="38" fillId="30" borderId="7" xfId="0" applyFont="1" applyFill="1" applyBorder="1" applyAlignment="1">
      <alignment horizontal="left" vertical="center"/>
    </xf>
    <xf numFmtId="0" fontId="38" fillId="30" borderId="44" xfId="0" applyFont="1" applyFill="1" applyBorder="1" applyAlignment="1">
      <alignment horizontal="left" vertical="center"/>
    </xf>
    <xf numFmtId="0" fontId="38" fillId="30" borderId="25" xfId="0" applyFont="1" applyFill="1" applyBorder="1" applyAlignment="1">
      <alignment horizontal="left" vertical="center"/>
    </xf>
    <xf numFmtId="0" fontId="7" fillId="2" borderId="0" xfId="0" applyFont="1" applyFill="1" applyBorder="1" applyAlignment="1" applyProtection="1">
      <alignment horizontal="left" vertical="center"/>
      <protection locked="0"/>
    </xf>
    <xf numFmtId="1" fontId="9" fillId="5" borderId="14" xfId="0" applyNumberFormat="1" applyFont="1" applyFill="1" applyBorder="1" applyAlignment="1" applyProtection="1">
      <alignment horizontal="center" vertical="center"/>
      <protection hidden="1"/>
    </xf>
    <xf numFmtId="1" fontId="9" fillId="5" borderId="16" xfId="0" applyNumberFormat="1" applyFont="1" applyFill="1" applyBorder="1" applyAlignment="1" applyProtection="1">
      <alignment horizontal="center" vertical="center"/>
      <protection hidden="1"/>
    </xf>
    <xf numFmtId="1" fontId="9" fillId="5" borderId="3" xfId="0" applyNumberFormat="1" applyFont="1" applyFill="1" applyBorder="1" applyAlignment="1" applyProtection="1">
      <alignment horizontal="center" vertical="center"/>
      <protection hidden="1"/>
    </xf>
    <xf numFmtId="1" fontId="9" fillId="5" borderId="5" xfId="0" applyNumberFormat="1" applyFont="1" applyFill="1" applyBorder="1" applyAlignment="1" applyProtection="1">
      <alignment horizontal="center" vertical="center"/>
      <protection hidden="1"/>
    </xf>
    <xf numFmtId="0" fontId="57" fillId="38" borderId="68" xfId="0" applyFont="1" applyFill="1" applyBorder="1" applyAlignment="1" applyProtection="1">
      <alignment horizontal="left" vertical="center" wrapText="1"/>
      <protection hidden="1"/>
    </xf>
    <xf numFmtId="0" fontId="57" fillId="38" borderId="69" xfId="0" applyFont="1" applyFill="1" applyBorder="1" applyAlignment="1" applyProtection="1">
      <alignment horizontal="left" vertical="center" wrapText="1"/>
      <protection hidden="1"/>
    </xf>
    <xf numFmtId="0" fontId="57" fillId="38" borderId="70" xfId="0" applyFont="1" applyFill="1" applyBorder="1" applyAlignment="1" applyProtection="1">
      <alignment horizontal="left" vertical="center" wrapText="1"/>
      <protection hidden="1"/>
    </xf>
    <xf numFmtId="0" fontId="57" fillId="38" borderId="71" xfId="0" applyFont="1" applyFill="1" applyBorder="1" applyAlignment="1" applyProtection="1">
      <alignment horizontal="left" vertical="center" wrapText="1"/>
      <protection hidden="1"/>
    </xf>
    <xf numFmtId="0" fontId="57" fillId="38" borderId="0" xfId="0" applyFont="1" applyFill="1" applyBorder="1" applyAlignment="1" applyProtection="1">
      <alignment horizontal="left" vertical="center" wrapText="1"/>
      <protection hidden="1"/>
    </xf>
    <xf numFmtId="0" fontId="57" fillId="38" borderId="72" xfId="0" applyFont="1" applyFill="1" applyBorder="1" applyAlignment="1" applyProtection="1">
      <alignment horizontal="left" vertical="center" wrapText="1"/>
      <protection hidden="1"/>
    </xf>
    <xf numFmtId="0" fontId="57" fillId="38" borderId="73" xfId="0" applyFont="1" applyFill="1" applyBorder="1" applyAlignment="1" applyProtection="1">
      <alignment horizontal="left" vertical="center" wrapText="1"/>
      <protection hidden="1"/>
    </xf>
    <xf numFmtId="0" fontId="57" fillId="38" borderId="74" xfId="0" applyFont="1" applyFill="1" applyBorder="1" applyAlignment="1" applyProtection="1">
      <alignment horizontal="left" vertical="center" wrapText="1"/>
      <protection hidden="1"/>
    </xf>
    <xf numFmtId="0" fontId="57" fillId="38" borderId="75" xfId="0" applyFont="1" applyFill="1" applyBorder="1" applyAlignment="1" applyProtection="1">
      <alignment horizontal="left" vertical="center" wrapText="1"/>
      <protection hidden="1"/>
    </xf>
    <xf numFmtId="0" fontId="44" fillId="6" borderId="76" xfId="0" applyFont="1" applyFill="1" applyBorder="1" applyAlignment="1">
      <alignment horizontal="center" vertical="center"/>
    </xf>
    <xf numFmtId="0" fontId="44" fillId="6" borderId="77" xfId="0" applyFont="1" applyFill="1" applyBorder="1" applyAlignment="1">
      <alignment horizontal="center" vertical="center"/>
    </xf>
    <xf numFmtId="0" fontId="44" fillId="6" borderId="78" xfId="0" applyFont="1" applyFill="1" applyBorder="1" applyAlignment="1">
      <alignment horizontal="center" vertical="center"/>
    </xf>
    <xf numFmtId="0" fontId="44" fillId="6" borderId="79" xfId="0" applyFont="1" applyFill="1" applyBorder="1" applyAlignment="1">
      <alignment horizontal="left" wrapText="1"/>
    </xf>
    <xf numFmtId="0" fontId="44" fillId="6" borderId="80" xfId="0" applyFont="1" applyFill="1" applyBorder="1" applyAlignment="1">
      <alignment horizontal="left"/>
    </xf>
    <xf numFmtId="0" fontId="44" fillId="6" borderId="81" xfId="0" applyFont="1" applyFill="1" applyBorder="1" applyAlignment="1">
      <alignment horizontal="left"/>
    </xf>
    <xf numFmtId="0" fontId="57" fillId="38" borderId="68" xfId="0" applyFont="1" applyFill="1" applyBorder="1" applyAlignment="1">
      <alignment horizontal="left" vertical="center" wrapText="1"/>
    </xf>
    <xf numFmtId="0" fontId="57" fillId="38" borderId="69" xfId="0" applyFont="1" applyFill="1" applyBorder="1" applyAlignment="1">
      <alignment horizontal="left" vertical="center" wrapText="1"/>
    </xf>
    <xf numFmtId="0" fontId="57" fillId="38" borderId="70" xfId="0" applyFont="1" applyFill="1" applyBorder="1" applyAlignment="1">
      <alignment horizontal="left" vertical="center" wrapText="1"/>
    </xf>
    <xf numFmtId="0" fontId="57" fillId="38" borderId="71" xfId="0" applyFont="1" applyFill="1" applyBorder="1" applyAlignment="1">
      <alignment horizontal="left" vertical="center" wrapText="1"/>
    </xf>
    <xf numFmtId="0" fontId="57" fillId="38" borderId="0" xfId="0" applyFont="1" applyFill="1" applyBorder="1" applyAlignment="1">
      <alignment horizontal="left" vertical="center" wrapText="1"/>
    </xf>
    <xf numFmtId="0" fontId="57" fillId="38" borderId="72" xfId="0" applyFont="1" applyFill="1" applyBorder="1" applyAlignment="1">
      <alignment horizontal="left" vertical="center" wrapText="1"/>
    </xf>
    <xf numFmtId="0" fontId="57" fillId="38" borderId="73" xfId="0" applyFont="1" applyFill="1" applyBorder="1" applyAlignment="1">
      <alignment horizontal="left" vertical="center" wrapText="1"/>
    </xf>
    <xf numFmtId="0" fontId="57" fillId="38" borderId="74" xfId="0" applyFont="1" applyFill="1" applyBorder="1" applyAlignment="1">
      <alignment horizontal="left" vertical="center" wrapText="1"/>
    </xf>
    <xf numFmtId="0" fontId="57" fillId="38" borderId="75" xfId="0" applyFont="1" applyFill="1" applyBorder="1" applyAlignment="1">
      <alignment horizontal="left" vertical="center" wrapText="1"/>
    </xf>
    <xf numFmtId="0" fontId="8" fillId="9" borderId="0" xfId="0" applyFont="1" applyFill="1" applyBorder="1" applyAlignment="1" applyProtection="1">
      <alignment horizontal="center" vertical="center"/>
      <protection hidden="1"/>
    </xf>
    <xf numFmtId="2" fontId="9" fillId="5" borderId="0" xfId="0" applyNumberFormat="1" applyFont="1" applyFill="1" applyBorder="1" applyAlignment="1">
      <alignment horizontal="center" vertical="center"/>
    </xf>
    <xf numFmtId="0" fontId="41" fillId="3" borderId="0" xfId="0" applyFont="1" applyFill="1" applyBorder="1" applyAlignment="1">
      <alignment horizontal="center" vertical="center" wrapText="1"/>
    </xf>
    <xf numFmtId="1" fontId="9" fillId="5" borderId="0" xfId="0" applyNumberFormat="1" applyFont="1" applyFill="1" applyBorder="1" applyAlignment="1">
      <alignment horizontal="center" vertical="center"/>
    </xf>
    <xf numFmtId="0" fontId="38" fillId="5" borderId="0" xfId="0" applyFont="1" applyFill="1" applyBorder="1" applyAlignment="1" applyProtection="1">
      <alignment horizontal="center" vertical="center"/>
      <protection hidden="1"/>
    </xf>
    <xf numFmtId="0" fontId="38" fillId="5" borderId="0" xfId="0" applyFont="1" applyFill="1" applyBorder="1" applyAlignment="1">
      <alignment horizontal="center" vertical="center"/>
    </xf>
    <xf numFmtId="0" fontId="37" fillId="19" borderId="18" xfId="0" applyFont="1" applyFill="1" applyBorder="1" applyAlignment="1">
      <alignment horizontal="center" vertical="center"/>
    </xf>
    <xf numFmtId="0" fontId="37" fillId="19" borderId="19" xfId="0" applyFont="1" applyFill="1" applyBorder="1" applyAlignment="1">
      <alignment horizontal="center" vertical="center"/>
    </xf>
    <xf numFmtId="0" fontId="37" fillId="19" borderId="20" xfId="0" applyFont="1" applyFill="1" applyBorder="1" applyAlignment="1">
      <alignment horizontal="center" vertical="center"/>
    </xf>
    <xf numFmtId="0" fontId="37" fillId="19" borderId="21" xfId="0" applyFont="1" applyFill="1" applyBorder="1" applyAlignment="1">
      <alignment horizontal="center" vertical="center"/>
    </xf>
    <xf numFmtId="0" fontId="37" fillId="19" borderId="22" xfId="0" applyFont="1" applyFill="1" applyBorder="1" applyAlignment="1">
      <alignment horizontal="center" vertical="center"/>
    </xf>
    <xf numFmtId="0" fontId="37" fillId="19" borderId="23" xfId="0" applyFont="1" applyFill="1" applyBorder="1" applyAlignment="1">
      <alignment horizontal="center" vertical="center"/>
    </xf>
    <xf numFmtId="0" fontId="38" fillId="9" borderId="0" xfId="0" applyFont="1" applyFill="1" applyBorder="1" applyAlignment="1">
      <alignment horizontal="center" vertical="center" wrapText="1"/>
    </xf>
    <xf numFmtId="164" fontId="41" fillId="4" borderId="46" xfId="0" applyNumberFormat="1" applyFont="1" applyFill="1" applyBorder="1" applyAlignment="1" applyProtection="1">
      <alignment horizontal="center" vertical="center"/>
      <protection hidden="1"/>
    </xf>
    <xf numFmtId="164" fontId="41" fillId="4" borderId="48" xfId="0" applyNumberFormat="1" applyFont="1" applyFill="1" applyBorder="1" applyAlignment="1" applyProtection="1">
      <alignment horizontal="center" vertical="center"/>
      <protection hidden="1"/>
    </xf>
    <xf numFmtId="164" fontId="41" fillId="4" borderId="49" xfId="0" applyNumberFormat="1" applyFont="1" applyFill="1" applyBorder="1" applyAlignment="1" applyProtection="1">
      <alignment horizontal="center" vertical="center"/>
      <protection hidden="1"/>
    </xf>
    <xf numFmtId="0" fontId="38" fillId="2" borderId="0" xfId="0" applyFont="1" applyFill="1" applyBorder="1" applyAlignment="1">
      <alignment horizontal="center" vertical="center"/>
    </xf>
    <xf numFmtId="0" fontId="52" fillId="2" borderId="2" xfId="0" applyFont="1" applyFill="1" applyBorder="1" applyAlignment="1" applyProtection="1">
      <alignment horizontal="left" vertical="center" wrapText="1"/>
      <protection locked="0"/>
    </xf>
    <xf numFmtId="2" fontId="9" fillId="36" borderId="0" xfId="0" applyNumberFormat="1" applyFont="1" applyFill="1" applyBorder="1" applyAlignment="1">
      <alignment horizontal="center" vertical="center"/>
    </xf>
    <xf numFmtId="2" fontId="9" fillId="6" borderId="0" xfId="0" applyNumberFormat="1" applyFont="1" applyFill="1" applyBorder="1" applyAlignment="1" applyProtection="1">
      <alignment horizontal="center" vertical="center"/>
      <protection locked="0"/>
    </xf>
    <xf numFmtId="2" fontId="9" fillId="36" borderId="0" xfId="0" applyNumberFormat="1" applyFont="1" applyFill="1" applyBorder="1" applyAlignment="1" applyProtection="1">
      <alignment horizontal="center" vertical="center"/>
      <protection locked="0"/>
    </xf>
    <xf numFmtId="0" fontId="38" fillId="36" borderId="0" xfId="0" applyFont="1" applyFill="1" applyBorder="1" applyAlignment="1">
      <alignment horizontal="center" vertical="center"/>
    </xf>
    <xf numFmtId="0" fontId="52" fillId="5" borderId="0" xfId="0" applyFont="1" applyFill="1" applyBorder="1" applyAlignment="1" applyProtection="1">
      <alignment horizontal="left" vertical="center" wrapText="1"/>
      <protection hidden="1"/>
    </xf>
    <xf numFmtId="0" fontId="38" fillId="36" borderId="0" xfId="0" applyFont="1" applyFill="1" applyBorder="1" applyAlignment="1" applyProtection="1">
      <alignment horizontal="center" vertical="center"/>
      <protection locked="0"/>
    </xf>
    <xf numFmtId="0" fontId="64" fillId="4" borderId="2" xfId="0" applyFont="1" applyFill="1" applyBorder="1" applyAlignment="1">
      <alignment horizontal="left" vertical="center" wrapText="1"/>
    </xf>
    <xf numFmtId="0" fontId="37" fillId="19" borderId="0" xfId="0" applyFont="1" applyFill="1" applyBorder="1" applyAlignment="1">
      <alignment horizontal="center" vertical="center"/>
    </xf>
    <xf numFmtId="0" fontId="53" fillId="23" borderId="2" xfId="0" applyFont="1" applyFill="1" applyBorder="1" applyAlignment="1" applyProtection="1">
      <alignment horizontal="center" vertical="center" wrapText="1"/>
      <protection hidden="1"/>
    </xf>
    <xf numFmtId="0" fontId="7" fillId="2" borderId="0" xfId="0" applyFont="1" applyFill="1" applyBorder="1" applyAlignment="1" applyProtection="1">
      <alignment horizontal="center" vertical="center"/>
      <protection locked="0"/>
    </xf>
    <xf numFmtId="0" fontId="52" fillId="5" borderId="0" xfId="0" applyFont="1" applyFill="1" applyBorder="1" applyAlignment="1">
      <alignment horizontal="center" vertical="center" wrapText="1"/>
    </xf>
    <xf numFmtId="0" fontId="37" fillId="19" borderId="54" xfId="0" applyFont="1" applyFill="1" applyBorder="1" applyAlignment="1">
      <alignment horizontal="center" vertical="center"/>
    </xf>
    <xf numFmtId="0" fontId="37" fillId="19" borderId="55" xfId="0" applyFont="1" applyFill="1" applyBorder="1" applyAlignment="1">
      <alignment horizontal="center" vertical="center"/>
    </xf>
    <xf numFmtId="0" fontId="7" fillId="2" borderId="2" xfId="0" applyFont="1" applyFill="1" applyBorder="1" applyAlignment="1" applyProtection="1">
      <alignment horizontal="center" vertical="center"/>
      <protection locked="0"/>
    </xf>
    <xf numFmtId="0" fontId="7" fillId="2" borderId="0" xfId="0" applyFont="1" applyFill="1" applyBorder="1" applyAlignment="1" applyProtection="1">
      <alignment horizontal="left" vertical="center" wrapText="1"/>
      <protection locked="0"/>
    </xf>
    <xf numFmtId="0" fontId="77" fillId="5" borderId="0" xfId="0" applyFont="1" applyFill="1" applyBorder="1" applyAlignment="1" applyProtection="1">
      <alignment horizontal="left" vertical="center" wrapText="1"/>
      <protection hidden="1"/>
    </xf>
    <xf numFmtId="0" fontId="61" fillId="8"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51" fillId="23" borderId="2" xfId="0" applyFont="1" applyFill="1" applyBorder="1" applyAlignment="1">
      <alignment horizontal="center" vertical="center" wrapText="1"/>
    </xf>
    <xf numFmtId="0" fontId="54" fillId="7" borderId="2" xfId="0" applyFont="1" applyFill="1" applyBorder="1" applyAlignment="1">
      <alignment horizontal="center" vertical="center" wrapText="1"/>
    </xf>
    <xf numFmtId="0" fontId="44" fillId="2" borderId="2" xfId="0" applyFont="1" applyFill="1" applyBorder="1" applyAlignment="1">
      <alignment horizontal="center" vertical="center" wrapText="1"/>
    </xf>
    <xf numFmtId="0" fontId="59" fillId="38" borderId="71" xfId="0" applyFont="1" applyFill="1" applyBorder="1" applyAlignment="1" applyProtection="1">
      <alignment horizontal="left" vertical="center" wrapText="1"/>
      <protection hidden="1"/>
    </xf>
    <xf numFmtId="0" fontId="59" fillId="38" borderId="0" xfId="0" applyFont="1" applyFill="1" applyBorder="1" applyAlignment="1" applyProtection="1">
      <alignment horizontal="left" vertical="center" wrapText="1"/>
      <protection hidden="1"/>
    </xf>
    <xf numFmtId="0" fontId="59" fillId="38" borderId="72" xfId="0" applyFont="1" applyFill="1" applyBorder="1" applyAlignment="1" applyProtection="1">
      <alignment horizontal="left" vertical="center" wrapText="1"/>
      <protection hidden="1"/>
    </xf>
    <xf numFmtId="0" fontId="59" fillId="38" borderId="73" xfId="0" applyFont="1" applyFill="1" applyBorder="1" applyAlignment="1" applyProtection="1">
      <alignment horizontal="left" vertical="center" wrapText="1"/>
      <protection hidden="1"/>
    </xf>
    <xf numFmtId="0" fontId="59" fillId="38" borderId="74" xfId="0" applyFont="1" applyFill="1" applyBorder="1" applyAlignment="1" applyProtection="1">
      <alignment horizontal="left" vertical="center" wrapText="1"/>
      <protection hidden="1"/>
    </xf>
    <xf numFmtId="0" fontId="59" fillId="38" borderId="75" xfId="0" applyFont="1" applyFill="1" applyBorder="1" applyAlignment="1" applyProtection="1">
      <alignment horizontal="left" vertical="center" wrapText="1"/>
      <protection hidden="1"/>
    </xf>
    <xf numFmtId="2" fontId="9" fillId="42" borderId="54" xfId="0" applyNumberFormat="1" applyFont="1" applyFill="1" applyBorder="1" applyAlignment="1" applyProtection="1">
      <alignment horizontal="center" vertical="center"/>
      <protection hidden="1"/>
    </xf>
    <xf numFmtId="2" fontId="9" fillId="42" borderId="0" xfId="0" applyNumberFormat="1" applyFont="1" applyFill="1" applyBorder="1" applyAlignment="1" applyProtection="1">
      <alignment horizontal="center" vertical="center"/>
      <protection hidden="1"/>
    </xf>
    <xf numFmtId="0" fontId="41" fillId="4" borderId="38" xfId="0" applyFont="1" applyFill="1" applyBorder="1" applyAlignment="1" applyProtection="1">
      <alignment horizontal="center" vertical="center"/>
      <protection locked="0"/>
    </xf>
    <xf numFmtId="0" fontId="41" fillId="4" borderId="39" xfId="0" applyFont="1" applyFill="1" applyBorder="1" applyAlignment="1" applyProtection="1">
      <alignment horizontal="center" vertical="center"/>
      <protection locked="0"/>
    </xf>
    <xf numFmtId="0" fontId="41" fillId="4" borderId="40" xfId="0" applyFont="1" applyFill="1" applyBorder="1" applyAlignment="1" applyProtection="1">
      <alignment horizontal="center" vertical="center"/>
      <protection locked="0"/>
    </xf>
    <xf numFmtId="0" fontId="54" fillId="7" borderId="0" xfId="0" applyFont="1" applyFill="1" applyBorder="1" applyAlignment="1">
      <alignment horizontal="center" vertical="center" wrapText="1"/>
    </xf>
    <xf numFmtId="0" fontId="44" fillId="38" borderId="6" xfId="0" applyFont="1" applyFill="1" applyBorder="1" applyAlignment="1">
      <alignment horizontal="center" vertical="center" wrapText="1"/>
    </xf>
    <xf numFmtId="0" fontId="44" fillId="38" borderId="31" xfId="0" applyFont="1" applyFill="1" applyBorder="1" applyAlignment="1">
      <alignment horizontal="center" vertical="center" wrapText="1"/>
    </xf>
    <xf numFmtId="0" fontId="44" fillId="38" borderId="8" xfId="0" applyFont="1" applyFill="1" applyBorder="1" applyAlignment="1">
      <alignment horizontal="center" vertical="center" wrapText="1"/>
    </xf>
    <xf numFmtId="0" fontId="44" fillId="38" borderId="27" xfId="0" applyFont="1" applyFill="1" applyBorder="1" applyAlignment="1">
      <alignment horizontal="center" vertical="center" wrapText="1"/>
    </xf>
    <xf numFmtId="0" fontId="57" fillId="5" borderId="0" xfId="0" applyFont="1" applyFill="1" applyBorder="1" applyAlignment="1">
      <alignment horizontal="center" vertical="center" wrapText="1"/>
    </xf>
    <xf numFmtId="0" fontId="57" fillId="38" borderId="68" xfId="0" applyFont="1" applyFill="1" applyBorder="1" applyAlignment="1" applyProtection="1">
      <alignment horizontal="center" vertical="center" wrapText="1"/>
      <protection hidden="1"/>
    </xf>
    <xf numFmtId="0" fontId="57" fillId="38" borderId="69" xfId="0" applyFont="1" applyFill="1" applyBorder="1" applyAlignment="1" applyProtection="1">
      <alignment horizontal="center" vertical="center" wrapText="1"/>
      <protection hidden="1"/>
    </xf>
    <xf numFmtId="0" fontId="57" fillId="38" borderId="70" xfId="0" applyFont="1" applyFill="1" applyBorder="1" applyAlignment="1" applyProtection="1">
      <alignment horizontal="center" vertical="center" wrapText="1"/>
      <protection hidden="1"/>
    </xf>
    <xf numFmtId="0" fontId="57" fillId="38" borderId="71" xfId="0" applyFont="1" applyFill="1" applyBorder="1" applyAlignment="1" applyProtection="1">
      <alignment horizontal="center" vertical="center" wrapText="1"/>
      <protection hidden="1"/>
    </xf>
    <xf numFmtId="0" fontId="57" fillId="38" borderId="0" xfId="0" applyFont="1" applyFill="1" applyBorder="1" applyAlignment="1" applyProtection="1">
      <alignment horizontal="center" vertical="center" wrapText="1"/>
      <protection hidden="1"/>
    </xf>
    <xf numFmtId="0" fontId="57" fillId="38" borderId="72" xfId="0" applyFont="1" applyFill="1" applyBorder="1" applyAlignment="1" applyProtection="1">
      <alignment horizontal="center" vertical="center" wrapText="1"/>
      <protection hidden="1"/>
    </xf>
    <xf numFmtId="0" fontId="57" fillId="38" borderId="73" xfId="0" applyFont="1" applyFill="1" applyBorder="1" applyAlignment="1" applyProtection="1">
      <alignment horizontal="center" vertical="center" wrapText="1"/>
      <protection hidden="1"/>
    </xf>
    <xf numFmtId="0" fontId="57" fillId="38" borderId="74" xfId="0" applyFont="1" applyFill="1" applyBorder="1" applyAlignment="1" applyProtection="1">
      <alignment horizontal="center" vertical="center" wrapText="1"/>
      <protection hidden="1"/>
    </xf>
    <xf numFmtId="0" fontId="57" fillId="38" borderId="75" xfId="0" applyFont="1" applyFill="1" applyBorder="1" applyAlignment="1" applyProtection="1">
      <alignment horizontal="center" vertical="center" wrapText="1"/>
      <protection hidden="1"/>
    </xf>
    <xf numFmtId="0" fontId="8" fillId="6" borderId="18" xfId="0" applyFont="1" applyFill="1" applyBorder="1" applyAlignment="1" applyProtection="1">
      <alignment horizontal="center" vertical="center"/>
      <protection locked="0"/>
    </xf>
    <xf numFmtId="0" fontId="8" fillId="6" borderId="19" xfId="0" applyFont="1" applyFill="1" applyBorder="1" applyAlignment="1" applyProtection="1">
      <alignment horizontal="center" vertical="center"/>
      <protection locked="0"/>
    </xf>
    <xf numFmtId="0" fontId="8" fillId="6" borderId="20" xfId="0" applyFont="1" applyFill="1" applyBorder="1" applyAlignment="1" applyProtection="1">
      <alignment horizontal="center" vertical="center"/>
      <protection locked="0"/>
    </xf>
    <xf numFmtId="0" fontId="8" fillId="6" borderId="21" xfId="0" applyFont="1" applyFill="1" applyBorder="1" applyAlignment="1" applyProtection="1">
      <alignment horizontal="center" vertical="center"/>
      <protection locked="0"/>
    </xf>
    <xf numFmtId="0" fontId="8" fillId="6" borderId="22" xfId="0" applyFont="1" applyFill="1" applyBorder="1" applyAlignment="1" applyProtection="1">
      <alignment horizontal="center" vertical="center"/>
      <protection locked="0"/>
    </xf>
    <xf numFmtId="0" fontId="8" fillId="6" borderId="23" xfId="0" applyFont="1" applyFill="1" applyBorder="1" applyAlignment="1" applyProtection="1">
      <alignment horizontal="center" vertical="center"/>
      <protection locked="0"/>
    </xf>
    <xf numFmtId="0" fontId="52" fillId="5" borderId="2" xfId="0" applyFont="1" applyFill="1" applyBorder="1" applyAlignment="1">
      <alignment horizontal="left" vertical="center"/>
    </xf>
    <xf numFmtId="0" fontId="49" fillId="8" borderId="0" xfId="0" applyFont="1" applyFill="1" applyAlignment="1">
      <alignment horizontal="center"/>
    </xf>
    <xf numFmtId="0" fontId="49" fillId="8" borderId="55" xfId="0" applyFont="1" applyFill="1" applyBorder="1" applyAlignment="1">
      <alignment horizontal="center"/>
    </xf>
    <xf numFmtId="164" fontId="4" fillId="9" borderId="2" xfId="0" applyNumberFormat="1" applyFont="1" applyFill="1" applyBorder="1" applyAlignment="1">
      <alignment horizontal="center" vertical="center"/>
    </xf>
    <xf numFmtId="0" fontId="4" fillId="9" borderId="2" xfId="0" applyFont="1" applyFill="1" applyBorder="1" applyAlignment="1">
      <alignment horizontal="center" vertical="center"/>
    </xf>
    <xf numFmtId="0" fontId="11" fillId="0" borderId="24" xfId="0" applyFont="1" applyBorder="1" applyAlignment="1">
      <alignment horizontal="center" vertical="center"/>
    </xf>
    <xf numFmtId="0" fontId="5" fillId="4" borderId="2" xfId="0" applyFont="1" applyFill="1" applyBorder="1" applyAlignment="1">
      <alignment horizontal="center" vertical="center"/>
    </xf>
    <xf numFmtId="0" fontId="11" fillId="0" borderId="43" xfId="0" applyFont="1" applyBorder="1" applyAlignment="1">
      <alignment horizontal="center" vertical="center"/>
    </xf>
    <xf numFmtId="164" fontId="4" fillId="10" borderId="18" xfId="0" applyNumberFormat="1" applyFont="1" applyFill="1" applyBorder="1" applyAlignment="1">
      <alignment horizontal="center" vertical="center"/>
    </xf>
    <xf numFmtId="0" fontId="4" fillId="10" borderId="21" xfId="0" applyFont="1" applyFill="1" applyBorder="1" applyAlignment="1">
      <alignment horizontal="center" vertic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3" xfId="0" applyBorder="1" applyAlignment="1">
      <alignment horizontal="left"/>
    </xf>
    <xf numFmtId="0" fontId="0" fillId="2" borderId="2" xfId="0" applyFill="1" applyBorder="1" applyAlignment="1">
      <alignment horizontal="center"/>
    </xf>
    <xf numFmtId="0" fontId="44" fillId="4" borderId="7" xfId="0" applyFont="1" applyFill="1" applyBorder="1" applyAlignment="1">
      <alignment horizontal="center" vertical="center" wrapText="1"/>
    </xf>
    <xf numFmtId="0" fontId="7" fillId="9" borderId="1" xfId="0" applyFont="1" applyFill="1" applyBorder="1" applyAlignment="1">
      <alignment horizontal="center" vertical="center"/>
    </xf>
    <xf numFmtId="0" fontId="7" fillId="9" borderId="2" xfId="0" applyFont="1" applyFill="1" applyBorder="1" applyAlignment="1">
      <alignment horizontal="center" vertical="center"/>
    </xf>
    <xf numFmtId="0" fontId="7" fillId="9" borderId="29" xfId="0" applyFont="1" applyFill="1" applyBorder="1" applyAlignment="1">
      <alignment horizontal="center" vertical="center"/>
    </xf>
    <xf numFmtId="0" fontId="44" fillId="4" borderId="34" xfId="0" applyFont="1" applyFill="1" applyBorder="1" applyAlignment="1">
      <alignment horizontal="center" vertical="center" wrapText="1"/>
    </xf>
    <xf numFmtId="0" fontId="44" fillId="4" borderId="47" xfId="0" applyFont="1" applyFill="1" applyBorder="1" applyAlignment="1">
      <alignment horizontal="center" vertical="center" wrapText="1"/>
    </xf>
    <xf numFmtId="0" fontId="7" fillId="5" borderId="34" xfId="0" applyFont="1" applyFill="1" applyBorder="1" applyAlignment="1">
      <alignment horizontal="center" vertical="center"/>
    </xf>
    <xf numFmtId="0" fontId="7" fillId="5" borderId="44" xfId="0" applyFont="1" applyFill="1" applyBorder="1" applyAlignment="1">
      <alignment horizontal="center" vertical="center"/>
    </xf>
    <xf numFmtId="0" fontId="7" fillId="5" borderId="47" xfId="0" applyFont="1" applyFill="1" applyBorder="1" applyAlignment="1">
      <alignment horizontal="center" vertical="center"/>
    </xf>
    <xf numFmtId="0" fontId="50" fillId="23" borderId="0" xfId="0" applyFont="1" applyFill="1" applyBorder="1" applyAlignment="1">
      <alignment horizontal="center"/>
    </xf>
    <xf numFmtId="0" fontId="7" fillId="2" borderId="1" xfId="0" applyFont="1" applyFill="1" applyBorder="1" applyAlignment="1">
      <alignment horizontal="center" vertical="center"/>
    </xf>
    <xf numFmtId="0" fontId="7" fillId="2" borderId="29"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2"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4" xfId="0" applyFont="1" applyFill="1" applyBorder="1" applyAlignment="1">
      <alignment horizontal="left" vertical="center"/>
    </xf>
    <xf numFmtId="0" fontId="7" fillId="5" borderId="44" xfId="0" applyFont="1" applyFill="1" applyBorder="1" applyAlignment="1">
      <alignment horizontal="left" vertical="center"/>
    </xf>
    <xf numFmtId="0" fontId="7" fillId="5" borderId="47" xfId="0" applyFont="1" applyFill="1" applyBorder="1" applyAlignment="1">
      <alignment horizontal="left" vertical="center"/>
    </xf>
    <xf numFmtId="0" fontId="38" fillId="4" borderId="2" xfId="0" applyFont="1" applyFill="1" applyBorder="1" applyAlignment="1">
      <alignment horizontal="center"/>
    </xf>
    <xf numFmtId="0" fontId="38" fillId="0" borderId="56" xfId="0" applyFont="1" applyBorder="1" applyAlignment="1">
      <alignment horizontal="center"/>
    </xf>
    <xf numFmtId="0" fontId="38" fillId="0" borderId="57" xfId="0" applyFont="1" applyBorder="1" applyAlignment="1">
      <alignment horizontal="center"/>
    </xf>
    <xf numFmtId="0" fontId="38" fillId="0" borderId="58" xfId="0" applyFont="1" applyBorder="1" applyAlignment="1">
      <alignment horizontal="center"/>
    </xf>
    <xf numFmtId="0" fontId="0" fillId="0" borderId="0" xfId="0" applyAlignment="1">
      <alignment horizontal="center"/>
    </xf>
    <xf numFmtId="0" fontId="0" fillId="42" borderId="56" xfId="0" applyFill="1" applyBorder="1" applyAlignment="1">
      <alignment horizontal="center"/>
    </xf>
    <xf numFmtId="0" fontId="0" fillId="42" borderId="57" xfId="0" applyFill="1" applyBorder="1" applyAlignment="1">
      <alignment horizontal="center"/>
    </xf>
    <xf numFmtId="0" fontId="0" fillId="38" borderId="57" xfId="0" applyFill="1" applyBorder="1" applyAlignment="1">
      <alignment horizontal="center"/>
    </xf>
    <xf numFmtId="0" fontId="0" fillId="38" borderId="58" xfId="0" applyFill="1" applyBorder="1" applyAlignment="1">
      <alignment horizontal="center"/>
    </xf>
    <xf numFmtId="0" fontId="38" fillId="19" borderId="56" xfId="0" applyFont="1" applyFill="1" applyBorder="1" applyAlignment="1">
      <alignment horizontal="center"/>
    </xf>
    <xf numFmtId="0" fontId="38" fillId="19" borderId="57" xfId="0" applyFont="1" applyFill="1" applyBorder="1" applyAlignment="1">
      <alignment horizontal="center"/>
    </xf>
    <xf numFmtId="0" fontId="38" fillId="19" borderId="58" xfId="0" applyFont="1" applyFill="1" applyBorder="1" applyAlignment="1">
      <alignment horizontal="center"/>
    </xf>
    <xf numFmtId="0" fontId="0" fillId="29" borderId="57" xfId="0" applyFill="1" applyBorder="1" applyAlignment="1">
      <alignment horizontal="center"/>
    </xf>
    <xf numFmtId="0" fontId="0" fillId="29" borderId="58" xfId="0" applyFill="1" applyBorder="1" applyAlignment="1">
      <alignment horizontal="center"/>
    </xf>
    <xf numFmtId="0" fontId="0" fillId="31" borderId="0" xfId="0" applyFill="1" applyBorder="1" applyAlignment="1">
      <alignment horizontal="center"/>
    </xf>
    <xf numFmtId="0" fontId="38" fillId="10" borderId="2" xfId="0" applyFont="1" applyFill="1" applyBorder="1" applyAlignment="1">
      <alignment horizontal="center"/>
    </xf>
    <xf numFmtId="0" fontId="0" fillId="10" borderId="2" xfId="0" applyFill="1" applyBorder="1" applyAlignment="1">
      <alignment horizontal="center"/>
    </xf>
    <xf numFmtId="0" fontId="38" fillId="0" borderId="0" xfId="0" applyFont="1" applyAlignment="1">
      <alignment horizontal="center"/>
    </xf>
    <xf numFmtId="0" fontId="38" fillId="12" borderId="0" xfId="0" applyFont="1" applyFill="1" applyAlignment="1">
      <alignment horizontal="center"/>
    </xf>
    <xf numFmtId="0" fontId="0" fillId="12" borderId="0" xfId="0" applyFill="1" applyAlignment="1">
      <alignment horizontal="center"/>
    </xf>
    <xf numFmtId="0" fontId="38" fillId="13" borderId="56" xfId="0" applyFont="1" applyFill="1" applyBorder="1" applyAlignment="1">
      <alignment horizontal="center"/>
    </xf>
    <xf numFmtId="0" fontId="38" fillId="13" borderId="58" xfId="0" applyFont="1" applyFill="1" applyBorder="1" applyAlignment="1">
      <alignment horizontal="center"/>
    </xf>
    <xf numFmtId="0" fontId="0" fillId="0" borderId="0" xfId="0" applyBorder="1" applyAlignment="1">
      <alignment horizontal="center" vertical="center"/>
    </xf>
    <xf numFmtId="0" fontId="44" fillId="10" borderId="56" xfId="0" applyFont="1" applyFill="1" applyBorder="1" applyAlignment="1">
      <alignment horizontal="center"/>
    </xf>
    <xf numFmtId="0" fontId="44" fillId="10" borderId="57" xfId="0" applyFont="1" applyFill="1" applyBorder="1" applyAlignment="1">
      <alignment horizontal="center"/>
    </xf>
    <xf numFmtId="0" fontId="44" fillId="10" borderId="58" xfId="0" applyFont="1" applyFill="1" applyBorder="1" applyAlignment="1">
      <alignment horizontal="center"/>
    </xf>
    <xf numFmtId="0" fontId="38" fillId="0" borderId="0" xfId="0" applyFont="1" applyFill="1" applyBorder="1" applyAlignment="1">
      <alignment horizontal="center"/>
    </xf>
    <xf numFmtId="0" fontId="0" fillId="0" borderId="0" xfId="0" applyBorder="1" applyAlignment="1">
      <alignment horizontal="center"/>
    </xf>
    <xf numFmtId="0" fontId="90" fillId="0" borderId="0" xfId="0" applyFont="1" applyBorder="1" applyAlignment="1">
      <alignment horizontal="left" vertical="center" wrapText="1"/>
    </xf>
    <xf numFmtId="0" fontId="89" fillId="8" borderId="0" xfId="0" applyFont="1" applyFill="1" applyBorder="1" applyAlignment="1">
      <alignment horizontal="center" vertical="center"/>
    </xf>
    <xf numFmtId="0" fontId="89" fillId="8" borderId="0" xfId="0" applyFont="1" applyFill="1" applyBorder="1" applyAlignment="1">
      <alignment horizontal="center" vertical="center" wrapText="1"/>
    </xf>
    <xf numFmtId="0" fontId="49" fillId="8" borderId="0" xfId="0" applyFont="1" applyFill="1" applyBorder="1" applyAlignment="1">
      <alignment horizontal="center"/>
    </xf>
    <xf numFmtId="0" fontId="87" fillId="0" borderId="0" xfId="0" applyFont="1" applyBorder="1" applyAlignment="1">
      <alignment horizontal="center"/>
    </xf>
    <xf numFmtId="164" fontId="88" fillId="0" borderId="0" xfId="0" applyNumberFormat="1" applyFont="1" applyBorder="1" applyAlignment="1">
      <alignment horizontal="center" vertical="center"/>
    </xf>
    <xf numFmtId="0" fontId="61" fillId="8" borderId="0" xfId="0" applyFont="1" applyFill="1" applyBorder="1" applyAlignment="1">
      <alignment horizontal="center" vertical="center"/>
    </xf>
    <xf numFmtId="0" fontId="88" fillId="0" borderId="0" xfId="0" applyFont="1" applyBorder="1" applyAlignment="1">
      <alignment horizontal="center" vertical="center"/>
    </xf>
    <xf numFmtId="0" fontId="87" fillId="0" borderId="43" xfId="0" applyFont="1" applyBorder="1" applyAlignment="1">
      <alignment horizontal="center"/>
    </xf>
    <xf numFmtId="0" fontId="87" fillId="0" borderId="8" xfId="0" applyFont="1" applyBorder="1" applyAlignment="1">
      <alignment horizontal="center"/>
    </xf>
    <xf numFmtId="0" fontId="87" fillId="0" borderId="9" xfId="0" applyFont="1" applyBorder="1" applyAlignment="1">
      <alignment horizontal="center"/>
    </xf>
    <xf numFmtId="0" fontId="87" fillId="0" borderId="60" xfId="0" applyFont="1" applyBorder="1" applyAlignment="1">
      <alignment horizontal="center"/>
    </xf>
    <xf numFmtId="0" fontId="87" fillId="0" borderId="27" xfId="0" applyFont="1" applyBorder="1" applyAlignment="1">
      <alignment horizontal="center"/>
    </xf>
    <xf numFmtId="0" fontId="46" fillId="8" borderId="0" xfId="0" applyFont="1" applyFill="1" applyBorder="1" applyAlignment="1">
      <alignment horizontal="center"/>
    </xf>
    <xf numFmtId="0" fontId="114" fillId="0" borderId="0" xfId="6" applyFont="1" applyBorder="1" applyAlignment="1" applyProtection="1">
      <alignment horizontal="center"/>
      <protection hidden="1"/>
    </xf>
    <xf numFmtId="0" fontId="102" fillId="0" borderId="0" xfId="6" applyFont="1" applyBorder="1" applyAlignment="1" applyProtection="1">
      <alignment horizontal="left" vertical="center"/>
      <protection hidden="1"/>
    </xf>
    <xf numFmtId="3" fontId="105" fillId="0" borderId="0" xfId="6" applyNumberFormat="1" applyFont="1" applyBorder="1" applyAlignment="1" applyProtection="1">
      <alignment horizontal="right" vertical="center"/>
      <protection hidden="1"/>
    </xf>
    <xf numFmtId="3" fontId="105" fillId="0" borderId="9" xfId="6" applyNumberFormat="1" applyFont="1" applyBorder="1" applyAlignment="1" applyProtection="1">
      <alignment horizontal="right" vertical="center"/>
      <protection hidden="1"/>
    </xf>
    <xf numFmtId="0" fontId="106" fillId="8" borderId="56" xfId="6" applyFont="1" applyFill="1" applyBorder="1" applyAlignment="1" applyProtection="1">
      <alignment horizontal="center" vertical="center"/>
      <protection hidden="1"/>
    </xf>
    <xf numFmtId="0" fontId="106" fillId="8" borderId="57" xfId="6" applyFont="1" applyFill="1" applyBorder="1" applyAlignment="1" applyProtection="1">
      <alignment horizontal="center" vertical="center"/>
      <protection hidden="1"/>
    </xf>
    <xf numFmtId="0" fontId="106" fillId="8" borderId="58" xfId="6" applyFont="1" applyFill="1" applyBorder="1" applyAlignment="1" applyProtection="1">
      <alignment horizontal="center" vertical="center"/>
      <protection hidden="1"/>
    </xf>
    <xf numFmtId="0" fontId="105" fillId="0" borderId="59" xfId="6" applyNumberFormat="1" applyFont="1" applyFill="1" applyBorder="1" applyAlignment="1" applyProtection="1">
      <alignment horizontal="center" vertical="center"/>
      <protection hidden="1"/>
    </xf>
    <xf numFmtId="0" fontId="102" fillId="0" borderId="18" xfId="6" applyNumberFormat="1" applyFont="1" applyFill="1" applyBorder="1" applyAlignment="1" applyProtection="1">
      <alignment horizontal="left" vertical="center" shrinkToFit="1"/>
      <protection hidden="1"/>
    </xf>
    <xf numFmtId="0" fontId="102" fillId="0" borderId="19" xfId="6" applyNumberFormat="1" applyFont="1" applyFill="1" applyBorder="1" applyAlignment="1" applyProtection="1">
      <alignment horizontal="left" vertical="center" shrinkToFit="1"/>
      <protection hidden="1"/>
    </xf>
    <xf numFmtId="0" fontId="102" fillId="0" borderId="20" xfId="6" applyNumberFormat="1" applyFont="1" applyFill="1" applyBorder="1" applyAlignment="1" applyProtection="1">
      <alignment horizontal="left" vertical="center" shrinkToFit="1"/>
      <protection hidden="1"/>
    </xf>
    <xf numFmtId="0" fontId="102" fillId="0" borderId="54" xfId="6" applyNumberFormat="1" applyFont="1" applyFill="1" applyBorder="1" applyAlignment="1" applyProtection="1">
      <alignment horizontal="left" vertical="center" shrinkToFit="1"/>
      <protection hidden="1"/>
    </xf>
    <xf numFmtId="0" fontId="102" fillId="0" borderId="0" xfId="6" applyNumberFormat="1" applyFont="1" applyFill="1" applyBorder="1" applyAlignment="1" applyProtection="1">
      <alignment horizontal="left" vertical="center" shrinkToFit="1"/>
      <protection hidden="1"/>
    </xf>
    <xf numFmtId="0" fontId="102" fillId="0" borderId="55" xfId="6" applyNumberFormat="1" applyFont="1" applyFill="1" applyBorder="1" applyAlignment="1" applyProtection="1">
      <alignment horizontal="left" vertical="center" shrinkToFit="1"/>
      <protection hidden="1"/>
    </xf>
    <xf numFmtId="0" fontId="102" fillId="0" borderId="21" xfId="6" applyNumberFormat="1" applyFont="1" applyFill="1" applyBorder="1" applyAlignment="1" applyProtection="1">
      <alignment horizontal="left" vertical="center" shrinkToFit="1"/>
      <protection hidden="1"/>
    </xf>
    <xf numFmtId="0" fontId="102" fillId="0" borderId="22" xfId="6" applyNumberFormat="1" applyFont="1" applyFill="1" applyBorder="1" applyAlignment="1" applyProtection="1">
      <alignment horizontal="left" vertical="center" shrinkToFit="1"/>
      <protection hidden="1"/>
    </xf>
    <xf numFmtId="0" fontId="102" fillId="0" borderId="23" xfId="6" applyNumberFormat="1" applyFont="1" applyFill="1" applyBorder="1" applyAlignment="1" applyProtection="1">
      <alignment horizontal="left" vertical="center" shrinkToFit="1"/>
      <protection hidden="1"/>
    </xf>
    <xf numFmtId="0" fontId="102" fillId="0" borderId="0" xfId="6" applyFont="1" applyBorder="1" applyAlignment="1" applyProtection="1">
      <protection hidden="1"/>
    </xf>
    <xf numFmtId="0" fontId="105" fillId="0" borderId="0" xfId="6" applyFont="1" applyFill="1" applyBorder="1" applyAlignment="1" applyProtection="1">
      <alignment horizontal="center" wrapText="1"/>
      <protection hidden="1"/>
    </xf>
    <xf numFmtId="0" fontId="105" fillId="0" borderId="9" xfId="6" applyFont="1" applyFill="1" applyBorder="1" applyAlignment="1" applyProtection="1">
      <alignment horizontal="center" wrapText="1"/>
      <protection hidden="1"/>
    </xf>
    <xf numFmtId="0" fontId="114" fillId="0" borderId="19" xfId="6" applyFont="1" applyBorder="1" applyAlignment="1" applyProtection="1">
      <alignment horizontal="center"/>
      <protection hidden="1"/>
    </xf>
    <xf numFmtId="0" fontId="115" fillId="0" borderId="19" xfId="6" applyFont="1" applyBorder="1" applyAlignment="1" applyProtection="1">
      <alignment horizontal="left"/>
      <protection hidden="1"/>
    </xf>
    <xf numFmtId="0" fontId="115" fillId="0" borderId="0" xfId="6" applyFont="1" applyBorder="1" applyAlignment="1" applyProtection="1">
      <alignment horizontal="left"/>
      <protection hidden="1"/>
    </xf>
    <xf numFmtId="0" fontId="102" fillId="0" borderId="19" xfId="6" applyFont="1" applyBorder="1" applyAlignment="1" applyProtection="1">
      <alignment horizontal="left"/>
      <protection hidden="1"/>
    </xf>
    <xf numFmtId="0" fontId="102" fillId="0" borderId="9" xfId="6" applyFont="1" applyBorder="1" applyAlignment="1" applyProtection="1">
      <alignment horizontal="left"/>
      <protection hidden="1"/>
    </xf>
    <xf numFmtId="0" fontId="98" fillId="8" borderId="18" xfId="6" applyFont="1" applyFill="1" applyBorder="1" applyAlignment="1" applyProtection="1">
      <alignment horizontal="center" vertical="center"/>
      <protection hidden="1"/>
    </xf>
    <xf numFmtId="0" fontId="98" fillId="8" borderId="19" xfId="6" applyFont="1" applyFill="1" applyBorder="1" applyAlignment="1" applyProtection="1">
      <alignment horizontal="center" vertical="center"/>
      <protection hidden="1"/>
    </xf>
    <xf numFmtId="0" fontId="98" fillId="8" borderId="20" xfId="6" applyFont="1" applyFill="1" applyBorder="1" applyAlignment="1" applyProtection="1">
      <alignment horizontal="center" vertical="center"/>
      <protection hidden="1"/>
    </xf>
    <xf numFmtId="0" fontId="98" fillId="8" borderId="21" xfId="6" applyFont="1" applyFill="1" applyBorder="1" applyAlignment="1" applyProtection="1">
      <alignment horizontal="center" vertical="center"/>
      <protection hidden="1"/>
    </xf>
    <xf numFmtId="0" fontId="98" fillId="8" borderId="22" xfId="6" applyFont="1" applyFill="1" applyBorder="1" applyAlignment="1" applyProtection="1">
      <alignment horizontal="center" vertical="center"/>
      <protection hidden="1"/>
    </xf>
    <xf numFmtId="0" fontId="98" fillId="8" borderId="23" xfId="6" applyFont="1" applyFill="1" applyBorder="1" applyAlignment="1" applyProtection="1">
      <alignment horizontal="center" vertical="center"/>
      <protection hidden="1"/>
    </xf>
    <xf numFmtId="0" fontId="106" fillId="8" borderId="21" xfId="6" applyFont="1" applyFill="1" applyBorder="1" applyAlignment="1" applyProtection="1">
      <alignment horizontal="center" vertical="center"/>
      <protection hidden="1"/>
    </xf>
    <xf numFmtId="0" fontId="106" fillId="8" borderId="22" xfId="6" applyFont="1" applyFill="1" applyBorder="1" applyAlignment="1" applyProtection="1">
      <alignment horizontal="center" vertical="center"/>
      <protection hidden="1"/>
    </xf>
    <xf numFmtId="0" fontId="106" fillId="8" borderId="23" xfId="6" applyFont="1" applyFill="1" applyBorder="1" applyAlignment="1" applyProtection="1">
      <alignment horizontal="center" vertical="center"/>
      <protection hidden="1"/>
    </xf>
    <xf numFmtId="0" fontId="102" fillId="0" borderId="0" xfId="6" applyFont="1" applyBorder="1" applyAlignment="1" applyProtection="1">
      <alignment horizontal="left"/>
      <protection hidden="1"/>
    </xf>
    <xf numFmtId="165" fontId="105" fillId="0" borderId="18" xfId="6" applyNumberFormat="1" applyFont="1" applyFill="1" applyBorder="1" applyAlignment="1" applyProtection="1">
      <alignment horizontal="center" vertical="center" shrinkToFit="1"/>
      <protection hidden="1"/>
    </xf>
    <xf numFmtId="165" fontId="105" fillId="0" borderId="19" xfId="6" applyNumberFormat="1" applyFont="1" applyFill="1" applyBorder="1" applyAlignment="1" applyProtection="1">
      <alignment horizontal="center" vertical="center" shrinkToFit="1"/>
      <protection hidden="1"/>
    </xf>
    <xf numFmtId="165" fontId="105" fillId="0" borderId="20" xfId="6" applyNumberFormat="1" applyFont="1" applyFill="1" applyBorder="1" applyAlignment="1" applyProtection="1">
      <alignment horizontal="center" vertical="center" shrinkToFit="1"/>
      <protection hidden="1"/>
    </xf>
    <xf numFmtId="165" fontId="105" fillId="0" borderId="54" xfId="6" applyNumberFormat="1" applyFont="1" applyFill="1" applyBorder="1" applyAlignment="1" applyProtection="1">
      <alignment horizontal="center" vertical="center" shrinkToFit="1"/>
      <protection hidden="1"/>
    </xf>
    <xf numFmtId="165" fontId="105" fillId="0" borderId="0" xfId="6" applyNumberFormat="1" applyFont="1" applyFill="1" applyBorder="1" applyAlignment="1" applyProtection="1">
      <alignment horizontal="center" vertical="center" shrinkToFit="1"/>
      <protection hidden="1"/>
    </xf>
    <xf numFmtId="165" fontId="105" fillId="0" borderId="55" xfId="6" applyNumberFormat="1" applyFont="1" applyFill="1" applyBorder="1" applyAlignment="1" applyProtection="1">
      <alignment horizontal="center" vertical="center" shrinkToFit="1"/>
      <protection hidden="1"/>
    </xf>
    <xf numFmtId="165" fontId="105" fillId="0" borderId="21" xfId="6" applyNumberFormat="1" applyFont="1" applyFill="1" applyBorder="1" applyAlignment="1" applyProtection="1">
      <alignment horizontal="center" vertical="center" shrinkToFit="1"/>
      <protection hidden="1"/>
    </xf>
    <xf numFmtId="165" fontId="105" fillId="0" borderId="22" xfId="6" applyNumberFormat="1" applyFont="1" applyFill="1" applyBorder="1" applyAlignment="1" applyProtection="1">
      <alignment horizontal="center" vertical="center" shrinkToFit="1"/>
      <protection hidden="1"/>
    </xf>
    <xf numFmtId="165" fontId="105" fillId="0" borderId="23" xfId="6" applyNumberFormat="1" applyFont="1" applyFill="1" applyBorder="1" applyAlignment="1" applyProtection="1">
      <alignment horizontal="center" vertical="center" shrinkToFit="1"/>
      <protection hidden="1"/>
    </xf>
    <xf numFmtId="165" fontId="105" fillId="0" borderId="58" xfId="6" applyNumberFormat="1" applyFont="1" applyFill="1" applyBorder="1" applyAlignment="1" applyProtection="1">
      <alignment horizontal="center" vertical="center"/>
      <protection hidden="1"/>
    </xf>
    <xf numFmtId="165" fontId="105" fillId="0" borderId="59" xfId="6" applyNumberFormat="1" applyFont="1" applyFill="1" applyBorder="1" applyAlignment="1" applyProtection="1">
      <alignment horizontal="center" vertical="center"/>
      <protection hidden="1"/>
    </xf>
    <xf numFmtId="0" fontId="105" fillId="0" borderId="50" xfId="6" applyNumberFormat="1" applyFont="1" applyFill="1" applyBorder="1" applyAlignment="1" applyProtection="1">
      <alignment horizontal="center" vertical="center"/>
      <protection hidden="1"/>
    </xf>
    <xf numFmtId="0" fontId="105" fillId="0" borderId="0" xfId="6" applyFont="1" applyBorder="1" applyAlignment="1" applyProtection="1">
      <alignment horizontal="center"/>
      <protection hidden="1"/>
    </xf>
    <xf numFmtId="0" fontId="105" fillId="0" borderId="9" xfId="6" applyFont="1" applyBorder="1" applyAlignment="1" applyProtection="1">
      <alignment horizontal="center"/>
      <protection hidden="1"/>
    </xf>
    <xf numFmtId="0" fontId="98" fillId="43" borderId="0" xfId="6" applyFont="1" applyFill="1" applyBorder="1" applyAlignment="1" applyProtection="1">
      <alignment horizontal="center" vertical="center"/>
      <protection hidden="1"/>
    </xf>
    <xf numFmtId="0" fontId="101" fillId="0" borderId="0" xfId="6" applyFont="1" applyFill="1" applyBorder="1" applyAlignment="1" applyProtection="1">
      <alignment horizontal="left" vertical="center"/>
      <protection hidden="1"/>
    </xf>
    <xf numFmtId="0" fontId="102" fillId="0" borderId="9" xfId="6" applyFont="1" applyBorder="1" applyAlignment="1" applyProtection="1">
      <alignment horizontal="left" vertical="center"/>
      <protection hidden="1"/>
    </xf>
    <xf numFmtId="0" fontId="98" fillId="8" borderId="0" xfId="6" applyFont="1" applyFill="1" applyBorder="1" applyAlignment="1" applyProtection="1">
      <alignment horizontal="center" vertical="center"/>
      <protection hidden="1"/>
    </xf>
    <xf numFmtId="0" fontId="94" fillId="0" borderId="0" xfId="6" applyFont="1" applyBorder="1" applyAlignment="1" applyProtection="1">
      <alignment horizontal="center" vertical="top" wrapText="1"/>
      <protection hidden="1"/>
    </xf>
    <xf numFmtId="0" fontId="113" fillId="0" borderId="19" xfId="6" applyFont="1" applyBorder="1" applyAlignment="1" applyProtection="1">
      <alignment horizontal="left"/>
      <protection hidden="1"/>
    </xf>
    <xf numFmtId="0" fontId="113" fillId="0" borderId="0" xfId="6" applyFont="1" applyBorder="1" applyAlignment="1" applyProtection="1">
      <alignment horizontal="left"/>
      <protection hidden="1"/>
    </xf>
    <xf numFmtId="0" fontId="111" fillId="0" borderId="0" xfId="6" applyFont="1" applyBorder="1" applyAlignment="1" applyProtection="1">
      <alignment horizontal="left" vertical="top" wrapText="1"/>
      <protection hidden="1"/>
    </xf>
    <xf numFmtId="0" fontId="95" fillId="0" borderId="0" xfId="6" applyFont="1" applyBorder="1" applyAlignment="1" applyProtection="1">
      <alignment horizontal="center" vertical="top" wrapText="1"/>
      <protection hidden="1"/>
    </xf>
    <xf numFmtId="0" fontId="106" fillId="43" borderId="0" xfId="6" applyFont="1" applyFill="1" applyBorder="1" applyAlignment="1" applyProtection="1">
      <alignment horizontal="center" vertical="center"/>
      <protection hidden="1"/>
    </xf>
    <xf numFmtId="0" fontId="92" fillId="0" borderId="18" xfId="6" applyNumberFormat="1" applyFont="1" applyFill="1" applyBorder="1" applyAlignment="1" applyProtection="1">
      <alignment horizontal="center" vertical="center"/>
      <protection hidden="1"/>
    </xf>
    <xf numFmtId="0" fontId="92" fillId="0" borderId="19" xfId="6" applyNumberFormat="1" applyFont="1" applyFill="1" applyBorder="1" applyAlignment="1" applyProtection="1">
      <alignment horizontal="center" vertical="center"/>
      <protection hidden="1"/>
    </xf>
    <xf numFmtId="0" fontId="92" fillId="0" borderId="20" xfId="6" applyNumberFormat="1" applyFont="1" applyFill="1" applyBorder="1" applyAlignment="1" applyProtection="1">
      <alignment horizontal="center" vertical="center"/>
      <protection hidden="1"/>
    </xf>
    <xf numFmtId="0" fontId="92" fillId="0" borderId="54" xfId="6" applyNumberFormat="1" applyFont="1" applyFill="1" applyBorder="1" applyAlignment="1" applyProtection="1">
      <alignment horizontal="center" vertical="center"/>
      <protection hidden="1"/>
    </xf>
    <xf numFmtId="0" fontId="92" fillId="0" borderId="0" xfId="6" applyNumberFormat="1" applyFont="1" applyFill="1" applyBorder="1" applyAlignment="1" applyProtection="1">
      <alignment horizontal="center" vertical="center"/>
      <protection hidden="1"/>
    </xf>
    <xf numFmtId="0" fontId="92" fillId="0" borderId="55" xfId="6" applyNumberFormat="1" applyFont="1" applyFill="1" applyBorder="1" applyAlignment="1" applyProtection="1">
      <alignment horizontal="center" vertical="center"/>
      <protection hidden="1"/>
    </xf>
    <xf numFmtId="0" fontId="92" fillId="0" borderId="21" xfId="6" applyNumberFormat="1" applyFont="1" applyFill="1" applyBorder="1" applyAlignment="1" applyProtection="1">
      <alignment horizontal="center" vertical="center"/>
      <protection hidden="1"/>
    </xf>
    <xf numFmtId="0" fontId="92" fillId="0" borderId="22" xfId="6" applyNumberFormat="1" applyFont="1" applyFill="1" applyBorder="1" applyAlignment="1" applyProtection="1">
      <alignment horizontal="center" vertical="center"/>
      <protection hidden="1"/>
    </xf>
    <xf numFmtId="0" fontId="92" fillId="0" borderId="23" xfId="6" applyNumberFormat="1" applyFont="1" applyFill="1" applyBorder="1" applyAlignment="1" applyProtection="1">
      <alignment horizontal="center" vertical="center"/>
      <protection hidden="1"/>
    </xf>
    <xf numFmtId="0" fontId="101" fillId="0" borderId="52" xfId="6" quotePrefix="1" applyFont="1" applyFill="1" applyBorder="1" applyAlignment="1" applyProtection="1">
      <alignment horizontal="center" vertical="center"/>
      <protection hidden="1"/>
    </xf>
    <xf numFmtId="167" fontId="105" fillId="0" borderId="18" xfId="6" applyNumberFormat="1" applyFont="1" applyFill="1" applyBorder="1" applyAlignment="1" applyProtection="1">
      <alignment horizontal="center" vertical="center"/>
      <protection hidden="1"/>
    </xf>
    <xf numFmtId="167" fontId="105" fillId="0" borderId="19" xfId="6" applyNumberFormat="1" applyFont="1" applyFill="1" applyBorder="1" applyAlignment="1" applyProtection="1">
      <alignment horizontal="center" vertical="center"/>
      <protection hidden="1"/>
    </xf>
    <xf numFmtId="167" fontId="105" fillId="0" borderId="20" xfId="6" applyNumberFormat="1" applyFont="1" applyFill="1" applyBorder="1" applyAlignment="1" applyProtection="1">
      <alignment horizontal="center" vertical="center"/>
      <protection hidden="1"/>
    </xf>
    <xf numFmtId="167" fontId="105" fillId="0" borderId="54" xfId="6" applyNumberFormat="1" applyFont="1" applyFill="1" applyBorder="1" applyAlignment="1" applyProtection="1">
      <alignment horizontal="center" vertical="center"/>
      <protection hidden="1"/>
    </xf>
    <xf numFmtId="167" fontId="105" fillId="0" borderId="0" xfId="6" applyNumberFormat="1" applyFont="1" applyFill="1" applyBorder="1" applyAlignment="1" applyProtection="1">
      <alignment horizontal="center" vertical="center"/>
      <protection hidden="1"/>
    </xf>
    <xf numFmtId="167" fontId="105" fillId="0" borderId="55" xfId="6" applyNumberFormat="1" applyFont="1" applyFill="1" applyBorder="1" applyAlignment="1" applyProtection="1">
      <alignment horizontal="center" vertical="center"/>
      <protection hidden="1"/>
    </xf>
    <xf numFmtId="167" fontId="105" fillId="0" borderId="21" xfId="6" applyNumberFormat="1" applyFont="1" applyFill="1" applyBorder="1" applyAlignment="1" applyProtection="1">
      <alignment horizontal="center" vertical="center"/>
      <protection hidden="1"/>
    </xf>
    <xf numFmtId="167" fontId="105" fillId="0" borderId="22" xfId="6" applyNumberFormat="1" applyFont="1" applyFill="1" applyBorder="1" applyAlignment="1" applyProtection="1">
      <alignment horizontal="center" vertical="center"/>
      <protection hidden="1"/>
    </xf>
    <xf numFmtId="167" fontId="105" fillId="0" borderId="23" xfId="6" applyNumberFormat="1" applyFont="1" applyFill="1" applyBorder="1" applyAlignment="1" applyProtection="1">
      <alignment horizontal="center" vertical="center"/>
      <protection hidden="1"/>
    </xf>
    <xf numFmtId="165" fontId="92" fillId="0" borderId="18" xfId="6" applyNumberFormat="1" applyFont="1" applyFill="1" applyBorder="1" applyAlignment="1" applyProtection="1">
      <alignment horizontal="center" vertical="center" shrinkToFit="1"/>
      <protection hidden="1"/>
    </xf>
    <xf numFmtId="165" fontId="92" fillId="0" borderId="19" xfId="6" applyNumberFormat="1" applyFont="1" applyFill="1" applyBorder="1" applyAlignment="1" applyProtection="1">
      <alignment horizontal="center" vertical="center" shrinkToFit="1"/>
      <protection hidden="1"/>
    </xf>
    <xf numFmtId="165" fontId="92" fillId="0" borderId="20" xfId="6" applyNumberFormat="1" applyFont="1" applyFill="1" applyBorder="1" applyAlignment="1" applyProtection="1">
      <alignment horizontal="center" vertical="center" shrinkToFit="1"/>
      <protection hidden="1"/>
    </xf>
    <xf numFmtId="165" fontId="92" fillId="0" borderId="54" xfId="6" applyNumberFormat="1" applyFont="1" applyFill="1" applyBorder="1" applyAlignment="1" applyProtection="1">
      <alignment horizontal="center" vertical="center" shrinkToFit="1"/>
      <protection hidden="1"/>
    </xf>
    <xf numFmtId="165" fontId="92" fillId="0" borderId="0" xfId="6" applyNumberFormat="1" applyFont="1" applyFill="1" applyBorder="1" applyAlignment="1" applyProtection="1">
      <alignment horizontal="center" vertical="center" shrinkToFit="1"/>
      <protection hidden="1"/>
    </xf>
    <xf numFmtId="165" fontId="92" fillId="0" borderId="55" xfId="6" applyNumberFormat="1" applyFont="1" applyFill="1" applyBorder="1" applyAlignment="1" applyProtection="1">
      <alignment horizontal="center" vertical="center" shrinkToFit="1"/>
      <protection hidden="1"/>
    </xf>
    <xf numFmtId="165" fontId="92" fillId="0" borderId="21" xfId="6" applyNumberFormat="1" applyFont="1" applyFill="1" applyBorder="1" applyAlignment="1" applyProtection="1">
      <alignment horizontal="center" vertical="center" shrinkToFit="1"/>
      <protection hidden="1"/>
    </xf>
    <xf numFmtId="165" fontId="92" fillId="0" borderId="22" xfId="6" applyNumberFormat="1" applyFont="1" applyFill="1" applyBorder="1" applyAlignment="1" applyProtection="1">
      <alignment horizontal="center" vertical="center" shrinkToFit="1"/>
      <protection hidden="1"/>
    </xf>
    <xf numFmtId="165" fontId="92" fillId="0" borderId="23" xfId="6" applyNumberFormat="1" applyFont="1" applyFill="1" applyBorder="1" applyAlignment="1" applyProtection="1">
      <alignment horizontal="center" vertical="center" shrinkToFit="1"/>
      <protection hidden="1"/>
    </xf>
    <xf numFmtId="0" fontId="105" fillId="0" borderId="18" xfId="6" applyNumberFormat="1" applyFont="1" applyFill="1" applyBorder="1" applyAlignment="1" applyProtection="1">
      <alignment horizontal="center" vertical="center"/>
      <protection hidden="1"/>
    </xf>
    <xf numFmtId="0" fontId="105" fillId="0" borderId="19" xfId="6" applyNumberFormat="1" applyFont="1" applyFill="1" applyBorder="1" applyAlignment="1" applyProtection="1">
      <alignment horizontal="center" vertical="center"/>
      <protection hidden="1"/>
    </xf>
    <xf numFmtId="0" fontId="105" fillId="0" borderId="20" xfId="6" applyNumberFormat="1" applyFont="1" applyFill="1" applyBorder="1" applyAlignment="1" applyProtection="1">
      <alignment horizontal="center" vertical="center"/>
      <protection hidden="1"/>
    </xf>
    <xf numFmtId="0" fontId="105" fillId="0" borderId="54" xfId="6" applyNumberFormat="1" applyFont="1" applyFill="1" applyBorder="1" applyAlignment="1" applyProtection="1">
      <alignment horizontal="center" vertical="center"/>
      <protection hidden="1"/>
    </xf>
    <xf numFmtId="0" fontId="105" fillId="0" borderId="0" xfId="6" applyNumberFormat="1" applyFont="1" applyFill="1" applyBorder="1" applyAlignment="1" applyProtection="1">
      <alignment horizontal="center" vertical="center"/>
      <protection hidden="1"/>
    </xf>
    <xf numFmtId="0" fontId="105" fillId="0" borderId="55" xfId="6" applyNumberFormat="1" applyFont="1" applyFill="1" applyBorder="1" applyAlignment="1" applyProtection="1">
      <alignment horizontal="center" vertical="center"/>
      <protection hidden="1"/>
    </xf>
    <xf numFmtId="0" fontId="105" fillId="0" borderId="21" xfId="6" applyNumberFormat="1" applyFont="1" applyFill="1" applyBorder="1" applyAlignment="1" applyProtection="1">
      <alignment horizontal="center" vertical="center"/>
      <protection hidden="1"/>
    </xf>
    <xf numFmtId="0" fontId="105" fillId="0" borderId="22" xfId="6" applyNumberFormat="1" applyFont="1" applyFill="1" applyBorder="1" applyAlignment="1" applyProtection="1">
      <alignment horizontal="center" vertical="center"/>
      <protection hidden="1"/>
    </xf>
    <xf numFmtId="0" fontId="105" fillId="0" borderId="23" xfId="6" applyNumberFormat="1" applyFont="1" applyFill="1" applyBorder="1" applyAlignment="1" applyProtection="1">
      <alignment horizontal="center" vertical="center"/>
      <protection hidden="1"/>
    </xf>
    <xf numFmtId="0" fontId="92" fillId="0" borderId="18" xfId="6" applyNumberFormat="1" applyFont="1" applyFill="1" applyBorder="1" applyAlignment="1" applyProtection="1">
      <alignment horizontal="center" vertical="center" shrinkToFit="1"/>
      <protection locked="0"/>
    </xf>
    <xf numFmtId="0" fontId="92" fillId="0" borderId="19" xfId="6" applyNumberFormat="1" applyFont="1" applyFill="1" applyBorder="1" applyAlignment="1" applyProtection="1">
      <alignment horizontal="center" vertical="center" shrinkToFit="1"/>
      <protection locked="0"/>
    </xf>
    <xf numFmtId="0" fontId="92" fillId="0" borderId="20" xfId="6" applyNumberFormat="1" applyFont="1" applyFill="1" applyBorder="1" applyAlignment="1" applyProtection="1">
      <alignment horizontal="center" vertical="center" shrinkToFit="1"/>
      <protection locked="0"/>
    </xf>
    <xf numFmtId="0" fontId="92" fillId="0" borderId="54" xfId="6" applyNumberFormat="1" applyFont="1" applyFill="1" applyBorder="1" applyAlignment="1" applyProtection="1">
      <alignment horizontal="center" vertical="center" shrinkToFit="1"/>
      <protection locked="0"/>
    </xf>
    <xf numFmtId="0" fontId="92" fillId="0" borderId="0" xfId="6" applyNumberFormat="1" applyFont="1" applyFill="1" applyBorder="1" applyAlignment="1" applyProtection="1">
      <alignment horizontal="center" vertical="center" shrinkToFit="1"/>
      <protection locked="0"/>
    </xf>
    <xf numFmtId="0" fontId="92" fillId="0" borderId="55" xfId="6" applyNumberFormat="1" applyFont="1" applyFill="1" applyBorder="1" applyAlignment="1" applyProtection="1">
      <alignment horizontal="center" vertical="center" shrinkToFit="1"/>
      <protection locked="0"/>
    </xf>
    <xf numFmtId="0" fontId="92" fillId="0" borderId="21" xfId="6" applyNumberFormat="1" applyFont="1" applyFill="1" applyBorder="1" applyAlignment="1" applyProtection="1">
      <alignment horizontal="center" vertical="center" shrinkToFit="1"/>
      <protection locked="0"/>
    </xf>
    <xf numFmtId="0" fontId="92" fillId="0" borderId="22" xfId="6" applyNumberFormat="1" applyFont="1" applyFill="1" applyBorder="1" applyAlignment="1" applyProtection="1">
      <alignment horizontal="center" vertical="center" shrinkToFit="1"/>
      <protection locked="0"/>
    </xf>
    <xf numFmtId="0" fontId="92" fillId="0" borderId="23" xfId="6" applyNumberFormat="1" applyFont="1" applyFill="1" applyBorder="1" applyAlignment="1" applyProtection="1">
      <alignment horizontal="center" vertical="center" shrinkToFit="1"/>
      <protection locked="0"/>
    </xf>
    <xf numFmtId="0" fontId="94" fillId="0" borderId="0" xfId="6" applyFont="1" applyBorder="1" applyAlignment="1" applyProtection="1">
      <alignment horizontal="left" vertical="top" wrapText="1"/>
      <protection hidden="1"/>
    </xf>
    <xf numFmtId="0" fontId="94" fillId="0" borderId="19" xfId="6" applyFont="1" applyBorder="1" applyAlignment="1" applyProtection="1">
      <alignment horizontal="center" vertical="top" wrapText="1"/>
      <protection hidden="1"/>
    </xf>
    <xf numFmtId="0" fontId="94" fillId="0" borderId="0" xfId="6" applyFont="1" applyBorder="1" applyAlignment="1" applyProtection="1">
      <alignment horizontal="left" vertical="top"/>
      <protection hidden="1"/>
    </xf>
    <xf numFmtId="0" fontId="102" fillId="0" borderId="0" xfId="6" applyFont="1" applyFill="1" applyBorder="1" applyAlignment="1" applyProtection="1">
      <alignment horizontal="left" vertical="center" shrinkToFit="1"/>
      <protection hidden="1"/>
    </xf>
    <xf numFmtId="0" fontId="102" fillId="0" borderId="9" xfId="6" applyFont="1" applyFill="1" applyBorder="1" applyAlignment="1" applyProtection="1">
      <alignment horizontal="left" vertical="center" shrinkToFit="1"/>
      <protection hidden="1"/>
    </xf>
    <xf numFmtId="0" fontId="92" fillId="0" borderId="18" xfId="6" applyNumberFormat="1" applyFont="1" applyFill="1" applyBorder="1" applyAlignment="1" applyProtection="1">
      <alignment horizontal="center" vertical="center" shrinkToFit="1"/>
      <protection hidden="1"/>
    </xf>
    <xf numFmtId="0" fontId="92" fillId="0" borderId="19" xfId="6" applyNumberFormat="1" applyFont="1" applyFill="1" applyBorder="1" applyAlignment="1" applyProtection="1">
      <alignment horizontal="center" vertical="center" shrinkToFit="1"/>
      <protection hidden="1"/>
    </xf>
    <xf numFmtId="0" fontId="92" fillId="0" borderId="20" xfId="6" applyNumberFormat="1" applyFont="1" applyFill="1" applyBorder="1" applyAlignment="1" applyProtection="1">
      <alignment horizontal="center" vertical="center" shrinkToFit="1"/>
      <protection hidden="1"/>
    </xf>
    <xf numFmtId="0" fontId="92" fillId="0" borderId="54" xfId="6" applyNumberFormat="1" applyFont="1" applyFill="1" applyBorder="1" applyAlignment="1" applyProtection="1">
      <alignment horizontal="center" vertical="center" shrinkToFit="1"/>
      <protection hidden="1"/>
    </xf>
    <xf numFmtId="0" fontId="92" fillId="0" borderId="0" xfId="6" applyNumberFormat="1" applyFont="1" applyFill="1" applyBorder="1" applyAlignment="1" applyProtection="1">
      <alignment horizontal="center" vertical="center" shrinkToFit="1"/>
      <protection hidden="1"/>
    </xf>
    <xf numFmtId="0" fontId="92" fillId="0" borderId="55" xfId="6" applyNumberFormat="1" applyFont="1" applyFill="1" applyBorder="1" applyAlignment="1" applyProtection="1">
      <alignment horizontal="center" vertical="center" shrinkToFit="1"/>
      <protection hidden="1"/>
    </xf>
    <xf numFmtId="0" fontId="92" fillId="0" borderId="21" xfId="6" applyNumberFormat="1" applyFont="1" applyFill="1" applyBorder="1" applyAlignment="1" applyProtection="1">
      <alignment horizontal="center" vertical="center" shrinkToFit="1"/>
      <protection hidden="1"/>
    </xf>
    <xf numFmtId="0" fontId="92" fillId="0" borderId="22" xfId="6" applyNumberFormat="1" applyFont="1" applyFill="1" applyBorder="1" applyAlignment="1" applyProtection="1">
      <alignment horizontal="center" vertical="center" shrinkToFit="1"/>
      <protection hidden="1"/>
    </xf>
    <xf numFmtId="0" fontId="92" fillId="0" borderId="23" xfId="6" applyNumberFormat="1" applyFont="1" applyFill="1" applyBorder="1" applyAlignment="1" applyProtection="1">
      <alignment horizontal="center" vertical="center" shrinkToFit="1"/>
      <protection hidden="1"/>
    </xf>
    <xf numFmtId="168" fontId="92" fillId="0" borderId="18" xfId="6" applyNumberFormat="1" applyFont="1" applyFill="1" applyBorder="1" applyAlignment="1" applyProtection="1">
      <alignment horizontal="center" vertical="center" shrinkToFit="1"/>
      <protection hidden="1"/>
    </xf>
    <xf numFmtId="168" fontId="92" fillId="0" borderId="19" xfId="6" applyNumberFormat="1" applyFont="1" applyFill="1" applyBorder="1" applyAlignment="1" applyProtection="1">
      <alignment horizontal="center" vertical="center" shrinkToFit="1"/>
      <protection hidden="1"/>
    </xf>
    <xf numFmtId="168" fontId="92" fillId="0" borderId="20" xfId="6" applyNumberFormat="1" applyFont="1" applyFill="1" applyBorder="1" applyAlignment="1" applyProtection="1">
      <alignment horizontal="center" vertical="center" shrinkToFit="1"/>
      <protection hidden="1"/>
    </xf>
    <xf numFmtId="168" fontId="92" fillId="0" borderId="54" xfId="6" applyNumberFormat="1" applyFont="1" applyFill="1" applyBorder="1" applyAlignment="1" applyProtection="1">
      <alignment horizontal="center" vertical="center" shrinkToFit="1"/>
      <protection hidden="1"/>
    </xf>
    <xf numFmtId="168" fontId="92" fillId="0" borderId="0" xfId="6" applyNumberFormat="1" applyFont="1" applyFill="1" applyBorder="1" applyAlignment="1" applyProtection="1">
      <alignment horizontal="center" vertical="center" shrinkToFit="1"/>
      <protection hidden="1"/>
    </xf>
    <xf numFmtId="168" fontId="92" fillId="0" borderId="55" xfId="6" applyNumberFormat="1" applyFont="1" applyFill="1" applyBorder="1" applyAlignment="1" applyProtection="1">
      <alignment horizontal="center" vertical="center" shrinkToFit="1"/>
      <protection hidden="1"/>
    </xf>
    <xf numFmtId="168" fontId="92" fillId="0" borderId="21" xfId="6" applyNumberFormat="1" applyFont="1" applyFill="1" applyBorder="1" applyAlignment="1" applyProtection="1">
      <alignment horizontal="center" vertical="center" shrinkToFit="1"/>
      <protection hidden="1"/>
    </xf>
    <xf numFmtId="168" fontId="92" fillId="0" borderId="22" xfId="6" applyNumberFormat="1" applyFont="1" applyFill="1" applyBorder="1" applyAlignment="1" applyProtection="1">
      <alignment horizontal="center" vertical="center" shrinkToFit="1"/>
      <protection hidden="1"/>
    </xf>
    <xf numFmtId="168" fontId="92" fillId="0" borderId="23" xfId="6" applyNumberFormat="1" applyFont="1" applyFill="1" applyBorder="1" applyAlignment="1" applyProtection="1">
      <alignment horizontal="center" vertical="center" shrinkToFit="1"/>
      <protection hidden="1"/>
    </xf>
    <xf numFmtId="0" fontId="102" fillId="0" borderId="0" xfId="6" applyFont="1" applyFill="1" applyBorder="1" applyAlignment="1" applyProtection="1">
      <alignment horizontal="left" vertical="center" wrapText="1"/>
      <protection hidden="1"/>
    </xf>
    <xf numFmtId="0" fontId="102" fillId="0" borderId="9" xfId="6" applyFont="1" applyFill="1" applyBorder="1" applyAlignment="1" applyProtection="1">
      <alignment horizontal="left" vertical="center" wrapText="1"/>
      <protection hidden="1"/>
    </xf>
    <xf numFmtId="0" fontId="106" fillId="8" borderId="0" xfId="6" applyFont="1" applyFill="1" applyBorder="1" applyAlignment="1" applyProtection="1">
      <alignment horizontal="center" vertical="center"/>
      <protection hidden="1"/>
    </xf>
    <xf numFmtId="0" fontId="106" fillId="8" borderId="60" xfId="6" applyFont="1" applyFill="1" applyBorder="1" applyAlignment="1" applyProtection="1">
      <alignment horizontal="center" vertical="center"/>
      <protection hidden="1"/>
    </xf>
    <xf numFmtId="166" fontId="105" fillId="0" borderId="18" xfId="6" applyNumberFormat="1" applyFont="1" applyFill="1" applyBorder="1" applyAlignment="1" applyProtection="1">
      <alignment horizontal="center" vertical="center"/>
      <protection hidden="1"/>
    </xf>
    <xf numFmtId="166" fontId="105" fillId="0" borderId="19" xfId="6" applyNumberFormat="1" applyFont="1" applyFill="1" applyBorder="1" applyAlignment="1" applyProtection="1">
      <alignment horizontal="center" vertical="center"/>
      <protection hidden="1"/>
    </xf>
    <xf numFmtId="166" fontId="105" fillId="0" borderId="20" xfId="6" applyNumberFormat="1" applyFont="1" applyFill="1" applyBorder="1" applyAlignment="1" applyProtection="1">
      <alignment horizontal="center" vertical="center"/>
      <protection hidden="1"/>
    </xf>
    <xf numFmtId="166" fontId="105" fillId="0" borderId="54" xfId="6" applyNumberFormat="1" applyFont="1" applyFill="1" applyBorder="1" applyAlignment="1" applyProtection="1">
      <alignment horizontal="center" vertical="center"/>
      <protection hidden="1"/>
    </xf>
    <xf numFmtId="166" fontId="105" fillId="0" borderId="0" xfId="6" applyNumberFormat="1" applyFont="1" applyFill="1" applyBorder="1" applyAlignment="1" applyProtection="1">
      <alignment horizontal="center" vertical="center"/>
      <protection hidden="1"/>
    </xf>
    <xf numFmtId="166" fontId="105" fillId="0" borderId="55" xfId="6" applyNumberFormat="1" applyFont="1" applyFill="1" applyBorder="1" applyAlignment="1" applyProtection="1">
      <alignment horizontal="center" vertical="center"/>
      <protection hidden="1"/>
    </xf>
    <xf numFmtId="166" fontId="105" fillId="0" borderId="21" xfId="6" applyNumberFormat="1" applyFont="1" applyFill="1" applyBorder="1" applyAlignment="1" applyProtection="1">
      <alignment horizontal="center" vertical="center"/>
      <protection hidden="1"/>
    </xf>
    <xf numFmtId="166" fontId="105" fillId="0" borderId="22" xfId="6" applyNumberFormat="1" applyFont="1" applyFill="1" applyBorder="1" applyAlignment="1" applyProtection="1">
      <alignment horizontal="center" vertical="center"/>
      <protection hidden="1"/>
    </xf>
    <xf numFmtId="166" fontId="105" fillId="0" borderId="23" xfId="6" applyNumberFormat="1" applyFont="1" applyFill="1" applyBorder="1" applyAlignment="1" applyProtection="1">
      <alignment horizontal="center" vertical="center"/>
      <protection hidden="1"/>
    </xf>
    <xf numFmtId="165" fontId="102" fillId="0" borderId="18" xfId="6" applyNumberFormat="1" applyFont="1" applyFill="1" applyBorder="1" applyAlignment="1" applyProtection="1">
      <alignment horizontal="left" vertical="center" shrinkToFit="1"/>
      <protection hidden="1"/>
    </xf>
    <xf numFmtId="165" fontId="102" fillId="0" borderId="19" xfId="6" applyNumberFormat="1" applyFont="1" applyFill="1" applyBorder="1" applyAlignment="1" applyProtection="1">
      <alignment horizontal="left" vertical="center" shrinkToFit="1"/>
      <protection hidden="1"/>
    </xf>
    <xf numFmtId="165" fontId="102" fillId="0" borderId="20" xfId="6" applyNumberFormat="1" applyFont="1" applyFill="1" applyBorder="1" applyAlignment="1" applyProtection="1">
      <alignment horizontal="left" vertical="center" shrinkToFit="1"/>
      <protection hidden="1"/>
    </xf>
    <xf numFmtId="165" fontId="102" fillId="0" borderId="54" xfId="6" applyNumberFormat="1" applyFont="1" applyFill="1" applyBorder="1" applyAlignment="1" applyProtection="1">
      <alignment horizontal="left" vertical="center" shrinkToFit="1"/>
      <protection hidden="1"/>
    </xf>
    <xf numFmtId="165" fontId="102" fillId="0" borderId="0" xfId="6" applyNumberFormat="1" applyFont="1" applyFill="1" applyBorder="1" applyAlignment="1" applyProtection="1">
      <alignment horizontal="left" vertical="center" shrinkToFit="1"/>
      <protection hidden="1"/>
    </xf>
    <xf numFmtId="165" fontId="102" fillId="0" borderId="55" xfId="6" applyNumberFormat="1" applyFont="1" applyFill="1" applyBorder="1" applyAlignment="1" applyProtection="1">
      <alignment horizontal="left" vertical="center" shrinkToFit="1"/>
      <protection hidden="1"/>
    </xf>
    <xf numFmtId="165" fontId="102" fillId="0" borderId="21" xfId="6" applyNumberFormat="1" applyFont="1" applyFill="1" applyBorder="1" applyAlignment="1" applyProtection="1">
      <alignment horizontal="left" vertical="center" shrinkToFit="1"/>
      <protection hidden="1"/>
    </xf>
    <xf numFmtId="165" fontId="102" fillId="0" borderId="22" xfId="6" applyNumberFormat="1" applyFont="1" applyFill="1" applyBorder="1" applyAlignment="1" applyProtection="1">
      <alignment horizontal="left" vertical="center" shrinkToFit="1"/>
      <protection hidden="1"/>
    </xf>
    <xf numFmtId="165" fontId="102" fillId="0" borderId="23" xfId="6" applyNumberFormat="1" applyFont="1" applyFill="1" applyBorder="1" applyAlignment="1" applyProtection="1">
      <alignment horizontal="left" vertical="center" shrinkToFit="1"/>
      <protection hidden="1"/>
    </xf>
    <xf numFmtId="0" fontId="110" fillId="43" borderId="0" xfId="6" applyFont="1" applyFill="1" applyBorder="1" applyAlignment="1" applyProtection="1">
      <alignment horizontal="center" vertical="center" wrapText="1"/>
      <protection hidden="1"/>
    </xf>
    <xf numFmtId="165" fontId="102" fillId="0" borderId="18" xfId="6" applyNumberFormat="1" applyFont="1" applyFill="1" applyBorder="1" applyAlignment="1" applyProtection="1">
      <alignment horizontal="center" vertical="center" shrinkToFit="1"/>
      <protection hidden="1"/>
    </xf>
    <xf numFmtId="165" fontId="102" fillId="0" borderId="19" xfId="6" applyNumberFormat="1" applyFont="1" applyFill="1" applyBorder="1" applyAlignment="1" applyProtection="1">
      <alignment horizontal="center" vertical="center" shrinkToFit="1"/>
      <protection hidden="1"/>
    </xf>
    <xf numFmtId="165" fontId="102" fillId="0" borderId="20" xfId="6" applyNumberFormat="1" applyFont="1" applyFill="1" applyBorder="1" applyAlignment="1" applyProtection="1">
      <alignment horizontal="center" vertical="center" shrinkToFit="1"/>
      <protection hidden="1"/>
    </xf>
    <xf numFmtId="165" fontId="102" fillId="0" borderId="54" xfId="6" applyNumberFormat="1" applyFont="1" applyFill="1" applyBorder="1" applyAlignment="1" applyProtection="1">
      <alignment horizontal="center" vertical="center" shrinkToFit="1"/>
      <protection hidden="1"/>
    </xf>
    <xf numFmtId="165" fontId="102" fillId="0" borderId="0" xfId="6" applyNumberFormat="1" applyFont="1" applyFill="1" applyBorder="1" applyAlignment="1" applyProtection="1">
      <alignment horizontal="center" vertical="center" shrinkToFit="1"/>
      <protection hidden="1"/>
    </xf>
    <xf numFmtId="165" fontId="102" fillId="0" borderId="55" xfId="6" applyNumberFormat="1" applyFont="1" applyFill="1" applyBorder="1" applyAlignment="1" applyProtection="1">
      <alignment horizontal="center" vertical="center" shrinkToFit="1"/>
      <protection hidden="1"/>
    </xf>
    <xf numFmtId="165" fontId="102" fillId="0" borderId="21" xfId="6" applyNumberFormat="1" applyFont="1" applyFill="1" applyBorder="1" applyAlignment="1" applyProtection="1">
      <alignment horizontal="center" vertical="center" shrinkToFit="1"/>
      <protection hidden="1"/>
    </xf>
    <xf numFmtId="165" fontId="102" fillId="0" borderId="22" xfId="6" applyNumberFormat="1" applyFont="1" applyFill="1" applyBorder="1" applyAlignment="1" applyProtection="1">
      <alignment horizontal="center" vertical="center" shrinkToFit="1"/>
      <protection hidden="1"/>
    </xf>
    <xf numFmtId="165" fontId="102" fillId="0" borderId="23" xfId="6" applyNumberFormat="1" applyFont="1" applyFill="1" applyBorder="1" applyAlignment="1" applyProtection="1">
      <alignment horizontal="center" vertical="center" shrinkToFit="1"/>
      <protection hidden="1"/>
    </xf>
    <xf numFmtId="165" fontId="105" fillId="0" borderId="18" xfId="6" applyNumberFormat="1" applyFont="1" applyFill="1" applyBorder="1" applyAlignment="1" applyProtection="1">
      <alignment horizontal="center" vertical="center"/>
      <protection hidden="1"/>
    </xf>
    <xf numFmtId="165" fontId="105" fillId="0" borderId="19" xfId="6" applyNumberFormat="1" applyFont="1" applyFill="1" applyBorder="1" applyAlignment="1" applyProtection="1">
      <alignment horizontal="center" vertical="center"/>
      <protection hidden="1"/>
    </xf>
    <xf numFmtId="165" fontId="105" fillId="0" borderId="20" xfId="6" applyNumberFormat="1" applyFont="1" applyFill="1" applyBorder="1" applyAlignment="1" applyProtection="1">
      <alignment horizontal="center" vertical="center"/>
      <protection hidden="1"/>
    </xf>
    <xf numFmtId="165" fontId="105" fillId="0" borderId="54" xfId="6" applyNumberFormat="1" applyFont="1" applyFill="1" applyBorder="1" applyAlignment="1" applyProtection="1">
      <alignment horizontal="center" vertical="center"/>
      <protection hidden="1"/>
    </xf>
    <xf numFmtId="165" fontId="105" fillId="0" borderId="0" xfId="6" applyNumberFormat="1" applyFont="1" applyFill="1" applyBorder="1" applyAlignment="1" applyProtection="1">
      <alignment horizontal="center" vertical="center"/>
      <protection hidden="1"/>
    </xf>
    <xf numFmtId="165" fontId="105" fillId="0" borderId="55" xfId="6" applyNumberFormat="1" applyFont="1" applyFill="1" applyBorder="1" applyAlignment="1" applyProtection="1">
      <alignment horizontal="center" vertical="center"/>
      <protection hidden="1"/>
    </xf>
    <xf numFmtId="165" fontId="101" fillId="0" borderId="0" xfId="6" quotePrefix="1" applyNumberFormat="1" applyFont="1" applyFill="1" applyBorder="1" applyAlignment="1" applyProtection="1">
      <alignment horizontal="center" vertical="center"/>
      <protection hidden="1"/>
    </xf>
    <xf numFmtId="165" fontId="101" fillId="0" borderId="0" xfId="6" applyNumberFormat="1" applyFont="1" applyFill="1" applyBorder="1" applyAlignment="1" applyProtection="1">
      <alignment horizontal="center" vertical="center"/>
      <protection hidden="1"/>
    </xf>
    <xf numFmtId="167" fontId="101" fillId="0" borderId="0" xfId="6" applyNumberFormat="1" applyFont="1" applyFill="1" applyBorder="1" applyAlignment="1" applyProtection="1">
      <alignment horizontal="center" vertical="center"/>
      <protection hidden="1"/>
    </xf>
    <xf numFmtId="167" fontId="101" fillId="0" borderId="9" xfId="6" applyNumberFormat="1" applyFont="1" applyFill="1" applyBorder="1" applyAlignment="1" applyProtection="1">
      <alignment horizontal="center" vertical="center"/>
      <protection hidden="1"/>
    </xf>
    <xf numFmtId="0" fontId="101" fillId="23" borderId="0" xfId="6" applyNumberFormat="1" applyFont="1" applyFill="1" applyBorder="1" applyAlignment="1" applyProtection="1">
      <alignment horizontal="center" vertical="center"/>
      <protection locked="0"/>
    </xf>
    <xf numFmtId="0" fontId="101" fillId="23" borderId="9" xfId="6" applyNumberFormat="1" applyFont="1" applyFill="1" applyBorder="1" applyAlignment="1" applyProtection="1">
      <alignment horizontal="center" vertical="center"/>
      <protection locked="0"/>
    </xf>
    <xf numFmtId="0" fontId="95" fillId="0" borderId="0" xfId="6" applyFont="1" applyFill="1" applyBorder="1" applyAlignment="1" applyProtection="1">
      <alignment horizontal="center" vertical="top" wrapText="1"/>
      <protection hidden="1"/>
    </xf>
    <xf numFmtId="0" fontId="94" fillId="0" borderId="0" xfId="6" applyFont="1" applyFill="1" applyBorder="1" applyAlignment="1" applyProtection="1">
      <alignment horizontal="center" vertical="top" wrapText="1"/>
      <protection hidden="1"/>
    </xf>
    <xf numFmtId="0" fontId="94" fillId="0" borderId="19" xfId="6" applyFont="1" applyFill="1" applyBorder="1" applyAlignment="1" applyProtection="1">
      <alignment horizontal="center" vertical="top" wrapText="1"/>
      <protection hidden="1"/>
    </xf>
    <xf numFmtId="0" fontId="103" fillId="0" borderId="0" xfId="6" applyFont="1" applyFill="1" applyBorder="1" applyAlignment="1" applyProtection="1">
      <alignment horizontal="left" vertical="center"/>
      <protection hidden="1"/>
    </xf>
    <xf numFmtId="0" fontId="103" fillId="0" borderId="0" xfId="6" applyFont="1" applyFill="1" applyBorder="1" applyAlignment="1" applyProtection="1">
      <alignment horizontal="center" vertical="center"/>
      <protection hidden="1"/>
    </xf>
    <xf numFmtId="0" fontId="104" fillId="0" borderId="0" xfId="6" applyFont="1" applyBorder="1" applyAlignment="1" applyProtection="1">
      <alignment horizontal="center" vertical="center"/>
      <protection hidden="1"/>
    </xf>
    <xf numFmtId="165" fontId="105" fillId="0" borderId="9" xfId="6" applyNumberFormat="1" applyFont="1" applyFill="1" applyBorder="1" applyAlignment="1" applyProtection="1">
      <alignment horizontal="center" vertical="center"/>
      <protection hidden="1"/>
    </xf>
    <xf numFmtId="0" fontId="101" fillId="0" borderId="0" xfId="6" applyNumberFormat="1" applyFont="1" applyFill="1" applyBorder="1" applyAlignment="1" applyProtection="1">
      <alignment horizontal="center" vertical="center"/>
      <protection hidden="1"/>
    </xf>
    <xf numFmtId="0" fontId="101" fillId="0" borderId="9" xfId="6" applyNumberFormat="1" applyFont="1" applyFill="1" applyBorder="1" applyAlignment="1" applyProtection="1">
      <alignment horizontal="center" vertical="center"/>
      <protection hidden="1"/>
    </xf>
    <xf numFmtId="167" fontId="109" fillId="0" borderId="18" xfId="6" applyNumberFormat="1" applyFont="1" applyFill="1" applyBorder="1" applyAlignment="1" applyProtection="1">
      <alignment horizontal="center" vertical="center" wrapText="1"/>
      <protection hidden="1"/>
    </xf>
    <xf numFmtId="167" fontId="109" fillId="0" borderId="19" xfId="6" applyNumberFormat="1" applyFont="1" applyFill="1" applyBorder="1" applyAlignment="1" applyProtection="1">
      <alignment horizontal="center" vertical="center" wrapText="1"/>
      <protection hidden="1"/>
    </xf>
    <xf numFmtId="167" fontId="109" fillId="0" borderId="20" xfId="6" applyNumberFormat="1" applyFont="1" applyFill="1" applyBorder="1" applyAlignment="1" applyProtection="1">
      <alignment horizontal="center" vertical="center" wrapText="1"/>
      <protection hidden="1"/>
    </xf>
    <xf numFmtId="167" fontId="109" fillId="0" borderId="54" xfId="6" applyNumberFormat="1" applyFont="1" applyFill="1" applyBorder="1" applyAlignment="1" applyProtection="1">
      <alignment horizontal="center" vertical="center" wrapText="1"/>
      <protection hidden="1"/>
    </xf>
    <xf numFmtId="167" fontId="109" fillId="0" borderId="0" xfId="6" applyNumberFormat="1" applyFont="1" applyFill="1" applyBorder="1" applyAlignment="1" applyProtection="1">
      <alignment horizontal="center" vertical="center" wrapText="1"/>
      <protection hidden="1"/>
    </xf>
    <xf numFmtId="167" fontId="109" fillId="0" borderId="55" xfId="6" applyNumberFormat="1" applyFont="1" applyFill="1" applyBorder="1" applyAlignment="1" applyProtection="1">
      <alignment horizontal="center" vertical="center" wrapText="1"/>
      <protection hidden="1"/>
    </xf>
    <xf numFmtId="167" fontId="109" fillId="0" borderId="21" xfId="6" applyNumberFormat="1" applyFont="1" applyFill="1" applyBorder="1" applyAlignment="1" applyProtection="1">
      <alignment horizontal="center" vertical="center" wrapText="1"/>
      <protection hidden="1"/>
    </xf>
    <xf numFmtId="167" fontId="109" fillId="0" borderId="22" xfId="6" applyNumberFormat="1" applyFont="1" applyFill="1" applyBorder="1" applyAlignment="1" applyProtection="1">
      <alignment horizontal="center" vertical="center" wrapText="1"/>
      <protection hidden="1"/>
    </xf>
    <xf numFmtId="167" fontId="109" fillId="0" borderId="23" xfId="6" applyNumberFormat="1" applyFont="1" applyFill="1" applyBorder="1" applyAlignment="1" applyProtection="1">
      <alignment horizontal="center" vertical="center" wrapText="1"/>
      <protection hidden="1"/>
    </xf>
    <xf numFmtId="0" fontId="109" fillId="0" borderId="18" xfId="6" applyFont="1" applyFill="1" applyBorder="1" applyAlignment="1" applyProtection="1">
      <alignment horizontal="center" vertical="center" wrapText="1"/>
      <protection hidden="1"/>
    </xf>
    <xf numFmtId="0" fontId="109" fillId="0" borderId="19" xfId="6" applyFont="1" applyFill="1" applyBorder="1" applyAlignment="1" applyProtection="1">
      <alignment horizontal="center" vertical="center" wrapText="1"/>
      <protection hidden="1"/>
    </xf>
    <xf numFmtId="0" fontId="109" fillId="0" borderId="20" xfId="6" applyFont="1" applyFill="1" applyBorder="1" applyAlignment="1" applyProtection="1">
      <alignment horizontal="center" vertical="center" wrapText="1"/>
      <protection hidden="1"/>
    </xf>
    <xf numFmtId="0" fontId="109" fillId="0" borderId="54" xfId="6" applyFont="1" applyFill="1" applyBorder="1" applyAlignment="1" applyProtection="1">
      <alignment horizontal="center" vertical="center" wrapText="1"/>
      <protection hidden="1"/>
    </xf>
    <xf numFmtId="0" fontId="109" fillId="0" borderId="0" xfId="6" applyFont="1" applyFill="1" applyBorder="1" applyAlignment="1" applyProtection="1">
      <alignment horizontal="center" vertical="center" wrapText="1"/>
      <protection hidden="1"/>
    </xf>
    <xf numFmtId="0" fontId="109" fillId="0" borderId="55" xfId="6" applyFont="1" applyFill="1" applyBorder="1" applyAlignment="1" applyProtection="1">
      <alignment horizontal="center" vertical="center" wrapText="1"/>
      <protection hidden="1"/>
    </xf>
    <xf numFmtId="0" fontId="109" fillId="0" borderId="21" xfId="6" applyFont="1" applyFill="1" applyBorder="1" applyAlignment="1" applyProtection="1">
      <alignment horizontal="center" vertical="center" wrapText="1"/>
      <protection hidden="1"/>
    </xf>
    <xf numFmtId="0" fontId="109" fillId="0" borderId="22" xfId="6" applyFont="1" applyFill="1" applyBorder="1" applyAlignment="1" applyProtection="1">
      <alignment horizontal="center" vertical="center" wrapText="1"/>
      <protection hidden="1"/>
    </xf>
    <xf numFmtId="0" fontId="109" fillId="0" borderId="23" xfId="6" applyFont="1" applyFill="1" applyBorder="1" applyAlignment="1" applyProtection="1">
      <alignment horizontal="center" vertical="center" wrapText="1"/>
      <protection hidden="1"/>
    </xf>
    <xf numFmtId="0" fontId="101" fillId="0" borderId="54" xfId="6" quotePrefix="1" applyFont="1" applyFill="1" applyBorder="1" applyAlignment="1" applyProtection="1">
      <alignment horizontal="center" vertical="center"/>
      <protection hidden="1"/>
    </xf>
    <xf numFmtId="0" fontId="95" fillId="0" borderId="19" xfId="6" applyFont="1" applyFill="1" applyBorder="1" applyAlignment="1" applyProtection="1">
      <alignment horizontal="center" vertical="top" wrapText="1"/>
      <protection hidden="1"/>
    </xf>
    <xf numFmtId="0" fontId="94" fillId="0" borderId="0" xfId="6" applyFont="1" applyFill="1" applyBorder="1" applyAlignment="1" applyProtection="1">
      <alignment horizontal="center" vertical="center"/>
      <protection hidden="1"/>
    </xf>
    <xf numFmtId="0" fontId="108" fillId="0" borderId="18" xfId="6" applyFont="1" applyFill="1" applyBorder="1" applyAlignment="1" applyProtection="1">
      <alignment horizontal="center" vertical="center"/>
      <protection locked="0"/>
    </xf>
    <xf numFmtId="0" fontId="108" fillId="0" borderId="19" xfId="6" applyFont="1" applyFill="1" applyBorder="1" applyAlignment="1" applyProtection="1">
      <alignment horizontal="center" vertical="center"/>
      <protection locked="0"/>
    </xf>
    <xf numFmtId="0" fontId="108" fillId="0" borderId="20" xfId="6" applyFont="1" applyFill="1" applyBorder="1" applyAlignment="1" applyProtection="1">
      <alignment horizontal="center" vertical="center"/>
      <protection locked="0"/>
    </xf>
    <xf numFmtId="0" fontId="108" fillId="0" borderId="54" xfId="6" applyFont="1" applyFill="1" applyBorder="1" applyAlignment="1" applyProtection="1">
      <alignment horizontal="center" vertical="center"/>
      <protection locked="0"/>
    </xf>
    <xf numFmtId="0" fontId="108" fillId="0" borderId="0" xfId="6" applyFont="1" applyFill="1" applyBorder="1" applyAlignment="1" applyProtection="1">
      <alignment horizontal="center" vertical="center"/>
      <protection locked="0"/>
    </xf>
    <xf numFmtId="0" fontId="108" fillId="0" borderId="55" xfId="6" applyFont="1" applyFill="1" applyBorder="1" applyAlignment="1" applyProtection="1">
      <alignment horizontal="center" vertical="center"/>
      <protection locked="0"/>
    </xf>
    <xf numFmtId="0" fontId="108" fillId="0" borderId="21" xfId="6" applyFont="1" applyFill="1" applyBorder="1" applyAlignment="1" applyProtection="1">
      <alignment horizontal="center" vertical="center"/>
      <protection locked="0"/>
    </xf>
    <xf numFmtId="0" fontId="108" fillId="0" borderId="22" xfId="6" applyFont="1" applyFill="1" applyBorder="1" applyAlignment="1" applyProtection="1">
      <alignment horizontal="center" vertical="center"/>
      <protection locked="0"/>
    </xf>
    <xf numFmtId="0" fontId="108" fillId="0" borderId="23" xfId="6" applyFont="1" applyFill="1" applyBorder="1" applyAlignment="1" applyProtection="1">
      <alignment horizontal="center" vertical="center"/>
      <protection locked="0"/>
    </xf>
    <xf numFmtId="0" fontId="92" fillId="0" borderId="18" xfId="6" applyFont="1" applyFill="1" applyBorder="1" applyAlignment="1" applyProtection="1">
      <alignment horizontal="center" vertical="center" shrinkToFit="1"/>
      <protection hidden="1"/>
    </xf>
    <xf numFmtId="0" fontId="92" fillId="0" borderId="19" xfId="6" applyFont="1" applyFill="1" applyBorder="1" applyAlignment="1" applyProtection="1">
      <alignment horizontal="center" vertical="center" shrinkToFit="1"/>
      <protection hidden="1"/>
    </xf>
    <xf numFmtId="0" fontId="92" fillId="0" borderId="20" xfId="6" applyFont="1" applyFill="1" applyBorder="1" applyAlignment="1" applyProtection="1">
      <alignment horizontal="center" vertical="center" shrinkToFit="1"/>
      <protection hidden="1"/>
    </xf>
    <xf numFmtId="0" fontId="92" fillId="0" borderId="54" xfId="6" applyFont="1" applyFill="1" applyBorder="1" applyAlignment="1" applyProtection="1">
      <alignment horizontal="center" vertical="center" shrinkToFit="1"/>
      <protection hidden="1"/>
    </xf>
    <xf numFmtId="0" fontId="92" fillId="0" borderId="0" xfId="6" applyFont="1" applyFill="1" applyBorder="1" applyAlignment="1" applyProtection="1">
      <alignment horizontal="center" vertical="center" shrinkToFit="1"/>
      <protection hidden="1"/>
    </xf>
    <xf numFmtId="0" fontId="92" fillId="0" borderId="55" xfId="6" applyFont="1" applyFill="1" applyBorder="1" applyAlignment="1" applyProtection="1">
      <alignment horizontal="center" vertical="center" shrinkToFit="1"/>
      <protection hidden="1"/>
    </xf>
    <xf numFmtId="0" fontId="92" fillId="0" borderId="21" xfId="6" applyFont="1" applyFill="1" applyBorder="1" applyAlignment="1" applyProtection="1">
      <alignment horizontal="center" vertical="center" shrinkToFit="1"/>
      <protection hidden="1"/>
    </xf>
    <xf numFmtId="0" fontId="92" fillId="0" borderId="22" xfId="6" applyFont="1" applyFill="1" applyBorder="1" applyAlignment="1" applyProtection="1">
      <alignment horizontal="center" vertical="center" shrinkToFit="1"/>
      <protection hidden="1"/>
    </xf>
    <xf numFmtId="0" fontId="92" fillId="0" borderId="23" xfId="6" applyFont="1" applyFill="1" applyBorder="1" applyAlignment="1" applyProtection="1">
      <alignment horizontal="center" vertical="center" shrinkToFit="1"/>
      <protection hidden="1"/>
    </xf>
    <xf numFmtId="167" fontId="102" fillId="0" borderId="18" xfId="6" applyNumberFormat="1" applyFont="1" applyFill="1" applyBorder="1" applyAlignment="1" applyProtection="1">
      <alignment horizontal="center" vertical="center"/>
      <protection hidden="1"/>
    </xf>
    <xf numFmtId="167" fontId="102" fillId="0" borderId="19" xfId="6" applyNumberFormat="1" applyFont="1" applyFill="1" applyBorder="1" applyAlignment="1" applyProtection="1">
      <alignment horizontal="center" vertical="center"/>
      <protection hidden="1"/>
    </xf>
    <xf numFmtId="167" fontId="102" fillId="0" borderId="20" xfId="6" applyNumberFormat="1" applyFont="1" applyFill="1" applyBorder="1" applyAlignment="1" applyProtection="1">
      <alignment horizontal="center" vertical="center"/>
      <protection hidden="1"/>
    </xf>
    <xf numFmtId="167" fontId="102" fillId="0" borderId="54" xfId="6" applyNumberFormat="1" applyFont="1" applyFill="1" applyBorder="1" applyAlignment="1" applyProtection="1">
      <alignment horizontal="center" vertical="center"/>
      <protection hidden="1"/>
    </xf>
    <xf numFmtId="167" fontId="102" fillId="0" borderId="0" xfId="6" applyNumberFormat="1" applyFont="1" applyFill="1" applyBorder="1" applyAlignment="1" applyProtection="1">
      <alignment horizontal="center" vertical="center"/>
      <protection hidden="1"/>
    </xf>
    <xf numFmtId="167" fontId="102" fillId="0" borderId="55" xfId="6" applyNumberFormat="1" applyFont="1" applyFill="1" applyBorder="1" applyAlignment="1" applyProtection="1">
      <alignment horizontal="center" vertical="center"/>
      <protection hidden="1"/>
    </xf>
    <xf numFmtId="167" fontId="102" fillId="0" borderId="21" xfId="6" applyNumberFormat="1" applyFont="1" applyFill="1" applyBorder="1" applyAlignment="1" applyProtection="1">
      <alignment horizontal="center" vertical="center"/>
      <protection hidden="1"/>
    </xf>
    <xf numFmtId="167" fontId="102" fillId="0" borderId="22" xfId="6" applyNumberFormat="1" applyFont="1" applyFill="1" applyBorder="1" applyAlignment="1" applyProtection="1">
      <alignment horizontal="center" vertical="center"/>
      <protection hidden="1"/>
    </xf>
    <xf numFmtId="167" fontId="102" fillId="0" borderId="23" xfId="6" applyNumberFormat="1" applyFont="1" applyFill="1" applyBorder="1" applyAlignment="1" applyProtection="1">
      <alignment horizontal="center" vertical="center"/>
      <protection hidden="1"/>
    </xf>
    <xf numFmtId="1" fontId="96" fillId="23" borderId="0" xfId="6" applyNumberFormat="1" applyFont="1" applyFill="1" applyBorder="1" applyAlignment="1" applyProtection="1">
      <alignment horizontal="center" vertical="center"/>
      <protection locked="0"/>
    </xf>
    <xf numFmtId="0" fontId="107" fillId="0" borderId="0" xfId="6" applyFont="1" applyFill="1" applyBorder="1" applyAlignment="1" applyProtection="1">
      <alignment horizontal="center" vertical="center"/>
      <protection hidden="1"/>
    </xf>
    <xf numFmtId="0" fontId="92" fillId="0" borderId="18" xfId="6" applyFont="1" applyFill="1" applyBorder="1" applyAlignment="1" applyProtection="1">
      <alignment horizontal="center" vertical="center"/>
      <protection hidden="1"/>
    </xf>
    <xf numFmtId="0" fontId="92" fillId="0" borderId="19" xfId="6" applyFont="1" applyFill="1" applyBorder="1" applyAlignment="1" applyProtection="1">
      <alignment horizontal="center" vertical="center"/>
      <protection hidden="1"/>
    </xf>
    <xf numFmtId="0" fontId="92" fillId="0" borderId="20" xfId="6" applyFont="1" applyFill="1" applyBorder="1" applyAlignment="1" applyProtection="1">
      <alignment horizontal="center" vertical="center"/>
      <protection hidden="1"/>
    </xf>
    <xf numFmtId="0" fontId="92" fillId="0" borderId="54" xfId="6" applyFont="1" applyFill="1" applyBorder="1" applyAlignment="1" applyProtection="1">
      <alignment horizontal="center" vertical="center"/>
      <protection hidden="1"/>
    </xf>
    <xf numFmtId="0" fontId="92" fillId="0" borderId="0" xfId="6" applyFont="1" applyFill="1" applyBorder="1" applyAlignment="1" applyProtection="1">
      <alignment horizontal="center" vertical="center"/>
      <protection hidden="1"/>
    </xf>
    <xf numFmtId="0" fontId="92" fillId="0" borderId="55" xfId="6" applyFont="1" applyFill="1" applyBorder="1" applyAlignment="1" applyProtection="1">
      <alignment horizontal="center" vertical="center"/>
      <protection hidden="1"/>
    </xf>
    <xf numFmtId="0" fontId="92" fillId="0" borderId="21" xfId="6" applyFont="1" applyFill="1" applyBorder="1" applyAlignment="1" applyProtection="1">
      <alignment horizontal="center" vertical="center"/>
      <protection hidden="1"/>
    </xf>
    <xf numFmtId="0" fontId="92" fillId="0" borderId="22" xfId="6" applyFont="1" applyFill="1" applyBorder="1" applyAlignment="1" applyProtection="1">
      <alignment horizontal="center" vertical="center"/>
      <protection hidden="1"/>
    </xf>
    <xf numFmtId="0" fontId="92" fillId="0" borderId="23" xfId="6" applyFont="1" applyFill="1" applyBorder="1" applyAlignment="1" applyProtection="1">
      <alignment horizontal="center" vertical="center"/>
      <protection hidden="1"/>
    </xf>
    <xf numFmtId="165" fontId="92" fillId="0" borderId="18" xfId="6" applyNumberFormat="1" applyFont="1" applyFill="1" applyBorder="1" applyAlignment="1" applyProtection="1">
      <alignment horizontal="center" vertical="center"/>
      <protection hidden="1"/>
    </xf>
    <xf numFmtId="165" fontId="92" fillId="0" borderId="19" xfId="6" applyNumberFormat="1" applyFont="1" applyFill="1" applyBorder="1" applyAlignment="1" applyProtection="1">
      <alignment horizontal="center" vertical="center"/>
      <protection hidden="1"/>
    </xf>
    <xf numFmtId="165" fontId="92" fillId="0" borderId="20" xfId="6" applyNumberFormat="1" applyFont="1" applyFill="1" applyBorder="1" applyAlignment="1" applyProtection="1">
      <alignment horizontal="center" vertical="center"/>
      <protection hidden="1"/>
    </xf>
    <xf numFmtId="165" fontId="92" fillId="0" borderId="54" xfId="6" applyNumberFormat="1" applyFont="1" applyFill="1" applyBorder="1" applyAlignment="1" applyProtection="1">
      <alignment horizontal="center" vertical="center"/>
      <protection hidden="1"/>
    </xf>
    <xf numFmtId="165" fontId="92" fillId="0" borderId="0" xfId="6" applyNumberFormat="1" applyFont="1" applyFill="1" applyBorder="1" applyAlignment="1" applyProtection="1">
      <alignment horizontal="center" vertical="center"/>
      <protection hidden="1"/>
    </xf>
    <xf numFmtId="165" fontId="92" fillId="0" borderId="55" xfId="6" applyNumberFormat="1" applyFont="1" applyFill="1" applyBorder="1" applyAlignment="1" applyProtection="1">
      <alignment horizontal="center" vertical="center"/>
      <protection hidden="1"/>
    </xf>
    <xf numFmtId="165" fontId="92" fillId="0" borderId="21" xfId="6" applyNumberFormat="1" applyFont="1" applyFill="1" applyBorder="1" applyAlignment="1" applyProtection="1">
      <alignment horizontal="center" vertical="center"/>
      <protection hidden="1"/>
    </xf>
    <xf numFmtId="165" fontId="92" fillId="0" borderId="22" xfId="6" applyNumberFormat="1" applyFont="1" applyFill="1" applyBorder="1" applyAlignment="1" applyProtection="1">
      <alignment horizontal="center" vertical="center"/>
      <protection hidden="1"/>
    </xf>
    <xf numFmtId="165" fontId="92" fillId="0" borderId="23" xfId="6" applyNumberFormat="1" applyFont="1" applyFill="1" applyBorder="1" applyAlignment="1" applyProtection="1">
      <alignment horizontal="center" vertical="center"/>
      <protection hidden="1"/>
    </xf>
    <xf numFmtId="0" fontId="92" fillId="23" borderId="0" xfId="6" applyFont="1" applyFill="1" applyBorder="1" applyAlignment="1" applyProtection="1">
      <alignment horizontal="center" vertical="center"/>
      <protection locked="0"/>
    </xf>
    <xf numFmtId="165" fontId="92" fillId="23" borderId="0" xfId="6" applyNumberFormat="1" applyFont="1" applyFill="1" applyBorder="1" applyAlignment="1" applyProtection="1">
      <alignment horizontal="center" vertical="center"/>
      <protection hidden="1"/>
    </xf>
    <xf numFmtId="1" fontId="102" fillId="0" borderId="18" xfId="6" applyNumberFormat="1" applyFont="1" applyFill="1" applyBorder="1" applyAlignment="1" applyProtection="1">
      <alignment horizontal="center" vertical="center"/>
      <protection hidden="1"/>
    </xf>
    <xf numFmtId="1" fontId="102" fillId="0" borderId="19" xfId="6" applyNumberFormat="1" applyFont="1" applyFill="1" applyBorder="1" applyAlignment="1" applyProtection="1">
      <alignment horizontal="center" vertical="center"/>
      <protection hidden="1"/>
    </xf>
    <xf numFmtId="1" fontId="102" fillId="0" borderId="20" xfId="6" applyNumberFormat="1" applyFont="1" applyFill="1" applyBorder="1" applyAlignment="1" applyProtection="1">
      <alignment horizontal="center" vertical="center"/>
      <protection hidden="1"/>
    </xf>
    <xf numFmtId="1" fontId="102" fillId="0" borderId="54" xfId="6" applyNumberFormat="1" applyFont="1" applyFill="1" applyBorder="1" applyAlignment="1" applyProtection="1">
      <alignment horizontal="center" vertical="center"/>
      <protection hidden="1"/>
    </xf>
    <xf numFmtId="1" fontId="102" fillId="0" borderId="0" xfId="6" applyNumberFormat="1" applyFont="1" applyFill="1" applyBorder="1" applyAlignment="1" applyProtection="1">
      <alignment horizontal="center" vertical="center"/>
      <protection hidden="1"/>
    </xf>
    <xf numFmtId="1" fontId="102" fillId="0" borderId="55" xfId="6" applyNumberFormat="1" applyFont="1" applyFill="1" applyBorder="1" applyAlignment="1" applyProtection="1">
      <alignment horizontal="center" vertical="center"/>
      <protection hidden="1"/>
    </xf>
    <xf numFmtId="1" fontId="102" fillId="0" borderId="21" xfId="6" applyNumberFormat="1" applyFont="1" applyFill="1" applyBorder="1" applyAlignment="1" applyProtection="1">
      <alignment horizontal="center" vertical="center"/>
      <protection hidden="1"/>
    </xf>
    <xf numFmtId="1" fontId="102" fillId="0" borderId="22" xfId="6" applyNumberFormat="1" applyFont="1" applyFill="1" applyBorder="1" applyAlignment="1" applyProtection="1">
      <alignment horizontal="center" vertical="center"/>
      <protection hidden="1"/>
    </xf>
    <xf numFmtId="1" fontId="102" fillId="0" borderId="23" xfId="6" applyNumberFormat="1" applyFont="1" applyFill="1" applyBorder="1" applyAlignment="1" applyProtection="1">
      <alignment horizontal="center" vertical="center"/>
      <protection hidden="1"/>
    </xf>
    <xf numFmtId="0" fontId="98" fillId="43" borderId="0" xfId="6" applyFont="1" applyFill="1" applyBorder="1" applyAlignment="1" applyProtection="1">
      <alignment horizontal="left" vertical="center"/>
      <protection hidden="1"/>
    </xf>
    <xf numFmtId="0" fontId="96" fillId="23" borderId="0" xfId="6" applyFont="1" applyFill="1" applyBorder="1" applyAlignment="1" applyProtection="1">
      <alignment horizontal="center" vertical="center"/>
      <protection locked="0"/>
    </xf>
    <xf numFmtId="0" fontId="94" fillId="0" borderId="0" xfId="6" applyFont="1" applyBorder="1" applyAlignment="1" applyProtection="1">
      <alignment horizontal="center" vertical="center" wrapText="1"/>
      <protection hidden="1"/>
    </xf>
    <xf numFmtId="0" fontId="94" fillId="0" borderId="0" xfId="6" applyFont="1" applyFill="1" applyBorder="1" applyAlignment="1" applyProtection="1">
      <alignment horizontal="center" vertical="center" wrapText="1"/>
      <protection hidden="1"/>
    </xf>
    <xf numFmtId="0" fontId="94" fillId="0" borderId="22" xfId="6" applyFont="1" applyFill="1" applyBorder="1" applyAlignment="1" applyProtection="1">
      <alignment horizontal="center" vertical="center" wrapText="1"/>
      <protection hidden="1"/>
    </xf>
    <xf numFmtId="0" fontId="99" fillId="0" borderId="0" xfId="6" applyFont="1" applyBorder="1" applyAlignment="1" applyProtection="1">
      <alignment horizontal="left" vertical="center" wrapText="1"/>
      <protection hidden="1"/>
    </xf>
    <xf numFmtId="0" fontId="94" fillId="0" borderId="0" xfId="6" applyFont="1" applyBorder="1" applyAlignment="1" applyProtection="1">
      <alignment horizontal="center" vertical="center"/>
      <protection hidden="1"/>
    </xf>
    <xf numFmtId="0" fontId="94" fillId="0" borderId="0" xfId="6" applyFont="1" applyFill="1" applyBorder="1" applyAlignment="1" applyProtection="1">
      <alignment horizontal="left" vertical="center"/>
      <protection hidden="1"/>
    </xf>
    <xf numFmtId="166" fontId="93" fillId="0" borderId="0" xfId="6" applyNumberFormat="1" applyFont="1" applyFill="1" applyBorder="1" applyAlignment="1" applyProtection="1">
      <alignment horizontal="left"/>
      <protection hidden="1"/>
    </xf>
    <xf numFmtId="166" fontId="93" fillId="0" borderId="22" xfId="6" applyNumberFormat="1" applyFont="1" applyFill="1" applyBorder="1" applyAlignment="1" applyProtection="1">
      <alignment horizontal="left"/>
      <protection hidden="1"/>
    </xf>
    <xf numFmtId="0" fontId="93" fillId="0" borderId="0" xfId="6" applyNumberFormat="1" applyFont="1" applyFill="1" applyBorder="1" applyAlignment="1" applyProtection="1">
      <alignment horizontal="left"/>
      <protection hidden="1"/>
    </xf>
    <xf numFmtId="0" fontId="93" fillId="0" borderId="22" xfId="6" applyNumberFormat="1" applyFont="1" applyFill="1" applyBorder="1" applyAlignment="1" applyProtection="1">
      <alignment horizontal="left"/>
      <protection hidden="1"/>
    </xf>
    <xf numFmtId="0" fontId="93" fillId="0" borderId="0" xfId="6" applyFont="1" applyFill="1" applyBorder="1" applyAlignment="1" applyProtection="1">
      <alignment horizontal="left" shrinkToFit="1"/>
      <protection hidden="1"/>
    </xf>
    <xf numFmtId="0" fontId="93" fillId="0" borderId="22" xfId="6" applyFont="1" applyFill="1" applyBorder="1" applyAlignment="1" applyProtection="1">
      <alignment horizontal="left" shrinkToFit="1"/>
      <protection hidden="1"/>
    </xf>
    <xf numFmtId="0" fontId="93" fillId="0" borderId="0" xfId="6" applyFont="1" applyFill="1" applyBorder="1" applyAlignment="1" applyProtection="1">
      <alignment horizontal="left"/>
      <protection hidden="1"/>
    </xf>
    <xf numFmtId="0" fontId="93" fillId="0" borderId="22" xfId="6" applyFont="1" applyFill="1" applyBorder="1" applyAlignment="1" applyProtection="1">
      <alignment horizontal="left"/>
      <protection hidden="1"/>
    </xf>
    <xf numFmtId="3" fontId="93" fillId="0" borderId="0" xfId="6" applyNumberFormat="1" applyFont="1" applyBorder="1" applyAlignment="1" applyProtection="1">
      <alignment horizontal="left"/>
      <protection hidden="1"/>
    </xf>
    <xf numFmtId="3" fontId="93" fillId="0" borderId="22" xfId="6" applyNumberFormat="1" applyFont="1" applyBorder="1" applyAlignment="1" applyProtection="1">
      <alignment horizontal="left"/>
      <protection hidden="1"/>
    </xf>
    <xf numFmtId="0" fontId="92" fillId="0" borderId="0" xfId="6" applyFont="1" applyFill="1" applyBorder="1" applyAlignment="1" applyProtection="1">
      <alignment horizontal="left" shrinkToFit="1"/>
      <protection hidden="1"/>
    </xf>
    <xf numFmtId="0" fontId="92" fillId="0" borderId="22" xfId="6" applyFont="1" applyFill="1" applyBorder="1" applyAlignment="1" applyProtection="1">
      <alignment horizontal="left" shrinkToFit="1"/>
      <protection hidden="1"/>
    </xf>
    <xf numFmtId="3" fontId="93" fillId="0" borderId="0" xfId="6" applyNumberFormat="1" applyFont="1" applyFill="1" applyBorder="1" applyAlignment="1" applyProtection="1">
      <alignment horizontal="left" shrinkToFit="1"/>
      <protection hidden="1"/>
    </xf>
    <xf numFmtId="3" fontId="93" fillId="0" borderId="22" xfId="6" applyNumberFormat="1" applyFont="1" applyFill="1" applyBorder="1" applyAlignment="1" applyProtection="1">
      <alignment horizontal="left" shrinkToFit="1"/>
      <protection hidden="1"/>
    </xf>
    <xf numFmtId="0" fontId="83" fillId="8" borderId="14" xfId="0" applyFont="1" applyFill="1" applyBorder="1" applyAlignment="1">
      <alignment horizontal="center" vertical="center"/>
    </xf>
    <xf numFmtId="0" fontId="83" fillId="8" borderId="15" xfId="0" applyFont="1" applyFill="1" applyBorder="1" applyAlignment="1">
      <alignment horizontal="center" vertical="center"/>
    </xf>
    <xf numFmtId="0" fontId="83" fillId="8" borderId="16" xfId="0" applyFont="1" applyFill="1" applyBorder="1" applyAlignment="1">
      <alignment horizontal="center" vertical="center"/>
    </xf>
    <xf numFmtId="0" fontId="81" fillId="8" borderId="14" xfId="0" applyFont="1" applyFill="1" applyBorder="1" applyAlignment="1">
      <alignment horizontal="center" vertical="center"/>
    </xf>
    <xf numFmtId="0" fontId="81" fillId="8" borderId="16" xfId="0" applyFont="1" applyFill="1" applyBorder="1" applyAlignment="1">
      <alignment horizontal="center" vertical="center"/>
    </xf>
    <xf numFmtId="0" fontId="81" fillId="8" borderId="15" xfId="0" applyFont="1" applyFill="1" applyBorder="1" applyAlignment="1">
      <alignment horizontal="center" vertical="center"/>
    </xf>
    <xf numFmtId="0" fontId="81" fillId="8" borderId="26" xfId="0" applyFont="1" applyFill="1" applyBorder="1" applyAlignment="1">
      <alignment horizontal="center" vertical="center"/>
    </xf>
    <xf numFmtId="0" fontId="81" fillId="8" borderId="33" xfId="0" applyFont="1" applyFill="1" applyBorder="1" applyAlignment="1">
      <alignment horizontal="center" vertical="center"/>
    </xf>
    <xf numFmtId="0" fontId="81" fillId="8" borderId="61" xfId="0" applyFont="1" applyFill="1" applyBorder="1" applyAlignment="1">
      <alignment horizontal="center" vertical="center"/>
    </xf>
    <xf numFmtId="0" fontId="82" fillId="8" borderId="50" xfId="0" applyFont="1" applyFill="1" applyBorder="1" applyAlignment="1">
      <alignment horizontal="center" vertical="center"/>
    </xf>
    <xf numFmtId="0" fontId="82" fillId="8" borderId="51" xfId="0" applyFont="1" applyFill="1" applyBorder="1" applyAlignment="1">
      <alignment horizontal="center" vertical="center"/>
    </xf>
    <xf numFmtId="0" fontId="82" fillId="8" borderId="50" xfId="0" applyFont="1" applyFill="1" applyBorder="1" applyAlignment="1">
      <alignment horizontal="center" vertical="center" wrapText="1"/>
    </xf>
    <xf numFmtId="0" fontId="82" fillId="8" borderId="51" xfId="0" applyFont="1" applyFill="1" applyBorder="1" applyAlignment="1">
      <alignment horizontal="center" vertical="center" wrapText="1"/>
    </xf>
    <xf numFmtId="0" fontId="83" fillId="8" borderId="26" xfId="0" applyFont="1" applyFill="1" applyBorder="1" applyAlignment="1">
      <alignment horizontal="center" vertical="center"/>
    </xf>
    <xf numFmtId="0" fontId="82" fillId="8" borderId="18" xfId="0" applyFont="1" applyFill="1" applyBorder="1" applyAlignment="1">
      <alignment horizontal="center" vertical="center"/>
    </xf>
    <xf numFmtId="0" fontId="82" fillId="8" borderId="21" xfId="0" applyFont="1" applyFill="1" applyBorder="1" applyAlignment="1">
      <alignment horizontal="center" vertical="center"/>
    </xf>
    <xf numFmtId="0" fontId="82" fillId="8" borderId="26" xfId="0" applyFont="1" applyFill="1" applyBorder="1" applyAlignment="1">
      <alignment horizontal="center" vertical="center"/>
    </xf>
    <xf numFmtId="0" fontId="82" fillId="8" borderId="37" xfId="0" applyFont="1" applyFill="1" applyBorder="1" applyAlignment="1">
      <alignment horizontal="center" vertical="center"/>
    </xf>
    <xf numFmtId="0" fontId="83" fillId="8" borderId="20" xfId="0" applyFont="1" applyFill="1" applyBorder="1" applyAlignment="1">
      <alignment horizontal="center" vertical="center"/>
    </xf>
    <xf numFmtId="0" fontId="83" fillId="8" borderId="23" xfId="0" applyFont="1" applyFill="1" applyBorder="1" applyAlignment="1">
      <alignment horizontal="center" vertical="center"/>
    </xf>
    <xf numFmtId="0" fontId="83" fillId="8" borderId="19" xfId="0" applyFont="1" applyFill="1" applyBorder="1" applyAlignment="1">
      <alignment horizontal="center" vertical="center" wrapText="1"/>
    </xf>
    <xf numFmtId="0" fontId="83" fillId="8" borderId="22" xfId="0" applyFont="1" applyFill="1" applyBorder="1" applyAlignment="1">
      <alignment horizontal="center" vertical="center" wrapText="1"/>
    </xf>
    <xf numFmtId="0" fontId="83" fillId="8" borderId="50" xfId="0" applyFont="1" applyFill="1" applyBorder="1" applyAlignment="1">
      <alignment horizontal="center" vertical="center" wrapText="1"/>
    </xf>
    <xf numFmtId="0" fontId="83" fillId="8" borderId="51" xfId="0" applyFont="1" applyFill="1" applyBorder="1" applyAlignment="1">
      <alignment horizontal="center" vertical="center" wrapText="1"/>
    </xf>
    <xf numFmtId="0" fontId="83" fillId="8" borderId="20" xfId="0" applyFont="1" applyFill="1" applyBorder="1" applyAlignment="1">
      <alignment horizontal="center" vertical="center" wrapText="1"/>
    </xf>
    <xf numFmtId="0" fontId="83" fillId="8" borderId="23" xfId="0" applyFont="1" applyFill="1" applyBorder="1" applyAlignment="1">
      <alignment horizontal="center" vertical="center" wrapText="1"/>
    </xf>
    <xf numFmtId="0" fontId="83" fillId="8" borderId="56" xfId="0" applyFont="1" applyFill="1" applyBorder="1" applyAlignment="1">
      <alignment horizontal="center" vertical="center"/>
    </xf>
    <xf numFmtId="0" fontId="83" fillId="8" borderId="57" xfId="0" applyFont="1" applyFill="1" applyBorder="1" applyAlignment="1">
      <alignment horizontal="center" vertical="center"/>
    </xf>
    <xf numFmtId="0" fontId="83" fillId="8" borderId="58" xfId="0" applyFont="1" applyFill="1" applyBorder="1" applyAlignment="1">
      <alignment horizontal="center" vertical="center"/>
    </xf>
    <xf numFmtId="0" fontId="83" fillId="8" borderId="7" xfId="0" applyFont="1" applyFill="1" applyBorder="1" applyAlignment="1">
      <alignment horizontal="center" vertical="center"/>
    </xf>
    <xf numFmtId="0" fontId="83" fillId="8" borderId="44" xfId="0" applyFont="1" applyFill="1" applyBorder="1" applyAlignment="1">
      <alignment horizontal="center" vertical="center"/>
    </xf>
    <xf numFmtId="0" fontId="83" fillId="8" borderId="25" xfId="0" applyFont="1" applyFill="1" applyBorder="1" applyAlignment="1">
      <alignment horizontal="center" vertical="center"/>
    </xf>
    <xf numFmtId="0" fontId="83" fillId="8" borderId="18" xfId="0" applyFont="1" applyFill="1" applyBorder="1" applyAlignment="1">
      <alignment horizontal="center" vertical="center"/>
    </xf>
    <xf numFmtId="0" fontId="83" fillId="8" borderId="19" xfId="0" applyFont="1" applyFill="1" applyBorder="1" applyAlignment="1">
      <alignment horizontal="center" vertical="center"/>
    </xf>
    <xf numFmtId="0" fontId="83" fillId="8" borderId="61" xfId="0" applyFont="1" applyFill="1" applyBorder="1" applyAlignment="1">
      <alignment horizontal="center" vertical="center"/>
    </xf>
    <xf numFmtId="0" fontId="83" fillId="8" borderId="46" xfId="0" applyFont="1" applyFill="1" applyBorder="1" applyAlignment="1">
      <alignment horizontal="center" vertical="center"/>
    </xf>
    <xf numFmtId="0" fontId="81" fillId="8" borderId="45" xfId="0" applyFont="1" applyFill="1" applyBorder="1" applyAlignment="1">
      <alignment horizontal="left"/>
    </xf>
    <xf numFmtId="0" fontId="81" fillId="8" borderId="9" xfId="0" applyFont="1" applyFill="1" applyBorder="1" applyAlignment="1">
      <alignment horizontal="left"/>
    </xf>
    <xf numFmtId="0" fontId="81" fillId="8" borderId="0" xfId="0" applyFont="1" applyFill="1" applyAlignment="1">
      <alignment horizontal="left"/>
    </xf>
    <xf numFmtId="0" fontId="81" fillId="8" borderId="6" xfId="0" applyFont="1" applyFill="1" applyBorder="1" applyAlignment="1">
      <alignment horizontal="left"/>
    </xf>
    <xf numFmtId="0" fontId="81" fillId="8" borderId="8" xfId="0" applyFont="1" applyFill="1" applyBorder="1" applyAlignment="1">
      <alignment horizontal="left"/>
    </xf>
    <xf numFmtId="0" fontId="0" fillId="10" borderId="0" xfId="0" applyFill="1" applyAlignment="1">
      <alignment horizontal="center"/>
    </xf>
    <xf numFmtId="0" fontId="75" fillId="39" borderId="0" xfId="0" applyFont="1" applyFill="1" applyAlignment="1">
      <alignment horizontal="center"/>
    </xf>
    <xf numFmtId="0" fontId="0" fillId="11" borderId="0" xfId="0" applyFill="1" applyAlignment="1">
      <alignment horizontal="center"/>
    </xf>
    <xf numFmtId="0" fontId="43" fillId="4" borderId="33" xfId="0" applyFont="1" applyFill="1" applyBorder="1" applyAlignment="1">
      <alignment horizontal="center" vertical="center"/>
    </xf>
    <xf numFmtId="0" fontId="43" fillId="4" borderId="34" xfId="0" applyFont="1" applyFill="1" applyBorder="1" applyAlignment="1">
      <alignment horizontal="center" vertical="center"/>
    </xf>
    <xf numFmtId="0" fontId="43" fillId="4" borderId="35" xfId="0" applyFont="1" applyFill="1" applyBorder="1" applyAlignment="1">
      <alignment horizontal="center" vertical="center"/>
    </xf>
    <xf numFmtId="0" fontId="44" fillId="2" borderId="46" xfId="0" applyFont="1" applyFill="1" applyBorder="1" applyAlignment="1" applyProtection="1">
      <alignment horizontal="center" vertical="center"/>
      <protection locked="0"/>
    </xf>
    <xf numFmtId="0" fontId="44" fillId="2" borderId="47" xfId="0" applyFont="1" applyFill="1" applyBorder="1" applyAlignment="1" applyProtection="1">
      <alignment horizontal="center" vertical="center"/>
      <protection locked="0"/>
    </xf>
    <xf numFmtId="0" fontId="44" fillId="2" borderId="48" xfId="0" applyFont="1" applyFill="1" applyBorder="1" applyAlignment="1" applyProtection="1">
      <alignment horizontal="center" vertical="center"/>
      <protection locked="0"/>
    </xf>
    <xf numFmtId="0" fontId="44" fillId="6" borderId="0" xfId="0" applyFont="1" applyFill="1" applyBorder="1" applyAlignment="1" applyProtection="1">
      <alignment horizontal="center" vertical="center"/>
      <protection locked="0"/>
    </xf>
    <xf numFmtId="0" fontId="44" fillId="5" borderId="0" xfId="0" applyFont="1" applyFill="1" applyBorder="1" applyAlignment="1" applyProtection="1">
      <alignment horizontal="center" vertical="center"/>
      <protection hidden="1"/>
    </xf>
    <xf numFmtId="0" fontId="44" fillId="2" borderId="0" xfId="0" applyFont="1" applyFill="1" applyBorder="1" applyAlignment="1" applyProtection="1">
      <alignment horizontal="center" vertical="center"/>
      <protection locked="0"/>
    </xf>
    <xf numFmtId="0" fontId="116" fillId="0" borderId="0" xfId="0" applyFont="1"/>
    <xf numFmtId="0" fontId="117" fillId="0" borderId="0" xfId="0" applyFont="1" applyAlignment="1">
      <alignment horizontal="left" vertical="center" wrapText="1" indent="1"/>
    </xf>
    <xf numFmtId="0" fontId="117" fillId="0" borderId="0" xfId="0" applyFont="1" applyAlignment="1">
      <alignment horizontal="left" vertical="center" indent="1"/>
    </xf>
    <xf numFmtId="0" fontId="117" fillId="0" borderId="0" xfId="0" applyFont="1"/>
  </cellXfs>
  <cellStyles count="7">
    <cellStyle name="Normal 2" xfId="2"/>
    <cellStyle name="Гиперссылка" xfId="5" builtinId="8"/>
    <cellStyle name="Обычный" xfId="0" builtinId="0"/>
    <cellStyle name="Обычный 2" xfId="1"/>
    <cellStyle name="Обычный 3" xfId="3"/>
    <cellStyle name="Обычный 4" xfId="6"/>
    <cellStyle name="Хороший 2" xfId="4"/>
  </cellStyles>
  <dxfs count="164">
    <dxf>
      <font>
        <color theme="0" tint="-4.9989318521683403E-2"/>
      </font>
      <fill>
        <patternFill>
          <bgColor theme="0" tint="-4.9989318521683403E-2"/>
        </patternFill>
      </fill>
      <border>
        <left/>
        <right/>
        <top/>
        <bottom/>
        <vertical/>
        <horizontal/>
      </border>
    </dxf>
    <dxf>
      <font>
        <color rgb="FF9C0006"/>
      </font>
      <fill>
        <patternFill>
          <bgColor rgb="FFFFC7CE"/>
        </patternFill>
      </fill>
    </dxf>
    <dxf>
      <font>
        <color rgb="FF9C0006"/>
      </font>
      <fill>
        <patternFill>
          <bgColor rgb="FFFFC7CE"/>
        </patternFill>
      </fill>
    </dxf>
    <dxf>
      <font>
        <b/>
        <i val="0"/>
        <strike val="0"/>
        <u val="none"/>
      </font>
      <numFmt numFmtId="0" formatCode="General"/>
      <fill>
        <patternFill>
          <bgColor theme="6" tint="0.39994506668294322"/>
        </patternFill>
      </fill>
      <border>
        <left style="thin">
          <color auto="1"/>
        </left>
        <right style="thin">
          <color auto="1"/>
        </right>
        <top style="thin">
          <color auto="1"/>
        </top>
        <bottom style="thin">
          <color auto="1"/>
        </bottom>
        <vertical/>
        <horizontal/>
      </border>
    </dxf>
    <dxf>
      <font>
        <b/>
        <i val="0"/>
        <strike val="0"/>
        <u val="none"/>
      </font>
      <numFmt numFmtId="0" formatCode="General"/>
      <fill>
        <patternFill>
          <bgColor theme="6" tint="0.39994506668294322"/>
        </patternFill>
      </fill>
      <border>
        <left style="thin">
          <color auto="1"/>
        </left>
        <right style="thin">
          <color auto="1"/>
        </right>
        <top style="thin">
          <color auto="1"/>
        </top>
        <bottom style="thin">
          <color auto="1"/>
        </bottom>
        <vertical/>
        <horizontal/>
      </border>
    </dxf>
    <dxf>
      <font>
        <color theme="0"/>
      </font>
      <fill>
        <patternFill>
          <bgColor rgb="FF7030A0"/>
        </patternFill>
      </fill>
    </dxf>
    <dxf>
      <font>
        <b/>
        <i val="0"/>
        <color theme="0"/>
      </font>
      <fill>
        <patternFill>
          <bgColor rgb="FFC00000"/>
        </patternFill>
      </fill>
    </dxf>
    <dxf>
      <border>
        <left style="thin">
          <color rgb="FFC00000"/>
        </left>
        <right style="thin">
          <color rgb="FFC00000"/>
        </right>
        <top style="thin">
          <color rgb="FFC00000"/>
        </top>
        <bottom style="thin">
          <color rgb="FFC00000"/>
        </bottom>
        <vertical/>
        <horizontal/>
      </border>
    </dxf>
    <dxf>
      <border>
        <left style="thin">
          <color theme="9"/>
        </left>
        <right style="thin">
          <color theme="9"/>
        </right>
        <top style="thin">
          <color theme="9"/>
        </top>
        <bottom style="thin">
          <color theme="9"/>
        </bottom>
        <vertical/>
        <horizontal/>
      </border>
    </dxf>
    <dxf>
      <font>
        <b/>
        <i val="0"/>
        <color theme="0"/>
      </font>
      <fill>
        <patternFill>
          <bgColor theme="9"/>
        </patternFill>
      </fill>
    </dxf>
    <dxf>
      <font>
        <color theme="0"/>
      </font>
      <fill>
        <patternFill>
          <bgColor rgb="FF7030A0"/>
        </patternFill>
      </fill>
    </dxf>
    <dxf>
      <font>
        <color theme="0"/>
      </font>
      <fill>
        <patternFill>
          <bgColor theme="9"/>
        </patternFill>
      </fill>
    </dxf>
    <dxf>
      <font>
        <color theme="0"/>
      </font>
      <fill>
        <patternFill>
          <bgColor theme="5"/>
        </patternFill>
      </fill>
    </dxf>
    <dxf>
      <font>
        <color theme="0"/>
      </font>
      <fill>
        <patternFill>
          <bgColor theme="7"/>
        </patternFill>
      </fill>
    </dxf>
    <dxf>
      <font>
        <color theme="0"/>
      </font>
      <fill>
        <patternFill>
          <bgColor theme="8"/>
        </patternFill>
      </fill>
    </dxf>
    <dxf>
      <font>
        <color theme="0"/>
      </font>
    </dxf>
    <dxf>
      <font>
        <color theme="0"/>
      </font>
    </dxf>
    <dxf>
      <font>
        <color theme="0"/>
      </font>
    </dxf>
    <dxf>
      <font>
        <color theme="0"/>
      </font>
    </dxf>
    <dxf>
      <font>
        <color theme="0"/>
      </font>
    </dxf>
    <dxf>
      <font>
        <color theme="0"/>
      </font>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FF99"/>
      <color rgb="FF00FF00"/>
      <color rgb="FFCCFFCC"/>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24</xdr:col>
          <xdr:colOff>333375</xdr:colOff>
          <xdr:row>46</xdr:row>
          <xdr:rowOff>38100</xdr:rowOff>
        </xdr:from>
        <xdr:to>
          <xdr:col>26</xdr:col>
          <xdr:colOff>295275</xdr:colOff>
          <xdr:row>49</xdr:row>
          <xdr:rowOff>104775</xdr:rowOff>
        </xdr:to>
        <xdr:sp macro="" textlink="">
          <xdr:nvSpPr>
            <xdr:cNvPr id="32779" name="Button 11" hidden="1">
              <a:extLst>
                <a:ext uri="{63B3BB69-23CF-44E3-9099-C40C66FF867C}">
                  <a14:compatExt spid="_x0000_s3277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ru-RU" sz="1100" b="0" i="0" u="none" strike="noStrike" baseline="0">
                  <a:solidFill>
                    <a:srgbClr val="000000"/>
                  </a:solidFill>
                  <a:latin typeface="Calibri"/>
                  <a:cs typeface="Calibri"/>
                </a:rPr>
                <a:t>Кнопка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133350</xdr:colOff>
          <xdr:row>3</xdr:row>
          <xdr:rowOff>85725</xdr:rowOff>
        </xdr:from>
        <xdr:to>
          <xdr:col>18</xdr:col>
          <xdr:colOff>47625</xdr:colOff>
          <xdr:row>5</xdr:row>
          <xdr:rowOff>76200</xdr:rowOff>
        </xdr:to>
        <xdr:sp macro="" textlink="">
          <xdr:nvSpPr>
            <xdr:cNvPr id="32787" name="Button 19" hidden="1">
              <a:extLst>
                <a:ext uri="{63B3BB69-23CF-44E3-9099-C40C66FF867C}">
                  <a14:compatExt spid="_x0000_s3278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ru-RU" sz="1100" b="0" i="0" u="none" strike="noStrike" baseline="0">
                  <a:solidFill>
                    <a:srgbClr val="000000"/>
                  </a:solidFill>
                  <a:latin typeface="Calibri"/>
                  <a:cs typeface="Calibri"/>
                </a:rPr>
                <a:t>Reset All Data</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91</xdr:col>
      <xdr:colOff>38102</xdr:colOff>
      <xdr:row>2</xdr:row>
      <xdr:rowOff>123823</xdr:rowOff>
    </xdr:from>
    <xdr:to>
      <xdr:col>98</xdr:col>
      <xdr:colOff>139201</xdr:colOff>
      <xdr:row>11</xdr:row>
      <xdr:rowOff>12223</xdr:rowOff>
    </xdr:to>
    <xdr:pic>
      <xdr:nvPicPr>
        <xdr:cNvPr id="2" name="Picture 2" descr="https://d13yacurqjgara.cloudfront.net/users/1784/screenshots/1561047/d435.jpg"/>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00" t="22000" r="51125" b="22001"/>
        <a:stretch/>
      </xdr:blipFill>
      <xdr:spPr bwMode="auto">
        <a:xfrm>
          <a:off x="15516227" y="323848"/>
          <a:ext cx="1301249" cy="12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alikhovAV\Desktop\ForgedAnvil%20D&amp;D%205E%20Character%20Generator%20v1.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Spellcasting"/>
      <sheetName val="Tables"/>
      <sheetName val="Character Sheet I"/>
      <sheetName val="Character Sheet II"/>
      <sheetName val="Character Sheet III"/>
      <sheetName val="Character Sheet IV"/>
    </sheetNames>
    <sheetDataSet>
      <sheetData sheetId="0">
        <row r="5">
          <cell r="AR5" t="str">
            <v/>
          </cell>
        </row>
        <row r="6">
          <cell r="AR6" t="str">
            <v/>
          </cell>
        </row>
        <row r="7">
          <cell r="AR7" t="str">
            <v/>
          </cell>
        </row>
        <row r="8">
          <cell r="AR8" t="str">
            <v/>
          </cell>
        </row>
        <row r="9">
          <cell r="AR9" t="str">
            <v/>
          </cell>
        </row>
        <row r="10">
          <cell r="AR10" t="str">
            <v/>
          </cell>
        </row>
        <row r="16">
          <cell r="K16">
            <v>0</v>
          </cell>
        </row>
        <row r="17">
          <cell r="AC17" t="str">
            <v/>
          </cell>
          <cell r="AF17">
            <v>0</v>
          </cell>
          <cell r="AL17" t="str">
            <v/>
          </cell>
        </row>
        <row r="19">
          <cell r="K19">
            <v>0</v>
          </cell>
        </row>
        <row r="20">
          <cell r="K20" t="str">
            <v>Select…</v>
          </cell>
        </row>
        <row r="21">
          <cell r="K21" t="str">
            <v>Select…</v>
          </cell>
        </row>
        <row r="22">
          <cell r="K22" t="str">
            <v/>
          </cell>
        </row>
        <row r="23">
          <cell r="K23" t="str">
            <v/>
          </cell>
        </row>
        <row r="25">
          <cell r="K25" t="str">
            <v>Select…</v>
          </cell>
        </row>
        <row r="28">
          <cell r="C28" t="str">
            <v>Select…</v>
          </cell>
        </row>
        <row r="30">
          <cell r="C30" t="str">
            <v>Select…</v>
          </cell>
        </row>
        <row r="32">
          <cell r="C32" t="str">
            <v>Select…</v>
          </cell>
        </row>
        <row r="35">
          <cell r="C35" t="str">
            <v>Select…</v>
          </cell>
        </row>
        <row r="38">
          <cell r="C38" t="str">
            <v>Select…</v>
          </cell>
        </row>
        <row r="41">
          <cell r="C41" t="str">
            <v>Select…</v>
          </cell>
        </row>
        <row r="43">
          <cell r="K43" t="str">
            <v>Select…</v>
          </cell>
          <cell r="AN43" t="str">
            <v/>
          </cell>
        </row>
        <row r="44">
          <cell r="K44">
            <v>0</v>
          </cell>
        </row>
        <row r="46">
          <cell r="AC46" t="str">
            <v/>
          </cell>
        </row>
        <row r="47">
          <cell r="K47">
            <v>0</v>
          </cell>
        </row>
        <row r="48">
          <cell r="K48">
            <v>0</v>
          </cell>
        </row>
        <row r="49">
          <cell r="K49">
            <v>0</v>
          </cell>
          <cell r="AJ49" t="str">
            <v>Select…</v>
          </cell>
        </row>
        <row r="50">
          <cell r="K50">
            <v>0</v>
          </cell>
          <cell r="AJ50" t="str">
            <v>Select…</v>
          </cell>
        </row>
        <row r="51">
          <cell r="K51">
            <v>0</v>
          </cell>
          <cell r="AJ51" t="str">
            <v>Select…</v>
          </cell>
        </row>
        <row r="52">
          <cell r="K52" t="str">
            <v>Select…</v>
          </cell>
          <cell r="AJ52" t="str">
            <v>Select…</v>
          </cell>
        </row>
        <row r="54">
          <cell r="AJ54" t="str">
            <v>Select…</v>
          </cell>
        </row>
        <row r="55">
          <cell r="K55" t="str">
            <v>Select…</v>
          </cell>
        </row>
        <row r="143">
          <cell r="Y143" t="str">
            <v/>
          </cell>
          <cell r="AG143" t="str">
            <v/>
          </cell>
        </row>
        <row r="145">
          <cell r="Y145" t="str">
            <v/>
          </cell>
          <cell r="AV145" t="str">
            <v/>
          </cell>
          <cell r="BD145" t="str">
            <v/>
          </cell>
          <cell r="BL145" t="str">
            <v/>
          </cell>
          <cell r="BT145" t="str">
            <v/>
          </cell>
          <cell r="CB145" t="str">
            <v/>
          </cell>
          <cell r="CJ145" t="str">
            <v/>
          </cell>
        </row>
        <row r="147">
          <cell r="Y147" t="str">
            <v/>
          </cell>
          <cell r="AG147" t="str">
            <v/>
          </cell>
        </row>
        <row r="148">
          <cell r="Y148" t="str">
            <v/>
          </cell>
        </row>
        <row r="149">
          <cell r="Y149" t="str">
            <v/>
          </cell>
          <cell r="AV149" t="str">
            <v/>
          </cell>
          <cell r="BD149" t="str">
            <v/>
          </cell>
          <cell r="BL149" t="str">
            <v/>
          </cell>
          <cell r="BT149" t="str">
            <v/>
          </cell>
          <cell r="CB149" t="str">
            <v/>
          </cell>
          <cell r="CJ149" t="str">
            <v/>
          </cell>
        </row>
        <row r="150">
          <cell r="Y150" t="str">
            <v/>
          </cell>
          <cell r="AV150" t="str">
            <v/>
          </cell>
          <cell r="BD150" t="str">
            <v/>
          </cell>
          <cell r="BL150" t="str">
            <v/>
          </cell>
          <cell r="BT150" t="str">
            <v/>
          </cell>
          <cell r="CB150" t="str">
            <v/>
          </cell>
          <cell r="CJ150" t="str">
            <v/>
          </cell>
        </row>
        <row r="151">
          <cell r="Y151" t="str">
            <v/>
          </cell>
          <cell r="AG151" t="str">
            <v/>
          </cell>
          <cell r="AV151" t="str">
            <v/>
          </cell>
          <cell r="BD151" t="str">
            <v/>
          </cell>
          <cell r="BL151" t="str">
            <v/>
          </cell>
          <cell r="BT151" t="str">
            <v/>
          </cell>
          <cell r="CB151" t="str">
            <v/>
          </cell>
          <cell r="CJ151" t="str">
            <v/>
          </cell>
        </row>
        <row r="152">
          <cell r="Y152" t="str">
            <v/>
          </cell>
          <cell r="AG152" t="str">
            <v/>
          </cell>
          <cell r="AV152" t="str">
            <v/>
          </cell>
          <cell r="BD152" t="str">
            <v/>
          </cell>
          <cell r="BL152" t="str">
            <v/>
          </cell>
          <cell r="BT152" t="str">
            <v/>
          </cell>
          <cell r="CB152" t="str">
            <v/>
          </cell>
          <cell r="CJ152" t="str">
            <v/>
          </cell>
        </row>
        <row r="154">
          <cell r="AV154" t="str">
            <v/>
          </cell>
          <cell r="BD154" t="str">
            <v/>
          </cell>
          <cell r="BL154" t="str">
            <v/>
          </cell>
          <cell r="BT154" t="str">
            <v/>
          </cell>
          <cell r="CB154" t="str">
            <v/>
          </cell>
          <cell r="CJ154" t="str">
            <v/>
          </cell>
        </row>
      </sheetData>
      <sheetData sheetId="1">
        <row r="4">
          <cell r="J4" t="str">
            <v>-</v>
          </cell>
        </row>
        <row r="6">
          <cell r="AQ6">
            <v>0</v>
          </cell>
          <cell r="BE6">
            <v>0</v>
          </cell>
          <cell r="BS6">
            <v>0</v>
          </cell>
        </row>
        <row r="7">
          <cell r="AQ7">
            <v>0</v>
          </cell>
          <cell r="BE7">
            <v>0</v>
          </cell>
          <cell r="BS7">
            <v>0</v>
          </cell>
        </row>
        <row r="8">
          <cell r="AQ8">
            <v>0</v>
          </cell>
          <cell r="BE8">
            <v>0</v>
          </cell>
          <cell r="BS8">
            <v>0</v>
          </cell>
        </row>
        <row r="9">
          <cell r="AQ9">
            <v>0</v>
          </cell>
          <cell r="BE9">
            <v>0</v>
          </cell>
          <cell r="BS9">
            <v>0</v>
          </cell>
        </row>
        <row r="10">
          <cell r="AQ10">
            <v>0</v>
          </cell>
          <cell r="BE10">
            <v>0</v>
          </cell>
          <cell r="BS10">
            <v>0</v>
          </cell>
        </row>
        <row r="11">
          <cell r="D11" t="str">
            <v/>
          </cell>
          <cell r="AQ11">
            <v>0</v>
          </cell>
          <cell r="BE11">
            <v>0</v>
          </cell>
          <cell r="BS11">
            <v>0</v>
          </cell>
        </row>
        <row r="12">
          <cell r="D12" t="str">
            <v/>
          </cell>
          <cell r="AQ12">
            <v>0</v>
          </cell>
          <cell r="BE12">
            <v>0</v>
          </cell>
          <cell r="BS12">
            <v>0</v>
          </cell>
        </row>
        <row r="13">
          <cell r="D13" t="str">
            <v/>
          </cell>
          <cell r="AQ13">
            <v>0</v>
          </cell>
          <cell r="BE13">
            <v>0</v>
          </cell>
          <cell r="BS13">
            <v>0</v>
          </cell>
        </row>
        <row r="14">
          <cell r="AQ14">
            <v>0</v>
          </cell>
          <cell r="BE14">
            <v>0</v>
          </cell>
          <cell r="BS14">
            <v>0</v>
          </cell>
        </row>
        <row r="15">
          <cell r="AQ15">
            <v>0</v>
          </cell>
          <cell r="BE15">
            <v>0</v>
          </cell>
          <cell r="BS15">
            <v>0</v>
          </cell>
        </row>
        <row r="16">
          <cell r="AQ16">
            <v>0</v>
          </cell>
          <cell r="BE16">
            <v>0</v>
          </cell>
          <cell r="BS16">
            <v>0</v>
          </cell>
        </row>
        <row r="17">
          <cell r="AQ17">
            <v>0</v>
          </cell>
          <cell r="BE17">
            <v>0</v>
          </cell>
          <cell r="BS17">
            <v>0</v>
          </cell>
        </row>
        <row r="18">
          <cell r="AQ18">
            <v>0</v>
          </cell>
          <cell r="BE18">
            <v>0</v>
          </cell>
          <cell r="BS18">
            <v>0</v>
          </cell>
        </row>
        <row r="19">
          <cell r="AQ19">
            <v>0</v>
          </cell>
          <cell r="BE19">
            <v>0</v>
          </cell>
          <cell r="BS19">
            <v>0</v>
          </cell>
        </row>
        <row r="20">
          <cell r="AQ20">
            <v>0</v>
          </cell>
          <cell r="BE20">
            <v>0</v>
          </cell>
          <cell r="BS20">
            <v>0</v>
          </cell>
        </row>
        <row r="21">
          <cell r="AQ21">
            <v>0</v>
          </cell>
          <cell r="BE21">
            <v>0</v>
          </cell>
          <cell r="BS21">
            <v>0</v>
          </cell>
        </row>
        <row r="22">
          <cell r="AQ22">
            <v>0</v>
          </cell>
          <cell r="BE22">
            <v>0</v>
          </cell>
          <cell r="BS22">
            <v>0</v>
          </cell>
        </row>
        <row r="23">
          <cell r="AQ23">
            <v>0</v>
          </cell>
          <cell r="BE23">
            <v>0</v>
          </cell>
          <cell r="BS23">
            <v>0</v>
          </cell>
        </row>
        <row r="24">
          <cell r="AQ24">
            <v>0</v>
          </cell>
          <cell r="BE24">
            <v>0</v>
          </cell>
          <cell r="BS24">
            <v>0</v>
          </cell>
        </row>
        <row r="25">
          <cell r="AQ25">
            <v>0</v>
          </cell>
          <cell r="BE25">
            <v>0</v>
          </cell>
          <cell r="BS25">
            <v>0</v>
          </cell>
        </row>
      </sheetData>
      <sheetData sheetId="2">
        <row r="2">
          <cell r="AC2" t="str">
            <v>Select…</v>
          </cell>
          <cell r="AN2">
            <v>0</v>
          </cell>
          <cell r="BF2" t="str">
            <v/>
          </cell>
          <cell r="BT2" t="str">
            <v/>
          </cell>
          <cell r="DK2" t="str">
            <v>Select…</v>
          </cell>
          <cell r="GI2" t="str">
            <v>Select…</v>
          </cell>
          <cell r="IW2" t="str">
            <v>Select…</v>
          </cell>
          <cell r="JC2" t="str">
            <v>Select…</v>
          </cell>
          <cell r="JE2" t="str">
            <v>Select…</v>
          </cell>
          <cell r="JW2" t="str">
            <v>Select…</v>
          </cell>
          <cell r="LO2" t="str">
            <v/>
          </cell>
          <cell r="UC2" t="str">
            <v>Select…</v>
          </cell>
          <cell r="XW2" t="str">
            <v/>
          </cell>
          <cell r="XX2" t="str">
            <v/>
          </cell>
          <cell r="YG2" t="str">
            <v>Select…</v>
          </cell>
        </row>
        <row r="3">
          <cell r="AB3" t="str">
            <v>Select…</v>
          </cell>
          <cell r="AN3">
            <v>1</v>
          </cell>
          <cell r="BF3" t="str">
            <v>STR</v>
          </cell>
          <cell r="BN3" t="str">
            <v/>
          </cell>
          <cell r="DK3" t="str">
            <v>Arctic</v>
          </cell>
          <cell r="FY3" t="str">
            <v>Select…</v>
          </cell>
          <cell r="GI3" t="str">
            <v>Commander’s Strike</v>
          </cell>
          <cell r="GX3" t="str">
            <v>Select…</v>
          </cell>
          <cell r="HF3" t="str">
            <v>Select…</v>
          </cell>
          <cell r="HK3" t="str">
            <v>Select…</v>
          </cell>
          <cell r="HS3" t="str">
            <v>Select…</v>
          </cell>
          <cell r="HU3" t="str">
            <v>Select…</v>
          </cell>
          <cell r="IB3" t="str">
            <v>Select…</v>
          </cell>
          <cell r="IF3" t="str">
            <v>Select…</v>
          </cell>
          <cell r="IK3" t="str">
            <v>Select…</v>
          </cell>
          <cell r="IW3" t="str">
            <v>Armor of Shadows</v>
          </cell>
          <cell r="JC3" t="str">
            <v>Pact of the Blade</v>
          </cell>
          <cell r="JE3" t="str">
            <v>Darkvision 60ft</v>
          </cell>
          <cell r="JL3" t="str">
            <v>Select…</v>
          </cell>
          <cell r="JN3" t="str">
            <v>Select…</v>
          </cell>
          <cell r="JW3" t="str">
            <v>Common</v>
          </cell>
          <cell r="LO3" t="str">
            <v/>
          </cell>
          <cell r="QR3" t="str">
            <v>Select…</v>
          </cell>
          <cell r="TJ3" t="str">
            <v>Select…</v>
          </cell>
          <cell r="TS3" t="str">
            <v>Select…</v>
          </cell>
          <cell r="UC3" t="str">
            <v>Abi-Dalzim’s Horrid Wilting</v>
          </cell>
          <cell r="XV3" t="str">
            <v/>
          </cell>
          <cell r="XW3" t="str">
            <v/>
          </cell>
          <cell r="XX3" t="str">
            <v/>
          </cell>
          <cell r="XY3" t="str">
            <v/>
          </cell>
          <cell r="XZ3" t="str">
            <v/>
          </cell>
          <cell r="YA3" t="str">
            <v/>
          </cell>
          <cell r="YB3" t="str">
            <v/>
          </cell>
          <cell r="YC3" t="str">
            <v/>
          </cell>
          <cell r="YD3" t="str">
            <v/>
          </cell>
          <cell r="YE3" t="str">
            <v/>
          </cell>
          <cell r="YF3" t="str">
            <v/>
          </cell>
          <cell r="YG3" t="str">
            <v>Beast</v>
          </cell>
        </row>
        <row r="4">
          <cell r="A4" t="str">
            <v>Select…</v>
          </cell>
          <cell r="AA4" t="str">
            <v/>
          </cell>
          <cell r="AB4" t="str">
            <v>none</v>
          </cell>
          <cell r="AE4" t="str">
            <v>Select…</v>
          </cell>
          <cell r="AN4">
            <v>2</v>
          </cell>
          <cell r="AP4" t="str">
            <v>Select…</v>
          </cell>
          <cell r="BF4" t="str">
            <v>DEX</v>
          </cell>
          <cell r="BN4" t="str">
            <v/>
          </cell>
          <cell r="DK4" t="str">
            <v>Coast</v>
          </cell>
          <cell r="FY4" t="str">
            <v/>
          </cell>
          <cell r="GI4" t="str">
            <v>Disarming Attack</v>
          </cell>
          <cell r="GX4" t="str">
            <v/>
          </cell>
          <cell r="HF4" t="str">
            <v/>
          </cell>
          <cell r="HK4" t="str">
            <v>Bear</v>
          </cell>
          <cell r="HS4" t="str">
            <v>aberrations</v>
          </cell>
          <cell r="HU4" t="str">
            <v>aasimar</v>
          </cell>
          <cell r="IB4" t="str">
            <v>Arctic</v>
          </cell>
          <cell r="IF4" t="str">
            <v>Colossus Slayer</v>
          </cell>
          <cell r="IK4" t="str">
            <v>Careful Spell</v>
          </cell>
          <cell r="IW4" t="str">
            <v>Beast Speech</v>
          </cell>
          <cell r="JC4" t="str">
            <v>Pact of the Chain</v>
          </cell>
          <cell r="JE4" t="str">
            <v xml:space="preserve">Increase in speed of 10 feet </v>
          </cell>
          <cell r="JL4" t="str">
            <v>Lawful Good</v>
          </cell>
          <cell r="JN4" t="str">
            <v>--------------------FORGOTTEN REALMS--------------------</v>
          </cell>
          <cell r="JW4" t="str">
            <v>Dwarvish</v>
          </cell>
          <cell r="LO4" t="str">
            <v>none</v>
          </cell>
          <cell r="QR4" t="str">
            <v>Battleaxe</v>
          </cell>
          <cell r="RK4">
            <v>1</v>
          </cell>
          <cell r="TJ4" t="str">
            <v>none</v>
          </cell>
          <cell r="TS4" t="str">
            <v>none</v>
          </cell>
          <cell r="UC4" t="str">
            <v>Absorb Elements</v>
          </cell>
          <cell r="XV4" t="str">
            <v/>
          </cell>
          <cell r="XW4" t="str">
            <v/>
          </cell>
          <cell r="XX4" t="str">
            <v/>
          </cell>
          <cell r="XY4" t="str">
            <v/>
          </cell>
          <cell r="XZ4" t="str">
            <v/>
          </cell>
          <cell r="YA4" t="str">
            <v/>
          </cell>
          <cell r="YB4" t="str">
            <v/>
          </cell>
          <cell r="YC4" t="str">
            <v/>
          </cell>
          <cell r="YD4" t="str">
            <v/>
          </cell>
          <cell r="YE4" t="str">
            <v/>
          </cell>
          <cell r="YF4" t="str">
            <v/>
          </cell>
          <cell r="YG4" t="str">
            <v>Celestial</v>
          </cell>
          <cell r="YI4" t="str">
            <v>Select…</v>
          </cell>
        </row>
        <row r="5">
          <cell r="A5" t="str">
            <v>Dwarf</v>
          </cell>
          <cell r="AA5" t="str">
            <v/>
          </cell>
          <cell r="AB5" t="str">
            <v>Male</v>
          </cell>
          <cell r="AE5" t="str">
            <v>Acolyte</v>
          </cell>
          <cell r="AN5">
            <v>3</v>
          </cell>
          <cell r="AP5" t="str">
            <v/>
          </cell>
          <cell r="BF5" t="str">
            <v>CON</v>
          </cell>
          <cell r="BN5" t="str">
            <v/>
          </cell>
          <cell r="DK5" t="str">
            <v>Desert</v>
          </cell>
          <cell r="FY5" t="str">
            <v/>
          </cell>
          <cell r="GI5" t="str">
            <v>Distracting Strike</v>
          </cell>
          <cell r="GX5" t="str">
            <v/>
          </cell>
          <cell r="HF5" t="str">
            <v/>
          </cell>
          <cell r="HK5" t="str">
            <v>Eagle</v>
          </cell>
          <cell r="HS5" t="str">
            <v>beasts</v>
          </cell>
          <cell r="HU5" t="str">
            <v>bugbear</v>
          </cell>
          <cell r="IB5" t="str">
            <v>Coast</v>
          </cell>
          <cell r="IF5" t="str">
            <v>Giant Killer</v>
          </cell>
          <cell r="IK5" t="str">
            <v>Distant Spell</v>
          </cell>
          <cell r="IW5" t="str">
            <v>Beguiling Influence</v>
          </cell>
          <cell r="JC5" t="str">
            <v>Pact of the Tome</v>
          </cell>
          <cell r="JE5" t="str">
            <v>Proficency in Constitution saves</v>
          </cell>
          <cell r="JL5" t="str">
            <v>Neutral Good</v>
          </cell>
          <cell r="JN5" t="str">
            <v>Auril (NE)</v>
          </cell>
          <cell r="JW5" t="str">
            <v>Elvish</v>
          </cell>
          <cell r="QR5" t="str">
            <v>Blowgun</v>
          </cell>
          <cell r="RK5">
            <v>2</v>
          </cell>
          <cell r="TJ5" t="str">
            <v>Padded armor</v>
          </cell>
          <cell r="TS5" t="str">
            <v>Shield</v>
          </cell>
          <cell r="UC5" t="str">
            <v>Acid Splash</v>
          </cell>
          <cell r="XV5" t="str">
            <v/>
          </cell>
          <cell r="XW5" t="str">
            <v/>
          </cell>
          <cell r="XX5" t="str">
            <v/>
          </cell>
          <cell r="XY5" t="str">
            <v/>
          </cell>
          <cell r="XZ5" t="str">
            <v/>
          </cell>
          <cell r="YA5" t="str">
            <v/>
          </cell>
          <cell r="YB5" t="str">
            <v/>
          </cell>
          <cell r="YC5" t="str">
            <v/>
          </cell>
          <cell r="YD5" t="str">
            <v/>
          </cell>
          <cell r="YE5" t="str">
            <v/>
          </cell>
          <cell r="YF5" t="str">
            <v/>
          </cell>
          <cell r="YG5" t="str">
            <v>Fey</v>
          </cell>
          <cell r="YI5" t="str">
            <v>Badger</v>
          </cell>
        </row>
        <row r="6">
          <cell r="A6" t="str">
            <v>Elf</v>
          </cell>
          <cell r="AA6" t="str">
            <v/>
          </cell>
          <cell r="AB6" t="str">
            <v>Female</v>
          </cell>
          <cell r="AE6" t="str">
            <v>Charlatan</v>
          </cell>
          <cell r="AN6">
            <v>4</v>
          </cell>
          <cell r="AP6" t="str">
            <v/>
          </cell>
          <cell r="BF6" t="str">
            <v>INT</v>
          </cell>
          <cell r="BI6" t="str">
            <v>Select…</v>
          </cell>
          <cell r="DK6" t="str">
            <v>Forest</v>
          </cell>
          <cell r="FD6" t="str">
            <v>Select…</v>
          </cell>
          <cell r="FH6" t="str">
            <v>Select…</v>
          </cell>
          <cell r="FL6" t="str">
            <v>Select…</v>
          </cell>
          <cell r="FY6" t="str">
            <v/>
          </cell>
          <cell r="GI6" t="str">
            <v>Evasive Footwork</v>
          </cell>
          <cell r="GX6" t="str">
            <v/>
          </cell>
          <cell r="HF6" t="str">
            <v/>
          </cell>
          <cell r="HK6" t="str">
            <v>Wolf</v>
          </cell>
          <cell r="HS6" t="str">
            <v>celestials</v>
          </cell>
          <cell r="HU6" t="str">
            <v>bullywug</v>
          </cell>
          <cell r="IB6" t="str">
            <v>Desert</v>
          </cell>
          <cell r="IF6" t="str">
            <v>Horde Breaker</v>
          </cell>
          <cell r="IK6" t="str">
            <v>Empowered Spell</v>
          </cell>
          <cell r="IW6" t="str">
            <v>Devil’s Sight</v>
          </cell>
          <cell r="JE6" t="str">
            <v>Resistance to acid</v>
          </cell>
          <cell r="JL6" t="str">
            <v>Chaotic Good</v>
          </cell>
          <cell r="JN6" t="str">
            <v>Azuth (LN)</v>
          </cell>
          <cell r="JW6" t="str">
            <v>Giant</v>
          </cell>
          <cell r="QR6" t="str">
            <v>Bolas</v>
          </cell>
          <cell r="RK6">
            <v>3</v>
          </cell>
          <cell r="TJ6" t="str">
            <v>Leather armor</v>
          </cell>
          <cell r="UC6" t="str">
            <v>Aganazzar’s Scorcher</v>
          </cell>
          <cell r="XV6" t="str">
            <v/>
          </cell>
          <cell r="XW6" t="str">
            <v/>
          </cell>
          <cell r="XX6" t="str">
            <v/>
          </cell>
          <cell r="XY6" t="str">
            <v/>
          </cell>
          <cell r="XZ6" t="str">
            <v/>
          </cell>
          <cell r="YA6" t="str">
            <v/>
          </cell>
          <cell r="YB6" t="str">
            <v/>
          </cell>
          <cell r="YC6" t="str">
            <v/>
          </cell>
          <cell r="YD6" t="str">
            <v/>
          </cell>
          <cell r="YE6" t="str">
            <v/>
          </cell>
          <cell r="YF6" t="str">
            <v/>
          </cell>
          <cell r="YG6" t="str">
            <v>Fiend</v>
          </cell>
          <cell r="YI6" t="str">
            <v>Bat</v>
          </cell>
        </row>
        <row r="7">
          <cell r="A7" t="str">
            <v>Halfling</v>
          </cell>
          <cell r="AA7" t="str">
            <v/>
          </cell>
          <cell r="AE7" t="str">
            <v>Criminal</v>
          </cell>
          <cell r="AN7">
            <v>5</v>
          </cell>
          <cell r="AP7" t="str">
            <v/>
          </cell>
          <cell r="BF7" t="str">
            <v>WIS</v>
          </cell>
          <cell r="BI7" t="str">
            <v>Cleric</v>
          </cell>
          <cell r="BL7">
            <v>0</v>
          </cell>
          <cell r="DK7" t="str">
            <v>Grassland</v>
          </cell>
          <cell r="DN7">
            <v>0</v>
          </cell>
          <cell r="FD7" t="str">
            <v/>
          </cell>
          <cell r="FH7" t="str">
            <v/>
          </cell>
          <cell r="FL7" t="str">
            <v/>
          </cell>
          <cell r="FY7" t="str">
            <v/>
          </cell>
          <cell r="GH7" t="str">
            <v/>
          </cell>
          <cell r="GI7" t="str">
            <v>Feinting Attack</v>
          </cell>
          <cell r="GX7" t="str">
            <v/>
          </cell>
          <cell r="HF7" t="str">
            <v/>
          </cell>
          <cell r="HS7" t="str">
            <v>constructs</v>
          </cell>
          <cell r="HU7" t="str">
            <v>catfolk</v>
          </cell>
          <cell r="IB7" t="str">
            <v>Forest</v>
          </cell>
          <cell r="IK7" t="str">
            <v>Extended Spell</v>
          </cell>
          <cell r="IW7" t="str">
            <v>Eldritch Sight</v>
          </cell>
          <cell r="JE7" t="str">
            <v>Resistance to cold</v>
          </cell>
          <cell r="JL7" t="str">
            <v>Lawful Neutral</v>
          </cell>
          <cell r="JN7" t="str">
            <v>Bane (LE)</v>
          </cell>
          <cell r="JW7" t="str">
            <v>Gnomish</v>
          </cell>
          <cell r="QR7" t="str">
            <v>Club</v>
          </cell>
          <cell r="RK7">
            <v>0</v>
          </cell>
          <cell r="TJ7" t="str">
            <v>Studded leather</v>
          </cell>
          <cell r="UC7" t="str">
            <v>Aid</v>
          </cell>
          <cell r="XV7" t="str">
            <v/>
          </cell>
          <cell r="XW7" t="str">
            <v/>
          </cell>
          <cell r="XX7" t="str">
            <v/>
          </cell>
          <cell r="XY7" t="str">
            <v/>
          </cell>
          <cell r="XZ7" t="str">
            <v/>
          </cell>
          <cell r="YA7" t="str">
            <v/>
          </cell>
          <cell r="YB7" t="str">
            <v/>
          </cell>
          <cell r="YC7" t="str">
            <v/>
          </cell>
          <cell r="YD7" t="str">
            <v/>
          </cell>
          <cell r="YE7" t="str">
            <v/>
          </cell>
          <cell r="YF7" t="str">
            <v/>
          </cell>
          <cell r="YG7">
            <v>0</v>
          </cell>
          <cell r="YI7" t="str">
            <v>Cat</v>
          </cell>
        </row>
        <row r="8">
          <cell r="A8" t="str">
            <v>Human</v>
          </cell>
          <cell r="AA8" t="str">
            <v/>
          </cell>
          <cell r="AE8" t="str">
            <v>Entertainer</v>
          </cell>
          <cell r="AN8">
            <v>6</v>
          </cell>
          <cell r="AP8" t="str">
            <v/>
          </cell>
          <cell r="BF8" t="str">
            <v>CHA</v>
          </cell>
          <cell r="BI8" t="str">
            <v>Fighter</v>
          </cell>
          <cell r="BL8">
            <v>0</v>
          </cell>
          <cell r="DK8" t="str">
            <v>Mountain</v>
          </cell>
          <cell r="DN8">
            <v>0</v>
          </cell>
          <cell r="FD8" t="str">
            <v/>
          </cell>
          <cell r="FH8" t="str">
            <v/>
          </cell>
          <cell r="FL8" t="str">
            <v/>
          </cell>
          <cell r="FY8" t="str">
            <v/>
          </cell>
          <cell r="GH8" t="str">
            <v/>
          </cell>
          <cell r="GI8" t="str">
            <v>Goading Attack</v>
          </cell>
          <cell r="HF8" t="str">
            <v/>
          </cell>
          <cell r="HS8" t="str">
            <v>dragons</v>
          </cell>
          <cell r="HU8" t="str">
            <v>darfellan</v>
          </cell>
          <cell r="IB8" t="str">
            <v>Grassland</v>
          </cell>
          <cell r="IK8" t="str">
            <v>Heightened Spell</v>
          </cell>
          <cell r="IW8" t="str">
            <v>Eyes of the Rune Keeper</v>
          </cell>
          <cell r="JE8" t="str">
            <v>Resistance to fire</v>
          </cell>
          <cell r="JL8" t="str">
            <v>Neutral</v>
          </cell>
          <cell r="JN8" t="str">
            <v>Beshaba (CE)</v>
          </cell>
          <cell r="JW8" t="str">
            <v>Goblin</v>
          </cell>
          <cell r="QR8" t="str">
            <v>Hand crossbow</v>
          </cell>
          <cell r="TJ8" t="str">
            <v>Hide armor</v>
          </cell>
          <cell r="UC8" t="str">
            <v>Alarm</v>
          </cell>
          <cell r="XV8" t="str">
            <v/>
          </cell>
          <cell r="XW8" t="str">
            <v/>
          </cell>
          <cell r="XX8" t="str">
            <v/>
          </cell>
          <cell r="XY8" t="str">
            <v/>
          </cell>
          <cell r="XZ8" t="str">
            <v/>
          </cell>
          <cell r="YA8" t="str">
            <v/>
          </cell>
          <cell r="YB8" t="str">
            <v/>
          </cell>
          <cell r="YC8" t="str">
            <v/>
          </cell>
          <cell r="YD8" t="str">
            <v/>
          </cell>
          <cell r="YE8" t="str">
            <v/>
          </cell>
          <cell r="YF8" t="str">
            <v/>
          </cell>
          <cell r="YI8" t="str">
            <v>Crab</v>
          </cell>
        </row>
        <row r="9">
          <cell r="A9" t="str">
            <v>Dragonborn</v>
          </cell>
          <cell r="AA9" t="str">
            <v/>
          </cell>
          <cell r="AE9" t="str">
            <v>Folk Hero</v>
          </cell>
          <cell r="AP9" t="str">
            <v/>
          </cell>
          <cell r="BI9" t="str">
            <v>Rogue</v>
          </cell>
          <cell r="BL9">
            <v>0</v>
          </cell>
          <cell r="DK9" t="str">
            <v>Swamp</v>
          </cell>
          <cell r="DN9">
            <v>0</v>
          </cell>
          <cell r="FD9" t="str">
            <v/>
          </cell>
          <cell r="FH9" t="str">
            <v/>
          </cell>
          <cell r="FL9" t="str">
            <v/>
          </cell>
          <cell r="FY9" t="str">
            <v/>
          </cell>
          <cell r="GD9" t="str">
            <v/>
          </cell>
          <cell r="GH9" t="str">
            <v/>
          </cell>
          <cell r="GI9" t="str">
            <v>Lunging Attack</v>
          </cell>
          <cell r="HF9" t="str">
            <v/>
          </cell>
          <cell r="HS9" t="str">
            <v>elementals</v>
          </cell>
          <cell r="HU9" t="str">
            <v>dark one</v>
          </cell>
          <cell r="IB9" t="str">
            <v>Mountain</v>
          </cell>
          <cell r="IF9" t="str">
            <v>Select…</v>
          </cell>
          <cell r="IK9" t="str">
            <v>Quickened Spell</v>
          </cell>
          <cell r="IW9" t="str">
            <v>Fiendish Vigor</v>
          </cell>
          <cell r="JE9" t="str">
            <v>Resistance to lightning</v>
          </cell>
          <cell r="JL9" t="str">
            <v>Chaotic Neutral</v>
          </cell>
          <cell r="JN9" t="str">
            <v>Bhaal (NE)</v>
          </cell>
          <cell r="JW9" t="str">
            <v>Halfling</v>
          </cell>
          <cell r="QR9" t="str">
            <v>Heavy crossbow</v>
          </cell>
          <cell r="TJ9" t="str">
            <v>Chain shirt</v>
          </cell>
          <cell r="UC9" t="str">
            <v>Alter Self</v>
          </cell>
          <cell r="XV9" t="str">
            <v/>
          </cell>
          <cell r="XW9" t="str">
            <v/>
          </cell>
          <cell r="XX9" t="str">
            <v/>
          </cell>
          <cell r="XY9" t="str">
            <v/>
          </cell>
          <cell r="XZ9" t="str">
            <v/>
          </cell>
          <cell r="YA9" t="str">
            <v/>
          </cell>
          <cell r="YB9" t="str">
            <v/>
          </cell>
          <cell r="YC9" t="str">
            <v/>
          </cell>
          <cell r="YD9" t="str">
            <v/>
          </cell>
          <cell r="YE9" t="str">
            <v/>
          </cell>
          <cell r="YF9" t="str">
            <v/>
          </cell>
          <cell r="YG9" t="str">
            <v>Select…</v>
          </cell>
          <cell r="YI9" t="str">
            <v>Frog</v>
          </cell>
        </row>
        <row r="10">
          <cell r="A10" t="str">
            <v>Gnome</v>
          </cell>
          <cell r="AA10" t="str">
            <v/>
          </cell>
          <cell r="AE10" t="str">
            <v>Guild Artisan</v>
          </cell>
          <cell r="AP10" t="str">
            <v/>
          </cell>
          <cell r="BI10" t="str">
            <v>Wizard</v>
          </cell>
          <cell r="BL10">
            <v>0</v>
          </cell>
          <cell r="DK10" t="str">
            <v>Underdark</v>
          </cell>
          <cell r="DN10">
            <v>0</v>
          </cell>
          <cell r="FD10" t="str">
            <v/>
          </cell>
          <cell r="FH10" t="str">
            <v/>
          </cell>
          <cell r="FL10" t="str">
            <v/>
          </cell>
          <cell r="FY10" t="str">
            <v/>
          </cell>
          <cell r="GD10" t="str">
            <v/>
          </cell>
          <cell r="GH10" t="str">
            <v/>
          </cell>
          <cell r="GI10" t="str">
            <v>Maneuvering Attack</v>
          </cell>
          <cell r="HF10" t="str">
            <v/>
          </cell>
          <cell r="HS10" t="str">
            <v>fey</v>
          </cell>
          <cell r="HU10" t="str">
            <v>dragonborn</v>
          </cell>
          <cell r="IB10" t="str">
            <v>Swamp</v>
          </cell>
          <cell r="IF10" t="str">
            <v>Escape the Horde</v>
          </cell>
          <cell r="IK10" t="str">
            <v>Subtle Spell</v>
          </cell>
          <cell r="IW10" t="str">
            <v>Gaze of Two Minds</v>
          </cell>
          <cell r="JE10" t="str">
            <v>Resistance to thunder</v>
          </cell>
          <cell r="JL10" t="str">
            <v>Lawful Evil</v>
          </cell>
          <cell r="JN10" t="str">
            <v>Chauntea (NG)</v>
          </cell>
          <cell r="JW10" t="str">
            <v>Orc</v>
          </cell>
          <cell r="QR10" t="str">
            <v>Light crossbow</v>
          </cell>
          <cell r="TJ10" t="str">
            <v>Scale mail</v>
          </cell>
          <cell r="UC10" t="str">
            <v>Animal Friendship</v>
          </cell>
          <cell r="XV10" t="str">
            <v/>
          </cell>
          <cell r="XW10" t="str">
            <v/>
          </cell>
          <cell r="XX10" t="str">
            <v/>
          </cell>
          <cell r="XY10" t="str">
            <v/>
          </cell>
          <cell r="XZ10" t="str">
            <v/>
          </cell>
          <cell r="YA10" t="str">
            <v/>
          </cell>
          <cell r="YB10" t="str">
            <v/>
          </cell>
          <cell r="YC10" t="str">
            <v/>
          </cell>
          <cell r="YD10" t="str">
            <v/>
          </cell>
          <cell r="YE10" t="str">
            <v/>
          </cell>
          <cell r="YF10" t="str">
            <v/>
          </cell>
          <cell r="YG10" t="str">
            <v>Tiny</v>
          </cell>
          <cell r="YI10" t="str">
            <v>Hawk</v>
          </cell>
        </row>
        <row r="11">
          <cell r="A11" t="str">
            <v>Half-Elf</v>
          </cell>
          <cell r="AA11" t="str">
            <v/>
          </cell>
          <cell r="AE11" t="str">
            <v>Hermit</v>
          </cell>
          <cell r="AP11" t="str">
            <v/>
          </cell>
          <cell r="BI11" t="str">
            <v>Barbarian</v>
          </cell>
          <cell r="BL11">
            <v>0</v>
          </cell>
          <cell r="DN11">
            <v>0</v>
          </cell>
          <cell r="FD11" t="str">
            <v/>
          </cell>
          <cell r="FH11" t="str">
            <v/>
          </cell>
          <cell r="FL11" t="str">
            <v/>
          </cell>
          <cell r="FY11" t="str">
            <v/>
          </cell>
          <cell r="GD11" t="str">
            <v/>
          </cell>
          <cell r="GI11" t="str">
            <v>Menacing Attack</v>
          </cell>
          <cell r="HF11" t="str">
            <v/>
          </cell>
          <cell r="HS11" t="str">
            <v>fiends</v>
          </cell>
          <cell r="HU11" t="str">
            <v>dwarf</v>
          </cell>
          <cell r="IB11" t="str">
            <v>Underdark</v>
          </cell>
          <cell r="IF11" t="str">
            <v>Multiattack Defense</v>
          </cell>
          <cell r="IK11" t="str">
            <v>Twinned Spell</v>
          </cell>
          <cell r="IW11" t="str">
            <v>Mask of Many Faces</v>
          </cell>
          <cell r="JL11" t="str">
            <v>Neutral Evil</v>
          </cell>
          <cell r="JN11" t="str">
            <v>Cyric (CE)</v>
          </cell>
          <cell r="JW11" t="str">
            <v>Abyssal</v>
          </cell>
          <cell r="QR11" t="str">
            <v>Dagger</v>
          </cell>
          <cell r="RK11" t="str">
            <v>proficient</v>
          </cell>
          <cell r="TJ11" t="str">
            <v>Breast plate</v>
          </cell>
          <cell r="UC11" t="str">
            <v>Animal Messenger</v>
          </cell>
          <cell r="XV11" t="str">
            <v/>
          </cell>
          <cell r="XW11" t="str">
            <v/>
          </cell>
          <cell r="XX11" t="str">
            <v/>
          </cell>
          <cell r="XY11" t="str">
            <v/>
          </cell>
          <cell r="XZ11" t="str">
            <v/>
          </cell>
          <cell r="YA11" t="str">
            <v/>
          </cell>
          <cell r="YB11" t="str">
            <v/>
          </cell>
          <cell r="YC11" t="str">
            <v/>
          </cell>
          <cell r="YD11" t="str">
            <v/>
          </cell>
          <cell r="YE11" t="str">
            <v/>
          </cell>
          <cell r="YF11" t="str">
            <v/>
          </cell>
          <cell r="YG11" t="str">
            <v>Small</v>
          </cell>
          <cell r="YI11" t="str">
            <v>Lizard</v>
          </cell>
        </row>
        <row r="12">
          <cell r="A12" t="str">
            <v>Half-Orc</v>
          </cell>
          <cell r="AA12" t="str">
            <v/>
          </cell>
          <cell r="AE12" t="str">
            <v>Noble</v>
          </cell>
          <cell r="AP12" t="str">
            <v/>
          </cell>
          <cell r="BI12" t="str">
            <v>Bard</v>
          </cell>
          <cell r="BL12">
            <v>0</v>
          </cell>
          <cell r="FD12" t="str">
            <v/>
          </cell>
          <cell r="FH12" t="str">
            <v/>
          </cell>
          <cell r="FL12" t="str">
            <v/>
          </cell>
          <cell r="FY12" t="str">
            <v/>
          </cell>
          <cell r="GD12" t="str">
            <v/>
          </cell>
          <cell r="GF12" t="str">
            <v>Select…</v>
          </cell>
          <cell r="GI12" t="str">
            <v>Parry</v>
          </cell>
          <cell r="HF12" t="str">
            <v/>
          </cell>
          <cell r="HS12" t="str">
            <v>giants</v>
          </cell>
          <cell r="HU12" t="str">
            <v>eladrin</v>
          </cell>
          <cell r="IF12" t="str">
            <v>Steel Will</v>
          </cell>
          <cell r="IW12" t="str">
            <v>Misty Visions</v>
          </cell>
          <cell r="JL12" t="str">
            <v>Chaotic Evil</v>
          </cell>
          <cell r="JN12" t="str">
            <v>Deneir (NG)</v>
          </cell>
          <cell r="JW12" t="str">
            <v>Celestial</v>
          </cell>
          <cell r="LL12" t="str">
            <v>Select…</v>
          </cell>
          <cell r="QR12" t="str">
            <v>Dart</v>
          </cell>
          <cell r="RK12" t="str">
            <v>not proficient</v>
          </cell>
          <cell r="TJ12" t="str">
            <v>Half plate</v>
          </cell>
          <cell r="UC12" t="str">
            <v>Animal Shapes</v>
          </cell>
          <cell r="XV12" t="str">
            <v/>
          </cell>
          <cell r="XW12" t="str">
            <v/>
          </cell>
          <cell r="XX12" t="str">
            <v/>
          </cell>
          <cell r="XY12" t="str">
            <v/>
          </cell>
          <cell r="XZ12" t="str">
            <v/>
          </cell>
          <cell r="YA12" t="str">
            <v/>
          </cell>
          <cell r="YB12" t="str">
            <v/>
          </cell>
          <cell r="YC12" t="str">
            <v/>
          </cell>
          <cell r="YD12" t="str">
            <v/>
          </cell>
          <cell r="YE12" t="str">
            <v/>
          </cell>
          <cell r="YF12" t="str">
            <v/>
          </cell>
          <cell r="YG12" t="str">
            <v>Medium</v>
          </cell>
          <cell r="YI12" t="str">
            <v>Octopus</v>
          </cell>
        </row>
        <row r="13">
          <cell r="A13" t="str">
            <v>Tiefling</v>
          </cell>
          <cell r="AA13" t="str">
            <v/>
          </cell>
          <cell r="AE13" t="str">
            <v>Outlander</v>
          </cell>
          <cell r="AP13" t="str">
            <v/>
          </cell>
          <cell r="BI13" t="str">
            <v>Druid</v>
          </cell>
          <cell r="BL13">
            <v>0</v>
          </cell>
          <cell r="DN13">
            <v>0</v>
          </cell>
          <cell r="FD13" t="str">
            <v/>
          </cell>
          <cell r="FH13" t="str">
            <v/>
          </cell>
          <cell r="FL13" t="str">
            <v/>
          </cell>
          <cell r="FY13" t="str">
            <v/>
          </cell>
          <cell r="GF13" t="str">
            <v/>
          </cell>
          <cell r="GI13" t="str">
            <v>Precision Attack</v>
          </cell>
          <cell r="HF13" t="str">
            <v/>
          </cell>
          <cell r="HS13" t="str">
            <v>monstrosities</v>
          </cell>
          <cell r="HU13" t="str">
            <v>elf</v>
          </cell>
          <cell r="IW13" t="str">
            <v>Repelling Blast</v>
          </cell>
          <cell r="JN13" t="str">
            <v>Eldath (NG)</v>
          </cell>
          <cell r="JW13" t="str">
            <v>Deep Speech</v>
          </cell>
          <cell r="LL13" t="str">
            <v>-- Artisan’s tools</v>
          </cell>
          <cell r="QR13" t="str">
            <v>Flail</v>
          </cell>
          <cell r="TJ13" t="str">
            <v>Ring mail</v>
          </cell>
          <cell r="UC13" t="str">
            <v>Animate Dead</v>
          </cell>
          <cell r="XV13" t="str">
            <v/>
          </cell>
          <cell r="XW13" t="str">
            <v/>
          </cell>
          <cell r="XX13" t="str">
            <v/>
          </cell>
          <cell r="XY13" t="str">
            <v/>
          </cell>
          <cell r="XZ13" t="str">
            <v/>
          </cell>
          <cell r="YA13" t="str">
            <v/>
          </cell>
          <cell r="YB13" t="str">
            <v/>
          </cell>
          <cell r="YC13" t="str">
            <v/>
          </cell>
          <cell r="YD13" t="str">
            <v/>
          </cell>
          <cell r="YE13" t="str">
            <v/>
          </cell>
          <cell r="YF13" t="str">
            <v/>
          </cell>
          <cell r="YG13" t="str">
            <v>Large</v>
          </cell>
          <cell r="YI13" t="str">
            <v>Owl</v>
          </cell>
        </row>
        <row r="14">
          <cell r="A14" t="str">
            <v>Aasimar</v>
          </cell>
          <cell r="AE14" t="str">
            <v>Sage</v>
          </cell>
          <cell r="AN14">
            <v>0</v>
          </cell>
          <cell r="BI14" t="str">
            <v>Monk</v>
          </cell>
          <cell r="BL14">
            <v>0</v>
          </cell>
          <cell r="DN14">
            <v>0</v>
          </cell>
          <cell r="FD14" t="str">
            <v/>
          </cell>
          <cell r="FH14" t="str">
            <v/>
          </cell>
          <cell r="FL14" t="str">
            <v/>
          </cell>
          <cell r="FY14" t="str">
            <v/>
          </cell>
          <cell r="GF14" t="str">
            <v/>
          </cell>
          <cell r="GI14" t="str">
            <v>Pushing Attack</v>
          </cell>
          <cell r="HF14" t="str">
            <v/>
          </cell>
          <cell r="HS14" t="str">
            <v>oozes</v>
          </cell>
          <cell r="HU14" t="str">
            <v>genasi</v>
          </cell>
          <cell r="IW14" t="str">
            <v>Thief of Five Fates</v>
          </cell>
          <cell r="JN14" t="str">
            <v>Gond (N)</v>
          </cell>
          <cell r="JW14" t="str">
            <v>Draconic</v>
          </cell>
          <cell r="LL14" t="str">
            <v>Alchemist’s supplies</v>
          </cell>
          <cell r="QR14" t="str">
            <v>Glaive</v>
          </cell>
          <cell r="TJ14" t="str">
            <v>Chain mail</v>
          </cell>
          <cell r="UC14" t="str">
            <v>Animate Objects</v>
          </cell>
          <cell r="XV14" t="str">
            <v/>
          </cell>
          <cell r="XW14" t="str">
            <v/>
          </cell>
          <cell r="XX14" t="str">
            <v/>
          </cell>
          <cell r="XY14" t="str">
            <v/>
          </cell>
          <cell r="XZ14" t="str">
            <v/>
          </cell>
          <cell r="YA14" t="str">
            <v/>
          </cell>
          <cell r="YB14" t="str">
            <v/>
          </cell>
          <cell r="YC14" t="str">
            <v/>
          </cell>
          <cell r="YD14" t="str">
            <v/>
          </cell>
          <cell r="YE14" t="str">
            <v/>
          </cell>
          <cell r="YF14" t="str">
            <v/>
          </cell>
          <cell r="YG14">
            <v>0</v>
          </cell>
          <cell r="YI14" t="str">
            <v>Quipper</v>
          </cell>
        </row>
        <row r="15">
          <cell r="A15" t="str">
            <v>Aarakocra</v>
          </cell>
          <cell r="AE15" t="str">
            <v>Sailor</v>
          </cell>
          <cell r="AN15" t="str">
            <v>•</v>
          </cell>
          <cell r="AP15" t="str">
            <v>Select…</v>
          </cell>
          <cell r="BI15" t="str">
            <v>Paladin</v>
          </cell>
          <cell r="BL15">
            <v>0</v>
          </cell>
          <cell r="DN15">
            <v>0</v>
          </cell>
          <cell r="FD15" t="str">
            <v/>
          </cell>
          <cell r="FH15" t="str">
            <v/>
          </cell>
          <cell r="FL15" t="str">
            <v/>
          </cell>
          <cell r="FY15" t="str">
            <v/>
          </cell>
          <cell r="GF15" t="str">
            <v/>
          </cell>
          <cell r="GI15" t="str">
            <v>Rally</v>
          </cell>
          <cell r="HF15" t="str">
            <v/>
          </cell>
          <cell r="HS15" t="str">
            <v>plants</v>
          </cell>
          <cell r="HU15" t="str">
            <v>gibberling</v>
          </cell>
          <cell r="IF15" t="str">
            <v>Select…</v>
          </cell>
          <cell r="IW15" t="str">
            <v/>
          </cell>
          <cell r="JN15" t="str">
            <v>Helm (LN)</v>
          </cell>
          <cell r="JW15" t="str">
            <v>Infernal</v>
          </cell>
          <cell r="LL15" t="str">
            <v>Brewer’s supplies</v>
          </cell>
          <cell r="QR15" t="str">
            <v>Great axe</v>
          </cell>
          <cell r="TJ15" t="str">
            <v>Splint mail</v>
          </cell>
          <cell r="UC15" t="str">
            <v>Antilife Shell</v>
          </cell>
          <cell r="XV15" t="str">
            <v/>
          </cell>
          <cell r="XW15" t="str">
            <v/>
          </cell>
          <cell r="XX15" t="str">
            <v/>
          </cell>
          <cell r="XY15" t="str">
            <v/>
          </cell>
          <cell r="XZ15" t="str">
            <v/>
          </cell>
          <cell r="YA15" t="str">
            <v/>
          </cell>
          <cell r="YB15" t="str">
            <v/>
          </cell>
          <cell r="YC15" t="str">
            <v/>
          </cell>
          <cell r="YD15" t="str">
            <v/>
          </cell>
          <cell r="YE15" t="str">
            <v/>
          </cell>
          <cell r="YF15" t="str">
            <v/>
          </cell>
          <cell r="YI15" t="str">
            <v>Rat</v>
          </cell>
        </row>
        <row r="16">
          <cell r="A16" t="str">
            <v>Genasi</v>
          </cell>
          <cell r="U16" t="str">
            <v>Select…</v>
          </cell>
          <cell r="AE16" t="str">
            <v>Soldier</v>
          </cell>
          <cell r="AP16" t="str">
            <v/>
          </cell>
          <cell r="BI16" t="str">
            <v>Ranger</v>
          </cell>
          <cell r="BL16">
            <v>0</v>
          </cell>
          <cell r="DN16">
            <v>0</v>
          </cell>
          <cell r="FY16" t="str">
            <v/>
          </cell>
          <cell r="GF16" t="str">
            <v/>
          </cell>
          <cell r="GI16" t="str">
            <v>Riposte</v>
          </cell>
          <cell r="HF16" t="str">
            <v/>
          </cell>
          <cell r="HS16" t="str">
            <v>undead</v>
          </cell>
          <cell r="HU16" t="str">
            <v>githyanki</v>
          </cell>
          <cell r="IF16" t="str">
            <v>Volley</v>
          </cell>
          <cell r="IW16" t="str">
            <v/>
          </cell>
          <cell r="JN16" t="str">
            <v>Ilmater (LG)</v>
          </cell>
          <cell r="JW16" t="str">
            <v>Primordial</v>
          </cell>
          <cell r="LL16" t="str">
            <v>Calligrapher's supplies</v>
          </cell>
          <cell r="QR16" t="str">
            <v>Great club</v>
          </cell>
          <cell r="TJ16" t="str">
            <v>Plate mail</v>
          </cell>
          <cell r="UC16" t="str">
            <v>Antimagic Field</v>
          </cell>
          <cell r="XV16" t="str">
            <v/>
          </cell>
          <cell r="XW16" t="str">
            <v/>
          </cell>
          <cell r="XX16" t="str">
            <v/>
          </cell>
          <cell r="XY16" t="str">
            <v/>
          </cell>
          <cell r="XZ16" t="str">
            <v/>
          </cell>
          <cell r="YA16" t="str">
            <v/>
          </cell>
          <cell r="YB16" t="str">
            <v/>
          </cell>
          <cell r="YC16" t="str">
            <v/>
          </cell>
          <cell r="YD16" t="str">
            <v/>
          </cell>
          <cell r="YE16" t="str">
            <v/>
          </cell>
          <cell r="YF16" t="str">
            <v/>
          </cell>
          <cell r="YI16" t="str">
            <v>Raven</v>
          </cell>
        </row>
        <row r="17">
          <cell r="A17" t="str">
            <v>Goliath</v>
          </cell>
          <cell r="U17" t="str">
            <v>Black</v>
          </cell>
          <cell r="AE17" t="str">
            <v>Urchin</v>
          </cell>
          <cell r="AP17" t="str">
            <v/>
          </cell>
          <cell r="BI17" t="str">
            <v>Sorcerer</v>
          </cell>
          <cell r="BL17">
            <v>0</v>
          </cell>
          <cell r="DN17">
            <v>0</v>
          </cell>
          <cell r="FY17" t="str">
            <v/>
          </cell>
          <cell r="GF17" t="str">
            <v/>
          </cell>
          <cell r="GI17" t="str">
            <v>Sweeping Attack</v>
          </cell>
          <cell r="HF17" t="str">
            <v/>
          </cell>
          <cell r="HS17" t="str">
            <v>--HUMANOIDS--</v>
          </cell>
          <cell r="HU17" t="str">
            <v>githzerai</v>
          </cell>
          <cell r="IF17" t="str">
            <v>Whirlwind Attack</v>
          </cell>
          <cell r="IW17" t="str">
            <v/>
          </cell>
          <cell r="JN17" t="str">
            <v>Kelemvor (LN)</v>
          </cell>
          <cell r="JW17" t="str">
            <v>Sylvan</v>
          </cell>
          <cell r="LL17" t="str">
            <v>Carpenter’s tools</v>
          </cell>
          <cell r="QR17" t="str">
            <v>Great sword</v>
          </cell>
          <cell r="TJ17" t="str">
            <v>Mage Armor</v>
          </cell>
          <cell r="UC17" t="str">
            <v>Antipathy/Sympathy</v>
          </cell>
          <cell r="XV17" t="str">
            <v/>
          </cell>
          <cell r="XW17" t="str">
            <v/>
          </cell>
          <cell r="XX17" t="str">
            <v/>
          </cell>
          <cell r="XY17" t="str">
            <v/>
          </cell>
          <cell r="XZ17" t="str">
            <v/>
          </cell>
          <cell r="YA17" t="str">
            <v/>
          </cell>
          <cell r="YB17" t="str">
            <v/>
          </cell>
          <cell r="YC17" t="str">
            <v/>
          </cell>
          <cell r="YD17" t="str">
            <v/>
          </cell>
          <cell r="YE17" t="str">
            <v/>
          </cell>
          <cell r="YF17" t="str">
            <v/>
          </cell>
          <cell r="YI17" t="str">
            <v>Scorpion</v>
          </cell>
        </row>
        <row r="18">
          <cell r="U18" t="str">
            <v>Blue</v>
          </cell>
          <cell r="AP18" t="str">
            <v/>
          </cell>
          <cell r="BI18" t="str">
            <v>Warlock</v>
          </cell>
          <cell r="BL18">
            <v>0</v>
          </cell>
          <cell r="FY18" t="str">
            <v/>
          </cell>
          <cell r="GF18" t="str">
            <v/>
          </cell>
          <cell r="GI18" t="str">
            <v>Trip Attack</v>
          </cell>
          <cell r="HF18" t="str">
            <v/>
          </cell>
          <cell r="HS18" t="str">
            <v>aasimar</v>
          </cell>
          <cell r="HU18" t="str">
            <v>gnoll</v>
          </cell>
          <cell r="IW18" t="str">
            <v/>
          </cell>
          <cell r="JN18" t="str">
            <v>Lathander (NG)</v>
          </cell>
          <cell r="JW18" t="str">
            <v>Undercommon</v>
          </cell>
          <cell r="LL18" t="str">
            <v>Cartographer’s tools</v>
          </cell>
          <cell r="QR18" t="str">
            <v>Halberd</v>
          </cell>
          <cell r="UC18" t="str">
            <v>Arcane Eye</v>
          </cell>
          <cell r="XV18" t="str">
            <v/>
          </cell>
          <cell r="XW18" t="str">
            <v/>
          </cell>
          <cell r="XX18" t="str">
            <v/>
          </cell>
          <cell r="XY18" t="str">
            <v/>
          </cell>
          <cell r="XZ18" t="str">
            <v/>
          </cell>
          <cell r="YA18" t="str">
            <v/>
          </cell>
          <cell r="YB18" t="str">
            <v/>
          </cell>
          <cell r="YC18" t="str">
            <v/>
          </cell>
          <cell r="YD18" t="str">
            <v/>
          </cell>
          <cell r="YE18" t="str">
            <v/>
          </cell>
          <cell r="YF18" t="str">
            <v/>
          </cell>
          <cell r="YI18" t="str">
            <v>Snake</v>
          </cell>
        </row>
        <row r="19">
          <cell r="U19" t="str">
            <v>Brass</v>
          </cell>
          <cell r="AP19" t="str">
            <v/>
          </cell>
          <cell r="FY19" t="str">
            <v/>
          </cell>
          <cell r="HF19" t="str">
            <v/>
          </cell>
          <cell r="HS19" t="str">
            <v>bugbear</v>
          </cell>
          <cell r="HU19" t="str">
            <v>gnome</v>
          </cell>
          <cell r="IW19" t="str">
            <v/>
          </cell>
          <cell r="JN19" t="str">
            <v>Leira (CN)</v>
          </cell>
          <cell r="JW19" t="str">
            <v/>
          </cell>
          <cell r="LL19" t="str">
            <v>Cobbler’s tools</v>
          </cell>
          <cell r="QR19" t="str">
            <v>Handaxe</v>
          </cell>
          <cell r="UC19" t="str">
            <v>Arcane Gate</v>
          </cell>
          <cell r="XV19" t="str">
            <v/>
          </cell>
          <cell r="XW19" t="str">
            <v/>
          </cell>
          <cell r="XX19" t="str">
            <v/>
          </cell>
          <cell r="XY19" t="str">
            <v/>
          </cell>
          <cell r="XZ19" t="str">
            <v/>
          </cell>
          <cell r="YA19" t="str">
            <v/>
          </cell>
          <cell r="YB19" t="str">
            <v/>
          </cell>
          <cell r="YC19" t="str">
            <v/>
          </cell>
          <cell r="YD19" t="str">
            <v/>
          </cell>
          <cell r="YE19" t="str">
            <v/>
          </cell>
          <cell r="YF19" t="str">
            <v/>
          </cell>
          <cell r="YI19" t="str">
            <v>Spider</v>
          </cell>
        </row>
        <row r="20">
          <cell r="U20" t="str">
            <v>Bronze</v>
          </cell>
          <cell r="AP20" t="str">
            <v/>
          </cell>
          <cell r="FY20" t="str">
            <v/>
          </cell>
          <cell r="HS20" t="str">
            <v>bullywug</v>
          </cell>
          <cell r="HU20" t="str">
            <v>goblin</v>
          </cell>
          <cell r="IF20" t="str">
            <v>Select…</v>
          </cell>
          <cell r="IW20" t="str">
            <v/>
          </cell>
          <cell r="JN20" t="str">
            <v>Lliira (CG)</v>
          </cell>
          <cell r="JW20" t="str">
            <v/>
          </cell>
          <cell r="LL20" t="str">
            <v>Cook’s utensils</v>
          </cell>
          <cell r="QR20" t="str">
            <v>Javelin</v>
          </cell>
          <cell r="UC20" t="str">
            <v>Arcane Lock</v>
          </cell>
          <cell r="XV20" t="str">
            <v/>
          </cell>
          <cell r="XW20" t="str">
            <v/>
          </cell>
          <cell r="XX20" t="str">
            <v/>
          </cell>
          <cell r="XY20" t="str">
            <v/>
          </cell>
          <cell r="XZ20" t="str">
            <v/>
          </cell>
          <cell r="YA20" t="str">
            <v/>
          </cell>
          <cell r="YB20" t="str">
            <v/>
          </cell>
          <cell r="YC20" t="str">
            <v/>
          </cell>
          <cell r="YD20" t="str">
            <v/>
          </cell>
          <cell r="YE20" t="str">
            <v/>
          </cell>
          <cell r="YF20" t="str">
            <v/>
          </cell>
          <cell r="YI20" t="str">
            <v>Weasel</v>
          </cell>
        </row>
        <row r="21">
          <cell r="U21" t="str">
            <v>Copper</v>
          </cell>
          <cell r="AP21" t="str">
            <v/>
          </cell>
          <cell r="FY21" t="str">
            <v/>
          </cell>
          <cell r="HS21" t="str">
            <v>catfolk</v>
          </cell>
          <cell r="HU21" t="str">
            <v>goliath</v>
          </cell>
          <cell r="IF21" t="str">
            <v>Evasion</v>
          </cell>
          <cell r="IW21" t="str">
            <v/>
          </cell>
          <cell r="JN21" t="str">
            <v>Loviatar (LE)</v>
          </cell>
          <cell r="JW21" t="str">
            <v/>
          </cell>
          <cell r="LL21" t="str">
            <v>Glassblower’s tools</v>
          </cell>
          <cell r="QR21" t="str">
            <v>Lance</v>
          </cell>
          <cell r="UC21" t="str">
            <v>Armor of Agathys</v>
          </cell>
          <cell r="XV21" t="str">
            <v/>
          </cell>
          <cell r="XW21" t="str">
            <v/>
          </cell>
          <cell r="XX21" t="str">
            <v/>
          </cell>
          <cell r="XY21" t="str">
            <v/>
          </cell>
          <cell r="XZ21" t="str">
            <v/>
          </cell>
          <cell r="YA21" t="str">
            <v/>
          </cell>
          <cell r="YB21" t="str">
            <v/>
          </cell>
          <cell r="YC21" t="str">
            <v/>
          </cell>
          <cell r="YD21" t="str">
            <v/>
          </cell>
          <cell r="YE21" t="str">
            <v/>
          </cell>
          <cell r="YF21" t="str">
            <v/>
          </cell>
          <cell r="YI21" t="str">
            <v/>
          </cell>
        </row>
        <row r="22">
          <cell r="U22" t="str">
            <v>Gold</v>
          </cell>
          <cell r="AP22" t="str">
            <v/>
          </cell>
          <cell r="FY22" t="str">
            <v/>
          </cell>
          <cell r="HS22" t="str">
            <v>darfellan</v>
          </cell>
          <cell r="HU22" t="str">
            <v>grippli</v>
          </cell>
          <cell r="IF22" t="str">
            <v>Stand Against the Tide</v>
          </cell>
          <cell r="IW22" t="str">
            <v/>
          </cell>
          <cell r="JN22" t="str">
            <v>Malar (CE)</v>
          </cell>
          <cell r="LL22" t="str">
            <v>Jeweler’s tools</v>
          </cell>
          <cell r="QR22" t="str">
            <v>Light hammer</v>
          </cell>
          <cell r="UC22" t="str">
            <v>Arms of Hadar</v>
          </cell>
          <cell r="XV22" t="str">
            <v/>
          </cell>
          <cell r="XW22" t="str">
            <v/>
          </cell>
          <cell r="XX22" t="str">
            <v/>
          </cell>
          <cell r="XY22" t="str">
            <v/>
          </cell>
          <cell r="XZ22" t="str">
            <v/>
          </cell>
          <cell r="YA22" t="str">
            <v/>
          </cell>
          <cell r="YB22" t="str">
            <v/>
          </cell>
          <cell r="YC22" t="str">
            <v/>
          </cell>
          <cell r="YD22" t="str">
            <v/>
          </cell>
          <cell r="YE22" t="str">
            <v/>
          </cell>
          <cell r="YF22" t="str">
            <v/>
          </cell>
          <cell r="YI22" t="str">
            <v/>
          </cell>
        </row>
        <row r="23">
          <cell r="U23" t="str">
            <v>Green</v>
          </cell>
          <cell r="HS23" t="str">
            <v>dark one</v>
          </cell>
          <cell r="HU23" t="str">
            <v>half-elf</v>
          </cell>
          <cell r="IF23" t="str">
            <v>Uncanny Dodge</v>
          </cell>
          <cell r="IW23" t="str">
            <v/>
          </cell>
          <cell r="JN23" t="str">
            <v>Mask (CN)</v>
          </cell>
          <cell r="KA23" t="str">
            <v/>
          </cell>
          <cell r="LL23" t="str">
            <v>Leatherworker’s tools</v>
          </cell>
          <cell r="QR23" t="str">
            <v>Long sword</v>
          </cell>
          <cell r="UC23" t="str">
            <v>Astral Projection</v>
          </cell>
          <cell r="XV23" t="str">
            <v/>
          </cell>
          <cell r="XW23" t="str">
            <v/>
          </cell>
          <cell r="XX23" t="str">
            <v/>
          </cell>
          <cell r="XY23" t="str">
            <v/>
          </cell>
          <cell r="XZ23" t="str">
            <v/>
          </cell>
          <cell r="YA23" t="str">
            <v/>
          </cell>
          <cell r="YB23" t="str">
            <v/>
          </cell>
          <cell r="YC23" t="str">
            <v/>
          </cell>
          <cell r="YD23" t="str">
            <v/>
          </cell>
          <cell r="YE23" t="str">
            <v/>
          </cell>
          <cell r="YF23" t="str">
            <v/>
          </cell>
          <cell r="YI23" t="str">
            <v/>
          </cell>
        </row>
        <row r="24">
          <cell r="U24" t="str">
            <v>Red</v>
          </cell>
          <cell r="AP24" t="str">
            <v>Select…</v>
          </cell>
          <cell r="DN24">
            <v>0</v>
          </cell>
          <cell r="HS24" t="str">
            <v>dragonborn</v>
          </cell>
          <cell r="HU24" t="str">
            <v>half-orc</v>
          </cell>
          <cell r="IW24" t="str">
            <v/>
          </cell>
          <cell r="JN24" t="str">
            <v>Mielikki (NG)</v>
          </cell>
          <cell r="LL24" t="str">
            <v>Mason’s tools</v>
          </cell>
          <cell r="QR24" t="str">
            <v>Longbow</v>
          </cell>
          <cell r="UC24" t="str">
            <v>Augury</v>
          </cell>
          <cell r="XV24" t="str">
            <v/>
          </cell>
          <cell r="XW24" t="str">
            <v/>
          </cell>
          <cell r="XX24" t="str">
            <v/>
          </cell>
          <cell r="XY24" t="str">
            <v/>
          </cell>
          <cell r="XZ24" t="str">
            <v/>
          </cell>
          <cell r="YA24" t="str">
            <v/>
          </cell>
          <cell r="YB24" t="str">
            <v/>
          </cell>
          <cell r="YC24" t="str">
            <v/>
          </cell>
          <cell r="YD24" t="str">
            <v/>
          </cell>
          <cell r="YE24" t="str">
            <v/>
          </cell>
          <cell r="YF24" t="str">
            <v/>
          </cell>
          <cell r="YI24" t="str">
            <v/>
          </cell>
        </row>
        <row r="25">
          <cell r="U25" t="str">
            <v>Silver</v>
          </cell>
          <cell r="AP25" t="str">
            <v/>
          </cell>
          <cell r="HS25" t="str">
            <v>dwarf</v>
          </cell>
          <cell r="HU25" t="str">
            <v>halfling</v>
          </cell>
          <cell r="IW25" t="str">
            <v/>
          </cell>
          <cell r="JN25" t="str">
            <v>Milil (NG)</v>
          </cell>
          <cell r="LL25" t="str">
            <v>Painter’s supplies</v>
          </cell>
          <cell r="QR25" t="str">
            <v>Mace</v>
          </cell>
          <cell r="UC25" t="str">
            <v>Aura of Life</v>
          </cell>
          <cell r="XV25" t="str">
            <v/>
          </cell>
          <cell r="XW25" t="str">
            <v/>
          </cell>
          <cell r="XX25" t="str">
            <v/>
          </cell>
          <cell r="XY25" t="str">
            <v/>
          </cell>
          <cell r="XZ25" t="str">
            <v/>
          </cell>
          <cell r="YA25" t="str">
            <v/>
          </cell>
          <cell r="YB25" t="str">
            <v/>
          </cell>
          <cell r="YC25" t="str">
            <v/>
          </cell>
          <cell r="YD25" t="str">
            <v/>
          </cell>
          <cell r="YE25" t="str">
            <v/>
          </cell>
          <cell r="YF25" t="str">
            <v/>
          </cell>
        </row>
        <row r="26">
          <cell r="U26" t="str">
            <v>White</v>
          </cell>
          <cell r="AP26" t="str">
            <v/>
          </cell>
          <cell r="HS26" t="str">
            <v>eladrin</v>
          </cell>
          <cell r="HU26" t="str">
            <v>hobgoblin</v>
          </cell>
          <cell r="IW26" t="str">
            <v/>
          </cell>
          <cell r="JN26" t="str">
            <v>Myrkul (NE)</v>
          </cell>
          <cell r="LL26" t="str">
            <v>Potter’s tools</v>
          </cell>
          <cell r="QR26" t="str">
            <v>Maul</v>
          </cell>
          <cell r="UC26" t="str">
            <v>Aura of Purity</v>
          </cell>
          <cell r="XV26" t="str">
            <v/>
          </cell>
          <cell r="XW26" t="str">
            <v/>
          </cell>
          <cell r="XX26" t="str">
            <v/>
          </cell>
          <cell r="XY26" t="str">
            <v/>
          </cell>
          <cell r="XZ26" t="str">
            <v/>
          </cell>
          <cell r="YA26" t="str">
            <v/>
          </cell>
          <cell r="YB26" t="str">
            <v/>
          </cell>
          <cell r="YC26" t="str">
            <v/>
          </cell>
          <cell r="YD26" t="str">
            <v/>
          </cell>
          <cell r="YE26" t="str">
            <v/>
          </cell>
          <cell r="YF26" t="str">
            <v/>
          </cell>
        </row>
        <row r="27">
          <cell r="AP27" t="str">
            <v/>
          </cell>
          <cell r="DN27">
            <v>0</v>
          </cell>
          <cell r="HS27" t="str">
            <v>elf</v>
          </cell>
          <cell r="HU27" t="str">
            <v>human</v>
          </cell>
          <cell r="IW27" t="str">
            <v/>
          </cell>
          <cell r="JN27" t="str">
            <v>Mystra (NG)</v>
          </cell>
          <cell r="LL27" t="str">
            <v>Smith’s tools</v>
          </cell>
          <cell r="QR27" t="str">
            <v>Morningstar</v>
          </cell>
          <cell r="UC27" t="str">
            <v>Aura of Vitality</v>
          </cell>
          <cell r="XV27" t="str">
            <v/>
          </cell>
          <cell r="XW27" t="str">
            <v/>
          </cell>
          <cell r="XX27" t="str">
            <v/>
          </cell>
          <cell r="XY27" t="str">
            <v/>
          </cell>
          <cell r="XZ27" t="str">
            <v/>
          </cell>
          <cell r="YA27" t="str">
            <v/>
          </cell>
          <cell r="YB27" t="str">
            <v/>
          </cell>
          <cell r="YC27" t="str">
            <v/>
          </cell>
          <cell r="YD27" t="str">
            <v/>
          </cell>
          <cell r="YE27" t="str">
            <v/>
          </cell>
          <cell r="YF27" t="str">
            <v/>
          </cell>
        </row>
        <row r="28">
          <cell r="AP28" t="str">
            <v/>
          </cell>
          <cell r="HS28" t="str">
            <v>genasi</v>
          </cell>
          <cell r="HU28" t="str">
            <v>kenku</v>
          </cell>
          <cell r="IW28" t="str">
            <v/>
          </cell>
          <cell r="JN28" t="str">
            <v>Oghma (N)</v>
          </cell>
          <cell r="LL28" t="str">
            <v>Tinker’s tools</v>
          </cell>
          <cell r="QR28" t="str">
            <v>Net</v>
          </cell>
          <cell r="UC28" t="str">
            <v>Awaken</v>
          </cell>
          <cell r="XV28" t="str">
            <v/>
          </cell>
          <cell r="XW28" t="str">
            <v/>
          </cell>
          <cell r="XX28" t="str">
            <v/>
          </cell>
          <cell r="XY28" t="str">
            <v/>
          </cell>
          <cell r="XZ28" t="str">
            <v/>
          </cell>
          <cell r="YA28" t="str">
            <v/>
          </cell>
          <cell r="YB28" t="str">
            <v/>
          </cell>
          <cell r="YC28" t="str">
            <v/>
          </cell>
          <cell r="YD28" t="str">
            <v/>
          </cell>
          <cell r="YE28" t="str">
            <v/>
          </cell>
          <cell r="YF28" t="str">
            <v/>
          </cell>
        </row>
        <row r="29">
          <cell r="AP29" t="str">
            <v/>
          </cell>
          <cell r="DN29">
            <v>0</v>
          </cell>
          <cell r="HS29" t="str">
            <v>gibberling</v>
          </cell>
          <cell r="HU29" t="str">
            <v>kobold</v>
          </cell>
          <cell r="IW29" t="str">
            <v/>
          </cell>
          <cell r="JN29" t="str">
            <v>Savras (LN)</v>
          </cell>
          <cell r="LL29" t="str">
            <v>Weaver’s tools</v>
          </cell>
          <cell r="QR29" t="str">
            <v>Pike</v>
          </cell>
          <cell r="UC29" t="str">
            <v>Bane</v>
          </cell>
          <cell r="XV29" t="str">
            <v/>
          </cell>
          <cell r="XW29" t="str">
            <v/>
          </cell>
          <cell r="XX29" t="str">
            <v/>
          </cell>
          <cell r="XY29" t="str">
            <v/>
          </cell>
          <cell r="XZ29" t="str">
            <v/>
          </cell>
          <cell r="YA29" t="str">
            <v/>
          </cell>
          <cell r="YB29" t="str">
            <v/>
          </cell>
          <cell r="YC29" t="str">
            <v/>
          </cell>
          <cell r="YD29" t="str">
            <v/>
          </cell>
          <cell r="YE29" t="str">
            <v/>
          </cell>
          <cell r="YF29" t="str">
            <v/>
          </cell>
        </row>
        <row r="30">
          <cell r="AP30" t="str">
            <v/>
          </cell>
          <cell r="DN30">
            <v>0</v>
          </cell>
          <cell r="HS30" t="str">
            <v>githyanki</v>
          </cell>
          <cell r="HU30" t="str">
            <v>lizardfolk</v>
          </cell>
          <cell r="IW30" t="str">
            <v/>
          </cell>
          <cell r="JN30" t="str">
            <v>Selûne (CG)</v>
          </cell>
          <cell r="LL30" t="str">
            <v>Woodcarver’s tools</v>
          </cell>
          <cell r="QR30" t="str">
            <v>Quarterstaff</v>
          </cell>
          <cell r="UC30" t="str">
            <v>Banishing Smite</v>
          </cell>
          <cell r="XV30" t="str">
            <v/>
          </cell>
          <cell r="XW30" t="str">
            <v/>
          </cell>
          <cell r="XX30" t="str">
            <v/>
          </cell>
          <cell r="XY30" t="str">
            <v/>
          </cell>
          <cell r="XZ30" t="str">
            <v/>
          </cell>
          <cell r="YA30" t="str">
            <v/>
          </cell>
          <cell r="YB30" t="str">
            <v/>
          </cell>
          <cell r="YC30" t="str">
            <v/>
          </cell>
          <cell r="YD30" t="str">
            <v/>
          </cell>
          <cell r="YE30" t="str">
            <v/>
          </cell>
          <cell r="YF30" t="str">
            <v/>
          </cell>
        </row>
        <row r="31">
          <cell r="AP31" t="str">
            <v/>
          </cell>
          <cell r="DN31">
            <v>0</v>
          </cell>
          <cell r="HS31" t="str">
            <v>githzerai</v>
          </cell>
          <cell r="HU31" t="str">
            <v>locathah</v>
          </cell>
          <cell r="IW31" t="str">
            <v/>
          </cell>
          <cell r="JN31" t="str">
            <v>Shar (NE)</v>
          </cell>
          <cell r="LL31" t="str">
            <v>--</v>
          </cell>
          <cell r="QR31" t="str">
            <v>Rapier</v>
          </cell>
          <cell r="UC31" t="str">
            <v>Banishment</v>
          </cell>
          <cell r="XV31" t="str">
            <v/>
          </cell>
          <cell r="XW31" t="str">
            <v/>
          </cell>
          <cell r="XX31" t="str">
            <v/>
          </cell>
          <cell r="XY31" t="str">
            <v/>
          </cell>
          <cell r="XZ31" t="str">
            <v/>
          </cell>
          <cell r="YA31" t="str">
            <v/>
          </cell>
          <cell r="YB31" t="str">
            <v/>
          </cell>
          <cell r="YC31" t="str">
            <v/>
          </cell>
          <cell r="YD31" t="str">
            <v/>
          </cell>
          <cell r="YE31" t="str">
            <v/>
          </cell>
          <cell r="YF31" t="str">
            <v/>
          </cell>
        </row>
        <row r="32">
          <cell r="DN32">
            <v>0</v>
          </cell>
          <cell r="HS32" t="str">
            <v>gnoll</v>
          </cell>
          <cell r="HU32" t="str">
            <v>merfolk</v>
          </cell>
          <cell r="IW32" t="str">
            <v/>
          </cell>
          <cell r="JN32" t="str">
            <v>Silvanus (N)</v>
          </cell>
          <cell r="LL32" t="str">
            <v>Disguise kit</v>
          </cell>
          <cell r="QR32" t="str">
            <v>Scimitar</v>
          </cell>
          <cell r="UC32" t="str">
            <v>Barkskin</v>
          </cell>
          <cell r="XV32" t="str">
            <v/>
          </cell>
          <cell r="XW32" t="str">
            <v/>
          </cell>
          <cell r="XX32" t="str">
            <v/>
          </cell>
          <cell r="XY32" t="str">
            <v/>
          </cell>
          <cell r="XZ32" t="str">
            <v/>
          </cell>
          <cell r="YA32" t="str">
            <v/>
          </cell>
          <cell r="YB32" t="str">
            <v/>
          </cell>
          <cell r="YC32" t="str">
            <v/>
          </cell>
          <cell r="YD32" t="str">
            <v/>
          </cell>
          <cell r="YE32" t="str">
            <v/>
          </cell>
          <cell r="YF32" t="str">
            <v/>
          </cell>
        </row>
        <row r="33">
          <cell r="AP33" t="str">
            <v>Select…</v>
          </cell>
          <cell r="DN33">
            <v>0</v>
          </cell>
          <cell r="HS33" t="str">
            <v>gnome</v>
          </cell>
          <cell r="HU33" t="str">
            <v>mongrelfolk</v>
          </cell>
          <cell r="IW33" t="str">
            <v/>
          </cell>
          <cell r="JN33" t="str">
            <v>Sune (CG)</v>
          </cell>
          <cell r="LL33" t="str">
            <v>Forgery kit</v>
          </cell>
          <cell r="QR33" t="str">
            <v>Short sword</v>
          </cell>
          <cell r="UC33" t="str">
            <v>Beacon of Hope</v>
          </cell>
          <cell r="XV33" t="str">
            <v/>
          </cell>
          <cell r="XW33" t="str">
            <v/>
          </cell>
          <cell r="XX33" t="str">
            <v/>
          </cell>
          <cell r="XY33" t="str">
            <v/>
          </cell>
          <cell r="XZ33" t="str">
            <v/>
          </cell>
          <cell r="YA33" t="str">
            <v/>
          </cell>
          <cell r="YB33" t="str">
            <v/>
          </cell>
          <cell r="YC33" t="str">
            <v/>
          </cell>
          <cell r="YD33" t="str">
            <v/>
          </cell>
          <cell r="YE33" t="str">
            <v/>
          </cell>
          <cell r="YF33" t="str">
            <v/>
          </cell>
        </row>
        <row r="34">
          <cell r="AP34" t="str">
            <v/>
          </cell>
          <cell r="DN34">
            <v>0</v>
          </cell>
          <cell r="HS34" t="str">
            <v>goblin</v>
          </cell>
          <cell r="HU34" t="str">
            <v>mul</v>
          </cell>
          <cell r="IW34" t="str">
            <v/>
          </cell>
          <cell r="JN34" t="str">
            <v>Talona (CE)</v>
          </cell>
          <cell r="LL34" t="str">
            <v>-- Gaming set</v>
          </cell>
          <cell r="QR34" t="str">
            <v>Shortbow</v>
          </cell>
          <cell r="UC34" t="str">
            <v>Beast Bond</v>
          </cell>
          <cell r="XV34" t="str">
            <v/>
          </cell>
          <cell r="XW34" t="str">
            <v/>
          </cell>
          <cell r="XX34" t="str">
            <v/>
          </cell>
          <cell r="XY34" t="str">
            <v/>
          </cell>
          <cell r="XZ34" t="str">
            <v/>
          </cell>
          <cell r="YA34" t="str">
            <v/>
          </cell>
          <cell r="YB34" t="str">
            <v/>
          </cell>
          <cell r="YC34" t="str">
            <v/>
          </cell>
          <cell r="YD34" t="str">
            <v/>
          </cell>
          <cell r="YE34" t="str">
            <v/>
          </cell>
          <cell r="YF34" t="str">
            <v/>
          </cell>
        </row>
        <row r="35">
          <cell r="AP35" t="str">
            <v/>
          </cell>
          <cell r="HS35" t="str">
            <v>goliath</v>
          </cell>
          <cell r="HU35" t="str">
            <v>nilbog</v>
          </cell>
          <cell r="JN35" t="str">
            <v>Talos (CE)</v>
          </cell>
          <cell r="LL35" t="str">
            <v>Dice set</v>
          </cell>
          <cell r="QR35" t="str">
            <v>Sickle</v>
          </cell>
          <cell r="UC35" t="str">
            <v>Beast Sense</v>
          </cell>
          <cell r="XV35" t="str">
            <v/>
          </cell>
          <cell r="XW35" t="str">
            <v/>
          </cell>
          <cell r="XX35" t="str">
            <v/>
          </cell>
          <cell r="XY35" t="str">
            <v/>
          </cell>
          <cell r="XZ35" t="str">
            <v/>
          </cell>
          <cell r="YA35" t="str">
            <v/>
          </cell>
          <cell r="YB35" t="str">
            <v/>
          </cell>
          <cell r="YC35" t="str">
            <v/>
          </cell>
          <cell r="YD35" t="str">
            <v/>
          </cell>
          <cell r="YE35" t="str">
            <v/>
          </cell>
          <cell r="YF35" t="str">
            <v/>
          </cell>
        </row>
        <row r="36">
          <cell r="AP36" t="str">
            <v/>
          </cell>
          <cell r="HS36" t="str">
            <v>grippli</v>
          </cell>
          <cell r="HU36" t="str">
            <v>norker</v>
          </cell>
          <cell r="JN36" t="str">
            <v>Tempus (N)</v>
          </cell>
          <cell r="LL36" t="str">
            <v>Dragonchess set</v>
          </cell>
          <cell r="QR36" t="str">
            <v>Sling</v>
          </cell>
          <cell r="UC36" t="str">
            <v>Bestow Curse</v>
          </cell>
          <cell r="XV36" t="str">
            <v/>
          </cell>
          <cell r="XW36" t="str">
            <v/>
          </cell>
          <cell r="XX36" t="str">
            <v/>
          </cell>
          <cell r="XY36" t="str">
            <v/>
          </cell>
          <cell r="XZ36" t="str">
            <v/>
          </cell>
          <cell r="YA36" t="str">
            <v/>
          </cell>
          <cell r="YB36" t="str">
            <v/>
          </cell>
          <cell r="YC36" t="str">
            <v/>
          </cell>
          <cell r="YD36" t="str">
            <v/>
          </cell>
          <cell r="YE36" t="str">
            <v/>
          </cell>
          <cell r="YF36" t="str">
            <v/>
          </cell>
        </row>
        <row r="37">
          <cell r="AP37" t="str">
            <v/>
          </cell>
          <cell r="HS37" t="str">
            <v>half-elf</v>
          </cell>
          <cell r="HU37" t="str">
            <v>orc</v>
          </cell>
          <cell r="JN37" t="str">
            <v>Torm (LG)</v>
          </cell>
          <cell r="LL37" t="str">
            <v>Playing card set</v>
          </cell>
          <cell r="QR37" t="str">
            <v>Spear</v>
          </cell>
          <cell r="UC37" t="str">
            <v>Bigby's Hand</v>
          </cell>
          <cell r="XV37" t="str">
            <v/>
          </cell>
          <cell r="XW37" t="str">
            <v/>
          </cell>
          <cell r="XX37" t="str">
            <v/>
          </cell>
          <cell r="XY37" t="str">
            <v/>
          </cell>
          <cell r="XZ37" t="str">
            <v/>
          </cell>
          <cell r="YA37" t="str">
            <v/>
          </cell>
          <cell r="YB37" t="str">
            <v/>
          </cell>
          <cell r="YC37" t="str">
            <v/>
          </cell>
          <cell r="YD37" t="str">
            <v/>
          </cell>
          <cell r="YE37" t="str">
            <v/>
          </cell>
          <cell r="YF37" t="str">
            <v/>
          </cell>
        </row>
        <row r="38">
          <cell r="AP38" t="str">
            <v/>
          </cell>
          <cell r="HS38" t="str">
            <v>half-orc</v>
          </cell>
          <cell r="HU38" t="str">
            <v>orog</v>
          </cell>
          <cell r="JN38" t="str">
            <v>Tymora (CG)</v>
          </cell>
          <cell r="LL38" t="str">
            <v>Three-Dragon Ante set</v>
          </cell>
          <cell r="QR38" t="str">
            <v>Trident</v>
          </cell>
          <cell r="UC38" t="str">
            <v>Blade Barrier</v>
          </cell>
          <cell r="XV38" t="str">
            <v/>
          </cell>
          <cell r="XW38" t="str">
            <v/>
          </cell>
          <cell r="XX38" t="str">
            <v/>
          </cell>
          <cell r="XY38" t="str">
            <v/>
          </cell>
          <cell r="XZ38" t="str">
            <v/>
          </cell>
          <cell r="YA38" t="str">
            <v/>
          </cell>
          <cell r="YB38" t="str">
            <v/>
          </cell>
          <cell r="YC38" t="str">
            <v/>
          </cell>
          <cell r="YD38" t="str">
            <v/>
          </cell>
          <cell r="YE38" t="str">
            <v/>
          </cell>
          <cell r="YF38" t="str">
            <v/>
          </cell>
        </row>
        <row r="39">
          <cell r="AP39" t="str">
            <v/>
          </cell>
          <cell r="HS39" t="str">
            <v>halfling</v>
          </cell>
          <cell r="HU39" t="str">
            <v>rakasta</v>
          </cell>
          <cell r="JN39" t="str">
            <v>Tyr (LG)</v>
          </cell>
          <cell r="LL39" t="str">
            <v>--</v>
          </cell>
          <cell r="QR39" t="str">
            <v>Unarmed strike</v>
          </cell>
          <cell r="UC39" t="str">
            <v>Blade Ward</v>
          </cell>
          <cell r="XV39" t="str">
            <v/>
          </cell>
          <cell r="XW39" t="str">
            <v/>
          </cell>
          <cell r="XX39" t="str">
            <v/>
          </cell>
          <cell r="XY39" t="str">
            <v/>
          </cell>
          <cell r="XZ39" t="str">
            <v/>
          </cell>
          <cell r="YA39" t="str">
            <v/>
          </cell>
          <cell r="YB39" t="str">
            <v/>
          </cell>
          <cell r="YC39" t="str">
            <v/>
          </cell>
          <cell r="YD39" t="str">
            <v/>
          </cell>
          <cell r="YE39" t="str">
            <v/>
          </cell>
          <cell r="YF39" t="str">
            <v/>
          </cell>
        </row>
        <row r="40">
          <cell r="AP40" t="str">
            <v/>
          </cell>
          <cell r="DN40">
            <v>0</v>
          </cell>
          <cell r="HS40" t="str">
            <v>hobgoblin</v>
          </cell>
          <cell r="HU40" t="str">
            <v>saurial</v>
          </cell>
          <cell r="JN40" t="str">
            <v>Umberlee (CE)</v>
          </cell>
          <cell r="LL40" t="str">
            <v>Herbalism kit</v>
          </cell>
          <cell r="QR40" t="str">
            <v>War pick</v>
          </cell>
          <cell r="UC40" t="str">
            <v>Bless</v>
          </cell>
          <cell r="XV40" t="str">
            <v/>
          </cell>
          <cell r="XW40" t="str">
            <v/>
          </cell>
          <cell r="XX40" t="str">
            <v/>
          </cell>
          <cell r="XY40" t="str">
            <v/>
          </cell>
          <cell r="XZ40" t="str">
            <v/>
          </cell>
          <cell r="YA40" t="str">
            <v/>
          </cell>
          <cell r="YB40" t="str">
            <v/>
          </cell>
          <cell r="YC40" t="str">
            <v/>
          </cell>
          <cell r="YD40" t="str">
            <v/>
          </cell>
          <cell r="YE40" t="str">
            <v/>
          </cell>
          <cell r="YF40" t="str">
            <v/>
          </cell>
        </row>
        <row r="41">
          <cell r="DN41">
            <v>0</v>
          </cell>
          <cell r="HS41" t="str">
            <v>human</v>
          </cell>
          <cell r="HU41" t="str">
            <v>selkie</v>
          </cell>
          <cell r="JN41" t="str">
            <v>Waukeen (N)</v>
          </cell>
          <cell r="LL41" t="str">
            <v>-- Musical instrument</v>
          </cell>
          <cell r="QR41" t="str">
            <v>Warhammer</v>
          </cell>
          <cell r="UC41" t="str">
            <v>Blight</v>
          </cell>
          <cell r="XV41" t="str">
            <v/>
          </cell>
          <cell r="XW41" t="str">
            <v/>
          </cell>
          <cell r="XX41" t="str">
            <v/>
          </cell>
          <cell r="XY41" t="str">
            <v/>
          </cell>
          <cell r="XZ41" t="str">
            <v/>
          </cell>
          <cell r="YA41" t="str">
            <v/>
          </cell>
          <cell r="YB41" t="str">
            <v/>
          </cell>
          <cell r="YC41" t="str">
            <v/>
          </cell>
          <cell r="YD41" t="str">
            <v/>
          </cell>
          <cell r="YE41" t="str">
            <v/>
          </cell>
          <cell r="YF41" t="str">
            <v/>
          </cell>
        </row>
        <row r="42">
          <cell r="DN42">
            <v>0</v>
          </cell>
          <cell r="HS42" t="str">
            <v>kenku</v>
          </cell>
          <cell r="HU42" t="str">
            <v>shifter</v>
          </cell>
          <cell r="JN42" t="str">
            <v>--------------------GREYHAWK--------------------</v>
          </cell>
          <cell r="LL42" t="str">
            <v>Bagpipes</v>
          </cell>
          <cell r="QR42" t="str">
            <v>Whip</v>
          </cell>
          <cell r="UC42" t="str">
            <v>Blinding Smite</v>
          </cell>
          <cell r="XV42" t="str">
            <v/>
          </cell>
          <cell r="XW42" t="str">
            <v/>
          </cell>
          <cell r="XX42" t="str">
            <v/>
          </cell>
          <cell r="XY42" t="str">
            <v/>
          </cell>
          <cell r="XZ42" t="str">
            <v/>
          </cell>
          <cell r="YA42" t="str">
            <v/>
          </cell>
          <cell r="YB42" t="str">
            <v/>
          </cell>
          <cell r="YC42" t="str">
            <v/>
          </cell>
          <cell r="YD42" t="str">
            <v/>
          </cell>
          <cell r="YE42" t="str">
            <v/>
          </cell>
          <cell r="YF42" t="str">
            <v/>
          </cell>
        </row>
        <row r="43">
          <cell r="AP43" t="str">
            <v/>
          </cell>
          <cell r="HS43" t="str">
            <v>kobold</v>
          </cell>
          <cell r="HU43" t="str">
            <v>skulk</v>
          </cell>
          <cell r="JN43" t="str">
            <v>Beory (N)</v>
          </cell>
          <cell r="LL43" t="str">
            <v>Drum</v>
          </cell>
          <cell r="QR43" t="str">
            <v>Attack Spell (Int)</v>
          </cell>
          <cell r="UC43" t="str">
            <v>Blindness/Deafness</v>
          </cell>
          <cell r="XV43" t="str">
            <v/>
          </cell>
          <cell r="XW43" t="str">
            <v/>
          </cell>
          <cell r="XX43" t="str">
            <v/>
          </cell>
          <cell r="XY43" t="str">
            <v/>
          </cell>
          <cell r="XZ43" t="str">
            <v/>
          </cell>
          <cell r="YA43" t="str">
            <v/>
          </cell>
          <cell r="YB43" t="str">
            <v/>
          </cell>
          <cell r="YC43" t="str">
            <v/>
          </cell>
          <cell r="YD43" t="str">
            <v/>
          </cell>
          <cell r="YE43" t="str">
            <v/>
          </cell>
          <cell r="YF43" t="str">
            <v/>
          </cell>
        </row>
        <row r="44">
          <cell r="AP44" t="str">
            <v/>
          </cell>
          <cell r="HS44" t="str">
            <v>lizardfolk</v>
          </cell>
          <cell r="HU44" t="str">
            <v>swanmay</v>
          </cell>
          <cell r="JN44" t="str">
            <v>Boccob (N)</v>
          </cell>
          <cell r="LL44" t="str">
            <v>Dulcimer</v>
          </cell>
          <cell r="QR44" t="str">
            <v>Attack Spell (Wis)</v>
          </cell>
          <cell r="UC44" t="str">
            <v>Blink</v>
          </cell>
          <cell r="XV44" t="str">
            <v/>
          </cell>
          <cell r="XW44" t="str">
            <v/>
          </cell>
          <cell r="XX44" t="str">
            <v/>
          </cell>
          <cell r="XY44" t="str">
            <v/>
          </cell>
          <cell r="XZ44" t="str">
            <v/>
          </cell>
          <cell r="YA44" t="str">
            <v/>
          </cell>
          <cell r="YB44" t="str">
            <v/>
          </cell>
          <cell r="YC44" t="str">
            <v/>
          </cell>
          <cell r="YD44" t="str">
            <v/>
          </cell>
          <cell r="YE44" t="str">
            <v/>
          </cell>
          <cell r="YF44" t="str">
            <v/>
          </cell>
        </row>
        <row r="45">
          <cell r="AP45" t="str">
            <v/>
          </cell>
          <cell r="HS45" t="str">
            <v>locathah</v>
          </cell>
          <cell r="HU45" t="str">
            <v>tasloi</v>
          </cell>
          <cell r="JN45" t="str">
            <v>Celestian (N)</v>
          </cell>
          <cell r="LL45" t="str">
            <v>Flute</v>
          </cell>
          <cell r="QR45" t="str">
            <v>Attack Spell (Cha)</v>
          </cell>
          <cell r="UC45" t="str">
            <v>Blur</v>
          </cell>
          <cell r="XV45" t="str">
            <v/>
          </cell>
          <cell r="XW45" t="str">
            <v/>
          </cell>
          <cell r="XX45" t="str">
            <v/>
          </cell>
          <cell r="XY45" t="str">
            <v/>
          </cell>
          <cell r="XZ45" t="str">
            <v/>
          </cell>
          <cell r="YA45" t="str">
            <v/>
          </cell>
          <cell r="YB45" t="str">
            <v/>
          </cell>
          <cell r="YC45" t="str">
            <v/>
          </cell>
          <cell r="YD45" t="str">
            <v/>
          </cell>
          <cell r="YE45" t="str">
            <v/>
          </cell>
          <cell r="YF45" t="str">
            <v/>
          </cell>
        </row>
        <row r="46">
          <cell r="AP46" t="str">
            <v/>
          </cell>
          <cell r="HS46" t="str">
            <v>merfolk</v>
          </cell>
          <cell r="HU46" t="str">
            <v>tiefling</v>
          </cell>
          <cell r="JN46" t="str">
            <v>Ehlonna (NG)</v>
          </cell>
          <cell r="LL46" t="str">
            <v>Horn</v>
          </cell>
          <cell r="QR46">
            <v>0</v>
          </cell>
          <cell r="UC46" t="str">
            <v>Bones of the Earth</v>
          </cell>
          <cell r="XV46" t="str">
            <v/>
          </cell>
          <cell r="XW46" t="str">
            <v/>
          </cell>
          <cell r="XX46" t="str">
            <v/>
          </cell>
          <cell r="XY46" t="str">
            <v/>
          </cell>
          <cell r="XZ46" t="str">
            <v/>
          </cell>
          <cell r="YA46" t="str">
            <v/>
          </cell>
          <cell r="YB46" t="str">
            <v/>
          </cell>
          <cell r="YC46" t="str">
            <v/>
          </cell>
          <cell r="YD46" t="str">
            <v/>
          </cell>
          <cell r="YE46" t="str">
            <v/>
          </cell>
          <cell r="YF46" t="str">
            <v/>
          </cell>
        </row>
        <row r="47">
          <cell r="AP47" t="str">
            <v/>
          </cell>
          <cell r="HS47" t="str">
            <v>mongrelfolk</v>
          </cell>
          <cell r="HU47" t="str">
            <v>troglodyte</v>
          </cell>
          <cell r="JN47" t="str">
            <v>Erythnul (CE)</v>
          </cell>
          <cell r="LL47" t="str">
            <v>Lute</v>
          </cell>
          <cell r="QR47">
            <v>0</v>
          </cell>
          <cell r="UC47" t="str">
            <v>Branding Smite</v>
          </cell>
          <cell r="XV47" t="str">
            <v/>
          </cell>
          <cell r="XW47" t="str">
            <v/>
          </cell>
          <cell r="XX47" t="str">
            <v/>
          </cell>
          <cell r="XY47" t="str">
            <v/>
          </cell>
          <cell r="XZ47" t="str">
            <v/>
          </cell>
          <cell r="YA47" t="str">
            <v/>
          </cell>
          <cell r="YB47" t="str">
            <v/>
          </cell>
          <cell r="YC47" t="str">
            <v/>
          </cell>
          <cell r="YD47" t="str">
            <v/>
          </cell>
          <cell r="YE47" t="str">
            <v/>
          </cell>
          <cell r="YF47" t="str">
            <v/>
          </cell>
        </row>
        <row r="48">
          <cell r="AP48" t="str">
            <v/>
          </cell>
          <cell r="HS48" t="str">
            <v>mul</v>
          </cell>
          <cell r="HU48">
            <v>0</v>
          </cell>
          <cell r="JN48" t="str">
            <v>Fharlanghn (NG)</v>
          </cell>
          <cell r="LL48" t="str">
            <v>Lyre</v>
          </cell>
          <cell r="QR48">
            <v>0</v>
          </cell>
          <cell r="UC48" t="str">
            <v>Burning Hands</v>
          </cell>
          <cell r="XV48" t="str">
            <v/>
          </cell>
          <cell r="XW48" t="str">
            <v/>
          </cell>
          <cell r="XX48" t="str">
            <v/>
          </cell>
          <cell r="XY48" t="str">
            <v/>
          </cell>
          <cell r="XZ48" t="str">
            <v/>
          </cell>
          <cell r="YA48" t="str">
            <v/>
          </cell>
          <cell r="YB48" t="str">
            <v/>
          </cell>
          <cell r="YC48" t="str">
            <v/>
          </cell>
          <cell r="YD48" t="str">
            <v/>
          </cell>
          <cell r="YE48" t="str">
            <v/>
          </cell>
          <cell r="YF48" t="str">
            <v/>
          </cell>
        </row>
        <row r="49">
          <cell r="AP49" t="str">
            <v/>
          </cell>
          <cell r="HS49" t="str">
            <v>nilbog</v>
          </cell>
          <cell r="JN49" t="str">
            <v>Heironeous (LG)</v>
          </cell>
          <cell r="LL49" t="str">
            <v>Pan flute</v>
          </cell>
          <cell r="QR49">
            <v>0</v>
          </cell>
          <cell r="UC49" t="str">
            <v>Call Lightning</v>
          </cell>
          <cell r="XV49" t="str">
            <v/>
          </cell>
          <cell r="XW49" t="str">
            <v/>
          </cell>
          <cell r="XX49" t="str">
            <v/>
          </cell>
          <cell r="XY49" t="str">
            <v/>
          </cell>
          <cell r="XZ49" t="str">
            <v/>
          </cell>
          <cell r="YA49" t="str">
            <v/>
          </cell>
          <cell r="YB49" t="str">
            <v/>
          </cell>
          <cell r="YC49" t="str">
            <v/>
          </cell>
          <cell r="YD49" t="str">
            <v/>
          </cell>
          <cell r="YE49" t="str">
            <v/>
          </cell>
          <cell r="YF49" t="str">
            <v/>
          </cell>
        </row>
        <row r="50">
          <cell r="AP50" t="str">
            <v/>
          </cell>
          <cell r="HS50" t="str">
            <v>norker</v>
          </cell>
          <cell r="JN50" t="str">
            <v>Hextor (LE)</v>
          </cell>
          <cell r="LL50" t="str">
            <v>Shawm</v>
          </cell>
          <cell r="QR50">
            <v>0</v>
          </cell>
          <cell r="UC50" t="str">
            <v>Calm Emotions</v>
          </cell>
          <cell r="XV50" t="str">
            <v/>
          </cell>
          <cell r="XW50" t="str">
            <v/>
          </cell>
          <cell r="XX50" t="str">
            <v/>
          </cell>
          <cell r="XY50" t="str">
            <v/>
          </cell>
          <cell r="XZ50" t="str">
            <v/>
          </cell>
          <cell r="YA50" t="str">
            <v/>
          </cell>
          <cell r="YB50" t="str">
            <v/>
          </cell>
          <cell r="YC50" t="str">
            <v/>
          </cell>
          <cell r="YD50" t="str">
            <v/>
          </cell>
          <cell r="YE50" t="str">
            <v/>
          </cell>
          <cell r="YF50" t="str">
            <v/>
          </cell>
        </row>
        <row r="51">
          <cell r="AP51" t="str">
            <v/>
          </cell>
          <cell r="HS51" t="str">
            <v>orc</v>
          </cell>
          <cell r="JN51" t="str">
            <v>Incabulos (NE)</v>
          </cell>
          <cell r="LL51" t="str">
            <v>Viol</v>
          </cell>
          <cell r="QR51">
            <v>0</v>
          </cell>
          <cell r="UC51" t="str">
            <v>Catapult</v>
          </cell>
          <cell r="XV51" t="str">
            <v/>
          </cell>
          <cell r="XW51" t="str">
            <v/>
          </cell>
          <cell r="XX51" t="str">
            <v/>
          </cell>
          <cell r="XY51" t="str">
            <v/>
          </cell>
          <cell r="XZ51" t="str">
            <v/>
          </cell>
          <cell r="YA51" t="str">
            <v/>
          </cell>
          <cell r="YB51" t="str">
            <v/>
          </cell>
          <cell r="YC51" t="str">
            <v/>
          </cell>
          <cell r="YD51" t="str">
            <v/>
          </cell>
          <cell r="YE51" t="str">
            <v/>
          </cell>
          <cell r="YF51" t="str">
            <v/>
          </cell>
        </row>
        <row r="52">
          <cell r="AP52" t="str">
            <v/>
          </cell>
          <cell r="HS52" t="str">
            <v>orog</v>
          </cell>
          <cell r="JN52" t="str">
            <v>Istus (N)</v>
          </cell>
          <cell r="LL52" t="str">
            <v>--</v>
          </cell>
          <cell r="QR52">
            <v>0</v>
          </cell>
          <cell r="UC52" t="str">
            <v>Chain Lightning</v>
          </cell>
        </row>
        <row r="53">
          <cell r="AP53" t="str">
            <v/>
          </cell>
          <cell r="HS53" t="str">
            <v>rakasta</v>
          </cell>
          <cell r="JN53" t="str">
            <v>Kord (CG)</v>
          </cell>
          <cell r="LL53" t="str">
            <v>Navigator’s tools</v>
          </cell>
          <cell r="QR53">
            <v>0</v>
          </cell>
          <cell r="UC53" t="str">
            <v>Charm Person</v>
          </cell>
        </row>
        <row r="54">
          <cell r="AP54">
            <v>0</v>
          </cell>
          <cell r="HS54" t="str">
            <v>saurial</v>
          </cell>
          <cell r="JN54" t="str">
            <v>luz (CE)</v>
          </cell>
          <cell r="LL54" t="str">
            <v>Poisoner’s kit</v>
          </cell>
          <cell r="QR54">
            <v>0</v>
          </cell>
          <cell r="UC54" t="str">
            <v>Chill Touch</v>
          </cell>
        </row>
        <row r="55">
          <cell r="AP55">
            <v>0</v>
          </cell>
          <cell r="HS55" t="str">
            <v>selkie</v>
          </cell>
          <cell r="JN55" t="str">
            <v>Nerull (NE)</v>
          </cell>
          <cell r="LL55" t="str">
            <v>Thieves’ tools</v>
          </cell>
          <cell r="QR55">
            <v>0</v>
          </cell>
          <cell r="UC55" t="str">
            <v>Chromatic Orb</v>
          </cell>
        </row>
        <row r="56">
          <cell r="AP56">
            <v>0</v>
          </cell>
          <cell r="HS56" t="str">
            <v>shifter</v>
          </cell>
          <cell r="JN56" t="str">
            <v>Obad-Hai (N)</v>
          </cell>
          <cell r="LL56" t="str">
            <v>Vehicles (land)</v>
          </cell>
          <cell r="QR56">
            <v>0</v>
          </cell>
          <cell r="UC56" t="str">
            <v>Circle of Death</v>
          </cell>
        </row>
        <row r="57">
          <cell r="AP57">
            <v>0</v>
          </cell>
          <cell r="HS57" t="str">
            <v>skulk</v>
          </cell>
          <cell r="JN57" t="str">
            <v>Olidammara (CN)</v>
          </cell>
          <cell r="LL57" t="str">
            <v>Vehicles (water)</v>
          </cell>
          <cell r="QR57">
            <v>0</v>
          </cell>
          <cell r="UC57" t="str">
            <v>Circle of Power</v>
          </cell>
        </row>
        <row r="58">
          <cell r="AP58">
            <v>0</v>
          </cell>
          <cell r="HS58" t="str">
            <v>swanmay</v>
          </cell>
          <cell r="JN58" t="str">
            <v>Pelor (NG)</v>
          </cell>
          <cell r="LL58" t="str">
            <v>none</v>
          </cell>
          <cell r="QR58">
            <v>0</v>
          </cell>
          <cell r="UC58" t="str">
            <v>Clairvoyance</v>
          </cell>
        </row>
        <row r="59">
          <cell r="AP59">
            <v>0</v>
          </cell>
          <cell r="HS59" t="str">
            <v>tasloi</v>
          </cell>
          <cell r="JN59" t="str">
            <v>Pholtus (LG)</v>
          </cell>
          <cell r="LL59">
            <v>0</v>
          </cell>
          <cell r="QR59">
            <v>0</v>
          </cell>
          <cell r="UC59" t="str">
            <v>Clone</v>
          </cell>
        </row>
        <row r="60">
          <cell r="AP60">
            <v>0</v>
          </cell>
          <cell r="HS60" t="str">
            <v>tiefling</v>
          </cell>
          <cell r="JN60" t="str">
            <v>Ralishaz (CN)</v>
          </cell>
          <cell r="LM60" t="str">
            <v>No</v>
          </cell>
          <cell r="QR60">
            <v>0</v>
          </cell>
          <cell r="UC60" t="str">
            <v>Cloud of Daggers</v>
          </cell>
        </row>
        <row r="61">
          <cell r="AP61">
            <v>0</v>
          </cell>
          <cell r="HS61" t="str">
            <v>troglodyte</v>
          </cell>
          <cell r="JN61" t="str">
            <v>Rao (LG)</v>
          </cell>
          <cell r="LM61" t="str">
            <v>No</v>
          </cell>
          <cell r="QR61">
            <v>0</v>
          </cell>
          <cell r="UC61" t="str">
            <v>Cloudkill</v>
          </cell>
          <cell r="ZB61" t="str">
            <v>Select…</v>
          </cell>
        </row>
        <row r="62">
          <cell r="AP62">
            <v>0</v>
          </cell>
          <cell r="JN62" t="str">
            <v>St. Cuthbert (LN)</v>
          </cell>
          <cell r="LM62" t="str">
            <v>No</v>
          </cell>
          <cell r="QR62">
            <v>0</v>
          </cell>
          <cell r="UC62" t="str">
            <v>Color Spray</v>
          </cell>
          <cell r="ZB62" t="str">
            <v>Ability Score Improvement</v>
          </cell>
        </row>
        <row r="63">
          <cell r="AP63">
            <v>0</v>
          </cell>
          <cell r="JN63" t="str">
            <v>Tharizdun (CE)</v>
          </cell>
          <cell r="QR63">
            <v>0</v>
          </cell>
          <cell r="UC63" t="str">
            <v>Command</v>
          </cell>
          <cell r="ZB63" t="str">
            <v>Alert</v>
          </cell>
        </row>
        <row r="64">
          <cell r="AP64" t="str">
            <v/>
          </cell>
          <cell r="JN64" t="str">
            <v>Trithereon (CG)</v>
          </cell>
          <cell r="QR64">
            <v>0</v>
          </cell>
          <cell r="UC64" t="str">
            <v>Commune</v>
          </cell>
          <cell r="ZB64" t="str">
            <v>Athlete</v>
          </cell>
        </row>
        <row r="65">
          <cell r="JN65" t="str">
            <v>Ulaa (LG)</v>
          </cell>
          <cell r="QR65">
            <v>0</v>
          </cell>
          <cell r="UC65" t="str">
            <v>Commune with Nature</v>
          </cell>
          <cell r="ZB65" t="str">
            <v>Actor</v>
          </cell>
        </row>
        <row r="66">
          <cell r="JN66" t="str">
            <v>Vecna (NE)</v>
          </cell>
          <cell r="QR66">
            <v>0</v>
          </cell>
          <cell r="UC66" t="str">
            <v>Compelled Duel</v>
          </cell>
          <cell r="ZB66" t="str">
            <v>Charger</v>
          </cell>
        </row>
        <row r="67">
          <cell r="JN67" t="str">
            <v>Wee Jas (LN)</v>
          </cell>
          <cell r="QR67">
            <v>0</v>
          </cell>
          <cell r="UC67" t="str">
            <v>Comprehend Languages</v>
          </cell>
          <cell r="ZB67" t="str">
            <v>Crossbow Expert</v>
          </cell>
        </row>
        <row r="68">
          <cell r="JN68" t="str">
            <v>--------------------DRAGONLANCE--------------------</v>
          </cell>
          <cell r="QR68">
            <v>0</v>
          </cell>
          <cell r="UC68" t="str">
            <v>Compulsion</v>
          </cell>
          <cell r="ZB68" t="str">
            <v>Defensive Duelist</v>
          </cell>
        </row>
        <row r="69">
          <cell r="JN69" t="str">
            <v>--The Gods of Good</v>
          </cell>
          <cell r="QR69">
            <v>0</v>
          </cell>
          <cell r="UC69" t="str">
            <v>Cone of Cold</v>
          </cell>
          <cell r="ZB69" t="str">
            <v>Dual Wielder</v>
          </cell>
        </row>
        <row r="70">
          <cell r="JN70" t="str">
            <v>Branchala (NG)</v>
          </cell>
          <cell r="QR70">
            <v>0</v>
          </cell>
          <cell r="UC70" t="str">
            <v>Confusion</v>
          </cell>
          <cell r="ZB70" t="str">
            <v>Dungeon Delver</v>
          </cell>
        </row>
        <row r="71">
          <cell r="JN71" t="str">
            <v>Habbakuk (NG)</v>
          </cell>
          <cell r="UC71" t="str">
            <v>Conjure Animals</v>
          </cell>
          <cell r="ZB71" t="str">
            <v>Durable</v>
          </cell>
        </row>
        <row r="72">
          <cell r="JN72" t="str">
            <v>Kiri-Jolith (LG)</v>
          </cell>
          <cell r="UC72" t="str">
            <v>Conjure Barrage</v>
          </cell>
          <cell r="ZB72" t="str">
            <v>Elemental Adept</v>
          </cell>
        </row>
        <row r="73">
          <cell r="JN73" t="str">
            <v>Majere (LG)</v>
          </cell>
          <cell r="UC73" t="str">
            <v>Conjure Celestial</v>
          </cell>
          <cell r="ZB73" t="str">
            <v>Grappler</v>
          </cell>
        </row>
        <row r="74">
          <cell r="JN74" t="str">
            <v>Mishakal (LG)</v>
          </cell>
          <cell r="UC74" t="str">
            <v>Conjure Elemental</v>
          </cell>
          <cell r="ZB74" t="str">
            <v>Great Weapon Master</v>
          </cell>
        </row>
        <row r="75">
          <cell r="JN75" t="str">
            <v>Paladine (LG)</v>
          </cell>
          <cell r="UC75" t="str">
            <v>Conjure Fey</v>
          </cell>
          <cell r="ZB75" t="str">
            <v>Healer</v>
          </cell>
        </row>
        <row r="76">
          <cell r="JN76" t="str">
            <v>Solinari (LG)</v>
          </cell>
          <cell r="UC76" t="str">
            <v>Conjure Minor Elementals</v>
          </cell>
          <cell r="ZB76" t="str">
            <v>Inspiring Leader</v>
          </cell>
        </row>
        <row r="77">
          <cell r="JN77" t="str">
            <v>--The Gods of Neutrality</v>
          </cell>
          <cell r="UC77" t="str">
            <v>Conjure Volley</v>
          </cell>
          <cell r="ZB77" t="str">
            <v>Keen Mind</v>
          </cell>
        </row>
        <row r="78">
          <cell r="JN78" t="str">
            <v>Chislev (N)</v>
          </cell>
          <cell r="UC78" t="str">
            <v>Conjure Woodland Beings</v>
          </cell>
          <cell r="ZB78" t="str">
            <v>Lightly Armored</v>
          </cell>
        </row>
        <row r="79">
          <cell r="JN79" t="str">
            <v>Gilean (N)</v>
          </cell>
          <cell r="UC79" t="str">
            <v>Contact Other Plane</v>
          </cell>
          <cell r="ZB79" t="str">
            <v>Linguist</v>
          </cell>
        </row>
        <row r="80">
          <cell r="JN80" t="str">
            <v>Lunitari (N)</v>
          </cell>
          <cell r="UC80" t="str">
            <v>Contagion</v>
          </cell>
          <cell r="ZB80" t="str">
            <v>Lucky</v>
          </cell>
        </row>
        <row r="81">
          <cell r="JN81" t="str">
            <v>Reorx (N)</v>
          </cell>
          <cell r="UC81" t="str">
            <v>Contingency</v>
          </cell>
          <cell r="ZB81" t="str">
            <v>Mage Slayer</v>
          </cell>
        </row>
        <row r="82">
          <cell r="JN82" t="str">
            <v>Shinare (N)</v>
          </cell>
          <cell r="UC82" t="str">
            <v>Continual Flame</v>
          </cell>
          <cell r="ZB82" t="str">
            <v>Magic Initiate</v>
          </cell>
        </row>
        <row r="83">
          <cell r="JN83" t="str">
            <v>Sirrion (N)</v>
          </cell>
          <cell r="UC83" t="str">
            <v>Control Flames</v>
          </cell>
          <cell r="ZB83" t="str">
            <v>Martial Adept</v>
          </cell>
        </row>
        <row r="84">
          <cell r="JN84" t="str">
            <v>Zivilyn (N)</v>
          </cell>
          <cell r="UC84" t="str">
            <v>Control Water</v>
          </cell>
          <cell r="ZB84" t="str">
            <v>Medium Armor Master</v>
          </cell>
        </row>
        <row r="85">
          <cell r="JN85" t="str">
            <v>--The Gods of Evil</v>
          </cell>
          <cell r="UC85" t="str">
            <v>Control Weather</v>
          </cell>
          <cell r="ZB85" t="str">
            <v>Mobile</v>
          </cell>
        </row>
        <row r="86">
          <cell r="JN86" t="str">
            <v>Chemosh (LE)</v>
          </cell>
          <cell r="UC86" t="str">
            <v>Control Winds</v>
          </cell>
          <cell r="ZB86" t="str">
            <v>Mounted Combatant</v>
          </cell>
        </row>
        <row r="87">
          <cell r="JN87" t="str">
            <v>Hiddukel (CE)</v>
          </cell>
          <cell r="UC87" t="str">
            <v>Cordon of Arrows</v>
          </cell>
          <cell r="ZB87" t="str">
            <v>Observant</v>
          </cell>
        </row>
        <row r="88">
          <cell r="JN88" t="str">
            <v>Morgion (NE)</v>
          </cell>
          <cell r="UC88" t="str">
            <v>Counterspell</v>
          </cell>
          <cell r="ZB88" t="str">
            <v>Polearm Master</v>
          </cell>
        </row>
        <row r="89">
          <cell r="JN89" t="str">
            <v>Nuitari (LE)</v>
          </cell>
          <cell r="UC89" t="str">
            <v>Create Bonfire</v>
          </cell>
          <cell r="ZB89" t="str">
            <v>Resilient</v>
          </cell>
        </row>
        <row r="90">
          <cell r="JN90" t="str">
            <v>Sargonnas (LE)</v>
          </cell>
          <cell r="UC90" t="str">
            <v>Create Food and Water</v>
          </cell>
          <cell r="ZB90" t="str">
            <v>Ritual Caster</v>
          </cell>
        </row>
        <row r="91">
          <cell r="JN91" t="str">
            <v>Takhisis (LE)</v>
          </cell>
          <cell r="UC91" t="str">
            <v>Create or Destroy Water</v>
          </cell>
          <cell r="ZB91" t="str">
            <v>Savage Attacker</v>
          </cell>
        </row>
        <row r="92">
          <cell r="JN92" t="str">
            <v>Zeboim (CE)</v>
          </cell>
          <cell r="UC92" t="str">
            <v>Create Undead</v>
          </cell>
          <cell r="ZB92" t="str">
            <v>Sentinel</v>
          </cell>
        </row>
        <row r="93">
          <cell r="JN93" t="str">
            <v>--------------------EBERRON--------------------</v>
          </cell>
          <cell r="UC93" t="str">
            <v>Creation</v>
          </cell>
          <cell r="ZB93" t="str">
            <v>Sharpshooter</v>
          </cell>
        </row>
        <row r="94">
          <cell r="JN94" t="str">
            <v>--The Sovereign</v>
          </cell>
          <cell r="UC94" t="str">
            <v>Crown of Madness</v>
          </cell>
          <cell r="ZB94" t="str">
            <v>Shield Master</v>
          </cell>
        </row>
        <row r="95">
          <cell r="JN95" t="str">
            <v>Decription</v>
          </cell>
          <cell r="UC95" t="str">
            <v>Crusader's Mantle</v>
          </cell>
          <cell r="ZB95" t="str">
            <v>Skilled</v>
          </cell>
        </row>
        <row r="96">
          <cell r="JN96" t="str">
            <v>Arawai (NG)</v>
          </cell>
          <cell r="UC96" t="str">
            <v>Cure Wounds</v>
          </cell>
          <cell r="ZB96" t="str">
            <v>Skulker</v>
          </cell>
        </row>
        <row r="97">
          <cell r="JN97" t="str">
            <v>Aureon (LN)</v>
          </cell>
          <cell r="UC97" t="str">
            <v>Dancing Lights</v>
          </cell>
          <cell r="ZB97" t="str">
            <v>Spell Sniper</v>
          </cell>
        </row>
        <row r="98">
          <cell r="JN98" t="str">
            <v>Balinor (N)</v>
          </cell>
          <cell r="UC98" t="str">
            <v>Darkness</v>
          </cell>
          <cell r="ZB98" t="str">
            <v>Tavern Brawler</v>
          </cell>
        </row>
        <row r="99">
          <cell r="JN99" t="str">
            <v>Boldrei (LG)</v>
          </cell>
          <cell r="UC99" t="str">
            <v>Darkvision</v>
          </cell>
          <cell r="ZB99" t="str">
            <v>Tough</v>
          </cell>
        </row>
        <row r="100">
          <cell r="JN100" t="str">
            <v>Dol Arrah (LG)</v>
          </cell>
          <cell r="UC100" t="str">
            <v>Daylight</v>
          </cell>
          <cell r="ZB100" t="str">
            <v>War Caster</v>
          </cell>
        </row>
        <row r="101">
          <cell r="JN101" t="str">
            <v>Dol Dorn (CG)</v>
          </cell>
          <cell r="UC101" t="str">
            <v>Death Ward</v>
          </cell>
          <cell r="ZB101" t="str">
            <v>Weapon Master</v>
          </cell>
        </row>
        <row r="102">
          <cell r="JN102" t="str">
            <v>Kol Korran (N)</v>
          </cell>
          <cell r="UC102" t="str">
            <v>Delayed Blast Fireball</v>
          </cell>
          <cell r="ZB102" t="str">
            <v/>
          </cell>
        </row>
        <row r="103">
          <cell r="JN103" t="str">
            <v>Olladra (NG)</v>
          </cell>
          <cell r="UC103" t="str">
            <v>Demiplane</v>
          </cell>
          <cell r="ZB103" t="str">
            <v/>
          </cell>
        </row>
        <row r="104">
          <cell r="JN104" t="str">
            <v>Onatar (NG)</v>
          </cell>
          <cell r="UC104" t="str">
            <v>Destructive Wave</v>
          </cell>
          <cell r="ZB104" t="str">
            <v/>
          </cell>
        </row>
        <row r="105">
          <cell r="JN105" t="str">
            <v>--The Dark Six</v>
          </cell>
          <cell r="UC105" t="str">
            <v>Detect Evil and Good</v>
          </cell>
          <cell r="ZB105" t="str">
            <v/>
          </cell>
        </row>
        <row r="106">
          <cell r="JN106" t="str">
            <v>The Devourer (NE)</v>
          </cell>
          <cell r="UC106" t="str">
            <v>Detect Magic</v>
          </cell>
        </row>
        <row r="107">
          <cell r="JN107" t="str">
            <v>The Fury (NE)</v>
          </cell>
          <cell r="UC107" t="str">
            <v>Detect Poison and Disease</v>
          </cell>
        </row>
        <row r="108">
          <cell r="JN108" t="str">
            <v>The Keeper (NE)</v>
          </cell>
          <cell r="UC108" t="str">
            <v>Detect Thoughts</v>
          </cell>
        </row>
        <row r="109">
          <cell r="JN109" t="str">
            <v>The Mockery (NE)</v>
          </cell>
          <cell r="UC109" t="str">
            <v>Dimension Door</v>
          </cell>
        </row>
        <row r="110">
          <cell r="JN110" t="str">
            <v>The Shadow (CE)</v>
          </cell>
          <cell r="UC110" t="str">
            <v>Disguise Self</v>
          </cell>
        </row>
        <row r="111">
          <cell r="JN111" t="str">
            <v>The Traveler (CN)</v>
          </cell>
          <cell r="UC111" t="str">
            <v>Disintegrate</v>
          </cell>
        </row>
        <row r="112">
          <cell r="JN112" t="str">
            <v>--Other Faiths of Eberron</v>
          </cell>
          <cell r="UC112" t="str">
            <v>Dispel Evil and Good</v>
          </cell>
        </row>
        <row r="113">
          <cell r="JN113" t="str">
            <v>Cults of the Dragon Below (NE)</v>
          </cell>
          <cell r="UC113" t="str">
            <v>Dispel Magic</v>
          </cell>
        </row>
        <row r="114">
          <cell r="JN114" t="str">
            <v>The Blood of Vol (LN)</v>
          </cell>
          <cell r="UC114" t="str">
            <v>Dissonant Whispers</v>
          </cell>
        </row>
        <row r="115">
          <cell r="JN115" t="str">
            <v>The Path of Light (LN)</v>
          </cell>
          <cell r="UC115" t="str">
            <v>Divination</v>
          </cell>
        </row>
        <row r="116">
          <cell r="JN116" t="str">
            <v>The Silver Flame (LG)</v>
          </cell>
          <cell r="UC116" t="str">
            <v>Divine Favor</v>
          </cell>
        </row>
        <row r="117">
          <cell r="JN117" t="str">
            <v>The Spirits of the Past (CG)</v>
          </cell>
          <cell r="UC117" t="str">
            <v>Divine Word</v>
          </cell>
        </row>
        <row r="118">
          <cell r="JN118" t="str">
            <v>The Undying Court (NG)</v>
          </cell>
          <cell r="UC118" t="str">
            <v>Dominate Beast</v>
          </cell>
        </row>
        <row r="119">
          <cell r="JN119" t="str">
            <v>--------------------NON HUMAN--------------------</v>
          </cell>
          <cell r="UC119" t="str">
            <v>Dominate Monster</v>
          </cell>
        </row>
        <row r="120">
          <cell r="JN120" t="str">
            <v>Bahamut (LG)</v>
          </cell>
          <cell r="UC120" t="str">
            <v>Dominate Person</v>
          </cell>
        </row>
        <row r="121">
          <cell r="JN121" t="str">
            <v>Blibdoolpoolp (NE)</v>
          </cell>
          <cell r="UC121" t="str">
            <v>Drawmij's Instant Summons</v>
          </cell>
        </row>
        <row r="122">
          <cell r="JN122" t="str">
            <v>Corellon Larethian (CG)</v>
          </cell>
          <cell r="UC122" t="str">
            <v>Dream</v>
          </cell>
        </row>
        <row r="123">
          <cell r="JN123" t="str">
            <v>Deep Sashelas (CG)</v>
          </cell>
          <cell r="UC123" t="str">
            <v>Druidcraft</v>
          </cell>
        </row>
        <row r="124">
          <cell r="JN124" t="str">
            <v>Eadro (N)</v>
          </cell>
          <cell r="UC124" t="str">
            <v>Dust Devil</v>
          </cell>
        </row>
        <row r="125">
          <cell r="JN125" t="str">
            <v>Garl Glittergold (LG)</v>
          </cell>
          <cell r="UC125" t="str">
            <v>Earth Tremor</v>
          </cell>
        </row>
        <row r="126">
          <cell r="JN126" t="str">
            <v>Grolantor (CE)</v>
          </cell>
          <cell r="UC126" t="str">
            <v>Earthbind</v>
          </cell>
        </row>
        <row r="127">
          <cell r="JN127" t="str">
            <v>Gruumsh (CE)</v>
          </cell>
          <cell r="UC127" t="str">
            <v>Earthquake</v>
          </cell>
        </row>
        <row r="128">
          <cell r="JN128" t="str">
            <v>Hruggek (CE)</v>
          </cell>
          <cell r="UC128" t="str">
            <v>Eldritch Blast</v>
          </cell>
        </row>
        <row r="129">
          <cell r="JN129" t="str">
            <v>Kurtulmak (LE)</v>
          </cell>
          <cell r="UC129" t="str">
            <v>Elemental Bane</v>
          </cell>
        </row>
        <row r="130">
          <cell r="JN130" t="str">
            <v>Laogzed (CE)</v>
          </cell>
          <cell r="UC130" t="str">
            <v>Elemental Weapon</v>
          </cell>
        </row>
        <row r="131">
          <cell r="JN131" t="str">
            <v>Lolth (CE)</v>
          </cell>
          <cell r="UC131" t="str">
            <v>Enhance Ability</v>
          </cell>
        </row>
        <row r="132">
          <cell r="JN132" t="str">
            <v>Maglubiyet (LE)</v>
          </cell>
          <cell r="UC132" t="str">
            <v>Enlarge/Reduce</v>
          </cell>
        </row>
        <row r="133">
          <cell r="JN133" t="str">
            <v>Moradin (LG)</v>
          </cell>
          <cell r="UC133" t="str">
            <v>Ensnaring Strike</v>
          </cell>
        </row>
        <row r="134">
          <cell r="JN134" t="str">
            <v>Rillifane Rallathil (CG)</v>
          </cell>
          <cell r="UC134" t="str">
            <v>Entangle</v>
          </cell>
        </row>
        <row r="135">
          <cell r="JN135" t="str">
            <v>Sehanine Moonbow (CG)</v>
          </cell>
          <cell r="UC135" t="str">
            <v>Enthrall</v>
          </cell>
        </row>
        <row r="136">
          <cell r="JN136" t="str">
            <v>Sekolah (LE)</v>
          </cell>
          <cell r="UC136" t="str">
            <v>Erupting Earth</v>
          </cell>
        </row>
        <row r="137">
          <cell r="JN137" t="str">
            <v>Semuanya (N)</v>
          </cell>
          <cell r="UC137" t="str">
            <v>Etherealness</v>
          </cell>
        </row>
        <row r="138">
          <cell r="JN138" t="str">
            <v>Skerrit (N)</v>
          </cell>
          <cell r="UC138" t="str">
            <v>Evard's Black Tentacles</v>
          </cell>
        </row>
        <row r="139">
          <cell r="JN139" t="str">
            <v>koraeus Stonebones (N)</v>
          </cell>
          <cell r="UC139" t="str">
            <v>Expeditious Retreat</v>
          </cell>
        </row>
        <row r="140">
          <cell r="JN140" t="str">
            <v>Surtur (LE)</v>
          </cell>
          <cell r="UC140" t="str">
            <v>Eyebite</v>
          </cell>
        </row>
        <row r="141">
          <cell r="JN141" t="str">
            <v>Thrym (CE)</v>
          </cell>
          <cell r="UC141" t="str">
            <v>Fabricate</v>
          </cell>
        </row>
        <row r="142">
          <cell r="JN142" t="str">
            <v>Tiamat (LE)</v>
          </cell>
          <cell r="UC142" t="str">
            <v>Faerie Fire</v>
          </cell>
        </row>
        <row r="143">
          <cell r="JN143" t="str">
            <v>Yondalla (LG)</v>
          </cell>
          <cell r="UC143" t="str">
            <v>False Life</v>
          </cell>
        </row>
        <row r="144">
          <cell r="UC144" t="str">
            <v>Fear</v>
          </cell>
        </row>
        <row r="145">
          <cell r="UC145" t="str">
            <v>Feather Fall</v>
          </cell>
        </row>
        <row r="146">
          <cell r="UC146" t="str">
            <v>Feeblemind</v>
          </cell>
        </row>
        <row r="147">
          <cell r="UC147" t="str">
            <v>Feign Death</v>
          </cell>
        </row>
        <row r="148">
          <cell r="UC148" t="str">
            <v>Find Familiar</v>
          </cell>
        </row>
        <row r="149">
          <cell r="UC149" t="str">
            <v>Find Steed</v>
          </cell>
        </row>
        <row r="150">
          <cell r="UC150" t="str">
            <v>Find the Path</v>
          </cell>
        </row>
        <row r="151">
          <cell r="UC151" t="str">
            <v>Find Traps</v>
          </cell>
        </row>
        <row r="152">
          <cell r="UC152" t="str">
            <v>Finger of Death</v>
          </cell>
        </row>
        <row r="153">
          <cell r="UC153" t="str">
            <v>Fire Bolt</v>
          </cell>
        </row>
        <row r="154">
          <cell r="UC154" t="str">
            <v>Fire Shield</v>
          </cell>
        </row>
        <row r="155">
          <cell r="UC155" t="str">
            <v>Fire Storm</v>
          </cell>
        </row>
        <row r="156">
          <cell r="UC156" t="str">
            <v>Fireball</v>
          </cell>
        </row>
        <row r="157">
          <cell r="UC157" t="str">
            <v>Flame Arrows</v>
          </cell>
        </row>
        <row r="158">
          <cell r="UC158" t="str">
            <v>Flame Blade</v>
          </cell>
        </row>
        <row r="159">
          <cell r="UC159" t="str">
            <v>Flame Strike</v>
          </cell>
        </row>
        <row r="160">
          <cell r="UC160" t="str">
            <v>Flaming Sphere</v>
          </cell>
        </row>
        <row r="161">
          <cell r="UC161" t="str">
            <v>Flesh to Stone</v>
          </cell>
        </row>
        <row r="162">
          <cell r="UC162" t="str">
            <v>Fly</v>
          </cell>
        </row>
        <row r="163">
          <cell r="UC163" t="str">
            <v>Fog Cloud</v>
          </cell>
        </row>
        <row r="164">
          <cell r="UC164" t="str">
            <v>Forbiddance</v>
          </cell>
        </row>
        <row r="165">
          <cell r="UC165" t="str">
            <v>Forcecage</v>
          </cell>
        </row>
        <row r="166">
          <cell r="UC166" t="str">
            <v>Foresight</v>
          </cell>
        </row>
        <row r="167">
          <cell r="UC167" t="str">
            <v>Freedom of Movement</v>
          </cell>
        </row>
        <row r="168">
          <cell r="UC168" t="str">
            <v>Friends</v>
          </cell>
        </row>
        <row r="169">
          <cell r="UC169" t="str">
            <v>Frostbite</v>
          </cell>
        </row>
        <row r="170">
          <cell r="UC170" t="str">
            <v>Gaseous Form</v>
          </cell>
        </row>
        <row r="171">
          <cell r="UC171" t="str">
            <v>Gate</v>
          </cell>
        </row>
        <row r="172">
          <cell r="UC172" t="str">
            <v>Geas</v>
          </cell>
        </row>
        <row r="173">
          <cell r="UC173" t="str">
            <v>Gentle Repose</v>
          </cell>
        </row>
        <row r="174">
          <cell r="UC174" t="str">
            <v>Giant Insect</v>
          </cell>
        </row>
        <row r="175">
          <cell r="UC175" t="str">
            <v>Glibness</v>
          </cell>
        </row>
        <row r="176">
          <cell r="UC176" t="str">
            <v>Globe of Invulnerability</v>
          </cell>
        </row>
        <row r="177">
          <cell r="UC177" t="str">
            <v>Glyph of Warding</v>
          </cell>
        </row>
        <row r="178">
          <cell r="UC178" t="str">
            <v>Goodberry</v>
          </cell>
        </row>
        <row r="179">
          <cell r="UC179" t="str">
            <v>Grasping Vine</v>
          </cell>
        </row>
        <row r="180">
          <cell r="UC180" t="str">
            <v>Grease</v>
          </cell>
        </row>
        <row r="181">
          <cell r="UC181" t="str">
            <v>Greater Invisibility</v>
          </cell>
        </row>
        <row r="182">
          <cell r="UC182" t="str">
            <v>Greater Restoration</v>
          </cell>
        </row>
        <row r="183">
          <cell r="UC183" t="str">
            <v>Guardian of Faith</v>
          </cell>
        </row>
        <row r="184">
          <cell r="UC184" t="str">
            <v>Guards and Wards</v>
          </cell>
        </row>
        <row r="185">
          <cell r="UC185" t="str">
            <v>Guidance</v>
          </cell>
        </row>
        <row r="186">
          <cell r="UC186" t="str">
            <v>Guiding Bolt</v>
          </cell>
        </row>
        <row r="187">
          <cell r="UC187" t="str">
            <v>Gust</v>
          </cell>
        </row>
        <row r="188">
          <cell r="UC188" t="str">
            <v>Gust of Wind</v>
          </cell>
        </row>
        <row r="189">
          <cell r="UC189" t="str">
            <v>Hail of Thorns</v>
          </cell>
        </row>
        <row r="190">
          <cell r="UC190" t="str">
            <v>Hallow</v>
          </cell>
        </row>
        <row r="191">
          <cell r="UC191" t="str">
            <v>Hallucinatory Terrain</v>
          </cell>
        </row>
        <row r="192">
          <cell r="UC192" t="str">
            <v>Harm</v>
          </cell>
        </row>
        <row r="193">
          <cell r="UC193" t="str">
            <v>Haste</v>
          </cell>
        </row>
        <row r="194">
          <cell r="UC194" t="str">
            <v>Heal</v>
          </cell>
        </row>
        <row r="195">
          <cell r="UC195" t="str">
            <v>Healing Word</v>
          </cell>
        </row>
        <row r="196">
          <cell r="UC196" t="str">
            <v>Heat Metal</v>
          </cell>
        </row>
        <row r="197">
          <cell r="UC197" t="str">
            <v>Hellish Rebuke</v>
          </cell>
        </row>
        <row r="198">
          <cell r="UC198" t="str">
            <v>Heroes' Feast</v>
          </cell>
        </row>
        <row r="199">
          <cell r="UC199" t="str">
            <v>Heroism</v>
          </cell>
        </row>
        <row r="200">
          <cell r="UC200" t="str">
            <v>Hex</v>
          </cell>
        </row>
        <row r="201">
          <cell r="UC201" t="str">
            <v>Hold Monster</v>
          </cell>
        </row>
        <row r="202">
          <cell r="UC202" t="str">
            <v>Hold Person</v>
          </cell>
        </row>
        <row r="203">
          <cell r="UC203" t="str">
            <v>Holy Aura</v>
          </cell>
        </row>
        <row r="204">
          <cell r="UC204" t="str">
            <v>Hunger of Hadar</v>
          </cell>
        </row>
        <row r="205">
          <cell r="UC205" t="str">
            <v>Hunter's Mark</v>
          </cell>
        </row>
        <row r="206">
          <cell r="UC206" t="str">
            <v>Hypnotic Pattern</v>
          </cell>
        </row>
        <row r="207">
          <cell r="UC207" t="str">
            <v>Ice Knife</v>
          </cell>
        </row>
        <row r="208">
          <cell r="UC208" t="str">
            <v>Ice Storm</v>
          </cell>
        </row>
        <row r="209">
          <cell r="UC209" t="str">
            <v>Identify</v>
          </cell>
        </row>
        <row r="210">
          <cell r="UC210" t="str">
            <v>Illusory Script</v>
          </cell>
        </row>
        <row r="211">
          <cell r="UC211" t="str">
            <v>Immolation</v>
          </cell>
        </row>
        <row r="212">
          <cell r="UC212" t="str">
            <v>Imprisonment</v>
          </cell>
        </row>
        <row r="213">
          <cell r="UC213" t="str">
            <v>Incendiary Cloud</v>
          </cell>
        </row>
        <row r="214">
          <cell r="UC214" t="str">
            <v>Inflict Wounds</v>
          </cell>
        </row>
        <row r="215">
          <cell r="UC215" t="str">
            <v>Insect Plague</v>
          </cell>
        </row>
        <row r="216">
          <cell r="UC216" t="str">
            <v>Investiture of Flame</v>
          </cell>
        </row>
        <row r="217">
          <cell r="UC217" t="str">
            <v>Investiture of Ice</v>
          </cell>
        </row>
        <row r="218">
          <cell r="UC218" t="str">
            <v>Investiture of Stone</v>
          </cell>
        </row>
        <row r="219">
          <cell r="UC219" t="str">
            <v>Investiture of Wind</v>
          </cell>
        </row>
        <row r="220">
          <cell r="UC220" t="str">
            <v>Invisibility</v>
          </cell>
        </row>
        <row r="221">
          <cell r="UC221" t="str">
            <v>Jump</v>
          </cell>
        </row>
        <row r="222">
          <cell r="UC222" t="str">
            <v>Knock</v>
          </cell>
        </row>
        <row r="223">
          <cell r="UC223" t="str">
            <v>Legend Lore</v>
          </cell>
        </row>
        <row r="224">
          <cell r="UC224" t="str">
            <v>Leomund's Secret Chest</v>
          </cell>
        </row>
        <row r="225">
          <cell r="UC225" t="str">
            <v>Leomund's Tiny Hut</v>
          </cell>
        </row>
        <row r="226">
          <cell r="UC226" t="str">
            <v>Lesser Restoration</v>
          </cell>
        </row>
        <row r="227">
          <cell r="UC227" t="str">
            <v>Levitate</v>
          </cell>
        </row>
        <row r="228">
          <cell r="UC228" t="str">
            <v>Light</v>
          </cell>
        </row>
        <row r="229">
          <cell r="UC229" t="str">
            <v>Lightning Arrow</v>
          </cell>
        </row>
        <row r="230">
          <cell r="UC230" t="str">
            <v>Lightning Bolt</v>
          </cell>
        </row>
        <row r="231">
          <cell r="UC231" t="str">
            <v>Locate Animals or Plants</v>
          </cell>
        </row>
        <row r="232">
          <cell r="UC232" t="str">
            <v>Locate Creature</v>
          </cell>
        </row>
        <row r="233">
          <cell r="UC233" t="str">
            <v>Locate Object</v>
          </cell>
        </row>
        <row r="234">
          <cell r="UC234" t="str">
            <v>Longstrider</v>
          </cell>
        </row>
        <row r="235">
          <cell r="UC235" t="str">
            <v>Maelstrom</v>
          </cell>
        </row>
        <row r="236">
          <cell r="UC236" t="str">
            <v>Mage Armor</v>
          </cell>
        </row>
        <row r="237">
          <cell r="UC237" t="str">
            <v>Mage Hand</v>
          </cell>
        </row>
        <row r="238">
          <cell r="UC238" t="str">
            <v>Magic Circle</v>
          </cell>
        </row>
        <row r="239">
          <cell r="UC239" t="str">
            <v>Magic Jar</v>
          </cell>
        </row>
        <row r="240">
          <cell r="UC240" t="str">
            <v>Magic Missile</v>
          </cell>
        </row>
        <row r="241">
          <cell r="UC241" t="str">
            <v>Magic Mouth</v>
          </cell>
        </row>
        <row r="242">
          <cell r="UC242" t="str">
            <v>Magic Stone</v>
          </cell>
        </row>
        <row r="243">
          <cell r="UC243" t="str">
            <v>Magic Weapon</v>
          </cell>
        </row>
        <row r="244">
          <cell r="UC244" t="str">
            <v>Major Image</v>
          </cell>
        </row>
        <row r="245">
          <cell r="UC245" t="str">
            <v>Mass Cure Wounds</v>
          </cell>
        </row>
        <row r="246">
          <cell r="UC246" t="str">
            <v>Mass Heal</v>
          </cell>
        </row>
        <row r="247">
          <cell r="UC247" t="str">
            <v>Mass Healing Word</v>
          </cell>
        </row>
        <row r="248">
          <cell r="UC248" t="str">
            <v>Mass Suggestion</v>
          </cell>
        </row>
        <row r="249">
          <cell r="UC249" t="str">
            <v>Maximilian’s Earthen Grasp</v>
          </cell>
        </row>
        <row r="250">
          <cell r="UC250" t="str">
            <v>Maze</v>
          </cell>
        </row>
        <row r="251">
          <cell r="UC251" t="str">
            <v>Meld into Stone</v>
          </cell>
        </row>
        <row r="252">
          <cell r="UC252" t="str">
            <v>Melf’s Minute Meteors</v>
          </cell>
        </row>
        <row r="253">
          <cell r="UC253" t="str">
            <v>Melf's Acid Arrow</v>
          </cell>
        </row>
        <row r="254">
          <cell r="UC254" t="str">
            <v>Mending</v>
          </cell>
        </row>
        <row r="255">
          <cell r="UC255" t="str">
            <v>Message</v>
          </cell>
        </row>
        <row r="256">
          <cell r="UC256" t="str">
            <v>Meteor Swarm</v>
          </cell>
        </row>
        <row r="257">
          <cell r="UC257" t="str">
            <v>Mind Blank</v>
          </cell>
        </row>
        <row r="258">
          <cell r="UC258" t="str">
            <v>Minor Illusion</v>
          </cell>
        </row>
        <row r="259">
          <cell r="UC259" t="str">
            <v>Mirage Arcane</v>
          </cell>
        </row>
        <row r="260">
          <cell r="UC260" t="str">
            <v>Mirror Image</v>
          </cell>
        </row>
        <row r="261">
          <cell r="UC261" t="str">
            <v>Mislead</v>
          </cell>
        </row>
        <row r="262">
          <cell r="UC262" t="str">
            <v>Misty Step</v>
          </cell>
        </row>
        <row r="263">
          <cell r="UC263" t="str">
            <v>Modify Memory</v>
          </cell>
        </row>
        <row r="264">
          <cell r="UC264" t="str">
            <v>Mold Earth</v>
          </cell>
        </row>
        <row r="265">
          <cell r="UC265" t="str">
            <v>Moonbeam</v>
          </cell>
        </row>
        <row r="266">
          <cell r="UC266" t="str">
            <v>Mordenkainen's Faithful Hound</v>
          </cell>
        </row>
        <row r="267">
          <cell r="UC267" t="str">
            <v>Mordenkainen's Magnificent Mansion</v>
          </cell>
        </row>
        <row r="268">
          <cell r="UC268" t="str">
            <v>Mordenkainen's Private Sanctum</v>
          </cell>
        </row>
        <row r="269">
          <cell r="UC269" t="str">
            <v>Mordenkainen's Sword</v>
          </cell>
        </row>
        <row r="270">
          <cell r="UC270" t="str">
            <v>Move Earth</v>
          </cell>
        </row>
        <row r="271">
          <cell r="UC271" t="str">
            <v>Nondetection</v>
          </cell>
        </row>
        <row r="272">
          <cell r="UC272" t="str">
            <v>Nystul's Magic Aura</v>
          </cell>
        </row>
        <row r="273">
          <cell r="UC273" t="str">
            <v>Otiluke's Freezing Sphere</v>
          </cell>
        </row>
        <row r="274">
          <cell r="UC274" t="str">
            <v>Otiluke's Resilient Sphere</v>
          </cell>
        </row>
        <row r="275">
          <cell r="UC275" t="str">
            <v>Otto's Irresistible Dance</v>
          </cell>
        </row>
        <row r="276">
          <cell r="UC276" t="str">
            <v>Pass without Trace</v>
          </cell>
        </row>
        <row r="277">
          <cell r="UC277" t="str">
            <v>Passwall</v>
          </cell>
        </row>
        <row r="278">
          <cell r="UC278" t="str">
            <v>Phantasmal Force</v>
          </cell>
        </row>
        <row r="279">
          <cell r="UC279" t="str">
            <v>Phantasmal Killer</v>
          </cell>
        </row>
        <row r="280">
          <cell r="UC280" t="str">
            <v>Phantom Steed</v>
          </cell>
        </row>
        <row r="281">
          <cell r="UC281" t="str">
            <v>Planar Ally</v>
          </cell>
        </row>
        <row r="282">
          <cell r="UC282" t="str">
            <v>Planar Binding</v>
          </cell>
        </row>
        <row r="283">
          <cell r="UC283" t="str">
            <v>Plane Shift</v>
          </cell>
        </row>
        <row r="284">
          <cell r="UC284" t="str">
            <v>Plant Growth</v>
          </cell>
        </row>
        <row r="285">
          <cell r="UC285" t="str">
            <v>Poison Spray</v>
          </cell>
        </row>
        <row r="286">
          <cell r="UC286" t="str">
            <v>Polymorph</v>
          </cell>
        </row>
        <row r="287">
          <cell r="UC287" t="str">
            <v>Power Word Heal</v>
          </cell>
        </row>
        <row r="288">
          <cell r="UC288" t="str">
            <v>Power Word Kill</v>
          </cell>
        </row>
        <row r="289">
          <cell r="UC289" t="str">
            <v>Power Word Stun</v>
          </cell>
        </row>
        <row r="290">
          <cell r="UC290" t="str">
            <v>Prayer of Healing</v>
          </cell>
        </row>
        <row r="291">
          <cell r="UC291" t="str">
            <v>Prestidigitation</v>
          </cell>
        </row>
        <row r="292">
          <cell r="UC292" t="str">
            <v>Primordial Ward</v>
          </cell>
        </row>
        <row r="293">
          <cell r="UC293" t="str">
            <v>Prismatic Spray</v>
          </cell>
        </row>
        <row r="294">
          <cell r="UC294" t="str">
            <v>Prismatic Wall</v>
          </cell>
        </row>
        <row r="295">
          <cell r="UC295" t="str">
            <v>Produce Flame</v>
          </cell>
        </row>
        <row r="296">
          <cell r="UC296" t="str">
            <v>Programmed Illusion</v>
          </cell>
        </row>
        <row r="297">
          <cell r="UC297" t="str">
            <v>Project Image</v>
          </cell>
        </row>
        <row r="298">
          <cell r="UC298" t="str">
            <v>Protection from Energy</v>
          </cell>
        </row>
        <row r="299">
          <cell r="UC299" t="str">
            <v>Protection from Evil and Good</v>
          </cell>
        </row>
        <row r="300">
          <cell r="UC300" t="str">
            <v>Protection from Poison</v>
          </cell>
        </row>
        <row r="301">
          <cell r="UC301" t="str">
            <v>Purify Food and Drink</v>
          </cell>
        </row>
        <row r="302">
          <cell r="UC302" t="str">
            <v>Pyrotechnics</v>
          </cell>
        </row>
        <row r="303">
          <cell r="UC303" t="str">
            <v>Raise Dead</v>
          </cell>
        </row>
        <row r="304">
          <cell r="UC304" t="str">
            <v>Rary's Telepathic Bond</v>
          </cell>
        </row>
        <row r="305">
          <cell r="UC305" t="str">
            <v>Ray of Enfeeblement</v>
          </cell>
        </row>
        <row r="306">
          <cell r="UC306" t="str">
            <v>Ray of Frost</v>
          </cell>
        </row>
        <row r="307">
          <cell r="UC307" t="str">
            <v>Ray of Sickness</v>
          </cell>
        </row>
        <row r="308">
          <cell r="UC308" t="str">
            <v>Regenerate</v>
          </cell>
        </row>
        <row r="309">
          <cell r="UC309" t="str">
            <v>Reincarnate</v>
          </cell>
        </row>
        <row r="310">
          <cell r="UC310" t="str">
            <v>Remove Curse</v>
          </cell>
        </row>
        <row r="311">
          <cell r="UC311" t="str">
            <v>Resistance</v>
          </cell>
        </row>
        <row r="312">
          <cell r="UC312" t="str">
            <v>Resurrection</v>
          </cell>
        </row>
        <row r="313">
          <cell r="UC313" t="str">
            <v>Reverse Gravity</v>
          </cell>
        </row>
        <row r="314">
          <cell r="UC314" t="str">
            <v>Revivify</v>
          </cell>
        </row>
        <row r="315">
          <cell r="UC315" t="str">
            <v>Rope Trick</v>
          </cell>
        </row>
        <row r="316">
          <cell r="UC316" t="str">
            <v>Sacred Flame</v>
          </cell>
        </row>
        <row r="317">
          <cell r="UC317" t="str">
            <v>Sanctuary</v>
          </cell>
        </row>
        <row r="318">
          <cell r="UC318" t="str">
            <v>Scorching Ray</v>
          </cell>
        </row>
        <row r="319">
          <cell r="UC319" t="str">
            <v>Scrying</v>
          </cell>
        </row>
        <row r="320">
          <cell r="UC320" t="str">
            <v>Searing Smite</v>
          </cell>
        </row>
        <row r="321">
          <cell r="UC321" t="str">
            <v>See Invisibility</v>
          </cell>
        </row>
        <row r="322">
          <cell r="UC322" t="str">
            <v>Seeming</v>
          </cell>
        </row>
        <row r="323">
          <cell r="UC323" t="str">
            <v>Sending</v>
          </cell>
        </row>
        <row r="324">
          <cell r="UC324" t="str">
            <v>Sequester</v>
          </cell>
        </row>
        <row r="325">
          <cell r="UC325" t="str">
            <v>Shape Water</v>
          </cell>
        </row>
        <row r="326">
          <cell r="UC326" t="str">
            <v>Shapechange</v>
          </cell>
        </row>
        <row r="327">
          <cell r="UC327" t="str">
            <v>Shatter</v>
          </cell>
        </row>
        <row r="328">
          <cell r="UC328" t="str">
            <v>Shield</v>
          </cell>
        </row>
        <row r="329">
          <cell r="UC329" t="str">
            <v>Shield of Faith</v>
          </cell>
        </row>
        <row r="330">
          <cell r="UC330" t="str">
            <v>Shillelagh</v>
          </cell>
        </row>
        <row r="331">
          <cell r="UC331" t="str">
            <v>Shocking Grasp</v>
          </cell>
        </row>
        <row r="332">
          <cell r="UC332" t="str">
            <v>Silence</v>
          </cell>
        </row>
        <row r="333">
          <cell r="UC333" t="str">
            <v>Silent Image</v>
          </cell>
        </row>
        <row r="334">
          <cell r="UC334" t="str">
            <v>Simulacrum</v>
          </cell>
        </row>
        <row r="335">
          <cell r="UC335" t="str">
            <v>Skywrite</v>
          </cell>
        </row>
        <row r="336">
          <cell r="UC336" t="str">
            <v>Sleep</v>
          </cell>
        </row>
        <row r="337">
          <cell r="UC337" t="str">
            <v>Sleet Storm</v>
          </cell>
        </row>
        <row r="338">
          <cell r="UC338" t="str">
            <v>Slow</v>
          </cell>
        </row>
        <row r="339">
          <cell r="UC339" t="str">
            <v>Snilloc’s Snowball Swarm</v>
          </cell>
        </row>
        <row r="340">
          <cell r="UC340" t="str">
            <v>Spare the Dying</v>
          </cell>
        </row>
        <row r="341">
          <cell r="UC341" t="str">
            <v>Speak with Animals</v>
          </cell>
        </row>
        <row r="342">
          <cell r="UC342" t="str">
            <v>Speak with Dead</v>
          </cell>
        </row>
        <row r="343">
          <cell r="UC343" t="str">
            <v>Speak with Plants</v>
          </cell>
        </row>
        <row r="344">
          <cell r="UC344" t="str">
            <v>Spider Climb</v>
          </cell>
        </row>
        <row r="345">
          <cell r="UC345" t="str">
            <v>Spike Growth</v>
          </cell>
        </row>
        <row r="346">
          <cell r="UC346" t="str">
            <v>Spirit Guardians</v>
          </cell>
        </row>
        <row r="347">
          <cell r="UC347" t="str">
            <v>Spiritual Weapon</v>
          </cell>
        </row>
        <row r="348">
          <cell r="UC348" t="str">
            <v>Staggering Smite</v>
          </cell>
        </row>
        <row r="349">
          <cell r="UC349" t="str">
            <v>Stinking Cloud</v>
          </cell>
        </row>
        <row r="350">
          <cell r="UC350" t="str">
            <v>Stone Shape</v>
          </cell>
        </row>
        <row r="351">
          <cell r="UC351" t="str">
            <v>Stoneskin</v>
          </cell>
        </row>
        <row r="352">
          <cell r="UC352" t="str">
            <v>Storm of Vengeance</v>
          </cell>
        </row>
        <row r="353">
          <cell r="UC353" t="str">
            <v>Storm Sphere</v>
          </cell>
        </row>
        <row r="354">
          <cell r="UC354" t="str">
            <v>Suggestion</v>
          </cell>
        </row>
        <row r="355">
          <cell r="UC355" t="str">
            <v>Sunbeam</v>
          </cell>
        </row>
        <row r="356">
          <cell r="UC356" t="str">
            <v>Sunburst</v>
          </cell>
        </row>
        <row r="357">
          <cell r="UC357" t="str">
            <v>Swift Quiver</v>
          </cell>
        </row>
        <row r="358">
          <cell r="UC358" t="str">
            <v>Symbol</v>
          </cell>
        </row>
        <row r="359">
          <cell r="UC359" t="str">
            <v>Tasha's Hideous Laughter</v>
          </cell>
        </row>
        <row r="360">
          <cell r="UC360" t="str">
            <v>Telekinesis</v>
          </cell>
        </row>
        <row r="361">
          <cell r="UC361" t="str">
            <v>Telepathy</v>
          </cell>
        </row>
        <row r="362">
          <cell r="UC362" t="str">
            <v>Teleport</v>
          </cell>
        </row>
        <row r="363">
          <cell r="UC363" t="str">
            <v>Teleportation Circle</v>
          </cell>
        </row>
        <row r="364">
          <cell r="UC364" t="str">
            <v>Tenser's Floating Disk</v>
          </cell>
        </row>
        <row r="365">
          <cell r="UC365" t="str">
            <v>Thaumaturgy</v>
          </cell>
        </row>
        <row r="366">
          <cell r="UC366" t="str">
            <v>Thorn Whip</v>
          </cell>
        </row>
        <row r="367">
          <cell r="UC367" t="str">
            <v>Thunderclap</v>
          </cell>
        </row>
        <row r="368">
          <cell r="UC368" t="str">
            <v>Thunderous Smite</v>
          </cell>
        </row>
        <row r="369">
          <cell r="UC369" t="str">
            <v>Thunderwave</v>
          </cell>
        </row>
        <row r="370">
          <cell r="UC370" t="str">
            <v>Tidal Wave</v>
          </cell>
        </row>
        <row r="371">
          <cell r="UC371" t="str">
            <v>Time Stop</v>
          </cell>
        </row>
        <row r="372">
          <cell r="UC372" t="str">
            <v>Tongues</v>
          </cell>
        </row>
        <row r="373">
          <cell r="UC373" t="str">
            <v>Transmute Rock</v>
          </cell>
        </row>
        <row r="374">
          <cell r="UC374" t="str">
            <v>Transport via Plants</v>
          </cell>
        </row>
        <row r="375">
          <cell r="UC375" t="str">
            <v>Trap the Soul</v>
          </cell>
        </row>
        <row r="376">
          <cell r="UC376" t="str">
            <v>Tree Stride</v>
          </cell>
        </row>
        <row r="377">
          <cell r="UC377" t="str">
            <v>True Polymorph</v>
          </cell>
        </row>
        <row r="378">
          <cell r="UC378" t="str">
            <v>True Resurrection</v>
          </cell>
        </row>
        <row r="379">
          <cell r="UC379" t="str">
            <v>True Seeing</v>
          </cell>
        </row>
        <row r="380">
          <cell r="UC380" t="str">
            <v>True Strike</v>
          </cell>
        </row>
        <row r="381">
          <cell r="UC381" t="str">
            <v>Tsunami</v>
          </cell>
        </row>
        <row r="382">
          <cell r="UC382" t="str">
            <v>Unseen Servant</v>
          </cell>
        </row>
        <row r="383">
          <cell r="UC383" t="str">
            <v>Vampiric Touch</v>
          </cell>
        </row>
        <row r="384">
          <cell r="UC384" t="str">
            <v>Vicious Mockery</v>
          </cell>
        </row>
        <row r="385">
          <cell r="UC385" t="str">
            <v>Vitriolic Sphere</v>
          </cell>
        </row>
        <row r="386">
          <cell r="UC386" t="str">
            <v>Wall of Fire</v>
          </cell>
        </row>
        <row r="387">
          <cell r="UC387" t="str">
            <v>Wall of Force</v>
          </cell>
        </row>
        <row r="388">
          <cell r="UC388" t="str">
            <v>Wall of Ice</v>
          </cell>
        </row>
        <row r="389">
          <cell r="UC389" t="str">
            <v>Wall of Sand</v>
          </cell>
        </row>
        <row r="390">
          <cell r="UC390" t="str">
            <v>Wall of Stone</v>
          </cell>
        </row>
        <row r="391">
          <cell r="UC391" t="str">
            <v>Wall of Thorns</v>
          </cell>
        </row>
        <row r="392">
          <cell r="UC392" t="str">
            <v>Wall of Water</v>
          </cell>
        </row>
        <row r="393">
          <cell r="UC393" t="str">
            <v>Warding Bond</v>
          </cell>
        </row>
        <row r="394">
          <cell r="UC394" t="str">
            <v>Warding Wind</v>
          </cell>
        </row>
        <row r="395">
          <cell r="UC395" t="str">
            <v>Water Breathing</v>
          </cell>
        </row>
        <row r="396">
          <cell r="UC396" t="str">
            <v>Water Walk</v>
          </cell>
        </row>
        <row r="397">
          <cell r="UC397" t="str">
            <v>Watery Sphere</v>
          </cell>
        </row>
        <row r="398">
          <cell r="UC398" t="str">
            <v>Web</v>
          </cell>
        </row>
        <row r="399">
          <cell r="UC399" t="str">
            <v>Weird</v>
          </cell>
        </row>
        <row r="400">
          <cell r="UC400" t="str">
            <v>Whirlwind</v>
          </cell>
        </row>
        <row r="401">
          <cell r="UC401" t="str">
            <v>Wind Walk</v>
          </cell>
        </row>
        <row r="402">
          <cell r="UC402" t="str">
            <v>Wind Wall</v>
          </cell>
        </row>
        <row r="403">
          <cell r="UC403" t="str">
            <v>Wish</v>
          </cell>
        </row>
        <row r="404">
          <cell r="UC404" t="str">
            <v>Witch Bolt</v>
          </cell>
        </row>
        <row r="405">
          <cell r="UC405" t="str">
            <v>Word of Recall</v>
          </cell>
        </row>
        <row r="406">
          <cell r="UC406" t="str">
            <v>Wrathful Smite</v>
          </cell>
        </row>
        <row r="407">
          <cell r="UC407" t="str">
            <v>Zone of Truth</v>
          </cell>
        </row>
      </sheetData>
      <sheetData sheetId="3"/>
      <sheetData sheetId="4"/>
      <sheetData sheetId="5"/>
      <sheetData sheetId="6"/>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tabColor rgb="FF00FF00"/>
  </sheetPr>
  <dimension ref="A1:FF638"/>
  <sheetViews>
    <sheetView tabSelected="1" topLeftCell="A52" zoomScaleNormal="100" workbookViewId="0">
      <selection activeCell="C46" sqref="C46:C47"/>
    </sheetView>
  </sheetViews>
  <sheetFormatPr defaultColWidth="6.7109375" defaultRowHeight="15.95" customHeight="1" outlineLevelRow="1" outlineLevelCol="1" x14ac:dyDescent="0.3"/>
  <cols>
    <col min="1" max="1" width="3.7109375" style="153" customWidth="1"/>
    <col min="2" max="20" width="6.7109375" style="153"/>
    <col min="21" max="32" width="6.7109375" style="153" customWidth="1" outlineLevel="1"/>
    <col min="33" max="33" width="6.7109375" style="165" customWidth="1" outlineLevel="1"/>
    <col min="34" max="34" width="6.7109375" style="165" customWidth="1"/>
    <col min="35" max="35" width="9.28515625" style="165" customWidth="1" outlineLevel="1"/>
    <col min="36" max="36" width="8.7109375" style="165" bestFit="1" customWidth="1" outlineLevel="1"/>
    <col min="37" max="37" width="6.7109375" style="165" customWidth="1" outlineLevel="1"/>
    <col min="38" max="38" width="32.42578125" style="165" customWidth="1" outlineLevel="1"/>
    <col min="39" max="39" width="17.85546875" style="165" customWidth="1" outlineLevel="1"/>
    <col min="40" max="40" width="29.42578125" style="165" bestFit="1" customWidth="1" outlineLevel="1"/>
    <col min="41" max="48" width="6.7109375" style="165" customWidth="1" outlineLevel="1"/>
    <col min="49" max="49" width="27.5703125" style="165" bestFit="1" customWidth="1" outlineLevel="1"/>
    <col min="50" max="50" width="27.42578125" style="165" customWidth="1" outlineLevel="1"/>
    <col min="51" max="51" width="17.28515625" style="165" customWidth="1" outlineLevel="1"/>
    <col min="52" max="53" width="6.7109375" style="165" customWidth="1" outlineLevel="1"/>
    <col min="54" max="54" width="20.140625" style="165" customWidth="1" outlineLevel="1"/>
    <col min="55" max="55" width="25.5703125" style="165" customWidth="1" outlineLevel="1"/>
    <col min="56" max="56" width="21.85546875" style="165" customWidth="1" outlineLevel="1"/>
    <col min="57" max="57" width="22.42578125" style="165" customWidth="1" outlineLevel="1"/>
    <col min="58" max="60" width="6.7109375" style="165" customWidth="1" outlineLevel="1"/>
    <col min="61" max="61" width="10.28515625" style="165" customWidth="1" outlineLevel="1"/>
    <col min="62" max="62" width="7.42578125" style="165" customWidth="1" outlineLevel="1"/>
    <col min="63" max="64" width="6.7109375" style="165" customWidth="1" outlineLevel="1"/>
    <col min="65" max="65" width="7.28515625" style="165" customWidth="1" outlineLevel="1"/>
    <col min="66" max="67" width="6.7109375" style="165" customWidth="1" outlineLevel="1"/>
    <col min="68" max="68" width="8.85546875" style="165" customWidth="1" outlineLevel="1"/>
    <col min="69" max="70" width="6.7109375" style="165" customWidth="1" outlineLevel="1"/>
    <col min="71" max="71" width="7.28515625" style="165" customWidth="1" outlineLevel="1"/>
    <col min="72" max="73" width="6.7109375" style="165" customWidth="1" outlineLevel="1"/>
    <col min="74" max="74" width="6.7109375" style="165" customWidth="1" outlineLevel="1" collapsed="1"/>
    <col min="75" max="125" width="6.7109375" style="165" customWidth="1" outlineLevel="1"/>
    <col min="126" max="126" width="3.7109375" style="165" customWidth="1"/>
    <col min="127" max="128" width="6.7109375" style="165"/>
    <col min="129" max="139" width="6.7109375" style="153"/>
    <col min="140" max="140" width="8.28515625" style="153" bestFit="1" customWidth="1"/>
    <col min="141" max="16384" width="6.7109375" style="153"/>
  </cols>
  <sheetData>
    <row r="1" spans="1:64" ht="15.95" customHeight="1" x14ac:dyDescent="0.3">
      <c r="A1" s="152">
        <v>13</v>
      </c>
      <c r="B1" s="753" t="s">
        <v>2239</v>
      </c>
      <c r="C1" s="754"/>
      <c r="D1" s="754"/>
      <c r="E1" s="754"/>
      <c r="F1" s="754"/>
      <c r="G1" s="754"/>
      <c r="H1" s="754"/>
      <c r="I1" s="754"/>
      <c r="J1" s="754"/>
      <c r="K1" s="754"/>
      <c r="L1" s="754"/>
      <c r="M1" s="754"/>
      <c r="N1" s="754"/>
      <c r="O1" s="754"/>
      <c r="P1" s="754"/>
      <c r="Q1" s="754"/>
      <c r="R1" s="754"/>
      <c r="S1" s="754"/>
      <c r="T1" s="755"/>
      <c r="U1" s="152"/>
      <c r="V1" s="152"/>
      <c r="W1" s="152"/>
      <c r="X1" s="152"/>
      <c r="Y1" s="152"/>
      <c r="Z1" s="152"/>
      <c r="AA1" s="152"/>
      <c r="AB1" s="152"/>
      <c r="AC1" s="152"/>
      <c r="AD1" s="152"/>
      <c r="AE1" s="152"/>
      <c r="AF1" s="172"/>
    </row>
    <row r="2" spans="1:64" ht="15.95" customHeight="1" thickBot="1" x14ac:dyDescent="0.35">
      <c r="A2" s="152">
        <v>12</v>
      </c>
      <c r="B2" s="763"/>
      <c r="C2" s="764"/>
      <c r="D2" s="764"/>
      <c r="E2" s="764"/>
      <c r="F2" s="764"/>
      <c r="G2" s="764"/>
      <c r="H2" s="764"/>
      <c r="I2" s="764"/>
      <c r="J2" s="764"/>
      <c r="K2" s="764"/>
      <c r="L2" s="764"/>
      <c r="M2" s="764"/>
      <c r="N2" s="764"/>
      <c r="O2" s="764"/>
      <c r="P2" s="764"/>
      <c r="Q2" s="764"/>
      <c r="R2" s="764"/>
      <c r="S2" s="764"/>
      <c r="T2" s="765"/>
      <c r="U2" s="152"/>
      <c r="V2" s="152"/>
      <c r="W2" s="152"/>
      <c r="X2" s="152"/>
      <c r="Y2" s="152"/>
      <c r="Z2" s="152"/>
      <c r="AA2" s="152"/>
      <c r="AB2" s="152"/>
      <c r="AC2" s="152"/>
      <c r="AD2" s="152"/>
      <c r="AE2" s="152"/>
      <c r="AF2" s="172"/>
    </row>
    <row r="3" spans="1:64" ht="15.95" customHeight="1" thickBot="1" x14ac:dyDescent="0.35">
      <c r="A3" s="152">
        <v>13</v>
      </c>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71"/>
    </row>
    <row r="4" spans="1:64" ht="15.95" customHeight="1" thickTop="1" x14ac:dyDescent="0.3">
      <c r="A4" s="152">
        <v>17</v>
      </c>
      <c r="B4" s="730" t="s">
        <v>0</v>
      </c>
      <c r="C4" s="731"/>
      <c r="D4" s="796"/>
      <c r="E4" s="796"/>
      <c r="F4" s="796"/>
      <c r="G4" s="796"/>
      <c r="H4" s="797"/>
      <c r="I4" s="152"/>
      <c r="J4" s="730" t="s">
        <v>1</v>
      </c>
      <c r="K4" s="731"/>
      <c r="L4" s="724" t="s">
        <v>47</v>
      </c>
      <c r="M4" s="725"/>
      <c r="N4" s="725"/>
      <c r="O4" s="726"/>
      <c r="P4" s="152"/>
      <c r="Q4" s="152"/>
      <c r="R4" s="152"/>
      <c r="S4" s="152"/>
      <c r="T4" s="152"/>
      <c r="U4" s="152"/>
      <c r="V4" s="929" t="str">
        <f>"Race Description"&amp;CHAR(10)&amp;IFERROR(INDEX(D01_Races!F2:F101,SelectedRaceID,1),"")</f>
        <v xml:space="preserve">Race Description
</v>
      </c>
      <c r="W4" s="930"/>
      <c r="X4" s="930"/>
      <c r="Y4" s="930"/>
      <c r="Z4" s="930"/>
      <c r="AA4" s="930"/>
      <c r="AB4" s="930"/>
      <c r="AC4" s="930"/>
      <c r="AD4" s="930"/>
      <c r="AE4" s="931"/>
      <c r="AF4" s="171"/>
    </row>
    <row r="5" spans="1:64" ht="15.95" customHeight="1" thickBot="1" x14ac:dyDescent="0.35">
      <c r="A5" s="152">
        <v>15</v>
      </c>
      <c r="B5" s="732"/>
      <c r="C5" s="733"/>
      <c r="D5" s="798"/>
      <c r="E5" s="798"/>
      <c r="F5" s="798"/>
      <c r="G5" s="798"/>
      <c r="H5" s="799"/>
      <c r="I5" s="152"/>
      <c r="J5" s="732"/>
      <c r="K5" s="733"/>
      <c r="L5" s="727"/>
      <c r="M5" s="728"/>
      <c r="N5" s="728"/>
      <c r="O5" s="729"/>
      <c r="P5" s="152"/>
      <c r="Q5" s="152"/>
      <c r="R5" s="152"/>
      <c r="S5" s="152"/>
      <c r="T5" s="152"/>
      <c r="U5" s="152"/>
      <c r="V5" s="932"/>
      <c r="W5" s="933"/>
      <c r="X5" s="933"/>
      <c r="Y5" s="933"/>
      <c r="Z5" s="933"/>
      <c r="AA5" s="933"/>
      <c r="AB5" s="933"/>
      <c r="AC5" s="933"/>
      <c r="AD5" s="933"/>
      <c r="AE5" s="934"/>
      <c r="AF5" s="171"/>
    </row>
    <row r="6" spans="1:64" ht="15.95" customHeight="1" x14ac:dyDescent="0.3">
      <c r="A6" s="152">
        <v>13</v>
      </c>
      <c r="B6" s="730" t="s">
        <v>501</v>
      </c>
      <c r="C6" s="731"/>
      <c r="D6" s="800"/>
      <c r="E6" s="796"/>
      <c r="F6" s="796"/>
      <c r="G6" s="796"/>
      <c r="H6" s="797"/>
      <c r="I6" s="152"/>
      <c r="J6" s="730" t="s">
        <v>10</v>
      </c>
      <c r="K6" s="731"/>
      <c r="L6" s="724" t="s">
        <v>1097</v>
      </c>
      <c r="M6" s="725"/>
      <c r="N6" s="725"/>
      <c r="O6" s="726"/>
      <c r="P6" s="152"/>
      <c r="Q6" s="152"/>
      <c r="R6" s="152"/>
      <c r="S6" s="152"/>
      <c r="T6" s="152"/>
      <c r="U6" s="152"/>
      <c r="V6" s="932"/>
      <c r="W6" s="933"/>
      <c r="X6" s="933"/>
      <c r="Y6" s="933"/>
      <c r="Z6" s="933"/>
      <c r="AA6" s="933"/>
      <c r="AB6" s="933"/>
      <c r="AC6" s="933"/>
      <c r="AD6" s="933"/>
      <c r="AE6" s="934"/>
      <c r="AF6" s="171"/>
    </row>
    <row r="7" spans="1:64" ht="15.95" customHeight="1" thickBot="1" x14ac:dyDescent="0.35">
      <c r="A7" s="152"/>
      <c r="B7" s="732"/>
      <c r="C7" s="733"/>
      <c r="D7" s="801"/>
      <c r="E7" s="798"/>
      <c r="F7" s="798"/>
      <c r="G7" s="798"/>
      <c r="H7" s="799"/>
      <c r="I7" s="152"/>
      <c r="J7" s="732"/>
      <c r="K7" s="733"/>
      <c r="L7" s="727"/>
      <c r="M7" s="728"/>
      <c r="N7" s="728"/>
      <c r="O7" s="729"/>
      <c r="P7" s="152"/>
      <c r="Q7" s="152"/>
      <c r="R7" s="152"/>
      <c r="S7" s="152"/>
      <c r="T7" s="152"/>
      <c r="U7" s="152"/>
      <c r="V7" s="932"/>
      <c r="W7" s="933"/>
      <c r="X7" s="933"/>
      <c r="Y7" s="933"/>
      <c r="Z7" s="933"/>
      <c r="AA7" s="933"/>
      <c r="AB7" s="933"/>
      <c r="AC7" s="933"/>
      <c r="AD7" s="933"/>
      <c r="AE7" s="934"/>
      <c r="AF7" s="171"/>
    </row>
    <row r="8" spans="1:64" ht="15.95" customHeight="1" thickBot="1" x14ac:dyDescent="0.35">
      <c r="A8" s="152"/>
      <c r="B8" s="152"/>
      <c r="C8" s="152"/>
      <c r="D8" s="152"/>
      <c r="E8" s="152"/>
      <c r="F8" s="152"/>
      <c r="G8" s="152"/>
      <c r="H8" s="152"/>
      <c r="I8" s="152"/>
      <c r="J8" s="152"/>
      <c r="K8" s="152"/>
      <c r="L8" s="152"/>
      <c r="M8" s="152"/>
      <c r="N8" s="152"/>
      <c r="O8" s="152"/>
      <c r="P8" s="152"/>
      <c r="Q8" s="152"/>
      <c r="R8" s="152"/>
      <c r="S8" s="152"/>
      <c r="T8" s="152" t="str">
        <f>IF(IFERROR(INDEX(D01_Races!AH2:AH101,SelectedRaceID,1),"")=0,"",IFERROR(INDEX(D01_Races!AH2:AH101,SelectedRaceID,1),""))</f>
        <v>Although elves reach physical maturity about the same age as humans, the elven understanding of adulthood goes beyond physical growth to encompass worldly experience. An elf typically claims adulthood and an adult name around the age of 100 and can live to be 750 years old.</v>
      </c>
      <c r="U8" s="152"/>
      <c r="V8" s="932"/>
      <c r="W8" s="933"/>
      <c r="X8" s="933"/>
      <c r="Y8" s="933"/>
      <c r="Z8" s="933"/>
      <c r="AA8" s="933"/>
      <c r="AB8" s="933"/>
      <c r="AC8" s="933"/>
      <c r="AD8" s="933"/>
      <c r="AE8" s="934"/>
      <c r="AF8" s="171"/>
    </row>
    <row r="9" spans="1:64" ht="15.95" customHeight="1" thickBot="1" x14ac:dyDescent="0.35">
      <c r="A9" s="152"/>
      <c r="B9" s="152"/>
      <c r="C9" s="152"/>
      <c r="D9" s="152"/>
      <c r="E9" s="152"/>
      <c r="F9" s="152"/>
      <c r="G9" s="152"/>
      <c r="H9" s="152"/>
      <c r="I9" s="152"/>
      <c r="J9" s="730" t="s">
        <v>500</v>
      </c>
      <c r="K9" s="731"/>
      <c r="L9" s="735" t="s">
        <v>4614</v>
      </c>
      <c r="M9" s="736"/>
      <c r="N9" s="736"/>
      <c r="O9" s="737"/>
      <c r="P9" s="152"/>
      <c r="Q9" s="152"/>
      <c r="R9" s="152"/>
      <c r="S9" s="152"/>
      <c r="T9" s="152"/>
      <c r="U9" s="152"/>
      <c r="V9" s="935"/>
      <c r="W9" s="936"/>
      <c r="X9" s="936"/>
      <c r="Y9" s="936"/>
      <c r="Z9" s="936"/>
      <c r="AA9" s="936"/>
      <c r="AB9" s="936"/>
      <c r="AC9" s="936"/>
      <c r="AD9" s="936"/>
      <c r="AE9" s="937"/>
      <c r="AF9" s="171"/>
      <c r="AG9" s="166"/>
      <c r="AH9" s="166"/>
      <c r="AI9" s="166"/>
      <c r="AJ9" s="166"/>
      <c r="AK9" s="166"/>
      <c r="AL9" s="166"/>
      <c r="AM9" s="166"/>
      <c r="AN9" s="166"/>
      <c r="AO9" s="166"/>
      <c r="AP9" s="166"/>
      <c r="AQ9" s="166"/>
      <c r="AR9" s="166"/>
      <c r="AS9" s="166"/>
      <c r="AT9" s="166"/>
      <c r="AU9" s="166"/>
      <c r="AV9" s="166"/>
      <c r="AW9" s="166"/>
      <c r="AX9" s="166"/>
      <c r="AY9" s="166"/>
      <c r="AZ9" s="166"/>
      <c r="BA9" s="166"/>
      <c r="BB9" s="166"/>
      <c r="BC9" s="166"/>
    </row>
    <row r="10" spans="1:64" ht="15.95" customHeight="1" thickTop="1" thickBot="1" x14ac:dyDescent="0.35">
      <c r="A10" s="152"/>
      <c r="B10" s="152"/>
      <c r="C10" s="152"/>
      <c r="D10" s="152"/>
      <c r="E10" s="152"/>
      <c r="F10" s="152"/>
      <c r="G10" s="152"/>
      <c r="H10" s="152"/>
      <c r="I10" s="152"/>
      <c r="J10" s="732"/>
      <c r="K10" s="733"/>
      <c r="L10" s="738"/>
      <c r="M10" s="739"/>
      <c r="N10" s="739"/>
      <c r="O10" s="740"/>
      <c r="P10" s="152"/>
      <c r="Q10" s="152"/>
      <c r="R10" s="152"/>
      <c r="S10" s="152"/>
      <c r="T10" s="152" t="str">
        <f>IF(IFERROR(INDEX(D01_Races!AC2:AC101,SelectedRaceID,1),"")=0,"",IFERROR(INDEX(D01_Races!AC2:AC101,SelectedRaceID,1),""))</f>
        <v>4' 5'' + 2d6</v>
      </c>
      <c r="U10" s="152"/>
      <c r="V10" s="849" t="str">
        <f>"SubRace Description"&amp;CHAR(10)&amp;IFERROR(INDEX(D01_Races!G2:G101,SelectedRaceID,1),"")</f>
        <v xml:space="preserve">SubRace Description
Descended from an earlier subrace of dark-skinned elves, the drow were banished from the surface world for following the goddess Lolth down the path to evil and corruption. Now they have built their own civilization in the depths of the Underdark, patterned after the Way of Lolth. Also called dark elves, the drow have black skin that resembles polished obsidian and stark white or pale yellow hair. They commonly have very pale eyes (so pale as to be mistaken for white) in shades of lilac, silver, pink, red, and blue. They tend to be smaller and thinner than most elves.
Drow adventurers are rare, and the race does not exist in all worlds. Check with your Dungeon Master to see if you can play a drow character.
</v>
      </c>
      <c r="W10" s="850"/>
      <c r="X10" s="850"/>
      <c r="Y10" s="850"/>
      <c r="Z10" s="850"/>
      <c r="AA10" s="850"/>
      <c r="AB10" s="850"/>
      <c r="AC10" s="850"/>
      <c r="AD10" s="850"/>
      <c r="AE10" s="851"/>
      <c r="AF10" s="171"/>
      <c r="AG10" s="166"/>
      <c r="AH10" s="885" t="s">
        <v>3816</v>
      </c>
      <c r="AI10" s="885"/>
      <c r="AJ10" s="885"/>
      <c r="AK10" s="885"/>
      <c r="AL10" s="885"/>
      <c r="AM10" s="166"/>
      <c r="AN10" s="166"/>
      <c r="AO10" s="166"/>
      <c r="AP10" s="166"/>
      <c r="AQ10" s="166"/>
      <c r="AR10" s="166"/>
      <c r="AS10" s="166"/>
      <c r="AT10" s="166"/>
      <c r="AU10" s="166"/>
      <c r="AV10" s="166"/>
      <c r="AW10" s="166"/>
      <c r="AX10" s="166"/>
      <c r="AY10" s="166"/>
      <c r="AZ10" s="166"/>
      <c r="BA10" s="166"/>
      <c r="BB10" s="166"/>
      <c r="BC10" s="166"/>
      <c r="BE10" s="167" t="s">
        <v>568</v>
      </c>
      <c r="BF10" s="167">
        <f>RaceNumber</f>
        <v>62</v>
      </c>
      <c r="BG10" s="167" t="s">
        <v>592</v>
      </c>
      <c r="BH10" s="167">
        <f>UniqueSubraces</f>
        <v>4</v>
      </c>
      <c r="BJ10" s="165" t="s">
        <v>594</v>
      </c>
      <c r="BL10" s="165">
        <f>SelectedBackgroundId</f>
        <v>2</v>
      </c>
    </row>
    <row r="11" spans="1:64" ht="15.95" customHeight="1" outlineLevel="1" x14ac:dyDescent="0.3">
      <c r="A11" s="152"/>
      <c r="B11" s="749" t="s">
        <v>9</v>
      </c>
      <c r="C11" s="750"/>
      <c r="D11" s="766"/>
      <c r="E11" s="767"/>
      <c r="F11" s="152"/>
      <c r="G11" s="152"/>
      <c r="H11" s="152"/>
      <c r="I11" s="152"/>
      <c r="J11" s="152"/>
      <c r="K11" s="152"/>
      <c r="L11" s="152"/>
      <c r="M11" s="152"/>
      <c r="N11" s="152"/>
      <c r="O11" s="152"/>
      <c r="P11" s="152"/>
      <c r="Q11" s="152"/>
      <c r="R11" s="152"/>
      <c r="S11" s="152"/>
      <c r="T11" s="152"/>
      <c r="U11" s="152"/>
      <c r="V11" s="852"/>
      <c r="W11" s="853"/>
      <c r="X11" s="853"/>
      <c r="Y11" s="853"/>
      <c r="Z11" s="853"/>
      <c r="AA11" s="853"/>
      <c r="AB11" s="853"/>
      <c r="AC11" s="853"/>
      <c r="AD11" s="853"/>
      <c r="AE11" s="854"/>
      <c r="AF11" s="171"/>
      <c r="AH11" s="885"/>
      <c r="AI11" s="885"/>
      <c r="AJ11" s="885"/>
      <c r="AK11" s="885"/>
      <c r="AL11" s="885"/>
      <c r="AM11" s="165" t="s">
        <v>4134</v>
      </c>
      <c r="BD11" s="167">
        <f>IFERROR(IF(BD10+1&lt;=UniqueRaceNumer,BD10+1,""),"")</f>
        <v>1</v>
      </c>
      <c r="BE11" s="167" t="str">
        <f>IFERROR(INDEX(D01_Races!$B$2:$B$101,MATCH(C_Input!BD11,D01_Races!$C$2:$C$101,0),1),"")</f>
        <v>Dwarf</v>
      </c>
      <c r="BF11" s="167" t="str">
        <f>IFERROR(IF(BF10+1&lt;=UniqueSubraces,BF10+1,""),"")</f>
        <v/>
      </c>
      <c r="BG11" s="167" t="str">
        <f>IFERROR(IF(BF11="","",INDEX(D01_Races!$E$2:$E$101,MATCH(C_Input!BF11,D01_Races!$D$2:$D$101,0),1)),"")</f>
        <v/>
      </c>
      <c r="BH11" s="165" t="str">
        <f>IFERROR(IF(BF11="","",INDEX(D01_Races!$A$2:$A$101,MATCH(C_Input!BF11,D01_Races!$D$2:$D$101,0),1)),"")</f>
        <v/>
      </c>
    </row>
    <row r="12" spans="1:64" ht="15.95" customHeight="1" outlineLevel="1" thickBot="1" x14ac:dyDescent="0.35">
      <c r="A12" s="152"/>
      <c r="B12" s="751"/>
      <c r="C12" s="752"/>
      <c r="D12" s="768"/>
      <c r="E12" s="769"/>
      <c r="F12" s="152"/>
      <c r="G12" s="152"/>
      <c r="H12" s="152"/>
      <c r="I12" s="152"/>
      <c r="J12" s="152"/>
      <c r="K12" s="152"/>
      <c r="L12" s="152"/>
      <c r="M12" s="152"/>
      <c r="N12" s="152"/>
      <c r="O12" s="152"/>
      <c r="P12" s="152"/>
      <c r="Q12" s="152"/>
      <c r="R12" s="152"/>
      <c r="S12" s="152"/>
      <c r="T12" s="152" t="str">
        <f>IF(IFERROR(INDEX(D01_Races!AF2:AF101,SelectedRaceID,1),"")=0,"",IFERROR(INDEX(D01_Races!AF2:AF101,SelectedRaceID,1),""))</f>
        <v>75 lb. x 1d6</v>
      </c>
      <c r="U12" s="152"/>
      <c r="V12" s="852"/>
      <c r="W12" s="853"/>
      <c r="X12" s="853"/>
      <c r="Y12" s="853"/>
      <c r="Z12" s="853"/>
      <c r="AA12" s="853"/>
      <c r="AB12" s="853"/>
      <c r="AC12" s="853"/>
      <c r="AD12" s="853"/>
      <c r="AE12" s="854"/>
      <c r="AF12" s="171"/>
      <c r="AH12" s="165" t="s">
        <v>4134</v>
      </c>
      <c r="BE12" s="167" t="s">
        <v>590</v>
      </c>
      <c r="BF12" s="167">
        <f>UniqueRaceNumer</f>
        <v>28</v>
      </c>
      <c r="BJ12" s="165" t="s">
        <v>601</v>
      </c>
      <c r="BL12" s="165">
        <f>INDEX($BH$15:$BH$149,MATCH(SubRace,$BG$15:$BG$149,0),1)</f>
        <v>23</v>
      </c>
    </row>
    <row r="13" spans="1:64" ht="15.95" customHeight="1" outlineLevel="1" thickBot="1" x14ac:dyDescent="0.35">
      <c r="A13" s="152"/>
      <c r="B13" s="152"/>
      <c r="C13" s="152"/>
      <c r="D13" s="152"/>
      <c r="E13" s="152"/>
      <c r="F13" s="152"/>
      <c r="G13" s="152"/>
      <c r="H13" s="152"/>
      <c r="I13" s="152"/>
      <c r="J13" s="152"/>
      <c r="K13" s="152"/>
      <c r="L13" s="152"/>
      <c r="M13" s="152"/>
      <c r="N13" s="152"/>
      <c r="O13" s="152"/>
      <c r="P13" s="152"/>
      <c r="Q13" s="152"/>
      <c r="R13" s="152"/>
      <c r="S13" s="152"/>
      <c r="T13" s="152"/>
      <c r="U13" s="152"/>
      <c r="V13" s="855"/>
      <c r="W13" s="856"/>
      <c r="X13" s="856"/>
      <c r="Y13" s="856"/>
      <c r="Z13" s="856"/>
      <c r="AA13" s="856"/>
      <c r="AB13" s="856"/>
      <c r="AC13" s="856"/>
      <c r="AD13" s="856"/>
      <c r="AE13" s="857"/>
      <c r="AF13" s="171"/>
      <c r="AM13" s="165" t="s">
        <v>2227</v>
      </c>
      <c r="AN13" s="165">
        <f>MainClassSelected</f>
        <v>0</v>
      </c>
      <c r="AO13" s="165" t="e">
        <f>INDEX(D04_Classes!BW3:BW101,SelectedClassID,1)</f>
        <v>#N/A</v>
      </c>
      <c r="AX13" s="838" t="s">
        <v>4137</v>
      </c>
      <c r="AY13" s="838"/>
      <c r="AZ13" s="838" t="s">
        <v>4384</v>
      </c>
      <c r="BA13" s="838"/>
      <c r="BB13" s="838"/>
      <c r="BC13" s="838"/>
      <c r="BE13" s="165" t="s">
        <v>600</v>
      </c>
      <c r="BJ13" s="165" t="s">
        <v>2228</v>
      </c>
      <c r="BL13" s="165" t="e">
        <f>SelectedClassID</f>
        <v>#N/A</v>
      </c>
    </row>
    <row r="14" spans="1:64" ht="15.95" customHeight="1" outlineLevel="1" thickTop="1" x14ac:dyDescent="0.3">
      <c r="A14" s="152"/>
      <c r="B14" s="749" t="s">
        <v>4138</v>
      </c>
      <c r="C14" s="750"/>
      <c r="D14" s="790"/>
      <c r="E14" s="791"/>
      <c r="F14" s="749" t="s">
        <v>6850</v>
      </c>
      <c r="G14" s="750"/>
      <c r="H14" s="938"/>
      <c r="I14" s="939"/>
      <c r="J14" s="939"/>
      <c r="K14" s="940"/>
      <c r="L14" s="152"/>
      <c r="M14" s="730" t="s">
        <v>2</v>
      </c>
      <c r="N14" s="731"/>
      <c r="O14" s="766" t="s">
        <v>73</v>
      </c>
      <c r="P14" s="771"/>
      <c r="Q14" s="771"/>
      <c r="R14" s="767"/>
      <c r="S14" s="152"/>
      <c r="T14" s="152"/>
      <c r="U14" s="152"/>
      <c r="V14" s="152"/>
      <c r="W14" s="152"/>
      <c r="X14" s="152"/>
      <c r="Y14" s="152"/>
      <c r="Z14" s="152"/>
      <c r="AA14" s="152"/>
      <c r="AB14" s="152"/>
      <c r="AC14" s="152"/>
      <c r="AD14" s="152"/>
      <c r="AE14" s="152"/>
      <c r="AF14" s="171"/>
      <c r="AO14" s="165" t="s">
        <v>113</v>
      </c>
      <c r="AP14" s="165" t="s">
        <v>117</v>
      </c>
      <c r="AQ14" s="165" t="s">
        <v>508</v>
      </c>
      <c r="AR14" s="165" t="s">
        <v>509</v>
      </c>
      <c r="AS14" s="165" t="s">
        <v>510</v>
      </c>
      <c r="AT14" s="165" t="s">
        <v>511</v>
      </c>
      <c r="BD14" s="839" t="s">
        <v>589</v>
      </c>
      <c r="BE14" s="840"/>
      <c r="BF14" s="841" t="s">
        <v>591</v>
      </c>
      <c r="BG14" s="842"/>
      <c r="BH14" s="843"/>
    </row>
    <row r="15" spans="1:64" ht="15.95" customHeight="1" outlineLevel="1" thickBot="1" x14ac:dyDescent="0.35">
      <c r="A15" s="152"/>
      <c r="B15" s="751"/>
      <c r="C15" s="752"/>
      <c r="D15" s="792"/>
      <c r="E15" s="793"/>
      <c r="F15" s="751"/>
      <c r="G15" s="752"/>
      <c r="H15" s="941"/>
      <c r="I15" s="942"/>
      <c r="J15" s="942"/>
      <c r="K15" s="943"/>
      <c r="L15" s="152"/>
      <c r="M15" s="732"/>
      <c r="N15" s="733"/>
      <c r="O15" s="768"/>
      <c r="P15" s="772"/>
      <c r="Q15" s="772"/>
      <c r="R15" s="769"/>
      <c r="S15" s="152"/>
      <c r="T15" s="152"/>
      <c r="U15" s="152"/>
      <c r="V15" s="152"/>
      <c r="W15" s="152"/>
      <c r="X15" s="152"/>
      <c r="Y15" s="152"/>
      <c r="Z15" s="152"/>
      <c r="AA15" s="152"/>
      <c r="AB15" s="152"/>
      <c r="AC15" s="152"/>
      <c r="AD15" s="152"/>
      <c r="AE15" s="152"/>
      <c r="AF15" s="171"/>
      <c r="AH15" s="253">
        <v>1</v>
      </c>
      <c r="AI15" s="253" t="str">
        <f>IFERROR(INDEX(D04_Classes!$B$3:$B$102,AH15,1),"")</f>
        <v>Barbarian</v>
      </c>
      <c r="AJ15" s="253">
        <f t="shared" ref="AJ15:AJ46" si="0">IF(AI15="","",COUNTIF($R$58:$T$67,AI15)+COUNTIF($R$68:$T$77,AI15))</f>
        <v>0</v>
      </c>
      <c r="AK15" s="253">
        <f>IF(OR(AJ15=0,AJ15=""),0,1)</f>
        <v>0</v>
      </c>
      <c r="AL15" s="253">
        <f>IF(AK15=0,0,1)</f>
        <v>0</v>
      </c>
      <c r="AM15" s="253">
        <f>IF(IFERROR(SEARCH("and",INDEX(D04_Classes!$BW$3:$BW$102,MATCH(C_Input!AI15,D04_Classes!$B$3:$B$102,0),1)),0)&gt;1,1,0)</f>
        <v>0</v>
      </c>
      <c r="AN15" s="253">
        <f>IF(IFERROR(SEARCH("or",INDEX(D04_Classes!$BW$3:$BW$102,MATCH(C_Input!AI15,D04_Classes!$B$3:$B$102,0),1)),0)&gt;1,1,0)</f>
        <v>0</v>
      </c>
      <c r="AO15" s="253" t="str">
        <f>IF(OR(IFERROR(SEARCH("Strength",INDEX(D04_Classes!$BW$3:$BW$102,MATCH(C_Input!AI15,D04_Classes!$B$3:$B$102,0),1)),0)=0,AND(IFERROR(SEARCH("Strength",INDEX(D04_Classes!$BW$3:$BW$102,MATCH(C_Input!AI15,D04_Classes!$B$3:$B$102,0),1)),0)&gt;0,Strength&gt;12)),"yes","no")</f>
        <v>yes</v>
      </c>
      <c r="AP15" s="253" t="str">
        <f>IF(OR(IFERROR(SEARCH("Dexterity",INDEX(D04_Classes!$BW$3:$BW$102,MATCH(C_Input!AI15,D04_Classes!$B$3:$B$102,0),1)),0)=0,AND(IFERROR(SEARCH("Dexterity",INDEX(D04_Classes!$BW$3:$BW$102,MATCH(C_Input!AI15,D04_Classes!$B$3:$B$102,0),1)),0)&gt;0,Dexterity&gt;12)),"yes","no")</f>
        <v>yes</v>
      </c>
      <c r="AQ15" s="253" t="str">
        <f>IF(OR(IFERROR(SEARCH("Constitution",INDEX(D04_Classes!$BW$3:$BW$102,MATCH(C_Input!AI15,D04_Classes!$B$3:$B$102,0),1)),0)=0,AND(IFERROR(SEARCH("Constitution",INDEX(D04_Classes!$BW$3:$BW$102,MATCH(C_Input!AI15,D04_Classes!$B$3:$B$102,0),1)),0)&gt;0,Constitution&gt;12)),"yes","no")</f>
        <v>yes</v>
      </c>
      <c r="AR15" s="253" t="str">
        <f>IF(OR(IFERROR(SEARCH("Intelligence",INDEX(D04_Classes!$BW$3:$BW$102,MATCH(C_Input!AI15,D04_Classes!$B$3:$B$102,0),1)),0)=0,AND(IFERROR(SEARCH("Intelligence",INDEX(D04_Classes!$BW$3:$BW$102,MATCH(C_Input!AI15,D04_Classes!$B$3:$B$102,0),1)),0)&gt;0,Intelligence&gt;12)),"yes","no")</f>
        <v>yes</v>
      </c>
      <c r="AS15" s="253" t="str">
        <f>IF(OR(IFERROR(SEARCH("Wisdom",INDEX(D04_Classes!$BW$3:$BW$102,MATCH(C_Input!AI15,D04_Classes!$B$3:$B$102,0),1)),0)=0,AND(IFERROR(SEARCH("Wisdom",INDEX(D04_Classes!$BW$3:$BW$102,MATCH(C_Input!AI15,D04_Classes!$B$3:$B$102,0),1)),0)&gt;0,Wisdom&gt;12)),"yes","no")</f>
        <v>yes</v>
      </c>
      <c r="AT15" s="253" t="str">
        <f>IF(OR(IFERROR(SEARCH("Charisma",INDEX(D04_Classes!$BW$3:$BW$102,MATCH(C_Input!AI15,D04_Classes!$B$3:$B$102,0),1)),0)=0,AND(IFERROR(SEARCH("Charisma",INDEX(D04_Classes!$BW$3:$BW$102,MATCH(C_Input!AI15,D04_Classes!$B$3:$B$102,0),1)),0)&gt;0,Charisma&gt;12)),"yes","no")</f>
        <v>yes</v>
      </c>
      <c r="AU15" s="253">
        <f t="shared" ref="AU15:AU46" si="1">IF(AI15="",0,IF(AN15=1,IF(COUNTIF(AO15:AT15,"no")&lt;2,1,0),IF(COUNTIF(AO15:AT15,"no")&gt;0,0,1)))</f>
        <v>1</v>
      </c>
      <c r="AV15" s="253">
        <f>IF(AU15=0,0,1)</f>
        <v>1</v>
      </c>
      <c r="AX15" s="255">
        <v>1</v>
      </c>
      <c r="AY15" s="255" t="str">
        <f t="shared" ref="AY15:AY46" si="2">IFERROR(INDEX($AI$15:$AI$114,MATCH(AX15,$AV$15:$AV$114,0),1),"")</f>
        <v>Barbarian</v>
      </c>
      <c r="AZ15" s="266">
        <f t="shared" ref="AZ15:AZ26" si="3">IF(AK15=0,0,IF(AI15=MainClassSelected,0,1))</f>
        <v>0</v>
      </c>
      <c r="BA15" s="267">
        <f>IF(AZ15=0,0,1)</f>
        <v>0</v>
      </c>
      <c r="BB15" s="266">
        <v>1</v>
      </c>
      <c r="BC15" s="266" t="str">
        <f t="shared" ref="BC15:BC26" si="4">IFERROR(INDEX($AI$15:$AI$114,MATCH(BB15,$BA$15:$BA$114,0),1),"")</f>
        <v/>
      </c>
      <c r="BD15" s="254">
        <v>1</v>
      </c>
      <c r="BE15" s="254" t="str">
        <f>IFERROR(INDEX(D01_Races!$B$2:$B$101,MATCH(C_Input!BD15,D01_Races!$C$2:$C$101,0),1),"")</f>
        <v>Dwarf</v>
      </c>
      <c r="BF15" s="252">
        <v>1</v>
      </c>
      <c r="BG15" s="252" t="str">
        <f>IFERROR(IF(BF15="","",INDEX(D01_Races!$E$2:$E$101,MATCH(C_Input!BF15,D01_Races!$D$2:$D$101,0),1)),"")</f>
        <v>High Elf</v>
      </c>
      <c r="BH15" s="252">
        <f>IFERROR(IF(BF15="","",INDEX(D01_Races!$A$2:$A$101,MATCH(C_Input!BF15,D01_Races!$D$2:$D$101,0),1)),"")</f>
        <v>3</v>
      </c>
    </row>
    <row r="16" spans="1:64" ht="15.95" customHeight="1" outlineLevel="1" thickBot="1" x14ac:dyDescent="0.35">
      <c r="A16" s="152"/>
      <c r="B16" s="749" t="s">
        <v>4139</v>
      </c>
      <c r="C16" s="750"/>
      <c r="D16" s="790"/>
      <c r="E16" s="791"/>
      <c r="F16" s="749" t="s">
        <v>6851</v>
      </c>
      <c r="G16" s="750"/>
      <c r="H16" s="938"/>
      <c r="I16" s="939"/>
      <c r="J16" s="939"/>
      <c r="K16" s="940"/>
      <c r="L16" s="152"/>
      <c r="M16" s="152"/>
      <c r="N16" s="152"/>
      <c r="O16" s="152"/>
      <c r="P16" s="152"/>
      <c r="Q16" s="152"/>
      <c r="R16" s="152"/>
      <c r="S16" s="152"/>
      <c r="T16" s="152"/>
      <c r="U16" s="152"/>
      <c r="V16" s="152"/>
      <c r="W16" s="152"/>
      <c r="X16" s="152"/>
      <c r="Y16" s="152"/>
      <c r="Z16" s="152"/>
      <c r="AA16" s="152"/>
      <c r="AB16" s="152"/>
      <c r="AC16" s="152"/>
      <c r="AD16" s="152"/>
      <c r="AE16" s="152"/>
      <c r="AF16" s="171"/>
      <c r="AH16" s="253">
        <f t="shared" ref="AH16:AH47" si="5">IFERROR(IF(AH15+1&lt;UniqueClassesNumber+1,AH15+1,""),"")</f>
        <v>2</v>
      </c>
      <c r="AI16" s="253" t="str">
        <f>IFERROR(INDEX(D04_Classes!$B$3:$B$102,AH16,1),"")</f>
        <v>Bard</v>
      </c>
      <c r="AJ16" s="253">
        <f t="shared" si="0"/>
        <v>0</v>
      </c>
      <c r="AK16" s="253">
        <f t="shared" ref="AK16:AK79" si="6">IF(OR(AJ16=0,AJ16=""),0,1)</f>
        <v>0</v>
      </c>
      <c r="AL16" s="253">
        <f>IF(AK16=0,0,COUNTIF($AL$15:AL15,"&gt;0")+1)</f>
        <v>0</v>
      </c>
      <c r="AM16" s="253">
        <f>IF(IFERROR(SEARCH("and",INDEX(D04_Classes!$BW$3:$BW$102,MATCH(C_Input!AI16,D04_Classes!$B$3:$B$102,0),1)),0)&gt;1,1,0)</f>
        <v>0</v>
      </c>
      <c r="AN16" s="253">
        <f>IF(IFERROR(SEARCH("or",INDEX(D04_Classes!$BW$3:$BW$102,MATCH(C_Input!AI16,D04_Classes!$B$3:$B$102,0),1)),0)&gt;1,1,0)</f>
        <v>0</v>
      </c>
      <c r="AO16" s="253" t="str">
        <f>IF(OR(IFERROR(SEARCH("Strength",INDEX(D04_Classes!$BW$3:$BW$102,MATCH(C_Input!AI16,D04_Classes!$B$3:$B$102,0),1)),0)=0,AND(IFERROR(SEARCH("Strength",INDEX(D04_Classes!$BW$3:$BW$102,MATCH(C_Input!AI16,D04_Classes!$B$3:$B$102,0),1)),0)&gt;0,Strength&gt;12)),"yes","no")</f>
        <v>yes</v>
      </c>
      <c r="AP16" s="253" t="str">
        <f>IF(OR(IFERROR(SEARCH("Dexterity",INDEX(D04_Classes!$BW$3:$BW$102,MATCH(C_Input!AI16,D04_Classes!$B$3:$B$102,0),1)),0)=0,AND(IFERROR(SEARCH("Dexterity",INDEX(D04_Classes!$BW$3:$BW$102,MATCH(C_Input!AI16,D04_Classes!$B$3:$B$102,0),1)),0)&gt;0,Dexterity&gt;12)),"yes","no")</f>
        <v>yes</v>
      </c>
      <c r="AQ16" s="253" t="str">
        <f>IF(OR(IFERROR(SEARCH("Constitution",INDEX(D04_Classes!$BW$3:$BW$102,MATCH(C_Input!AI16,D04_Classes!$B$3:$B$102,0),1)),0)=0,AND(IFERROR(SEARCH("Constitution",INDEX(D04_Classes!$BW$3:$BW$102,MATCH(C_Input!AI16,D04_Classes!$B$3:$B$102,0),1)),0)&gt;0,Constitution&gt;12)),"yes","no")</f>
        <v>yes</v>
      </c>
      <c r="AR16" s="253" t="str">
        <f>IF(OR(IFERROR(SEARCH("Intelligence",INDEX(D04_Classes!$BW$3:$BW$102,MATCH(C_Input!AI16,D04_Classes!$B$3:$B$102,0),1)),0)=0,AND(IFERROR(SEARCH("Intelligence",INDEX(D04_Classes!$BW$3:$BW$102,MATCH(C_Input!AI16,D04_Classes!$B$3:$B$102,0),1)),0)&gt;0,Intelligence&gt;12)),"yes","no")</f>
        <v>yes</v>
      </c>
      <c r="AS16" s="253" t="str">
        <f>IF(OR(IFERROR(SEARCH("Wisdom",INDEX(D04_Classes!$BW$3:$BW$102,MATCH(C_Input!AI16,D04_Classes!$B$3:$B$102,0),1)),0)=0,AND(IFERROR(SEARCH("Wisdom",INDEX(D04_Classes!$BW$3:$BW$102,MATCH(C_Input!AI16,D04_Classes!$B$3:$B$102,0),1)),0)&gt;0,Wisdom&gt;12)),"yes","no")</f>
        <v>yes</v>
      </c>
      <c r="AT16" s="253" t="str">
        <f>IF(OR(IFERROR(SEARCH("Charisma",INDEX(D04_Classes!$BW$3:$BW$102,MATCH(C_Input!AI16,D04_Classes!$B$3:$B$102,0),1)),0)=0,AND(IFERROR(SEARCH("Charisma",INDEX(D04_Classes!$BW$3:$BW$102,MATCH(C_Input!AI16,D04_Classes!$B$3:$B$102,0),1)),0)&gt;0,Charisma&gt;12)),"yes","no")</f>
        <v>yes</v>
      </c>
      <c r="AU16" s="253">
        <f t="shared" si="1"/>
        <v>1</v>
      </c>
      <c r="AV16" s="253">
        <f>IF(AU16=0,0,COUNTIF($AV$15:AV15,"&gt;0")+1)</f>
        <v>2</v>
      </c>
      <c r="AX16" s="255">
        <f t="shared" ref="AX16:AX47" si="7">IFERROR(IF(AX15+1&lt;=MAX($AV$15:$AV$114),AX15+1,""),"")</f>
        <v>2</v>
      </c>
      <c r="AY16" s="255" t="str">
        <f t="shared" si="2"/>
        <v>Bard</v>
      </c>
      <c r="AZ16" s="266">
        <f t="shared" si="3"/>
        <v>0</v>
      </c>
      <c r="BA16" s="267">
        <f>IF(AZ16=0,0,COUNTIF($BA$15:BA15,"&gt;0")+1)</f>
        <v>0</v>
      </c>
      <c r="BB16" s="266" t="str">
        <f t="shared" ref="BB16:BB26" si="8">IFERROR(IF(BB15+1&lt;=MAX($BA$15:$BA$114),BB15+1,""),"")</f>
        <v/>
      </c>
      <c r="BC16" s="266" t="str">
        <f t="shared" si="4"/>
        <v/>
      </c>
      <c r="BD16" s="254">
        <f t="shared" ref="BD16:BD79" si="9">IFERROR(IF(BD15+1&lt;=UniqueRaceNumer,BD15+1,""),"")</f>
        <v>2</v>
      </c>
      <c r="BE16" s="254" t="str">
        <f>IFERROR(INDEX(D01_Races!$B$2:$B$101,MATCH(C_Input!BD16,D01_Races!$C$2:$C$101,0),1),"")</f>
        <v>Elf</v>
      </c>
      <c r="BF16" s="252">
        <f t="shared" ref="BF16:BF79" si="10">IFERROR(IF(BF15+1&lt;=UniqueSubraces,BF15+1,""),"")</f>
        <v>2</v>
      </c>
      <c r="BG16" s="252" t="str">
        <f>IFERROR(IF(BF16="","",INDEX(D01_Races!$E$2:$E$101,MATCH(C_Input!BF16,D01_Races!$D$2:$D$101,0),1)),"")</f>
        <v>Wood Elf</v>
      </c>
      <c r="BH16" s="252">
        <f>IFERROR(IF(BF16="","",INDEX(D01_Races!$A$2:$A$101,MATCH(C_Input!BF16,D01_Races!$D$2:$D$101,0),1)),"")</f>
        <v>4</v>
      </c>
    </row>
    <row r="17" spans="1:64" ht="15.95" customHeight="1" outlineLevel="1" thickBot="1" x14ac:dyDescent="0.35">
      <c r="A17" s="152"/>
      <c r="B17" s="751"/>
      <c r="C17" s="752"/>
      <c r="D17" s="792"/>
      <c r="E17" s="793"/>
      <c r="F17" s="751"/>
      <c r="G17" s="752"/>
      <c r="H17" s="941"/>
      <c r="I17" s="942"/>
      <c r="J17" s="942"/>
      <c r="K17" s="943"/>
      <c r="L17" s="152"/>
      <c r="M17" s="730" t="s">
        <v>4140</v>
      </c>
      <c r="N17" s="731"/>
      <c r="O17" s="766" t="s">
        <v>4606</v>
      </c>
      <c r="P17" s="771"/>
      <c r="Q17" s="771"/>
      <c r="R17" s="767"/>
      <c r="S17" s="152"/>
      <c r="T17" s="152"/>
      <c r="U17" s="152"/>
      <c r="V17" s="152"/>
      <c r="W17" s="152"/>
      <c r="X17" s="152"/>
      <c r="Y17" s="152"/>
      <c r="Z17" s="152"/>
      <c r="AA17" s="152"/>
      <c r="AB17" s="152"/>
      <c r="AC17" s="152"/>
      <c r="AD17" s="152"/>
      <c r="AE17" s="152"/>
      <c r="AF17" s="171"/>
      <c r="AH17" s="253">
        <f t="shared" si="5"/>
        <v>3</v>
      </c>
      <c r="AI17" s="253" t="str">
        <f>IFERROR(INDEX(D04_Classes!$B$3:$B$102,AH17,1),"")</f>
        <v>Cleric</v>
      </c>
      <c r="AJ17" s="253">
        <f t="shared" si="0"/>
        <v>0</v>
      </c>
      <c r="AK17" s="253">
        <f t="shared" si="6"/>
        <v>0</v>
      </c>
      <c r="AL17" s="253">
        <f>IF(AK17=0,0,COUNTIF($AL$15:AL16,"&gt;0")+1)</f>
        <v>0</v>
      </c>
      <c r="AM17" s="253">
        <f>IF(IFERROR(SEARCH("and",INDEX(D04_Classes!$BW$3:$BW$102,MATCH(C_Input!AI17,D04_Classes!$B$3:$B$102,0),1)),0)&gt;1,1,0)</f>
        <v>0</v>
      </c>
      <c r="AN17" s="253">
        <f>IF(IFERROR(SEARCH("or",INDEX(D04_Classes!$BW$3:$BW$102,MATCH(C_Input!AI17,D04_Classes!$B$3:$B$102,0),1)),0)&gt;1,1,0)</f>
        <v>0</v>
      </c>
      <c r="AO17" s="253" t="str">
        <f>IF(OR(IFERROR(SEARCH("Strength",INDEX(D04_Classes!$BW$3:$BW$102,MATCH(C_Input!AI17,D04_Classes!$B$3:$B$102,0),1)),0)=0,AND(IFERROR(SEARCH("Strength",INDEX(D04_Classes!$BW$3:$BW$102,MATCH(C_Input!AI17,D04_Classes!$B$3:$B$102,0),1)),0)&gt;0,Strength&gt;12)),"yes","no")</f>
        <v>yes</v>
      </c>
      <c r="AP17" s="253" t="str">
        <f>IF(OR(IFERROR(SEARCH("Dexterity",INDEX(D04_Classes!$BW$3:$BW$102,MATCH(C_Input!AI17,D04_Classes!$B$3:$B$102,0),1)),0)=0,AND(IFERROR(SEARCH("Dexterity",INDEX(D04_Classes!$BW$3:$BW$102,MATCH(C_Input!AI17,D04_Classes!$B$3:$B$102,0),1)),0)&gt;0,Dexterity&gt;12)),"yes","no")</f>
        <v>yes</v>
      </c>
      <c r="AQ17" s="253" t="str">
        <f>IF(OR(IFERROR(SEARCH("Constitution",INDEX(D04_Classes!$BW$3:$BW$102,MATCH(C_Input!AI17,D04_Classes!$B$3:$B$102,0),1)),0)=0,AND(IFERROR(SEARCH("Constitution",INDEX(D04_Classes!$BW$3:$BW$102,MATCH(C_Input!AI17,D04_Classes!$B$3:$B$102,0),1)),0)&gt;0,Constitution&gt;12)),"yes","no")</f>
        <v>yes</v>
      </c>
      <c r="AR17" s="253" t="str">
        <f>IF(OR(IFERROR(SEARCH("Intelligence",INDEX(D04_Classes!$BW$3:$BW$102,MATCH(C_Input!AI17,D04_Classes!$B$3:$B$102,0),1)),0)=0,AND(IFERROR(SEARCH("Intelligence",INDEX(D04_Classes!$BW$3:$BW$102,MATCH(C_Input!AI17,D04_Classes!$B$3:$B$102,0),1)),0)&gt;0,Intelligence&gt;12)),"yes","no")</f>
        <v>yes</v>
      </c>
      <c r="AS17" s="253" t="str">
        <f>IF(OR(IFERROR(SEARCH("Wisdom",INDEX(D04_Classes!$BW$3:$BW$102,MATCH(C_Input!AI17,D04_Classes!$B$3:$B$102,0),1)),0)=0,AND(IFERROR(SEARCH("Wisdom",INDEX(D04_Classes!$BW$3:$BW$102,MATCH(C_Input!AI17,D04_Classes!$B$3:$B$102,0),1)),0)&gt;0,Wisdom&gt;12)),"yes","no")</f>
        <v>no</v>
      </c>
      <c r="AT17" s="253" t="str">
        <f>IF(OR(IFERROR(SEARCH("Charisma",INDEX(D04_Classes!$BW$3:$BW$102,MATCH(C_Input!AI17,D04_Classes!$B$3:$B$102,0),1)),0)=0,AND(IFERROR(SEARCH("Charisma",INDEX(D04_Classes!$BW$3:$BW$102,MATCH(C_Input!AI17,D04_Classes!$B$3:$B$102,0),1)),0)&gt;0,Charisma&gt;12)),"yes","no")</f>
        <v>yes</v>
      </c>
      <c r="AU17" s="253">
        <f t="shared" si="1"/>
        <v>0</v>
      </c>
      <c r="AV17" s="253">
        <f>IF(AU17=0,0,COUNTIF($AV$15:AV16,"&gt;0")+1)</f>
        <v>0</v>
      </c>
      <c r="AX17" s="255">
        <f t="shared" si="7"/>
        <v>3</v>
      </c>
      <c r="AY17" s="255" t="str">
        <f t="shared" si="2"/>
        <v>Fighter</v>
      </c>
      <c r="AZ17" s="266">
        <f t="shared" si="3"/>
        <v>0</v>
      </c>
      <c r="BA17" s="267">
        <f>IF(AZ17=0,0,COUNTIF($BA$15:BA16,"&gt;0")+1)</f>
        <v>0</v>
      </c>
      <c r="BB17" s="266" t="str">
        <f t="shared" si="8"/>
        <v/>
      </c>
      <c r="BC17" s="266" t="str">
        <f t="shared" si="4"/>
        <v/>
      </c>
      <c r="BD17" s="254">
        <f t="shared" si="9"/>
        <v>3</v>
      </c>
      <c r="BE17" s="254" t="str">
        <f>IFERROR(INDEX(D01_Races!$B$2:$B$101,MATCH(C_Input!BD17,D01_Races!$C$2:$C$101,0),1),"")</f>
        <v>Halfling</v>
      </c>
      <c r="BF17" s="252">
        <f t="shared" si="10"/>
        <v>3</v>
      </c>
      <c r="BG17" s="252" t="str">
        <f>IFERROR(IF(BF17="","",INDEX(D01_Races!$E$2:$E$101,MATCH(C_Input!BF17,D01_Races!$D$2:$D$101,0),1)),"")</f>
        <v>Dark Elf</v>
      </c>
      <c r="BH17" s="252">
        <f>IFERROR(IF(BF17="","",INDEX(D01_Races!$A$2:$A$101,MATCH(C_Input!BF17,D01_Races!$D$2:$D$101,0),1)),"")</f>
        <v>23</v>
      </c>
    </row>
    <row r="18" spans="1:64" ht="15.95" customHeight="1" outlineLevel="1" thickBot="1" x14ac:dyDescent="0.35">
      <c r="A18" s="152"/>
      <c r="B18" s="749" t="s">
        <v>94</v>
      </c>
      <c r="C18" s="750"/>
      <c r="D18" s="790"/>
      <c r="E18" s="791"/>
      <c r="F18" s="749" t="s">
        <v>6852</v>
      </c>
      <c r="G18" s="750"/>
      <c r="H18" s="938"/>
      <c r="I18" s="939"/>
      <c r="J18" s="939"/>
      <c r="K18" s="940"/>
      <c r="L18" s="152"/>
      <c r="M18" s="732"/>
      <c r="N18" s="733"/>
      <c r="O18" s="768"/>
      <c r="P18" s="772"/>
      <c r="Q18" s="772"/>
      <c r="R18" s="769"/>
      <c r="S18" s="152"/>
      <c r="T18" s="152"/>
      <c r="U18" s="152"/>
      <c r="V18" s="152"/>
      <c r="W18" s="152"/>
      <c r="X18" s="152"/>
      <c r="Y18" s="152"/>
      <c r="Z18" s="152"/>
      <c r="AA18" s="152"/>
      <c r="AB18" s="152"/>
      <c r="AC18" s="152"/>
      <c r="AD18" s="152"/>
      <c r="AE18" s="152"/>
      <c r="AF18" s="171"/>
      <c r="AH18" s="253">
        <f t="shared" si="5"/>
        <v>4</v>
      </c>
      <c r="AI18" s="253" t="str">
        <f>IFERROR(INDEX(D04_Classes!$B$3:$B$102,AH18,1),"")</f>
        <v>Druid</v>
      </c>
      <c r="AJ18" s="253">
        <f t="shared" si="0"/>
        <v>0</v>
      </c>
      <c r="AK18" s="253">
        <f t="shared" si="6"/>
        <v>0</v>
      </c>
      <c r="AL18" s="253">
        <f>IF(AK18=0,0,COUNTIF($AL$15:AL17,"&gt;0")+1)</f>
        <v>0</v>
      </c>
      <c r="AM18" s="253">
        <f>IF(IFERROR(SEARCH("and",INDEX(D04_Classes!$BW$3:$BW$102,MATCH(C_Input!AI18,D04_Classes!$B$3:$B$102,0),1)),0)&gt;1,1,0)</f>
        <v>0</v>
      </c>
      <c r="AN18" s="253">
        <f>IF(IFERROR(SEARCH("or",INDEX(D04_Classes!$BW$3:$BW$102,MATCH(C_Input!AI18,D04_Classes!$B$3:$B$102,0),1)),0)&gt;1,1,0)</f>
        <v>0</v>
      </c>
      <c r="AO18" s="253" t="str">
        <f>IF(OR(IFERROR(SEARCH("Strength",INDEX(D04_Classes!$BW$3:$BW$102,MATCH(C_Input!AI18,D04_Classes!$B$3:$B$102,0),1)),0)=0,AND(IFERROR(SEARCH("Strength",INDEX(D04_Classes!$BW$3:$BW$102,MATCH(C_Input!AI18,D04_Classes!$B$3:$B$102,0),1)),0)&gt;0,Strength&gt;12)),"yes","no")</f>
        <v>yes</v>
      </c>
      <c r="AP18" s="253" t="str">
        <f>IF(OR(IFERROR(SEARCH("Dexterity",INDEX(D04_Classes!$BW$3:$BW$102,MATCH(C_Input!AI18,D04_Classes!$B$3:$B$102,0),1)),0)=0,AND(IFERROR(SEARCH("Dexterity",INDEX(D04_Classes!$BW$3:$BW$102,MATCH(C_Input!AI18,D04_Classes!$B$3:$B$102,0),1)),0)&gt;0,Dexterity&gt;12)),"yes","no")</f>
        <v>yes</v>
      </c>
      <c r="AQ18" s="253" t="str">
        <f>IF(OR(IFERROR(SEARCH("Constitution",INDEX(D04_Classes!$BW$3:$BW$102,MATCH(C_Input!AI18,D04_Classes!$B$3:$B$102,0),1)),0)=0,AND(IFERROR(SEARCH("Constitution",INDEX(D04_Classes!$BW$3:$BW$102,MATCH(C_Input!AI18,D04_Classes!$B$3:$B$102,0),1)),0)&gt;0,Constitution&gt;12)),"yes","no")</f>
        <v>yes</v>
      </c>
      <c r="AR18" s="253" t="str">
        <f>IF(OR(IFERROR(SEARCH("Intelligence",INDEX(D04_Classes!$BW$3:$BW$102,MATCH(C_Input!AI18,D04_Classes!$B$3:$B$102,0),1)),0)=0,AND(IFERROR(SEARCH("Intelligence",INDEX(D04_Classes!$BW$3:$BW$102,MATCH(C_Input!AI18,D04_Classes!$B$3:$B$102,0),1)),0)&gt;0,Intelligence&gt;12)),"yes","no")</f>
        <v>yes</v>
      </c>
      <c r="AS18" s="253" t="str">
        <f>IF(OR(IFERROR(SEARCH("Wisdom",INDEX(D04_Classes!$BW$3:$BW$102,MATCH(C_Input!AI18,D04_Classes!$B$3:$B$102,0),1)),0)=0,AND(IFERROR(SEARCH("Wisdom",INDEX(D04_Classes!$BW$3:$BW$102,MATCH(C_Input!AI18,D04_Classes!$B$3:$B$102,0),1)),0)&gt;0,Wisdom&gt;12)),"yes","no")</f>
        <v>no</v>
      </c>
      <c r="AT18" s="253" t="str">
        <f>IF(OR(IFERROR(SEARCH("Charisma",INDEX(D04_Classes!$BW$3:$BW$102,MATCH(C_Input!AI18,D04_Classes!$B$3:$B$102,0),1)),0)=0,AND(IFERROR(SEARCH("Charisma",INDEX(D04_Classes!$BW$3:$BW$102,MATCH(C_Input!AI18,D04_Classes!$B$3:$B$102,0),1)),0)&gt;0,Charisma&gt;12)),"yes","no")</f>
        <v>yes</v>
      </c>
      <c r="AU18" s="253">
        <f t="shared" si="1"/>
        <v>0</v>
      </c>
      <c r="AV18" s="253">
        <f>IF(AU18=0,0,COUNTIF($AV$15:AV17,"&gt;0")+1)</f>
        <v>0</v>
      </c>
      <c r="AX18" s="255">
        <f t="shared" si="7"/>
        <v>4</v>
      </c>
      <c r="AY18" s="255" t="str">
        <f t="shared" si="2"/>
        <v>Paladin</v>
      </c>
      <c r="AZ18" s="266">
        <f t="shared" si="3"/>
        <v>0</v>
      </c>
      <c r="BA18" s="267">
        <f>IF(AZ18=0,0,COUNTIF($BA$15:BA17,"&gt;0")+1)</f>
        <v>0</v>
      </c>
      <c r="BB18" s="266" t="str">
        <f t="shared" si="8"/>
        <v/>
      </c>
      <c r="BC18" s="266" t="str">
        <f t="shared" si="4"/>
        <v/>
      </c>
      <c r="BD18" s="254">
        <f t="shared" si="9"/>
        <v>4</v>
      </c>
      <c r="BE18" s="254" t="str">
        <f>IFERROR(INDEX(D01_Races!$B$2:$B$101,MATCH(C_Input!BD18,D01_Races!$C$2:$C$101,0),1),"")</f>
        <v>Human</v>
      </c>
      <c r="BF18" s="252">
        <f t="shared" si="10"/>
        <v>4</v>
      </c>
      <c r="BG18" s="252" t="str">
        <f>IFERROR(IF(BF18="","",INDEX(D01_Races!$E$2:$E$101,MATCH(C_Input!BF18,D01_Races!$D$2:$D$101,0),1)),"")</f>
        <v>Eladrin</v>
      </c>
      <c r="BH18" s="252">
        <f>IFERROR(IF(BF18="","",INDEX(D01_Races!$A$2:$A$101,MATCH(C_Input!BF18,D01_Races!$D$2:$D$101,0),1)),"")</f>
        <v>33</v>
      </c>
    </row>
    <row r="19" spans="1:64" ht="15.95" customHeight="1" outlineLevel="1" thickBot="1" x14ac:dyDescent="0.35">
      <c r="A19" s="152"/>
      <c r="B19" s="751"/>
      <c r="C19" s="752"/>
      <c r="D19" s="792"/>
      <c r="E19" s="793"/>
      <c r="F19" s="751"/>
      <c r="G19" s="752"/>
      <c r="H19" s="941"/>
      <c r="I19" s="942"/>
      <c r="J19" s="942"/>
      <c r="K19" s="943"/>
      <c r="L19" s="152"/>
      <c r="M19" s="152"/>
      <c r="N19" s="152"/>
      <c r="O19" s="152"/>
      <c r="P19" s="152"/>
      <c r="Q19" s="152"/>
      <c r="R19" s="152"/>
      <c r="S19" s="152"/>
      <c r="T19" s="152"/>
      <c r="U19" s="152"/>
      <c r="V19" s="152"/>
      <c r="W19" s="152"/>
      <c r="X19" s="152"/>
      <c r="Y19" s="152"/>
      <c r="Z19" s="152"/>
      <c r="AA19" s="152"/>
      <c r="AB19" s="152"/>
      <c r="AC19" s="152"/>
      <c r="AD19" s="152"/>
      <c r="AE19" s="152"/>
      <c r="AF19" s="171"/>
      <c r="AH19" s="253">
        <f t="shared" si="5"/>
        <v>5</v>
      </c>
      <c r="AI19" s="253" t="str">
        <f>IFERROR(INDEX(D04_Classes!$B$3:$B$102,AH19,1),"")</f>
        <v>Fighter</v>
      </c>
      <c r="AJ19" s="253">
        <f t="shared" si="0"/>
        <v>0</v>
      </c>
      <c r="AK19" s="253">
        <f t="shared" si="6"/>
        <v>0</v>
      </c>
      <c r="AL19" s="253">
        <f>IF(AK19=0,0,COUNTIF($AL$15:AL18,"&gt;0")+1)</f>
        <v>0</v>
      </c>
      <c r="AM19" s="253">
        <f>IF(IFERROR(SEARCH("and",INDEX(D04_Classes!$BW$3:$BW$102,MATCH(C_Input!AI19,D04_Classes!$B$3:$B$102,0),1)),0)&gt;1,1,0)</f>
        <v>0</v>
      </c>
      <c r="AN19" s="253">
        <f>IF(IFERROR(SEARCH("or",INDEX(D04_Classes!$BW$3:$BW$102,MATCH(C_Input!AI19,D04_Classes!$B$3:$B$102,0),1)),0)&gt;1,1,0)</f>
        <v>1</v>
      </c>
      <c r="AO19" s="253" t="str">
        <f>IF(OR(IFERROR(SEARCH("Strength",INDEX(D04_Classes!$BW$3:$BW$102,MATCH(C_Input!AI19,D04_Classes!$B$3:$B$102,0),1)),0)=0,AND(IFERROR(SEARCH("Strength",INDEX(D04_Classes!$BW$3:$BW$102,MATCH(C_Input!AI19,D04_Classes!$B$3:$B$102,0),1)),0)&gt;0,Strength&gt;12)),"yes","no")</f>
        <v>yes</v>
      </c>
      <c r="AP19" s="253" t="str">
        <f>IF(OR(IFERROR(SEARCH("Dexterity",INDEX(D04_Classes!$BW$3:$BW$102,MATCH(C_Input!AI19,D04_Classes!$B$3:$B$102,0),1)),0)=0,AND(IFERROR(SEARCH("Dexterity",INDEX(D04_Classes!$BW$3:$BW$102,MATCH(C_Input!AI19,D04_Classes!$B$3:$B$102,0),1)),0)&gt;0,Dexterity&gt;12)),"yes","no")</f>
        <v>yes</v>
      </c>
      <c r="AQ19" s="253" t="str">
        <f>IF(OR(IFERROR(SEARCH("Constitution",INDEX(D04_Classes!$BW$3:$BW$102,MATCH(C_Input!AI19,D04_Classes!$B$3:$B$102,0),1)),0)=0,AND(IFERROR(SEARCH("Constitution",INDEX(D04_Classes!$BW$3:$BW$102,MATCH(C_Input!AI19,D04_Classes!$B$3:$B$102,0),1)),0)&gt;0,Constitution&gt;12)),"yes","no")</f>
        <v>yes</v>
      </c>
      <c r="AR19" s="253" t="str">
        <f>IF(OR(IFERROR(SEARCH("Intelligence",INDEX(D04_Classes!$BW$3:$BW$102,MATCH(C_Input!AI19,D04_Classes!$B$3:$B$102,0),1)),0)=0,AND(IFERROR(SEARCH("Intelligence",INDEX(D04_Classes!$BW$3:$BW$102,MATCH(C_Input!AI19,D04_Classes!$B$3:$B$102,0),1)),0)&gt;0,Intelligence&gt;12)),"yes","no")</f>
        <v>yes</v>
      </c>
      <c r="AS19" s="253" t="str">
        <f>IF(OR(IFERROR(SEARCH("Wisdom",INDEX(D04_Classes!$BW$3:$BW$102,MATCH(C_Input!AI19,D04_Classes!$B$3:$B$102,0),1)),0)=0,AND(IFERROR(SEARCH("Wisdom",INDEX(D04_Classes!$BW$3:$BW$102,MATCH(C_Input!AI19,D04_Classes!$B$3:$B$102,0),1)),0)&gt;0,Wisdom&gt;12)),"yes","no")</f>
        <v>yes</v>
      </c>
      <c r="AT19" s="253" t="str">
        <f>IF(OR(IFERROR(SEARCH("Charisma",INDEX(D04_Classes!$BW$3:$BW$102,MATCH(C_Input!AI19,D04_Classes!$B$3:$B$102,0),1)),0)=0,AND(IFERROR(SEARCH("Charisma",INDEX(D04_Classes!$BW$3:$BW$102,MATCH(C_Input!AI19,D04_Classes!$B$3:$B$102,0),1)),0)&gt;0,Charisma&gt;12)),"yes","no")</f>
        <v>yes</v>
      </c>
      <c r="AU19" s="253">
        <f t="shared" si="1"/>
        <v>1</v>
      </c>
      <c r="AV19" s="253">
        <f>IF(AU19=0,0,COUNTIF($AV$15:AV18,"&gt;0")+1)</f>
        <v>3</v>
      </c>
      <c r="AX19" s="255">
        <f t="shared" si="7"/>
        <v>5</v>
      </c>
      <c r="AY19" s="255" t="str">
        <f t="shared" si="2"/>
        <v>Rogue</v>
      </c>
      <c r="AZ19" s="266">
        <f t="shared" si="3"/>
        <v>0</v>
      </c>
      <c r="BA19" s="267">
        <f>IF(AZ19=0,0,COUNTIF($BA$15:BA18,"&gt;0")+1)</f>
        <v>0</v>
      </c>
      <c r="BB19" s="266" t="str">
        <f t="shared" si="8"/>
        <v/>
      </c>
      <c r="BC19" s="266" t="str">
        <f t="shared" si="4"/>
        <v/>
      </c>
      <c r="BD19" s="254">
        <f t="shared" si="9"/>
        <v>5</v>
      </c>
      <c r="BE19" s="254" t="str">
        <f>IFERROR(INDEX(D01_Races!$B$2:$B$101,MATCH(C_Input!BD19,D01_Races!$C$2:$C$101,0),1),"")</f>
        <v>Gnome</v>
      </c>
      <c r="BF19" s="252" t="str">
        <f t="shared" si="10"/>
        <v/>
      </c>
      <c r="BG19" s="252" t="str">
        <f>IFERROR(IF(BF19="","",INDEX(D01_Races!$E$2:$E$101,MATCH(C_Input!BF19,D01_Races!$D$2:$D$101,0),1)),"")</f>
        <v/>
      </c>
      <c r="BH19" s="252" t="str">
        <f>IFERROR(IF(BF19="","",INDEX(D01_Races!$A$2:$A$101,MATCH(C_Input!BF19,D01_Races!$D$2:$D$101,0),1)),"")</f>
        <v/>
      </c>
    </row>
    <row r="20" spans="1:64" ht="15.95" customHeight="1" outlineLevel="1" thickBot="1" x14ac:dyDescent="0.35">
      <c r="A20" s="152"/>
      <c r="B20" s="152"/>
      <c r="C20" s="152"/>
      <c r="D20" s="152"/>
      <c r="E20" s="152"/>
      <c r="F20" s="152"/>
      <c r="G20" s="152"/>
      <c r="H20" s="152"/>
      <c r="I20" s="152"/>
      <c r="J20" s="152"/>
      <c r="K20" s="152"/>
      <c r="L20" s="152"/>
      <c r="M20" s="152"/>
      <c r="N20" s="152"/>
      <c r="O20" s="152"/>
      <c r="P20" s="152"/>
      <c r="Q20" s="152"/>
      <c r="R20" s="152"/>
      <c r="S20" s="152"/>
      <c r="T20" s="152"/>
      <c r="U20" s="152"/>
      <c r="V20" s="152"/>
      <c r="W20" s="152"/>
      <c r="X20" s="152"/>
      <c r="Y20" s="152"/>
      <c r="Z20" s="152"/>
      <c r="AA20" s="152"/>
      <c r="AB20" s="152"/>
      <c r="AC20" s="152"/>
      <c r="AD20" s="152"/>
      <c r="AE20" s="152"/>
      <c r="AF20" s="171"/>
      <c r="AH20" s="253">
        <f t="shared" si="5"/>
        <v>6</v>
      </c>
      <c r="AI20" s="253" t="str">
        <f>IFERROR(INDEX(D04_Classes!$B$3:$B$102,AH20,1),"")</f>
        <v>Monk</v>
      </c>
      <c r="AJ20" s="253">
        <f t="shared" si="0"/>
        <v>0</v>
      </c>
      <c r="AK20" s="253">
        <f t="shared" si="6"/>
        <v>0</v>
      </c>
      <c r="AL20" s="253">
        <f>IF(AK20=0,0,COUNTIF($AL$15:AL19,"&gt;0")+1)</f>
        <v>0</v>
      </c>
      <c r="AM20" s="253">
        <f>IF(IFERROR(SEARCH("and",INDEX(D04_Classes!$BW$3:$BW$102,MATCH(C_Input!AI20,D04_Classes!$B$3:$B$102,0),1)),0)&gt;1,1,0)</f>
        <v>1</v>
      </c>
      <c r="AN20" s="253">
        <f>IF(IFERROR(SEARCH("or",INDEX(D04_Classes!$BW$3:$BW$102,MATCH(C_Input!AI20,D04_Classes!$B$3:$B$102,0),1)),0)&gt;1,1,0)</f>
        <v>0</v>
      </c>
      <c r="AO20" s="253" t="str">
        <f>IF(OR(IFERROR(SEARCH("Strength",INDEX(D04_Classes!$BW$3:$BW$102,MATCH(C_Input!AI20,D04_Classes!$B$3:$B$102,0),1)),0)=0,AND(IFERROR(SEARCH("Strength",INDEX(D04_Classes!$BW$3:$BW$102,MATCH(C_Input!AI20,D04_Classes!$B$3:$B$102,0),1)),0)&gt;0,Strength&gt;12)),"yes","no")</f>
        <v>yes</v>
      </c>
      <c r="AP20" s="253" t="str">
        <f>IF(OR(IFERROR(SEARCH("Dexterity",INDEX(D04_Classes!$BW$3:$BW$102,MATCH(C_Input!AI20,D04_Classes!$B$3:$B$102,0),1)),0)=0,AND(IFERROR(SEARCH("Dexterity",INDEX(D04_Classes!$BW$3:$BW$102,MATCH(C_Input!AI20,D04_Classes!$B$3:$B$102,0),1)),0)&gt;0,Dexterity&gt;12)),"yes","no")</f>
        <v>yes</v>
      </c>
      <c r="AQ20" s="253" t="str">
        <f>IF(OR(IFERROR(SEARCH("Constitution",INDEX(D04_Classes!$BW$3:$BW$102,MATCH(C_Input!AI20,D04_Classes!$B$3:$B$102,0),1)),0)=0,AND(IFERROR(SEARCH("Constitution",INDEX(D04_Classes!$BW$3:$BW$102,MATCH(C_Input!AI20,D04_Classes!$B$3:$B$102,0),1)),0)&gt;0,Constitution&gt;12)),"yes","no")</f>
        <v>yes</v>
      </c>
      <c r="AR20" s="253" t="str">
        <f>IF(OR(IFERROR(SEARCH("Intelligence",INDEX(D04_Classes!$BW$3:$BW$102,MATCH(C_Input!AI20,D04_Classes!$B$3:$B$102,0),1)),0)=0,AND(IFERROR(SEARCH("Intelligence",INDEX(D04_Classes!$BW$3:$BW$102,MATCH(C_Input!AI20,D04_Classes!$B$3:$B$102,0),1)),0)&gt;0,Intelligence&gt;12)),"yes","no")</f>
        <v>yes</v>
      </c>
      <c r="AS20" s="253" t="str">
        <f>IF(OR(IFERROR(SEARCH("Wisdom",INDEX(D04_Classes!$BW$3:$BW$102,MATCH(C_Input!AI20,D04_Classes!$B$3:$B$102,0),1)),0)=0,AND(IFERROR(SEARCH("Wisdom",INDEX(D04_Classes!$BW$3:$BW$102,MATCH(C_Input!AI20,D04_Classes!$B$3:$B$102,0),1)),0)&gt;0,Wisdom&gt;12)),"yes","no")</f>
        <v>no</v>
      </c>
      <c r="AT20" s="253" t="str">
        <f>IF(OR(IFERROR(SEARCH("Charisma",INDEX(D04_Classes!$BW$3:$BW$102,MATCH(C_Input!AI20,D04_Classes!$B$3:$B$102,0),1)),0)=0,AND(IFERROR(SEARCH("Charisma",INDEX(D04_Classes!$BW$3:$BW$102,MATCH(C_Input!AI20,D04_Classes!$B$3:$B$102,0),1)),0)&gt;0,Charisma&gt;12)),"yes","no")</f>
        <v>yes</v>
      </c>
      <c r="AU20" s="253">
        <f t="shared" si="1"/>
        <v>0</v>
      </c>
      <c r="AV20" s="253">
        <f>IF(AU20=0,0,COUNTIF($AV$15:AV19,"&gt;0")+1)</f>
        <v>0</v>
      </c>
      <c r="AX20" s="255">
        <f t="shared" si="7"/>
        <v>6</v>
      </c>
      <c r="AY20" s="255" t="str">
        <f t="shared" si="2"/>
        <v>Sorcerer</v>
      </c>
      <c r="AZ20" s="266">
        <f t="shared" si="3"/>
        <v>0</v>
      </c>
      <c r="BA20" s="267">
        <f>IF(AZ20=0,0,COUNTIF($BA$15:BA19,"&gt;0")+1)</f>
        <v>0</v>
      </c>
      <c r="BB20" s="266" t="str">
        <f t="shared" si="8"/>
        <v/>
      </c>
      <c r="BC20" s="266" t="str">
        <f t="shared" si="4"/>
        <v/>
      </c>
      <c r="BD20" s="254">
        <f t="shared" si="9"/>
        <v>6</v>
      </c>
      <c r="BE20" s="254" t="str">
        <f>IFERROR(INDEX(D01_Races!$B$2:$B$101,MATCH(C_Input!BD20,D01_Races!$C$2:$C$101,0),1),"")</f>
        <v>Half-elf</v>
      </c>
      <c r="BF20" s="252" t="str">
        <f t="shared" si="10"/>
        <v/>
      </c>
      <c r="BG20" s="252" t="str">
        <f>IFERROR(IF(BF20="","",INDEX(D01_Races!$E$2:$E$101,MATCH(C_Input!BF20,D01_Races!$D$2:$D$101,0),1)),"")</f>
        <v/>
      </c>
      <c r="BH20" s="252" t="str">
        <f>IFERROR(IF(BF20="","",INDEX(D01_Races!$A$2:$A$101,MATCH(C_Input!BF20,D01_Races!$D$2:$D$101,0),1)),"")</f>
        <v/>
      </c>
    </row>
    <row r="21" spans="1:64" ht="15.95" customHeight="1" x14ac:dyDescent="0.3">
      <c r="A21" s="152"/>
      <c r="B21" s="753" t="s">
        <v>2240</v>
      </c>
      <c r="C21" s="754"/>
      <c r="D21" s="754"/>
      <c r="E21" s="754"/>
      <c r="F21" s="754"/>
      <c r="G21" s="754"/>
      <c r="H21" s="754"/>
      <c r="I21" s="754"/>
      <c r="J21" s="754"/>
      <c r="K21" s="754"/>
      <c r="L21" s="754"/>
      <c r="M21" s="754"/>
      <c r="N21" s="754"/>
      <c r="O21" s="754"/>
      <c r="P21" s="754"/>
      <c r="Q21" s="754"/>
      <c r="R21" s="754"/>
      <c r="S21" s="754"/>
      <c r="T21" s="755"/>
      <c r="U21" s="152"/>
      <c r="V21" s="152"/>
      <c r="W21" s="152"/>
      <c r="X21" s="152"/>
      <c r="Y21" s="152"/>
      <c r="Z21" s="152"/>
      <c r="AA21" s="152"/>
      <c r="AB21" s="152"/>
      <c r="AC21" s="152"/>
      <c r="AD21" s="152"/>
      <c r="AE21" s="152"/>
      <c r="AF21" s="172"/>
      <c r="AH21" s="253">
        <f t="shared" si="5"/>
        <v>7</v>
      </c>
      <c r="AI21" s="253" t="str">
        <f>IFERROR(INDEX(D04_Classes!$B$3:$B$102,AH21,1),"")</f>
        <v>Paladin</v>
      </c>
      <c r="AJ21" s="253">
        <f t="shared" si="0"/>
        <v>0</v>
      </c>
      <c r="AK21" s="253">
        <f t="shared" si="6"/>
        <v>0</v>
      </c>
      <c r="AL21" s="253">
        <f>IF(AK21=0,0,COUNTIF($AL$15:AL20,"&gt;0")+1)</f>
        <v>0</v>
      </c>
      <c r="AM21" s="253">
        <f>IF(IFERROR(SEARCH("and",INDEX(D04_Classes!$BW$3:$BW$102,MATCH(C_Input!AI21,D04_Classes!$B$3:$B$102,0),1)),0)&gt;1,1,0)</f>
        <v>1</v>
      </c>
      <c r="AN21" s="253">
        <f>IF(IFERROR(SEARCH("or",INDEX(D04_Classes!$BW$3:$BW$102,MATCH(C_Input!AI21,D04_Classes!$B$3:$B$102,0),1)),0)&gt;1,1,0)</f>
        <v>0</v>
      </c>
      <c r="AO21" s="253" t="str">
        <f>IF(OR(IFERROR(SEARCH("Strength",INDEX(D04_Classes!$BW$3:$BW$102,MATCH(C_Input!AI21,D04_Classes!$B$3:$B$102,0),1)),0)=0,AND(IFERROR(SEARCH("Strength",INDEX(D04_Classes!$BW$3:$BW$102,MATCH(C_Input!AI21,D04_Classes!$B$3:$B$102,0),1)),0)&gt;0,Strength&gt;12)),"yes","no")</f>
        <v>yes</v>
      </c>
      <c r="AP21" s="253" t="str">
        <f>IF(OR(IFERROR(SEARCH("Dexterity",INDEX(D04_Classes!$BW$3:$BW$102,MATCH(C_Input!AI21,D04_Classes!$B$3:$B$102,0),1)),0)=0,AND(IFERROR(SEARCH("Dexterity",INDEX(D04_Classes!$BW$3:$BW$102,MATCH(C_Input!AI21,D04_Classes!$B$3:$B$102,0),1)),0)&gt;0,Dexterity&gt;12)),"yes","no")</f>
        <v>yes</v>
      </c>
      <c r="AQ21" s="253" t="str">
        <f>IF(OR(IFERROR(SEARCH("Constitution",INDEX(D04_Classes!$BW$3:$BW$102,MATCH(C_Input!AI21,D04_Classes!$B$3:$B$102,0),1)),0)=0,AND(IFERROR(SEARCH("Constitution",INDEX(D04_Classes!$BW$3:$BW$102,MATCH(C_Input!AI21,D04_Classes!$B$3:$B$102,0),1)),0)&gt;0,Constitution&gt;12)),"yes","no")</f>
        <v>yes</v>
      </c>
      <c r="AR21" s="253" t="str">
        <f>IF(OR(IFERROR(SEARCH("Intelligence",INDEX(D04_Classes!$BW$3:$BW$102,MATCH(C_Input!AI21,D04_Classes!$B$3:$B$102,0),1)),0)=0,AND(IFERROR(SEARCH("Intelligence",INDEX(D04_Classes!$BW$3:$BW$102,MATCH(C_Input!AI21,D04_Classes!$B$3:$B$102,0),1)),0)&gt;0,Intelligence&gt;12)),"yes","no")</f>
        <v>yes</v>
      </c>
      <c r="AS21" s="253" t="str">
        <f>IF(OR(IFERROR(SEARCH("Wisdom",INDEX(D04_Classes!$BW$3:$BW$102,MATCH(C_Input!AI21,D04_Classes!$B$3:$B$102,0),1)),0)=0,AND(IFERROR(SEARCH("Wisdom",INDEX(D04_Classes!$BW$3:$BW$102,MATCH(C_Input!AI21,D04_Classes!$B$3:$B$102,0),1)),0)&gt;0,Wisdom&gt;12)),"yes","no")</f>
        <v>yes</v>
      </c>
      <c r="AT21" s="253" t="str">
        <f>IF(OR(IFERROR(SEARCH("Charisma",INDEX(D04_Classes!$BW$3:$BW$102,MATCH(C_Input!AI21,D04_Classes!$B$3:$B$102,0),1)),0)=0,AND(IFERROR(SEARCH("Charisma",INDEX(D04_Classes!$BW$3:$BW$102,MATCH(C_Input!AI21,D04_Classes!$B$3:$B$102,0),1)),0)&gt;0,Charisma&gt;12)),"yes","no")</f>
        <v>yes</v>
      </c>
      <c r="AU21" s="253">
        <f t="shared" si="1"/>
        <v>1</v>
      </c>
      <c r="AV21" s="253">
        <f>IF(AU21=0,0,COUNTIF($AV$15:AV20,"&gt;0")+1)</f>
        <v>4</v>
      </c>
      <c r="AX21" s="255">
        <f t="shared" si="7"/>
        <v>7</v>
      </c>
      <c r="AY21" s="255" t="str">
        <f t="shared" si="2"/>
        <v>Warlock</v>
      </c>
      <c r="AZ21" s="266">
        <f t="shared" si="3"/>
        <v>0</v>
      </c>
      <c r="BA21" s="267">
        <f>IF(AZ21=0,0,COUNTIF($BA$15:BA20,"&gt;0")+1)</f>
        <v>0</v>
      </c>
      <c r="BB21" s="266" t="str">
        <f t="shared" si="8"/>
        <v/>
      </c>
      <c r="BC21" s="266" t="str">
        <f t="shared" si="4"/>
        <v/>
      </c>
      <c r="BD21" s="254">
        <f t="shared" si="9"/>
        <v>7</v>
      </c>
      <c r="BE21" s="254" t="str">
        <f>IFERROR(INDEX(D01_Races!$B$2:$B$101,MATCH(C_Input!BD21,D01_Races!$C$2:$C$101,0),1),"")</f>
        <v>Half-orc</v>
      </c>
      <c r="BF21" s="252" t="str">
        <f t="shared" si="10"/>
        <v/>
      </c>
      <c r="BG21" s="252" t="str">
        <f>IFERROR(IF(BF21="","",INDEX(D01_Races!$E$2:$E$101,MATCH(C_Input!BF21,D01_Races!$D$2:$D$101,0),1)),"")</f>
        <v/>
      </c>
      <c r="BH21" s="252" t="str">
        <f>IFERROR(IF(BF21="","",INDEX(D01_Races!$A$2:$A$101,MATCH(C_Input!BF21,D01_Races!$D$2:$D$101,0),1)),"")</f>
        <v/>
      </c>
      <c r="BJ21" s="165" t="s">
        <v>3</v>
      </c>
      <c r="BK21" s="165">
        <v>0</v>
      </c>
      <c r="BL21" s="165">
        <f>IF(INDEX(D01_Races!$R$2:$R$101,MATCH(SelectedRaceID,D01_Races!$A$2:$A$101,0),1)="yes",1,0)</f>
        <v>0</v>
      </c>
    </row>
    <row r="22" spans="1:64" ht="15.95" customHeight="1" thickBot="1" x14ac:dyDescent="0.35">
      <c r="A22" s="152"/>
      <c r="B22" s="763"/>
      <c r="C22" s="764"/>
      <c r="D22" s="764"/>
      <c r="E22" s="764"/>
      <c r="F22" s="764"/>
      <c r="G22" s="764"/>
      <c r="H22" s="764"/>
      <c r="I22" s="764"/>
      <c r="J22" s="764"/>
      <c r="K22" s="764"/>
      <c r="L22" s="764"/>
      <c r="M22" s="764"/>
      <c r="N22" s="764"/>
      <c r="O22" s="764"/>
      <c r="P22" s="764"/>
      <c r="Q22" s="764"/>
      <c r="R22" s="764"/>
      <c r="S22" s="764"/>
      <c r="T22" s="765"/>
      <c r="U22" s="152"/>
      <c r="V22" s="152"/>
      <c r="W22" s="152"/>
      <c r="X22" s="152"/>
      <c r="Y22" s="152"/>
      <c r="Z22" s="152"/>
      <c r="AA22" s="152"/>
      <c r="AB22" s="152"/>
      <c r="AC22" s="152"/>
      <c r="AD22" s="152"/>
      <c r="AE22" s="152"/>
      <c r="AF22" s="172"/>
      <c r="AH22" s="253">
        <f t="shared" si="5"/>
        <v>8</v>
      </c>
      <c r="AI22" s="253" t="str">
        <f>IFERROR(INDEX(D04_Classes!$B$3:$B$102,AH22,1),"")</f>
        <v>Ranger</v>
      </c>
      <c r="AJ22" s="253">
        <f t="shared" si="0"/>
        <v>0</v>
      </c>
      <c r="AK22" s="253">
        <f t="shared" si="6"/>
        <v>0</v>
      </c>
      <c r="AL22" s="253">
        <f>IF(AK22=0,0,COUNTIF($AL$15:AL21,"&gt;0")+1)</f>
        <v>0</v>
      </c>
      <c r="AM22" s="253">
        <f>IF(IFERROR(SEARCH("and",INDEX(D04_Classes!$BW$3:$BW$102,MATCH(C_Input!AI22,D04_Classes!$B$3:$B$102,0),1)),0)&gt;1,1,0)</f>
        <v>1</v>
      </c>
      <c r="AN22" s="253">
        <f>IF(IFERROR(SEARCH("or",INDEX(D04_Classes!$BW$3:$BW$102,MATCH(C_Input!AI22,D04_Classes!$B$3:$B$102,0),1)),0)&gt;1,1,0)</f>
        <v>0</v>
      </c>
      <c r="AO22" s="253" t="str">
        <f>IF(OR(IFERROR(SEARCH("Strength",INDEX(D04_Classes!$BW$3:$BW$102,MATCH(C_Input!AI22,D04_Classes!$B$3:$B$102,0),1)),0)=0,AND(IFERROR(SEARCH("Strength",INDEX(D04_Classes!$BW$3:$BW$102,MATCH(C_Input!AI22,D04_Classes!$B$3:$B$102,0),1)),0)&gt;0,Strength&gt;12)),"yes","no")</f>
        <v>yes</v>
      </c>
      <c r="AP22" s="253" t="str">
        <f>IF(OR(IFERROR(SEARCH("Dexterity",INDEX(D04_Classes!$BW$3:$BW$102,MATCH(C_Input!AI22,D04_Classes!$B$3:$B$102,0),1)),0)=0,AND(IFERROR(SEARCH("Dexterity",INDEX(D04_Classes!$BW$3:$BW$102,MATCH(C_Input!AI22,D04_Classes!$B$3:$B$102,0),1)),0)&gt;0,Dexterity&gt;12)),"yes","no")</f>
        <v>yes</v>
      </c>
      <c r="AQ22" s="253" t="str">
        <f>IF(OR(IFERROR(SEARCH("Constitution",INDEX(D04_Classes!$BW$3:$BW$102,MATCH(C_Input!AI22,D04_Classes!$B$3:$B$102,0),1)),0)=0,AND(IFERROR(SEARCH("Constitution",INDEX(D04_Classes!$BW$3:$BW$102,MATCH(C_Input!AI22,D04_Classes!$B$3:$B$102,0),1)),0)&gt;0,Constitution&gt;12)),"yes","no")</f>
        <v>yes</v>
      </c>
      <c r="AR22" s="253" t="str">
        <f>IF(OR(IFERROR(SEARCH("Intelligence",INDEX(D04_Classes!$BW$3:$BW$102,MATCH(C_Input!AI22,D04_Classes!$B$3:$B$102,0),1)),0)=0,AND(IFERROR(SEARCH("Intelligence",INDEX(D04_Classes!$BW$3:$BW$102,MATCH(C_Input!AI22,D04_Classes!$B$3:$B$102,0),1)),0)&gt;0,Intelligence&gt;12)),"yes","no")</f>
        <v>yes</v>
      </c>
      <c r="AS22" s="253" t="str">
        <f>IF(OR(IFERROR(SEARCH("Wisdom",INDEX(D04_Classes!$BW$3:$BW$102,MATCH(C_Input!AI22,D04_Classes!$B$3:$B$102,0),1)),0)=0,AND(IFERROR(SEARCH("Wisdom",INDEX(D04_Classes!$BW$3:$BW$102,MATCH(C_Input!AI22,D04_Classes!$B$3:$B$102,0),1)),0)&gt;0,Wisdom&gt;12)),"yes","no")</f>
        <v>no</v>
      </c>
      <c r="AT22" s="253" t="str">
        <f>IF(OR(IFERROR(SEARCH("Charisma",INDEX(D04_Classes!$BW$3:$BW$102,MATCH(C_Input!AI22,D04_Classes!$B$3:$B$102,0),1)),0)=0,AND(IFERROR(SEARCH("Charisma",INDEX(D04_Classes!$BW$3:$BW$102,MATCH(C_Input!AI22,D04_Classes!$B$3:$B$102,0),1)),0)&gt;0,Charisma&gt;12)),"yes","no")</f>
        <v>yes</v>
      </c>
      <c r="AU22" s="253">
        <f t="shared" si="1"/>
        <v>0</v>
      </c>
      <c r="AV22" s="253">
        <f>IF(AU22=0,0,COUNTIF($AV$15:AV21,"&gt;0")+1)</f>
        <v>0</v>
      </c>
      <c r="AX22" s="255">
        <f t="shared" si="7"/>
        <v>8</v>
      </c>
      <c r="AY22" s="255" t="str">
        <f t="shared" si="2"/>
        <v>Wizard</v>
      </c>
      <c r="AZ22" s="266">
        <f t="shared" si="3"/>
        <v>0</v>
      </c>
      <c r="BA22" s="267">
        <f>IF(AZ22=0,0,COUNTIF($BA$15:BA21,"&gt;0")+1)</f>
        <v>0</v>
      </c>
      <c r="BB22" s="266" t="str">
        <f t="shared" si="8"/>
        <v/>
      </c>
      <c r="BC22" s="266" t="str">
        <f t="shared" si="4"/>
        <v/>
      </c>
      <c r="BD22" s="254">
        <f t="shared" si="9"/>
        <v>8</v>
      </c>
      <c r="BE22" s="254" t="str">
        <f>IFERROR(INDEX(D01_Races!$B$2:$B$101,MATCH(C_Input!BD22,D01_Races!$C$2:$C$101,0),1),"")</f>
        <v>Tiefling</v>
      </c>
      <c r="BF22" s="252" t="str">
        <f t="shared" si="10"/>
        <v/>
      </c>
      <c r="BG22" s="252" t="str">
        <f>IFERROR(IF(BF22="","",INDEX(D01_Races!$E$2:$E$101,MATCH(C_Input!BF22,D01_Races!$D$2:$D$101,0),1)),"")</f>
        <v/>
      </c>
      <c r="BH22" s="252" t="str">
        <f>IFERROR(IF(BF22="","",INDEX(D01_Races!$A$2:$A$101,MATCH(C_Input!BF22,D01_Races!$D$2:$D$101,0),1)),"")</f>
        <v/>
      </c>
      <c r="BJ22" s="165" t="s">
        <v>4</v>
      </c>
      <c r="BK22" s="165">
        <v>0</v>
      </c>
      <c r="BL22" s="165">
        <f>IF(INDEX(D01_Races!$S$2:$S$101,MATCH(SelectedRaceID,D01_Races!$A$2:$A$101,0),1)="yes",1,0)</f>
        <v>0</v>
      </c>
    </row>
    <row r="23" spans="1:64" ht="15.95" customHeight="1" outlineLevel="1" thickBot="1" x14ac:dyDescent="0.35">
      <c r="A23" s="152"/>
      <c r="B23" s="152"/>
      <c r="C23" s="152"/>
      <c r="D23" s="152"/>
      <c r="E23" s="152"/>
      <c r="F23" s="152"/>
      <c r="G23" s="152"/>
      <c r="H23" s="152"/>
      <c r="I23" s="152"/>
      <c r="J23" s="152"/>
      <c r="K23" s="152"/>
      <c r="L23" s="152"/>
      <c r="M23" s="152"/>
      <c r="N23" s="152"/>
      <c r="O23" s="152"/>
      <c r="P23" s="152"/>
      <c r="Q23" s="152"/>
      <c r="R23" s="152"/>
      <c r="S23" s="152"/>
      <c r="T23" s="152"/>
      <c r="U23" s="152"/>
      <c r="V23" s="858" t="s">
        <v>5144</v>
      </c>
      <c r="W23" s="859"/>
      <c r="X23" s="859"/>
      <c r="Y23" s="859"/>
      <c r="Z23" s="859"/>
      <c r="AA23" s="859"/>
      <c r="AB23" s="859"/>
      <c r="AC23" s="859"/>
      <c r="AD23" s="859"/>
      <c r="AE23" s="860"/>
      <c r="AF23" s="171"/>
      <c r="AH23" s="253">
        <f t="shared" si="5"/>
        <v>9</v>
      </c>
      <c r="AI23" s="253" t="str">
        <f>IFERROR(INDEX(D04_Classes!$B$3:$B$102,AH23,1),"")</f>
        <v>Rogue</v>
      </c>
      <c r="AJ23" s="253">
        <f t="shared" si="0"/>
        <v>0</v>
      </c>
      <c r="AK23" s="253">
        <f t="shared" si="6"/>
        <v>0</v>
      </c>
      <c r="AL23" s="253">
        <f>IF(AK23=0,0,COUNTIF($AL$15:AL22,"&gt;0")+1)</f>
        <v>0</v>
      </c>
      <c r="AM23" s="253">
        <f>IF(IFERROR(SEARCH("and",INDEX(D04_Classes!$BW$3:$BW$102,MATCH(C_Input!AI23,D04_Classes!$B$3:$B$102,0),1)),0)&gt;1,1,0)</f>
        <v>0</v>
      </c>
      <c r="AN23" s="253">
        <f>IF(IFERROR(SEARCH("or",INDEX(D04_Classes!$BW$3:$BW$102,MATCH(C_Input!AI23,D04_Classes!$B$3:$B$102,0),1)),0)&gt;1,1,0)</f>
        <v>0</v>
      </c>
      <c r="AO23" s="253" t="str">
        <f>IF(OR(IFERROR(SEARCH("Strength",INDEX(D04_Classes!$BW$3:$BW$102,MATCH(C_Input!AI23,D04_Classes!$B$3:$B$102,0),1)),0)=0,AND(IFERROR(SEARCH("Strength",INDEX(D04_Classes!$BW$3:$BW$102,MATCH(C_Input!AI23,D04_Classes!$B$3:$B$102,0),1)),0)&gt;0,Strength&gt;12)),"yes","no")</f>
        <v>yes</v>
      </c>
      <c r="AP23" s="253" t="str">
        <f>IF(OR(IFERROR(SEARCH("Dexterity",INDEX(D04_Classes!$BW$3:$BW$102,MATCH(C_Input!AI23,D04_Classes!$B$3:$B$102,0),1)),0)=0,AND(IFERROR(SEARCH("Dexterity",INDEX(D04_Classes!$BW$3:$BW$102,MATCH(C_Input!AI23,D04_Classes!$B$3:$B$102,0),1)),0)&gt;0,Dexterity&gt;12)),"yes","no")</f>
        <v>yes</v>
      </c>
      <c r="AQ23" s="253" t="str">
        <f>IF(OR(IFERROR(SEARCH("Constitution",INDEX(D04_Classes!$BW$3:$BW$102,MATCH(C_Input!AI23,D04_Classes!$B$3:$B$102,0),1)),0)=0,AND(IFERROR(SEARCH("Constitution",INDEX(D04_Classes!$BW$3:$BW$102,MATCH(C_Input!AI23,D04_Classes!$B$3:$B$102,0),1)),0)&gt;0,Constitution&gt;12)),"yes","no")</f>
        <v>yes</v>
      </c>
      <c r="AR23" s="253" t="str">
        <f>IF(OR(IFERROR(SEARCH("Intelligence",INDEX(D04_Classes!$BW$3:$BW$102,MATCH(C_Input!AI23,D04_Classes!$B$3:$B$102,0),1)),0)=0,AND(IFERROR(SEARCH("Intelligence",INDEX(D04_Classes!$BW$3:$BW$102,MATCH(C_Input!AI23,D04_Classes!$B$3:$B$102,0),1)),0)&gt;0,Intelligence&gt;12)),"yes","no")</f>
        <v>yes</v>
      </c>
      <c r="AS23" s="253" t="str">
        <f>IF(OR(IFERROR(SEARCH("Wisdom",INDEX(D04_Classes!$BW$3:$BW$102,MATCH(C_Input!AI23,D04_Classes!$B$3:$B$102,0),1)),0)=0,AND(IFERROR(SEARCH("Wisdom",INDEX(D04_Classes!$BW$3:$BW$102,MATCH(C_Input!AI23,D04_Classes!$B$3:$B$102,0),1)),0)&gt;0,Wisdom&gt;12)),"yes","no")</f>
        <v>yes</v>
      </c>
      <c r="AT23" s="253" t="str">
        <f>IF(OR(IFERROR(SEARCH("Charisma",INDEX(D04_Classes!$BW$3:$BW$102,MATCH(C_Input!AI23,D04_Classes!$B$3:$B$102,0),1)),0)=0,AND(IFERROR(SEARCH("Charisma",INDEX(D04_Classes!$BW$3:$BW$102,MATCH(C_Input!AI23,D04_Classes!$B$3:$B$102,0),1)),0)&gt;0,Charisma&gt;12)),"yes","no")</f>
        <v>yes</v>
      </c>
      <c r="AU23" s="253">
        <f t="shared" si="1"/>
        <v>1</v>
      </c>
      <c r="AV23" s="253">
        <f>IF(AU23=0,0,COUNTIF($AV$15:AV22,"&gt;0")+1)</f>
        <v>5</v>
      </c>
      <c r="AX23" s="255" t="str">
        <f t="shared" si="7"/>
        <v/>
      </c>
      <c r="AY23" s="255" t="str">
        <f t="shared" si="2"/>
        <v/>
      </c>
      <c r="AZ23" s="266">
        <f t="shared" si="3"/>
        <v>0</v>
      </c>
      <c r="BA23" s="267">
        <f>IF(AZ23=0,0,COUNTIF($BA$15:BA22,"&gt;0")+1)</f>
        <v>0</v>
      </c>
      <c r="BB23" s="266" t="str">
        <f t="shared" si="8"/>
        <v/>
      </c>
      <c r="BC23" s="266" t="str">
        <f t="shared" si="4"/>
        <v/>
      </c>
      <c r="BD23" s="254">
        <f t="shared" si="9"/>
        <v>9</v>
      </c>
      <c r="BE23" s="254" t="str">
        <f>IFERROR(INDEX(D01_Races!$B$2:$B$101,MATCH(C_Input!BD23,D01_Races!$C$2:$C$101,0),1),"")</f>
        <v>Dragonborn</v>
      </c>
      <c r="BF23" s="252" t="str">
        <f t="shared" si="10"/>
        <v/>
      </c>
      <c r="BG23" s="252" t="str">
        <f>IFERROR(IF(BF23="","",INDEX(D01_Races!$E$2:$E$101,MATCH(C_Input!BF23,D01_Races!$D$2:$D$101,0),1)),"")</f>
        <v/>
      </c>
      <c r="BH23" s="252" t="str">
        <f>IFERROR(IF(BF23="","",INDEX(D01_Races!$A$2:$A$101,MATCH(C_Input!BF23,D01_Races!$D$2:$D$101,0),1)),"")</f>
        <v/>
      </c>
      <c r="BJ23" s="165" t="s">
        <v>5</v>
      </c>
      <c r="BK23" s="165">
        <v>0</v>
      </c>
      <c r="BL23" s="165">
        <f>IF(INDEX(D01_Races!$T$2:$T$101,MATCH(SelectedRaceID,D01_Races!$A$2:$A$101,0),1)="yes",1,0)</f>
        <v>0</v>
      </c>
    </row>
    <row r="24" spans="1:64" ht="15.95" customHeight="1" outlineLevel="1" x14ac:dyDescent="0.3">
      <c r="A24" s="152"/>
      <c r="B24" s="759" t="str">
        <f>IF(IFERROR(INDEX(D02_Background!Q2:Q101,SelectedBackgroundId,1),"")=0,"",IFERROR(INDEX(D02_Background!Q2:Q101,SelectedBackgroundId,1),""))</f>
        <v>Specialty</v>
      </c>
      <c r="C24" s="760"/>
      <c r="D24" s="834" t="s">
        <v>7053</v>
      </c>
      <c r="E24" s="834"/>
      <c r="F24" s="834"/>
      <c r="G24" s="834"/>
      <c r="H24" s="834"/>
      <c r="I24" s="834"/>
      <c r="J24" s="835"/>
      <c r="K24" s="152"/>
      <c r="L24" s="803" t="s">
        <v>520</v>
      </c>
      <c r="M24" s="827"/>
      <c r="N24" s="821" t="s">
        <v>656</v>
      </c>
      <c r="O24" s="821"/>
      <c r="P24" s="821"/>
      <c r="Q24" s="821"/>
      <c r="R24" s="821"/>
      <c r="S24" s="821"/>
      <c r="T24" s="822"/>
      <c r="U24" s="152"/>
      <c r="V24" s="912" t="str">
        <f>""&amp;CHAR(10)&amp;IFERROR(INDEX(D02_Background!C2:C101,SelectedBackgroundId,1),"")</f>
        <v xml:space="preserve">
You have always had a way with people. You know what makes them tick, you can tease out their hearts' desires after a few minutes of conversation, and with a few leading questions you can read them like they were children’s books, it's a useful talent, and one that you're perfectly willing to use for your advantage.
You know what people want and you deliver, or rather, you promise to deliver. Common sense should steer people away from things that sound too good to be true, but common sense seems to be in short supply when you’re around. The bottle of pink-colored liquid will surely cure that unseemly rash, this ointment—nothing more than a bit of fat with a sprinkle of silver dust—can restore youth and vigor, and there’s a bridge in the city that just happens to be for sale. These marvels sound implausible, but you make them sound like the real deal.
</v>
      </c>
      <c r="W24" s="913"/>
      <c r="X24" s="913"/>
      <c r="Y24" s="913"/>
      <c r="Z24" s="913"/>
      <c r="AA24" s="913"/>
      <c r="AB24" s="913"/>
      <c r="AC24" s="913"/>
      <c r="AD24" s="913"/>
      <c r="AE24" s="914"/>
      <c r="AF24" s="171"/>
      <c r="AH24" s="253">
        <f t="shared" si="5"/>
        <v>10</v>
      </c>
      <c r="AI24" s="253" t="str">
        <f>IFERROR(INDEX(D04_Classes!$B$3:$B$102,AH24,1),"")</f>
        <v>Sorcerer</v>
      </c>
      <c r="AJ24" s="253">
        <f t="shared" si="0"/>
        <v>0</v>
      </c>
      <c r="AK24" s="253">
        <f t="shared" si="6"/>
        <v>0</v>
      </c>
      <c r="AL24" s="253">
        <f>IF(AK24=0,0,COUNTIF($AL$15:AL23,"&gt;0")+1)</f>
        <v>0</v>
      </c>
      <c r="AM24" s="253">
        <f>IF(IFERROR(SEARCH("and",INDEX(D04_Classes!$BW$3:$BW$102,MATCH(C_Input!AI24,D04_Classes!$B$3:$B$102,0),1)),0)&gt;1,1,0)</f>
        <v>0</v>
      </c>
      <c r="AN24" s="253">
        <f>IF(IFERROR(SEARCH("or",INDEX(D04_Classes!$BW$3:$BW$102,MATCH(C_Input!AI24,D04_Classes!$B$3:$B$102,0),1)),0)&gt;1,1,0)</f>
        <v>0</v>
      </c>
      <c r="AO24" s="253" t="str">
        <f>IF(OR(IFERROR(SEARCH("Strength",INDEX(D04_Classes!$BW$3:$BW$102,MATCH(C_Input!AI24,D04_Classes!$B$3:$B$102,0),1)),0)=0,AND(IFERROR(SEARCH("Strength",INDEX(D04_Classes!$BW$3:$BW$102,MATCH(C_Input!AI24,D04_Classes!$B$3:$B$102,0),1)),0)&gt;0,Strength&gt;12)),"yes","no")</f>
        <v>yes</v>
      </c>
      <c r="AP24" s="253" t="str">
        <f>IF(OR(IFERROR(SEARCH("Dexterity",INDEX(D04_Classes!$BW$3:$BW$102,MATCH(C_Input!AI24,D04_Classes!$B$3:$B$102,0),1)),0)=0,AND(IFERROR(SEARCH("Dexterity",INDEX(D04_Classes!$BW$3:$BW$102,MATCH(C_Input!AI24,D04_Classes!$B$3:$B$102,0),1)),0)&gt;0,Dexterity&gt;12)),"yes","no")</f>
        <v>yes</v>
      </c>
      <c r="AQ24" s="253" t="str">
        <f>IF(OR(IFERROR(SEARCH("Constitution",INDEX(D04_Classes!$BW$3:$BW$102,MATCH(C_Input!AI24,D04_Classes!$B$3:$B$102,0),1)),0)=0,AND(IFERROR(SEARCH("Constitution",INDEX(D04_Classes!$BW$3:$BW$102,MATCH(C_Input!AI24,D04_Classes!$B$3:$B$102,0),1)),0)&gt;0,Constitution&gt;12)),"yes","no")</f>
        <v>yes</v>
      </c>
      <c r="AR24" s="253" t="str">
        <f>IF(OR(IFERROR(SEARCH("Intelligence",INDEX(D04_Classes!$BW$3:$BW$102,MATCH(C_Input!AI24,D04_Classes!$B$3:$B$102,0),1)),0)=0,AND(IFERROR(SEARCH("Intelligence",INDEX(D04_Classes!$BW$3:$BW$102,MATCH(C_Input!AI24,D04_Classes!$B$3:$B$102,0),1)),0)&gt;0,Intelligence&gt;12)),"yes","no")</f>
        <v>yes</v>
      </c>
      <c r="AS24" s="253" t="str">
        <f>IF(OR(IFERROR(SEARCH("Wisdom",INDEX(D04_Classes!$BW$3:$BW$102,MATCH(C_Input!AI24,D04_Classes!$B$3:$B$102,0),1)),0)=0,AND(IFERROR(SEARCH("Wisdom",INDEX(D04_Classes!$BW$3:$BW$102,MATCH(C_Input!AI24,D04_Classes!$B$3:$B$102,0),1)),0)&gt;0,Wisdom&gt;12)),"yes","no")</f>
        <v>yes</v>
      </c>
      <c r="AT24" s="253" t="str">
        <f>IF(OR(IFERROR(SEARCH("Charisma",INDEX(D04_Classes!$BW$3:$BW$102,MATCH(C_Input!AI24,D04_Classes!$B$3:$B$102,0),1)),0)=0,AND(IFERROR(SEARCH("Charisma",INDEX(D04_Classes!$BW$3:$BW$102,MATCH(C_Input!AI24,D04_Classes!$B$3:$B$102,0),1)),0)&gt;0,Charisma&gt;12)),"yes","no")</f>
        <v>yes</v>
      </c>
      <c r="AU24" s="253">
        <f t="shared" si="1"/>
        <v>1</v>
      </c>
      <c r="AV24" s="253">
        <f>IF(AU24=0,0,COUNTIF($AV$15:AV23,"&gt;0")+1)</f>
        <v>6</v>
      </c>
      <c r="AX24" s="255" t="str">
        <f t="shared" si="7"/>
        <v/>
      </c>
      <c r="AY24" s="255" t="str">
        <f t="shared" si="2"/>
        <v/>
      </c>
      <c r="AZ24" s="266">
        <f t="shared" si="3"/>
        <v>0</v>
      </c>
      <c r="BA24" s="267">
        <f>IF(AZ24=0,0,COUNTIF($BA$15:BA23,"&gt;0")+1)</f>
        <v>0</v>
      </c>
      <c r="BB24" s="266" t="str">
        <f t="shared" si="8"/>
        <v/>
      </c>
      <c r="BC24" s="266" t="str">
        <f t="shared" si="4"/>
        <v/>
      </c>
      <c r="BD24" s="254">
        <f t="shared" si="9"/>
        <v>10</v>
      </c>
      <c r="BE24" s="254" t="str">
        <f>IFERROR(INDEX(D01_Races!$B$2:$B$101,MATCH(C_Input!BD24,D01_Races!$C$2:$C$101,0),1),"")</f>
        <v>Warforged</v>
      </c>
      <c r="BF24" s="252" t="str">
        <f t="shared" si="10"/>
        <v/>
      </c>
      <c r="BG24" s="252" t="str">
        <f>IFERROR(IF(BF24="","",INDEX(D01_Races!$E$2:$E$101,MATCH(C_Input!BF24,D01_Races!$D$2:$D$101,0),1)),"")</f>
        <v/>
      </c>
      <c r="BH24" s="252" t="str">
        <f>IFERROR(IF(BF24="","",INDEX(D01_Races!$A$2:$A$101,MATCH(C_Input!BF24,D01_Races!$D$2:$D$101,0),1)),"")</f>
        <v/>
      </c>
      <c r="BJ24" s="165" t="s">
        <v>6</v>
      </c>
      <c r="BK24" s="165">
        <v>0</v>
      </c>
      <c r="BL24" s="165">
        <f>IF(INDEX(D01_Races!$U$2:$U$101,MATCH(SelectedRaceID,D01_Races!$A$2:$A$101,0),1)="yes",1,0)</f>
        <v>0</v>
      </c>
    </row>
    <row r="25" spans="1:64" ht="15.95" customHeight="1" outlineLevel="1" thickBot="1" x14ac:dyDescent="0.35">
      <c r="A25" s="152"/>
      <c r="B25" s="761"/>
      <c r="C25" s="762"/>
      <c r="D25" s="836"/>
      <c r="E25" s="836"/>
      <c r="F25" s="836"/>
      <c r="G25" s="836"/>
      <c r="H25" s="836"/>
      <c r="I25" s="836"/>
      <c r="J25" s="837"/>
      <c r="K25" s="152"/>
      <c r="L25" s="805"/>
      <c r="M25" s="828"/>
      <c r="N25" s="823"/>
      <c r="O25" s="823"/>
      <c r="P25" s="823"/>
      <c r="Q25" s="823"/>
      <c r="R25" s="823"/>
      <c r="S25" s="823"/>
      <c r="T25" s="824"/>
      <c r="U25" s="152"/>
      <c r="V25" s="912"/>
      <c r="W25" s="913"/>
      <c r="X25" s="913"/>
      <c r="Y25" s="913"/>
      <c r="Z25" s="913"/>
      <c r="AA25" s="913"/>
      <c r="AB25" s="913"/>
      <c r="AC25" s="913"/>
      <c r="AD25" s="913"/>
      <c r="AE25" s="914"/>
      <c r="AF25" s="171"/>
      <c r="AH25" s="253">
        <f t="shared" si="5"/>
        <v>11</v>
      </c>
      <c r="AI25" s="253" t="str">
        <f>IFERROR(INDEX(D04_Classes!$B$3:$B$102,AH25,1),"")</f>
        <v>Warlock</v>
      </c>
      <c r="AJ25" s="253">
        <f t="shared" si="0"/>
        <v>0</v>
      </c>
      <c r="AK25" s="253">
        <f t="shared" si="6"/>
        <v>0</v>
      </c>
      <c r="AL25" s="253">
        <f>IF(AK25=0,0,COUNTIF($AL$15:AL24,"&gt;0")+1)</f>
        <v>0</v>
      </c>
      <c r="AM25" s="253">
        <f>IF(IFERROR(SEARCH("and",INDEX(D04_Classes!$BW$3:$BW$102,MATCH(C_Input!AI25,D04_Classes!$B$3:$B$102,0),1)),0)&gt;1,1,0)</f>
        <v>0</v>
      </c>
      <c r="AN25" s="253">
        <f>IF(IFERROR(SEARCH("or",INDEX(D04_Classes!$BW$3:$BW$102,MATCH(C_Input!AI25,D04_Classes!$B$3:$B$102,0),1)),0)&gt;1,1,0)</f>
        <v>0</v>
      </c>
      <c r="AO25" s="253" t="str">
        <f>IF(OR(IFERROR(SEARCH("Strength",INDEX(D04_Classes!$BW$3:$BW$102,MATCH(C_Input!AI25,D04_Classes!$B$3:$B$102,0),1)),0)=0,AND(IFERROR(SEARCH("Strength",INDEX(D04_Classes!$BW$3:$BW$102,MATCH(C_Input!AI25,D04_Classes!$B$3:$B$102,0),1)),0)&gt;0,Strength&gt;12)),"yes","no")</f>
        <v>yes</v>
      </c>
      <c r="AP25" s="253" t="str">
        <f>IF(OR(IFERROR(SEARCH("Dexterity",INDEX(D04_Classes!$BW$3:$BW$102,MATCH(C_Input!AI25,D04_Classes!$B$3:$B$102,0),1)),0)=0,AND(IFERROR(SEARCH("Dexterity",INDEX(D04_Classes!$BW$3:$BW$102,MATCH(C_Input!AI25,D04_Classes!$B$3:$B$102,0),1)),0)&gt;0,Dexterity&gt;12)),"yes","no")</f>
        <v>yes</v>
      </c>
      <c r="AQ25" s="253" t="str">
        <f>IF(OR(IFERROR(SEARCH("Constitution",INDEX(D04_Classes!$BW$3:$BW$102,MATCH(C_Input!AI25,D04_Classes!$B$3:$B$102,0),1)),0)=0,AND(IFERROR(SEARCH("Constitution",INDEX(D04_Classes!$BW$3:$BW$102,MATCH(C_Input!AI25,D04_Classes!$B$3:$B$102,0),1)),0)&gt;0,Constitution&gt;12)),"yes","no")</f>
        <v>yes</v>
      </c>
      <c r="AR25" s="253" t="str">
        <f>IF(OR(IFERROR(SEARCH("Intelligence",INDEX(D04_Classes!$BW$3:$BW$102,MATCH(C_Input!AI25,D04_Classes!$B$3:$B$102,0),1)),0)=0,AND(IFERROR(SEARCH("Intelligence",INDEX(D04_Classes!$BW$3:$BW$102,MATCH(C_Input!AI25,D04_Classes!$B$3:$B$102,0),1)),0)&gt;0,Intelligence&gt;12)),"yes","no")</f>
        <v>yes</v>
      </c>
      <c r="AS25" s="253" t="str">
        <f>IF(OR(IFERROR(SEARCH("Wisdom",INDEX(D04_Classes!$BW$3:$BW$102,MATCH(C_Input!AI25,D04_Classes!$B$3:$B$102,0),1)),0)=0,AND(IFERROR(SEARCH("Wisdom",INDEX(D04_Classes!$BW$3:$BW$102,MATCH(C_Input!AI25,D04_Classes!$B$3:$B$102,0),1)),0)&gt;0,Wisdom&gt;12)),"yes","no")</f>
        <v>yes</v>
      </c>
      <c r="AT25" s="253" t="str">
        <f>IF(OR(IFERROR(SEARCH("Charisma",INDEX(D04_Classes!$BW$3:$BW$102,MATCH(C_Input!AI25,D04_Classes!$B$3:$B$102,0),1)),0)=0,AND(IFERROR(SEARCH("Charisma",INDEX(D04_Classes!$BW$3:$BW$102,MATCH(C_Input!AI25,D04_Classes!$B$3:$B$102,0),1)),0)&gt;0,Charisma&gt;12)),"yes","no")</f>
        <v>yes</v>
      </c>
      <c r="AU25" s="253">
        <f t="shared" si="1"/>
        <v>1</v>
      </c>
      <c r="AV25" s="253">
        <f>IF(AU25=0,0,COUNTIF($AV$15:AV24,"&gt;0")+1)</f>
        <v>7</v>
      </c>
      <c r="AX25" s="255" t="str">
        <f t="shared" si="7"/>
        <v/>
      </c>
      <c r="AY25" s="255" t="str">
        <f t="shared" si="2"/>
        <v/>
      </c>
      <c r="AZ25" s="266">
        <f t="shared" si="3"/>
        <v>0</v>
      </c>
      <c r="BA25" s="267">
        <f>IF(AZ25=0,0,COUNTIF($BA$15:BA24,"&gt;0")+1)</f>
        <v>0</v>
      </c>
      <c r="BB25" s="266" t="str">
        <f t="shared" si="8"/>
        <v/>
      </c>
      <c r="BC25" s="266" t="str">
        <f t="shared" si="4"/>
        <v/>
      </c>
      <c r="BD25" s="254">
        <f t="shared" si="9"/>
        <v>11</v>
      </c>
      <c r="BE25" s="254" t="str">
        <f>IFERROR(INDEX(D01_Races!$B$2:$B$101,MATCH(C_Input!BD25,D01_Races!$C$2:$C$101,0),1),"")</f>
        <v>Changeling</v>
      </c>
      <c r="BF25" s="252" t="str">
        <f t="shared" si="10"/>
        <v/>
      </c>
      <c r="BG25" s="252" t="str">
        <f>IFERROR(IF(BF25="","",INDEX(D01_Races!$E$2:$E$101,MATCH(C_Input!BF25,D01_Races!$D$2:$D$101,0),1)),"")</f>
        <v/>
      </c>
      <c r="BH25" s="252" t="str">
        <f>IFERROR(IF(BF25="","",INDEX(D01_Races!$A$2:$A$101,MATCH(C_Input!BF25,D01_Races!$D$2:$D$101,0),1)),"")</f>
        <v/>
      </c>
      <c r="BJ25" s="165" t="s">
        <v>7</v>
      </c>
      <c r="BK25" s="165">
        <v>0</v>
      </c>
      <c r="BL25" s="165">
        <f>IF(INDEX(D01_Races!$V$2:$V$101,MATCH(SelectedRaceID,D01_Races!$A$2:$A$101,0),1)="yes",1,0)</f>
        <v>0</v>
      </c>
    </row>
    <row r="26" spans="1:64" ht="15.95" customHeight="1" outlineLevel="1" thickBot="1" x14ac:dyDescent="0.35">
      <c r="A26" s="152"/>
      <c r="B26" s="152"/>
      <c r="C26" s="152"/>
      <c r="D26" s="152"/>
      <c r="E26" s="152"/>
      <c r="F26" s="152"/>
      <c r="G26" s="152"/>
      <c r="H26" s="152"/>
      <c r="I26" s="152"/>
      <c r="J26" s="152"/>
      <c r="K26" s="152"/>
      <c r="L26" s="805"/>
      <c r="M26" s="828"/>
      <c r="N26" s="823"/>
      <c r="O26" s="823"/>
      <c r="P26" s="823"/>
      <c r="Q26" s="823"/>
      <c r="R26" s="823"/>
      <c r="S26" s="823"/>
      <c r="T26" s="824"/>
      <c r="U26" s="152"/>
      <c r="V26" s="912"/>
      <c r="W26" s="913"/>
      <c r="X26" s="913"/>
      <c r="Y26" s="913"/>
      <c r="Z26" s="913"/>
      <c r="AA26" s="913"/>
      <c r="AB26" s="913"/>
      <c r="AC26" s="913"/>
      <c r="AD26" s="913"/>
      <c r="AE26" s="914"/>
      <c r="AF26" s="171"/>
      <c r="AH26" s="253">
        <f t="shared" si="5"/>
        <v>12</v>
      </c>
      <c r="AI26" s="253" t="str">
        <f>IFERROR(INDEX(D04_Classes!$B$3:$B$102,AH26,1),"")</f>
        <v>Wizard</v>
      </c>
      <c r="AJ26" s="253">
        <f t="shared" si="0"/>
        <v>0</v>
      </c>
      <c r="AK26" s="253">
        <f t="shared" si="6"/>
        <v>0</v>
      </c>
      <c r="AL26" s="253">
        <f>IF(AK26=0,0,COUNTIF($AL$15:AL25,"&gt;0")+1)</f>
        <v>0</v>
      </c>
      <c r="AM26" s="253">
        <f>IF(IFERROR(SEARCH("and",INDEX(D04_Classes!$BW$3:$BW$102,MATCH(C_Input!AI26,D04_Classes!$B$3:$B$102,0),1)),0)&gt;1,1,0)</f>
        <v>0</v>
      </c>
      <c r="AN26" s="253">
        <f>IF(IFERROR(SEARCH("or",INDEX(D04_Classes!$BW$3:$BW$102,MATCH(C_Input!AI26,D04_Classes!$B$3:$B$102,0),1)),0)&gt;1,1,0)</f>
        <v>0</v>
      </c>
      <c r="AO26" s="253" t="str">
        <f>IF(OR(IFERROR(SEARCH("Strength",INDEX(D04_Classes!$BW$3:$BW$102,MATCH(C_Input!AI26,D04_Classes!$B$3:$B$102,0),1)),0)=0,AND(IFERROR(SEARCH("Strength",INDEX(D04_Classes!$BW$3:$BW$102,MATCH(C_Input!AI26,D04_Classes!$B$3:$B$102,0),1)),0)&gt;0,Strength&gt;12)),"yes","no")</f>
        <v>yes</v>
      </c>
      <c r="AP26" s="253" t="str">
        <f>IF(OR(IFERROR(SEARCH("Dexterity",INDEX(D04_Classes!$BW$3:$BW$102,MATCH(C_Input!AI26,D04_Classes!$B$3:$B$102,0),1)),0)=0,AND(IFERROR(SEARCH("Dexterity",INDEX(D04_Classes!$BW$3:$BW$102,MATCH(C_Input!AI26,D04_Classes!$B$3:$B$102,0),1)),0)&gt;0,Dexterity&gt;12)),"yes","no")</f>
        <v>yes</v>
      </c>
      <c r="AQ26" s="253" t="str">
        <f>IF(OR(IFERROR(SEARCH("Constitution",INDEX(D04_Classes!$BW$3:$BW$102,MATCH(C_Input!AI26,D04_Classes!$B$3:$B$102,0),1)),0)=0,AND(IFERROR(SEARCH("Constitution",INDEX(D04_Classes!$BW$3:$BW$102,MATCH(C_Input!AI26,D04_Classes!$B$3:$B$102,0),1)),0)&gt;0,Constitution&gt;12)),"yes","no")</f>
        <v>yes</v>
      </c>
      <c r="AR26" s="253" t="str">
        <f>IF(OR(IFERROR(SEARCH("Intelligence",INDEX(D04_Classes!$BW$3:$BW$102,MATCH(C_Input!AI26,D04_Classes!$B$3:$B$102,0),1)),0)=0,AND(IFERROR(SEARCH("Intelligence",INDEX(D04_Classes!$BW$3:$BW$102,MATCH(C_Input!AI26,D04_Classes!$B$3:$B$102,0),1)),0)&gt;0,Intelligence&gt;12)),"yes","no")</f>
        <v>yes</v>
      </c>
      <c r="AS26" s="253" t="str">
        <f>IF(OR(IFERROR(SEARCH("Wisdom",INDEX(D04_Classes!$BW$3:$BW$102,MATCH(C_Input!AI26,D04_Classes!$B$3:$B$102,0),1)),0)=0,AND(IFERROR(SEARCH("Wisdom",INDEX(D04_Classes!$BW$3:$BW$102,MATCH(C_Input!AI26,D04_Classes!$B$3:$B$102,0),1)),0)&gt;0,Wisdom&gt;12)),"yes","no")</f>
        <v>yes</v>
      </c>
      <c r="AT26" s="253" t="str">
        <f>IF(OR(IFERROR(SEARCH("Charisma",INDEX(D04_Classes!$BW$3:$BW$102,MATCH(C_Input!AI26,D04_Classes!$B$3:$B$102,0),1)),0)=0,AND(IFERROR(SEARCH("Charisma",INDEX(D04_Classes!$BW$3:$BW$102,MATCH(C_Input!AI26,D04_Classes!$B$3:$B$102,0),1)),0)&gt;0,Charisma&gt;12)),"yes","no")</f>
        <v>yes</v>
      </c>
      <c r="AU26" s="253">
        <f t="shared" si="1"/>
        <v>1</v>
      </c>
      <c r="AV26" s="253">
        <f>IF(AU26=0,0,COUNTIF($AV$15:AV25,"&gt;0")+1)</f>
        <v>8</v>
      </c>
      <c r="AX26" s="255" t="str">
        <f t="shared" si="7"/>
        <v/>
      </c>
      <c r="AY26" s="255" t="str">
        <f t="shared" si="2"/>
        <v/>
      </c>
      <c r="AZ26" s="266">
        <f t="shared" si="3"/>
        <v>0</v>
      </c>
      <c r="BA26" s="267">
        <f>IF(AZ26=0,0,COUNTIF($BA$15:BA25,"&gt;0")+1)</f>
        <v>0</v>
      </c>
      <c r="BB26" s="266" t="str">
        <f t="shared" si="8"/>
        <v/>
      </c>
      <c r="BC26" s="266" t="str">
        <f t="shared" si="4"/>
        <v/>
      </c>
      <c r="BD26" s="254">
        <f t="shared" si="9"/>
        <v>12</v>
      </c>
      <c r="BE26" s="254" t="str">
        <f>IFERROR(INDEX(D01_Races!$B$2:$B$101,MATCH(C_Input!BD26,D01_Races!$C$2:$C$101,0),1),"")</f>
        <v>Shifter</v>
      </c>
      <c r="BF26" s="252" t="str">
        <f t="shared" si="10"/>
        <v/>
      </c>
      <c r="BG26" s="252" t="str">
        <f>IFERROR(IF(BF26="","",INDEX(D01_Races!$E$2:$E$101,MATCH(C_Input!BF26,D01_Races!$D$2:$D$101,0),1)),"")</f>
        <v/>
      </c>
      <c r="BH26" s="252" t="str">
        <f>IFERROR(IF(BF26="","",INDEX(D01_Races!$A$2:$A$101,MATCH(C_Input!BF26,D01_Races!$D$2:$D$101,0),1)),"")</f>
        <v/>
      </c>
      <c r="BJ26" s="165" t="s">
        <v>8</v>
      </c>
      <c r="BK26" s="165">
        <v>0</v>
      </c>
      <c r="BL26" s="165">
        <f>IF(INDEX(D01_Races!$W$2:$W$101,MATCH(SelectedRaceID,D01_Races!$A$2:$A$101,0),1)="yes",1,0)</f>
        <v>0</v>
      </c>
    </row>
    <row r="27" spans="1:64" ht="15.95" customHeight="1" outlineLevel="1" x14ac:dyDescent="0.3">
      <c r="A27" s="152"/>
      <c r="B27" s="803" t="s">
        <v>579</v>
      </c>
      <c r="C27" s="827"/>
      <c r="D27" s="821" t="s">
        <v>757</v>
      </c>
      <c r="E27" s="821"/>
      <c r="F27" s="821"/>
      <c r="G27" s="821"/>
      <c r="H27" s="821"/>
      <c r="I27" s="821"/>
      <c r="J27" s="822"/>
      <c r="K27" s="152"/>
      <c r="L27" s="805"/>
      <c r="M27" s="828"/>
      <c r="N27" s="821" t="s">
        <v>655</v>
      </c>
      <c r="O27" s="821"/>
      <c r="P27" s="821"/>
      <c r="Q27" s="821"/>
      <c r="R27" s="821"/>
      <c r="S27" s="821"/>
      <c r="T27" s="822"/>
      <c r="U27" s="152"/>
      <c r="V27" s="912"/>
      <c r="W27" s="913"/>
      <c r="X27" s="913"/>
      <c r="Y27" s="913"/>
      <c r="Z27" s="913"/>
      <c r="AA27" s="913"/>
      <c r="AB27" s="913"/>
      <c r="AC27" s="913"/>
      <c r="AD27" s="913"/>
      <c r="AE27" s="914"/>
      <c r="AF27" s="171"/>
      <c r="AH27" s="253" t="str">
        <f t="shared" si="5"/>
        <v/>
      </c>
      <c r="AI27" s="253" t="str">
        <f>IFERROR(INDEX(D04_Classes!$B$3:$B$102,AH27,1),"")</f>
        <v/>
      </c>
      <c r="AJ27" s="253" t="str">
        <f t="shared" si="0"/>
        <v/>
      </c>
      <c r="AK27" s="253">
        <f t="shared" si="6"/>
        <v>0</v>
      </c>
      <c r="AL27" s="253">
        <f>IF(AK27=0,0,COUNTIF($AL$15:AL26,"&gt;0")+1)</f>
        <v>0</v>
      </c>
      <c r="AM27" s="253">
        <f>IF(IFERROR(SEARCH("and",INDEX(D04_Classes!$BW$3:$BW$102,MATCH(C_Input!AI27,D04_Classes!$B$3:$B$102,0),1)),0)&gt;1,1,0)</f>
        <v>0</v>
      </c>
      <c r="AN27" s="253">
        <f>IF(IFERROR(SEARCH("or",INDEX(D04_Classes!$BW$3:$BW$102,MATCH(C_Input!AI27,D04_Classes!$B$3:$B$102,0),1)),0)&gt;1,1,0)</f>
        <v>0</v>
      </c>
      <c r="AO27" s="253" t="str">
        <f>IF(OR(IFERROR(SEARCH("Strength",INDEX(D04_Classes!$BW$3:$BW$102,MATCH(C_Input!AI27,D04_Classes!$B$3:$B$102,0),1)),0)=0,AND(IFERROR(SEARCH("Strength",INDEX(D04_Classes!$BW$3:$BW$102,MATCH(C_Input!AI27,D04_Classes!$B$3:$B$102,0),1)),0)&gt;0,Strength&gt;12)),"yes","no")</f>
        <v>yes</v>
      </c>
      <c r="AP27" s="253" t="str">
        <f>IF(OR(IFERROR(SEARCH("Dexterity",INDEX(D04_Classes!$BW$3:$BW$102,MATCH(C_Input!AI27,D04_Classes!$B$3:$B$102,0),1)),0)=0,AND(IFERROR(SEARCH("Dexterity",INDEX(D04_Classes!$BW$3:$BW$102,MATCH(C_Input!AI27,D04_Classes!$B$3:$B$102,0),1)),0)&gt;0,Dexterity&gt;12)),"yes","no")</f>
        <v>yes</v>
      </c>
      <c r="AQ27" s="253" t="str">
        <f>IF(OR(IFERROR(SEARCH("Constitution",INDEX(D04_Classes!$BW$3:$BW$102,MATCH(C_Input!AI27,D04_Classes!$B$3:$B$102,0),1)),0)=0,AND(IFERROR(SEARCH("Constitution",INDEX(D04_Classes!$BW$3:$BW$102,MATCH(C_Input!AI27,D04_Classes!$B$3:$B$102,0),1)),0)&gt;0,Constitution&gt;12)),"yes","no")</f>
        <v>yes</v>
      </c>
      <c r="AR27" s="253" t="str">
        <f>IF(OR(IFERROR(SEARCH("Intelligence",INDEX(D04_Classes!$BW$3:$BW$102,MATCH(C_Input!AI27,D04_Classes!$B$3:$B$102,0),1)),0)=0,AND(IFERROR(SEARCH("Intelligence",INDEX(D04_Classes!$BW$3:$BW$102,MATCH(C_Input!AI27,D04_Classes!$B$3:$B$102,0),1)),0)&gt;0,Intelligence&gt;12)),"yes","no")</f>
        <v>yes</v>
      </c>
      <c r="AS27" s="253" t="str">
        <f>IF(OR(IFERROR(SEARCH("Wisdom",INDEX(D04_Classes!$BW$3:$BW$102,MATCH(C_Input!AI27,D04_Classes!$B$3:$B$102,0),1)),0)=0,AND(IFERROR(SEARCH("Wisdom",INDEX(D04_Classes!$BW$3:$BW$102,MATCH(C_Input!AI27,D04_Classes!$B$3:$B$102,0),1)),0)&gt;0,Wisdom&gt;12)),"yes","no")</f>
        <v>yes</v>
      </c>
      <c r="AT27" s="253" t="str">
        <f>IF(OR(IFERROR(SEARCH("Charisma",INDEX(D04_Classes!$BW$3:$BW$102,MATCH(C_Input!AI27,D04_Classes!$B$3:$B$102,0),1)),0)=0,AND(IFERROR(SEARCH("Charisma",INDEX(D04_Classes!$BW$3:$BW$102,MATCH(C_Input!AI27,D04_Classes!$B$3:$B$102,0),1)),0)&gt;0,Charisma&gt;12)),"yes","no")</f>
        <v>yes</v>
      </c>
      <c r="AU27" s="253">
        <f t="shared" si="1"/>
        <v>0</v>
      </c>
      <c r="AV27" s="253">
        <f>IF(AU27=0,0,COUNTIF($AV$15:AV26,"&gt;0")+1)</f>
        <v>0</v>
      </c>
      <c r="AX27" s="255" t="str">
        <f t="shared" si="7"/>
        <v/>
      </c>
      <c r="AY27" s="255" t="str">
        <f t="shared" si="2"/>
        <v/>
      </c>
      <c r="BD27" s="254">
        <f t="shared" si="9"/>
        <v>13</v>
      </c>
      <c r="BE27" s="254" t="str">
        <f>IFERROR(INDEX(D01_Races!$B$2:$B$101,MATCH(C_Input!BD27,D01_Races!$C$2:$C$101,0),1),"")</f>
        <v>Aasimar</v>
      </c>
      <c r="BF27" s="252" t="str">
        <f t="shared" si="10"/>
        <v/>
      </c>
      <c r="BG27" s="252" t="str">
        <f>IFERROR(IF(BF27="","",INDEX(D01_Races!$E$2:$E$101,MATCH(C_Input!BF27,D01_Races!$D$2:$D$101,0),1)),"")</f>
        <v/>
      </c>
      <c r="BH27" s="252" t="str">
        <f>IFERROR(IF(BF27="","",INDEX(D01_Races!$A$2:$A$101,MATCH(C_Input!BF27,D01_Races!$D$2:$D$101,0),1)),"")</f>
        <v/>
      </c>
    </row>
    <row r="28" spans="1:64" ht="15.95" customHeight="1" outlineLevel="1" x14ac:dyDescent="0.3">
      <c r="A28" s="152"/>
      <c r="B28" s="805"/>
      <c r="C28" s="828"/>
      <c r="D28" s="823"/>
      <c r="E28" s="823"/>
      <c r="F28" s="823"/>
      <c r="G28" s="823"/>
      <c r="H28" s="823"/>
      <c r="I28" s="823"/>
      <c r="J28" s="824"/>
      <c r="K28" s="152"/>
      <c r="L28" s="805"/>
      <c r="M28" s="828"/>
      <c r="N28" s="823"/>
      <c r="O28" s="823"/>
      <c r="P28" s="823"/>
      <c r="Q28" s="823"/>
      <c r="R28" s="823"/>
      <c r="S28" s="823"/>
      <c r="T28" s="824"/>
      <c r="U28" s="152"/>
      <c r="V28" s="912"/>
      <c r="W28" s="913"/>
      <c r="X28" s="913"/>
      <c r="Y28" s="913"/>
      <c r="Z28" s="913"/>
      <c r="AA28" s="913"/>
      <c r="AB28" s="913"/>
      <c r="AC28" s="913"/>
      <c r="AD28" s="913"/>
      <c r="AE28" s="914"/>
      <c r="AF28" s="171"/>
      <c r="AH28" s="253" t="str">
        <f t="shared" si="5"/>
        <v/>
      </c>
      <c r="AI28" s="253" t="str">
        <f>IFERROR(INDEX(D04_Classes!$B$3:$B$102,AH28,1),"")</f>
        <v/>
      </c>
      <c r="AJ28" s="253" t="str">
        <f t="shared" si="0"/>
        <v/>
      </c>
      <c r="AK28" s="253">
        <f t="shared" si="6"/>
        <v>0</v>
      </c>
      <c r="AL28" s="253">
        <f>IF(AK28=0,0,COUNTIF($AL$15:AL27,"&gt;0")+1)</f>
        <v>0</v>
      </c>
      <c r="AM28" s="253">
        <f>IF(IFERROR(SEARCH("and",INDEX(D04_Classes!$BW$3:$BW$102,MATCH(C_Input!AI28,D04_Classes!$B$3:$B$102,0),1)),0)&gt;1,1,0)</f>
        <v>0</v>
      </c>
      <c r="AN28" s="253">
        <f>IF(IFERROR(SEARCH("or",INDEX(D04_Classes!$BW$3:$BW$102,MATCH(C_Input!AI28,D04_Classes!$B$3:$B$102,0),1)),0)&gt;1,1,0)</f>
        <v>0</v>
      </c>
      <c r="AO28" s="253" t="str">
        <f>IF(OR(IFERROR(SEARCH("Strength",INDEX(D04_Classes!$BW$3:$BW$102,MATCH(C_Input!AI28,D04_Classes!$B$3:$B$102,0),1)),0)=0,AND(IFERROR(SEARCH("Strength",INDEX(D04_Classes!$BW$3:$BW$102,MATCH(C_Input!AI28,D04_Classes!$B$3:$B$102,0),1)),0)&gt;0,Strength&gt;12)),"yes","no")</f>
        <v>yes</v>
      </c>
      <c r="AP28" s="253" t="str">
        <f>IF(OR(IFERROR(SEARCH("Dexterity",INDEX(D04_Classes!$BW$3:$BW$102,MATCH(C_Input!AI28,D04_Classes!$B$3:$B$102,0),1)),0)=0,AND(IFERROR(SEARCH("Dexterity",INDEX(D04_Classes!$BW$3:$BW$102,MATCH(C_Input!AI28,D04_Classes!$B$3:$B$102,0),1)),0)&gt;0,Dexterity&gt;12)),"yes","no")</f>
        <v>yes</v>
      </c>
      <c r="AQ28" s="253" t="str">
        <f>IF(OR(IFERROR(SEARCH("Constitution",INDEX(D04_Classes!$BW$3:$BW$102,MATCH(C_Input!AI28,D04_Classes!$B$3:$B$102,0),1)),0)=0,AND(IFERROR(SEARCH("Constitution",INDEX(D04_Classes!$BW$3:$BW$102,MATCH(C_Input!AI28,D04_Classes!$B$3:$B$102,0),1)),0)&gt;0,Constitution&gt;12)),"yes","no")</f>
        <v>yes</v>
      </c>
      <c r="AR28" s="253" t="str">
        <f>IF(OR(IFERROR(SEARCH("Intelligence",INDEX(D04_Classes!$BW$3:$BW$102,MATCH(C_Input!AI28,D04_Classes!$B$3:$B$102,0),1)),0)=0,AND(IFERROR(SEARCH("Intelligence",INDEX(D04_Classes!$BW$3:$BW$102,MATCH(C_Input!AI28,D04_Classes!$B$3:$B$102,0),1)),0)&gt;0,Intelligence&gt;12)),"yes","no")</f>
        <v>yes</v>
      </c>
      <c r="AS28" s="253" t="str">
        <f>IF(OR(IFERROR(SEARCH("Wisdom",INDEX(D04_Classes!$BW$3:$BW$102,MATCH(C_Input!AI28,D04_Classes!$B$3:$B$102,0),1)),0)=0,AND(IFERROR(SEARCH("Wisdom",INDEX(D04_Classes!$BW$3:$BW$102,MATCH(C_Input!AI28,D04_Classes!$B$3:$B$102,0),1)),0)&gt;0,Wisdom&gt;12)),"yes","no")</f>
        <v>yes</v>
      </c>
      <c r="AT28" s="253" t="str">
        <f>IF(OR(IFERROR(SEARCH("Charisma",INDEX(D04_Classes!$BW$3:$BW$102,MATCH(C_Input!AI28,D04_Classes!$B$3:$B$102,0),1)),0)=0,AND(IFERROR(SEARCH("Charisma",INDEX(D04_Classes!$BW$3:$BW$102,MATCH(C_Input!AI28,D04_Classes!$B$3:$B$102,0),1)),0)&gt;0,Charisma&gt;12)),"yes","no")</f>
        <v>yes</v>
      </c>
      <c r="AU28" s="253">
        <f t="shared" si="1"/>
        <v>0</v>
      </c>
      <c r="AV28" s="253">
        <f>IF(AU28=0,0,COUNTIF($AV$15:AV27,"&gt;0")+1)</f>
        <v>0</v>
      </c>
      <c r="AX28" s="255" t="str">
        <f t="shared" si="7"/>
        <v/>
      </c>
      <c r="AY28" s="255" t="str">
        <f t="shared" si="2"/>
        <v/>
      </c>
      <c r="BD28" s="254">
        <f t="shared" si="9"/>
        <v>14</v>
      </c>
      <c r="BE28" s="254" t="str">
        <f>IFERROR(INDEX(D01_Races!$B$2:$B$101,MATCH(C_Input!BD28,D01_Races!$C$2:$C$101,0),1),"")</f>
        <v>Aarakocra</v>
      </c>
      <c r="BF28" s="252" t="str">
        <f t="shared" si="10"/>
        <v/>
      </c>
      <c r="BG28" s="252" t="str">
        <f>IFERROR(IF(BF28="","",INDEX(D01_Races!$E$2:$E$101,MATCH(C_Input!BF28,D01_Races!$D$2:$D$101,0),1)),"")</f>
        <v/>
      </c>
      <c r="BH28" s="252" t="str">
        <f>IFERROR(IF(BF28="","",INDEX(D01_Races!$A$2:$A$101,MATCH(C_Input!BF28,D01_Races!$D$2:$D$101,0),1)),"")</f>
        <v/>
      </c>
    </row>
    <row r="29" spans="1:64" ht="15.95" customHeight="1" outlineLevel="1" thickBot="1" x14ac:dyDescent="0.35">
      <c r="A29" s="152"/>
      <c r="B29" s="807"/>
      <c r="C29" s="829"/>
      <c r="D29" s="825"/>
      <c r="E29" s="825"/>
      <c r="F29" s="825"/>
      <c r="G29" s="825"/>
      <c r="H29" s="825"/>
      <c r="I29" s="825"/>
      <c r="J29" s="826"/>
      <c r="K29" s="152"/>
      <c r="L29" s="807"/>
      <c r="M29" s="829"/>
      <c r="N29" s="823"/>
      <c r="O29" s="823"/>
      <c r="P29" s="823"/>
      <c r="Q29" s="823"/>
      <c r="R29" s="823"/>
      <c r="S29" s="823"/>
      <c r="T29" s="824"/>
      <c r="U29" s="152"/>
      <c r="V29" s="912"/>
      <c r="W29" s="913"/>
      <c r="X29" s="913"/>
      <c r="Y29" s="913"/>
      <c r="Z29" s="913"/>
      <c r="AA29" s="913"/>
      <c r="AB29" s="913"/>
      <c r="AC29" s="913"/>
      <c r="AD29" s="913"/>
      <c r="AE29" s="914"/>
      <c r="AF29" s="171"/>
      <c r="AH29" s="253" t="str">
        <f t="shared" si="5"/>
        <v/>
      </c>
      <c r="AI29" s="253" t="str">
        <f>IFERROR(INDEX(D04_Classes!$B$3:$B$102,AH29,1),"")</f>
        <v/>
      </c>
      <c r="AJ29" s="253" t="str">
        <f t="shared" si="0"/>
        <v/>
      </c>
      <c r="AK29" s="253">
        <f t="shared" si="6"/>
        <v>0</v>
      </c>
      <c r="AL29" s="253">
        <f>IF(AK29=0,0,COUNTIF($AL$15:AL28,"&gt;0")+1)</f>
        <v>0</v>
      </c>
      <c r="AM29" s="253">
        <f>IF(IFERROR(SEARCH("and",INDEX(D04_Classes!$BW$3:$BW$102,MATCH(C_Input!AI29,D04_Classes!$B$3:$B$102,0),1)),0)&gt;1,1,0)</f>
        <v>0</v>
      </c>
      <c r="AN29" s="253">
        <f>IF(IFERROR(SEARCH("or",INDEX(D04_Classes!$BW$3:$BW$102,MATCH(C_Input!AI29,D04_Classes!$B$3:$B$102,0),1)),0)&gt;1,1,0)</f>
        <v>0</v>
      </c>
      <c r="AO29" s="253" t="str">
        <f>IF(OR(IFERROR(SEARCH("Strength",INDEX(D04_Classes!$BW$3:$BW$102,MATCH(C_Input!AI29,D04_Classes!$B$3:$B$102,0),1)),0)=0,AND(IFERROR(SEARCH("Strength",INDEX(D04_Classes!$BW$3:$BW$102,MATCH(C_Input!AI29,D04_Classes!$B$3:$B$102,0),1)),0)&gt;0,Strength&gt;12)),"yes","no")</f>
        <v>yes</v>
      </c>
      <c r="AP29" s="253" t="str">
        <f>IF(OR(IFERROR(SEARCH("Dexterity",INDEX(D04_Classes!$BW$3:$BW$102,MATCH(C_Input!AI29,D04_Classes!$B$3:$B$102,0),1)),0)=0,AND(IFERROR(SEARCH("Dexterity",INDEX(D04_Classes!$BW$3:$BW$102,MATCH(C_Input!AI29,D04_Classes!$B$3:$B$102,0),1)),0)&gt;0,Dexterity&gt;12)),"yes","no")</f>
        <v>yes</v>
      </c>
      <c r="AQ29" s="253" t="str">
        <f>IF(OR(IFERROR(SEARCH("Constitution",INDEX(D04_Classes!$BW$3:$BW$102,MATCH(C_Input!AI29,D04_Classes!$B$3:$B$102,0),1)),0)=0,AND(IFERROR(SEARCH("Constitution",INDEX(D04_Classes!$BW$3:$BW$102,MATCH(C_Input!AI29,D04_Classes!$B$3:$B$102,0),1)),0)&gt;0,Constitution&gt;12)),"yes","no")</f>
        <v>yes</v>
      </c>
      <c r="AR29" s="253" t="str">
        <f>IF(OR(IFERROR(SEARCH("Intelligence",INDEX(D04_Classes!$BW$3:$BW$102,MATCH(C_Input!AI29,D04_Classes!$B$3:$B$102,0),1)),0)=0,AND(IFERROR(SEARCH("Intelligence",INDEX(D04_Classes!$BW$3:$BW$102,MATCH(C_Input!AI29,D04_Classes!$B$3:$B$102,0),1)),0)&gt;0,Intelligence&gt;12)),"yes","no")</f>
        <v>yes</v>
      </c>
      <c r="AS29" s="253" t="str">
        <f>IF(OR(IFERROR(SEARCH("Wisdom",INDEX(D04_Classes!$BW$3:$BW$102,MATCH(C_Input!AI29,D04_Classes!$B$3:$B$102,0),1)),0)=0,AND(IFERROR(SEARCH("Wisdom",INDEX(D04_Classes!$BW$3:$BW$102,MATCH(C_Input!AI29,D04_Classes!$B$3:$B$102,0),1)),0)&gt;0,Wisdom&gt;12)),"yes","no")</f>
        <v>yes</v>
      </c>
      <c r="AT29" s="253" t="str">
        <f>IF(OR(IFERROR(SEARCH("Charisma",INDEX(D04_Classes!$BW$3:$BW$102,MATCH(C_Input!AI29,D04_Classes!$B$3:$B$102,0),1)),0)=0,AND(IFERROR(SEARCH("Charisma",INDEX(D04_Classes!$BW$3:$BW$102,MATCH(C_Input!AI29,D04_Classes!$B$3:$B$102,0),1)),0)&gt;0,Charisma&gt;12)),"yes","no")</f>
        <v>yes</v>
      </c>
      <c r="AU29" s="253">
        <f t="shared" si="1"/>
        <v>0</v>
      </c>
      <c r="AV29" s="253">
        <f>IF(AU29=0,0,COUNTIF($AV$15:AV28,"&gt;0")+1)</f>
        <v>0</v>
      </c>
      <c r="AX29" s="255" t="str">
        <f t="shared" si="7"/>
        <v/>
      </c>
      <c r="AY29" s="255" t="str">
        <f t="shared" si="2"/>
        <v/>
      </c>
      <c r="BD29" s="254">
        <f t="shared" si="9"/>
        <v>15</v>
      </c>
      <c r="BE29" s="254" t="str">
        <f>IFERROR(INDEX(D01_Races!$B$2:$B$101,MATCH(C_Input!BD29,D01_Races!$C$2:$C$101,0),1),"")</f>
        <v>Bullywug</v>
      </c>
      <c r="BF29" s="252" t="str">
        <f t="shared" si="10"/>
        <v/>
      </c>
      <c r="BG29" s="252" t="str">
        <f>IFERROR(IF(BF29="","",INDEX(D01_Races!$E$2:$E$101,MATCH(C_Input!BF29,D01_Races!$D$2:$D$101,0),1)),"")</f>
        <v/>
      </c>
      <c r="BH29" s="252" t="str">
        <f>IFERROR(IF(BF29="","",INDEX(D01_Races!$A$2:$A$101,MATCH(C_Input!BF29,D01_Races!$D$2:$D$101,0),1)),"")</f>
        <v/>
      </c>
    </row>
    <row r="30" spans="1:64" ht="15.95" customHeight="1" outlineLevel="1" x14ac:dyDescent="0.3">
      <c r="A30" s="152"/>
      <c r="B30" s="830" t="s">
        <v>580</v>
      </c>
      <c r="C30" s="831"/>
      <c r="D30" s="832" t="s">
        <v>835</v>
      </c>
      <c r="E30" s="832"/>
      <c r="F30" s="832"/>
      <c r="G30" s="832"/>
      <c r="H30" s="832"/>
      <c r="I30" s="832"/>
      <c r="J30" s="833"/>
      <c r="K30" s="152"/>
      <c r="L30" s="830" t="s">
        <v>581</v>
      </c>
      <c r="M30" s="831"/>
      <c r="N30" s="832" t="s">
        <v>914</v>
      </c>
      <c r="O30" s="832"/>
      <c r="P30" s="832"/>
      <c r="Q30" s="832"/>
      <c r="R30" s="832"/>
      <c r="S30" s="832"/>
      <c r="T30" s="833"/>
      <c r="U30" s="152"/>
      <c r="V30" s="912"/>
      <c r="W30" s="913"/>
      <c r="X30" s="913"/>
      <c r="Y30" s="913"/>
      <c r="Z30" s="913"/>
      <c r="AA30" s="913"/>
      <c r="AB30" s="913"/>
      <c r="AC30" s="913"/>
      <c r="AD30" s="913"/>
      <c r="AE30" s="914"/>
      <c r="AF30" s="171"/>
      <c r="AH30" s="253" t="str">
        <f t="shared" si="5"/>
        <v/>
      </c>
      <c r="AI30" s="253" t="str">
        <f>IFERROR(INDEX(D04_Classes!$B$3:$B$102,AH30,1),"")</f>
        <v/>
      </c>
      <c r="AJ30" s="253" t="str">
        <f t="shared" si="0"/>
        <v/>
      </c>
      <c r="AK30" s="253">
        <f t="shared" si="6"/>
        <v>0</v>
      </c>
      <c r="AL30" s="253">
        <f>IF(AK30=0,0,COUNTIF($AL$15:AL29,"&gt;0")+1)</f>
        <v>0</v>
      </c>
      <c r="AM30" s="253">
        <f>IF(IFERROR(SEARCH("and",INDEX(D04_Classes!$BW$3:$BW$102,MATCH(C_Input!AI30,D04_Classes!$B$3:$B$102,0),1)),0)&gt;1,1,0)</f>
        <v>0</v>
      </c>
      <c r="AN30" s="253">
        <f>IF(IFERROR(SEARCH("or",INDEX(D04_Classes!$BW$3:$BW$102,MATCH(C_Input!AI30,D04_Classes!$B$3:$B$102,0),1)),0)&gt;1,1,0)</f>
        <v>0</v>
      </c>
      <c r="AO30" s="253" t="str">
        <f>IF(OR(IFERROR(SEARCH("Strength",INDEX(D04_Classes!$BW$3:$BW$102,MATCH(C_Input!AI30,D04_Classes!$B$3:$B$102,0),1)),0)=0,AND(IFERROR(SEARCH("Strength",INDEX(D04_Classes!$BW$3:$BW$102,MATCH(C_Input!AI30,D04_Classes!$B$3:$B$102,0),1)),0)&gt;0,Strength&gt;12)),"yes","no")</f>
        <v>yes</v>
      </c>
      <c r="AP30" s="253" t="str">
        <f>IF(OR(IFERROR(SEARCH("Dexterity",INDEX(D04_Classes!$BW$3:$BW$102,MATCH(C_Input!AI30,D04_Classes!$B$3:$B$102,0),1)),0)=0,AND(IFERROR(SEARCH("Dexterity",INDEX(D04_Classes!$BW$3:$BW$102,MATCH(C_Input!AI30,D04_Classes!$B$3:$B$102,0),1)),0)&gt;0,Dexterity&gt;12)),"yes","no")</f>
        <v>yes</v>
      </c>
      <c r="AQ30" s="253" t="str">
        <f>IF(OR(IFERROR(SEARCH("Constitution",INDEX(D04_Classes!$BW$3:$BW$102,MATCH(C_Input!AI30,D04_Classes!$B$3:$B$102,0),1)),0)=0,AND(IFERROR(SEARCH("Constitution",INDEX(D04_Classes!$BW$3:$BW$102,MATCH(C_Input!AI30,D04_Classes!$B$3:$B$102,0),1)),0)&gt;0,Constitution&gt;12)),"yes","no")</f>
        <v>yes</v>
      </c>
      <c r="AR30" s="253" t="str">
        <f>IF(OR(IFERROR(SEARCH("Intelligence",INDEX(D04_Classes!$BW$3:$BW$102,MATCH(C_Input!AI30,D04_Classes!$B$3:$B$102,0),1)),0)=0,AND(IFERROR(SEARCH("Intelligence",INDEX(D04_Classes!$BW$3:$BW$102,MATCH(C_Input!AI30,D04_Classes!$B$3:$B$102,0),1)),0)&gt;0,Intelligence&gt;12)),"yes","no")</f>
        <v>yes</v>
      </c>
      <c r="AS30" s="253" t="str">
        <f>IF(OR(IFERROR(SEARCH("Wisdom",INDEX(D04_Classes!$BW$3:$BW$102,MATCH(C_Input!AI30,D04_Classes!$B$3:$B$102,0),1)),0)=0,AND(IFERROR(SEARCH("Wisdom",INDEX(D04_Classes!$BW$3:$BW$102,MATCH(C_Input!AI30,D04_Classes!$B$3:$B$102,0),1)),0)&gt;0,Wisdom&gt;12)),"yes","no")</f>
        <v>yes</v>
      </c>
      <c r="AT30" s="253" t="str">
        <f>IF(OR(IFERROR(SEARCH("Charisma",INDEX(D04_Classes!$BW$3:$BW$102,MATCH(C_Input!AI30,D04_Classes!$B$3:$B$102,0),1)),0)=0,AND(IFERROR(SEARCH("Charisma",INDEX(D04_Classes!$BW$3:$BW$102,MATCH(C_Input!AI30,D04_Classes!$B$3:$B$102,0),1)),0)&gt;0,Charisma&gt;12)),"yes","no")</f>
        <v>yes</v>
      </c>
      <c r="AU30" s="253">
        <f t="shared" si="1"/>
        <v>0</v>
      </c>
      <c r="AV30" s="253">
        <f>IF(AU30=0,0,COUNTIF($AV$15:AV29,"&gt;0")+1)</f>
        <v>0</v>
      </c>
      <c r="AX30" s="255" t="str">
        <f t="shared" si="7"/>
        <v/>
      </c>
      <c r="AY30" s="255" t="str">
        <f t="shared" si="2"/>
        <v/>
      </c>
      <c r="BD30" s="254">
        <f t="shared" si="9"/>
        <v>16</v>
      </c>
      <c r="BE30" s="254" t="str">
        <f>IFERROR(INDEX(D01_Races!$B$2:$B$101,MATCH(C_Input!BD30,D01_Races!$C$2:$C$101,0),1),"")</f>
        <v>Gnol</v>
      </c>
      <c r="BF30" s="252" t="str">
        <f t="shared" si="10"/>
        <v/>
      </c>
      <c r="BG30" s="252" t="str">
        <f>IFERROR(IF(BF30="","",INDEX(D01_Races!$E$2:$E$101,MATCH(C_Input!BF30,D01_Races!$D$2:$D$101,0),1)),"")</f>
        <v/>
      </c>
      <c r="BH30" s="252" t="str">
        <f>IFERROR(IF(BF30="","",INDEX(D01_Races!$A$2:$A$101,MATCH(C_Input!BF30,D01_Races!$D$2:$D$101,0),1)),"")</f>
        <v/>
      </c>
    </row>
    <row r="31" spans="1:64" ht="15.95" customHeight="1" outlineLevel="1" x14ac:dyDescent="0.3">
      <c r="A31" s="152"/>
      <c r="B31" s="805"/>
      <c r="C31" s="828"/>
      <c r="D31" s="823"/>
      <c r="E31" s="823"/>
      <c r="F31" s="823"/>
      <c r="G31" s="823"/>
      <c r="H31" s="823"/>
      <c r="I31" s="823"/>
      <c r="J31" s="824"/>
      <c r="K31" s="152"/>
      <c r="L31" s="805"/>
      <c r="M31" s="828"/>
      <c r="N31" s="823"/>
      <c r="O31" s="823"/>
      <c r="P31" s="823"/>
      <c r="Q31" s="823"/>
      <c r="R31" s="823"/>
      <c r="S31" s="823"/>
      <c r="T31" s="824"/>
      <c r="U31" s="152"/>
      <c r="V31" s="912"/>
      <c r="W31" s="913"/>
      <c r="X31" s="913"/>
      <c r="Y31" s="913"/>
      <c r="Z31" s="913"/>
      <c r="AA31" s="913"/>
      <c r="AB31" s="913"/>
      <c r="AC31" s="913"/>
      <c r="AD31" s="913"/>
      <c r="AE31" s="914"/>
      <c r="AF31" s="171"/>
      <c r="AH31" s="253" t="str">
        <f t="shared" si="5"/>
        <v/>
      </c>
      <c r="AI31" s="253" t="str">
        <f>IFERROR(INDEX(D04_Classes!$B$3:$B$102,AH31,1),"")</f>
        <v/>
      </c>
      <c r="AJ31" s="253" t="str">
        <f t="shared" si="0"/>
        <v/>
      </c>
      <c r="AK31" s="253">
        <f t="shared" si="6"/>
        <v>0</v>
      </c>
      <c r="AL31" s="253">
        <f>IF(AK31=0,0,COUNTIF($AL$15:AL30,"&gt;0")+1)</f>
        <v>0</v>
      </c>
      <c r="AM31" s="253">
        <f>IF(IFERROR(SEARCH("and",INDEX(D04_Classes!$BW$3:$BW$102,MATCH(C_Input!AI31,D04_Classes!$B$3:$B$102,0),1)),0)&gt;1,1,0)</f>
        <v>0</v>
      </c>
      <c r="AN31" s="253">
        <f>IF(IFERROR(SEARCH("or",INDEX(D04_Classes!$BW$3:$BW$102,MATCH(C_Input!AI31,D04_Classes!$B$3:$B$102,0),1)),0)&gt;1,1,0)</f>
        <v>0</v>
      </c>
      <c r="AO31" s="253" t="str">
        <f>IF(OR(IFERROR(SEARCH("Strength",INDEX(D04_Classes!$BW$3:$BW$102,MATCH(C_Input!AI31,D04_Classes!$B$3:$B$102,0),1)),0)=0,AND(IFERROR(SEARCH("Strength",INDEX(D04_Classes!$BW$3:$BW$102,MATCH(C_Input!AI31,D04_Classes!$B$3:$B$102,0),1)),0)&gt;0,Strength&gt;12)),"yes","no")</f>
        <v>yes</v>
      </c>
      <c r="AP31" s="253" t="str">
        <f>IF(OR(IFERROR(SEARCH("Dexterity",INDEX(D04_Classes!$BW$3:$BW$102,MATCH(C_Input!AI31,D04_Classes!$B$3:$B$102,0),1)),0)=0,AND(IFERROR(SEARCH("Dexterity",INDEX(D04_Classes!$BW$3:$BW$102,MATCH(C_Input!AI31,D04_Classes!$B$3:$B$102,0),1)),0)&gt;0,Dexterity&gt;12)),"yes","no")</f>
        <v>yes</v>
      </c>
      <c r="AQ31" s="253" t="str">
        <f>IF(OR(IFERROR(SEARCH("Constitution",INDEX(D04_Classes!$BW$3:$BW$102,MATCH(C_Input!AI31,D04_Classes!$B$3:$B$102,0),1)),0)=0,AND(IFERROR(SEARCH("Constitution",INDEX(D04_Classes!$BW$3:$BW$102,MATCH(C_Input!AI31,D04_Classes!$B$3:$B$102,0),1)),0)&gt;0,Constitution&gt;12)),"yes","no")</f>
        <v>yes</v>
      </c>
      <c r="AR31" s="253" t="str">
        <f>IF(OR(IFERROR(SEARCH("Intelligence",INDEX(D04_Classes!$BW$3:$BW$102,MATCH(C_Input!AI31,D04_Classes!$B$3:$B$102,0),1)),0)=0,AND(IFERROR(SEARCH("Intelligence",INDEX(D04_Classes!$BW$3:$BW$102,MATCH(C_Input!AI31,D04_Classes!$B$3:$B$102,0),1)),0)&gt;0,Intelligence&gt;12)),"yes","no")</f>
        <v>yes</v>
      </c>
      <c r="AS31" s="253" t="str">
        <f>IF(OR(IFERROR(SEARCH("Wisdom",INDEX(D04_Classes!$BW$3:$BW$102,MATCH(C_Input!AI31,D04_Classes!$B$3:$B$102,0),1)),0)=0,AND(IFERROR(SEARCH("Wisdom",INDEX(D04_Classes!$BW$3:$BW$102,MATCH(C_Input!AI31,D04_Classes!$B$3:$B$102,0),1)),0)&gt;0,Wisdom&gt;12)),"yes","no")</f>
        <v>yes</v>
      </c>
      <c r="AT31" s="253" t="str">
        <f>IF(OR(IFERROR(SEARCH("Charisma",INDEX(D04_Classes!$BW$3:$BW$102,MATCH(C_Input!AI31,D04_Classes!$B$3:$B$102,0),1)),0)=0,AND(IFERROR(SEARCH("Charisma",INDEX(D04_Classes!$BW$3:$BW$102,MATCH(C_Input!AI31,D04_Classes!$B$3:$B$102,0),1)),0)&gt;0,Charisma&gt;12)),"yes","no")</f>
        <v>yes</v>
      </c>
      <c r="AU31" s="253">
        <f t="shared" si="1"/>
        <v>0</v>
      </c>
      <c r="AV31" s="253">
        <f>IF(AU31=0,0,COUNTIF($AV$15:AV30,"&gt;0")+1)</f>
        <v>0</v>
      </c>
      <c r="AX31" s="255" t="str">
        <f t="shared" si="7"/>
        <v/>
      </c>
      <c r="AY31" s="255" t="str">
        <f t="shared" si="2"/>
        <v/>
      </c>
      <c r="BD31" s="254">
        <f t="shared" si="9"/>
        <v>17</v>
      </c>
      <c r="BE31" s="254" t="str">
        <f>IFERROR(INDEX(D01_Races!$B$2:$B$101,MATCH(C_Input!BD31,D01_Races!$C$2:$C$101,0),1),"")</f>
        <v>Grimlock</v>
      </c>
      <c r="BF31" s="252" t="str">
        <f t="shared" si="10"/>
        <v/>
      </c>
      <c r="BG31" s="252" t="str">
        <f>IFERROR(IF(BF31="","",INDEX(D01_Races!$E$2:$E$101,MATCH(C_Input!BF31,D01_Races!$D$2:$D$101,0),1)),"")</f>
        <v/>
      </c>
      <c r="BH31" s="252" t="str">
        <f>IFERROR(IF(BF31="","",INDEX(D01_Races!$A$2:$A$101,MATCH(C_Input!BF31,D01_Races!$D$2:$D$101,0),1)),"")</f>
        <v/>
      </c>
    </row>
    <row r="32" spans="1:64" ht="15.95" customHeight="1" outlineLevel="1" thickBot="1" x14ac:dyDescent="0.35">
      <c r="A32" s="152"/>
      <c r="B32" s="807"/>
      <c r="C32" s="829"/>
      <c r="D32" s="825"/>
      <c r="E32" s="825"/>
      <c r="F32" s="825"/>
      <c r="G32" s="825"/>
      <c r="H32" s="825"/>
      <c r="I32" s="825"/>
      <c r="J32" s="826"/>
      <c r="K32" s="152"/>
      <c r="L32" s="807"/>
      <c r="M32" s="829"/>
      <c r="N32" s="825"/>
      <c r="O32" s="825"/>
      <c r="P32" s="825"/>
      <c r="Q32" s="825"/>
      <c r="R32" s="825"/>
      <c r="S32" s="825"/>
      <c r="T32" s="826"/>
      <c r="U32" s="152"/>
      <c r="V32" s="915"/>
      <c r="W32" s="916"/>
      <c r="X32" s="916"/>
      <c r="Y32" s="916"/>
      <c r="Z32" s="916"/>
      <c r="AA32" s="916"/>
      <c r="AB32" s="916"/>
      <c r="AC32" s="916"/>
      <c r="AD32" s="916"/>
      <c r="AE32" s="917"/>
      <c r="AF32" s="171"/>
      <c r="AH32" s="253" t="str">
        <f t="shared" si="5"/>
        <v/>
      </c>
      <c r="AI32" s="253" t="str">
        <f>IFERROR(INDEX(D04_Classes!$B$3:$B$102,AH32,1),"")</f>
        <v/>
      </c>
      <c r="AJ32" s="253" t="str">
        <f t="shared" si="0"/>
        <v/>
      </c>
      <c r="AK32" s="253">
        <f t="shared" si="6"/>
        <v>0</v>
      </c>
      <c r="AL32" s="253">
        <f>IF(AK32=0,0,COUNTIF($AL$15:AL31,"&gt;0")+1)</f>
        <v>0</v>
      </c>
      <c r="AM32" s="253">
        <f>IF(IFERROR(SEARCH("and",INDEX(D04_Classes!$BW$3:$BW$102,MATCH(C_Input!AI32,D04_Classes!$B$3:$B$102,0),1)),0)&gt;1,1,0)</f>
        <v>0</v>
      </c>
      <c r="AN32" s="253">
        <f>IF(IFERROR(SEARCH("or",INDEX(D04_Classes!$BW$3:$BW$102,MATCH(C_Input!AI32,D04_Classes!$B$3:$B$102,0),1)),0)&gt;1,1,0)</f>
        <v>0</v>
      </c>
      <c r="AO32" s="253" t="str">
        <f>IF(OR(IFERROR(SEARCH("Strength",INDEX(D04_Classes!$BW$3:$BW$102,MATCH(C_Input!AI32,D04_Classes!$B$3:$B$102,0),1)),0)=0,AND(IFERROR(SEARCH("Strength",INDEX(D04_Classes!$BW$3:$BW$102,MATCH(C_Input!AI32,D04_Classes!$B$3:$B$102,0),1)),0)&gt;0,Strength&gt;12)),"yes","no")</f>
        <v>yes</v>
      </c>
      <c r="AP32" s="253" t="str">
        <f>IF(OR(IFERROR(SEARCH("Dexterity",INDEX(D04_Classes!$BW$3:$BW$102,MATCH(C_Input!AI32,D04_Classes!$B$3:$B$102,0),1)),0)=0,AND(IFERROR(SEARCH("Dexterity",INDEX(D04_Classes!$BW$3:$BW$102,MATCH(C_Input!AI32,D04_Classes!$B$3:$B$102,0),1)),0)&gt;0,Dexterity&gt;12)),"yes","no")</f>
        <v>yes</v>
      </c>
      <c r="AQ32" s="253" t="str">
        <f>IF(OR(IFERROR(SEARCH("Constitution",INDEX(D04_Classes!$BW$3:$BW$102,MATCH(C_Input!AI32,D04_Classes!$B$3:$B$102,0),1)),0)=0,AND(IFERROR(SEARCH("Constitution",INDEX(D04_Classes!$BW$3:$BW$102,MATCH(C_Input!AI32,D04_Classes!$B$3:$B$102,0),1)),0)&gt;0,Constitution&gt;12)),"yes","no")</f>
        <v>yes</v>
      </c>
      <c r="AR32" s="253" t="str">
        <f>IF(OR(IFERROR(SEARCH("Intelligence",INDEX(D04_Classes!$BW$3:$BW$102,MATCH(C_Input!AI32,D04_Classes!$B$3:$B$102,0),1)),0)=0,AND(IFERROR(SEARCH("Intelligence",INDEX(D04_Classes!$BW$3:$BW$102,MATCH(C_Input!AI32,D04_Classes!$B$3:$B$102,0),1)),0)&gt;0,Intelligence&gt;12)),"yes","no")</f>
        <v>yes</v>
      </c>
      <c r="AS32" s="253" t="str">
        <f>IF(OR(IFERROR(SEARCH("Wisdom",INDEX(D04_Classes!$BW$3:$BW$102,MATCH(C_Input!AI32,D04_Classes!$B$3:$B$102,0),1)),0)=0,AND(IFERROR(SEARCH("Wisdom",INDEX(D04_Classes!$BW$3:$BW$102,MATCH(C_Input!AI32,D04_Classes!$B$3:$B$102,0),1)),0)&gt;0,Wisdom&gt;12)),"yes","no")</f>
        <v>yes</v>
      </c>
      <c r="AT32" s="253" t="str">
        <f>IF(OR(IFERROR(SEARCH("Charisma",INDEX(D04_Classes!$BW$3:$BW$102,MATCH(C_Input!AI32,D04_Classes!$B$3:$B$102,0),1)),0)=0,AND(IFERROR(SEARCH("Charisma",INDEX(D04_Classes!$BW$3:$BW$102,MATCH(C_Input!AI32,D04_Classes!$B$3:$B$102,0),1)),0)&gt;0,Charisma&gt;12)),"yes","no")</f>
        <v>yes</v>
      </c>
      <c r="AU32" s="253">
        <f t="shared" si="1"/>
        <v>0</v>
      </c>
      <c r="AV32" s="253">
        <f>IF(AU32=0,0,COUNTIF($AV$15:AV31,"&gt;0")+1)</f>
        <v>0</v>
      </c>
      <c r="AX32" s="255" t="str">
        <f t="shared" si="7"/>
        <v/>
      </c>
      <c r="AY32" s="255" t="str">
        <f t="shared" si="2"/>
        <v/>
      </c>
      <c r="BD32" s="254">
        <f t="shared" si="9"/>
        <v>18</v>
      </c>
      <c r="BE32" s="254" t="str">
        <f>IFERROR(INDEX(D01_Races!$B$2:$B$101,MATCH(C_Input!BD32,D01_Races!$C$2:$C$101,0),1),"")</f>
        <v>Hobgoblin</v>
      </c>
      <c r="BF32" s="252" t="str">
        <f t="shared" si="10"/>
        <v/>
      </c>
      <c r="BG32" s="252" t="str">
        <f>IFERROR(IF(BF32="","",INDEX(D01_Races!$E$2:$E$101,MATCH(C_Input!BF32,D01_Races!$D$2:$D$101,0),1)),"")</f>
        <v/>
      </c>
      <c r="BH32" s="252" t="str">
        <f>IFERROR(IF(BF32="","",INDEX(D01_Races!$A$2:$A$101,MATCH(C_Input!BF32,D01_Races!$D$2:$D$101,0),1)),"")</f>
        <v/>
      </c>
    </row>
    <row r="33" spans="1:152" ht="15.95" customHeight="1" outlineLevel="1" thickBot="1" x14ac:dyDescent="0.35">
      <c r="A33" s="152"/>
      <c r="B33" s="152"/>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71"/>
      <c r="AH33" s="253" t="str">
        <f t="shared" si="5"/>
        <v/>
      </c>
      <c r="AI33" s="253" t="str">
        <f>IFERROR(INDEX(D04_Classes!$B$3:$B$102,AH33,1),"")</f>
        <v/>
      </c>
      <c r="AJ33" s="253" t="str">
        <f t="shared" si="0"/>
        <v/>
      </c>
      <c r="AK33" s="253">
        <f t="shared" si="6"/>
        <v>0</v>
      </c>
      <c r="AL33" s="253">
        <f>IF(AK33=0,0,COUNTIF($AL$15:AL32,"&gt;0")+1)</f>
        <v>0</v>
      </c>
      <c r="AM33" s="253">
        <f>IF(IFERROR(SEARCH("and",INDEX(D04_Classes!$BW$3:$BW$102,MATCH(C_Input!AI33,D04_Classes!$B$3:$B$102,0),1)),0)&gt;1,1,0)</f>
        <v>0</v>
      </c>
      <c r="AN33" s="253">
        <f>IF(IFERROR(SEARCH("or",INDEX(D04_Classes!$BW$3:$BW$102,MATCH(C_Input!AI33,D04_Classes!$B$3:$B$102,0),1)),0)&gt;1,1,0)</f>
        <v>0</v>
      </c>
      <c r="AO33" s="253" t="str">
        <f>IF(OR(IFERROR(SEARCH("Strength",INDEX(D04_Classes!$BW$3:$BW$102,MATCH(C_Input!AI33,D04_Classes!$B$3:$B$102,0),1)),0)=0,AND(IFERROR(SEARCH("Strength",INDEX(D04_Classes!$BW$3:$BW$102,MATCH(C_Input!AI33,D04_Classes!$B$3:$B$102,0),1)),0)&gt;0,Strength&gt;12)),"yes","no")</f>
        <v>yes</v>
      </c>
      <c r="AP33" s="253" t="str">
        <f>IF(OR(IFERROR(SEARCH("Dexterity",INDEX(D04_Classes!$BW$3:$BW$102,MATCH(C_Input!AI33,D04_Classes!$B$3:$B$102,0),1)),0)=0,AND(IFERROR(SEARCH("Dexterity",INDEX(D04_Classes!$BW$3:$BW$102,MATCH(C_Input!AI33,D04_Classes!$B$3:$B$102,0),1)),0)&gt;0,Dexterity&gt;12)),"yes","no")</f>
        <v>yes</v>
      </c>
      <c r="AQ33" s="253" t="str">
        <f>IF(OR(IFERROR(SEARCH("Constitution",INDEX(D04_Classes!$BW$3:$BW$102,MATCH(C_Input!AI33,D04_Classes!$B$3:$B$102,0),1)),0)=0,AND(IFERROR(SEARCH("Constitution",INDEX(D04_Classes!$BW$3:$BW$102,MATCH(C_Input!AI33,D04_Classes!$B$3:$B$102,0),1)),0)&gt;0,Constitution&gt;12)),"yes","no")</f>
        <v>yes</v>
      </c>
      <c r="AR33" s="253" t="str">
        <f>IF(OR(IFERROR(SEARCH("Intelligence",INDEX(D04_Classes!$BW$3:$BW$102,MATCH(C_Input!AI33,D04_Classes!$B$3:$B$102,0),1)),0)=0,AND(IFERROR(SEARCH("Intelligence",INDEX(D04_Classes!$BW$3:$BW$102,MATCH(C_Input!AI33,D04_Classes!$B$3:$B$102,0),1)),0)&gt;0,Intelligence&gt;12)),"yes","no")</f>
        <v>yes</v>
      </c>
      <c r="AS33" s="253" t="str">
        <f>IF(OR(IFERROR(SEARCH("Wisdom",INDEX(D04_Classes!$BW$3:$BW$102,MATCH(C_Input!AI33,D04_Classes!$B$3:$B$102,0),1)),0)=0,AND(IFERROR(SEARCH("Wisdom",INDEX(D04_Classes!$BW$3:$BW$102,MATCH(C_Input!AI33,D04_Classes!$B$3:$B$102,0),1)),0)&gt;0,Wisdom&gt;12)),"yes","no")</f>
        <v>yes</v>
      </c>
      <c r="AT33" s="253" t="str">
        <f>IF(OR(IFERROR(SEARCH("Charisma",INDEX(D04_Classes!$BW$3:$BW$102,MATCH(C_Input!AI33,D04_Classes!$B$3:$B$102,0),1)),0)=0,AND(IFERROR(SEARCH("Charisma",INDEX(D04_Classes!$BW$3:$BW$102,MATCH(C_Input!AI33,D04_Classes!$B$3:$B$102,0),1)),0)&gt;0,Charisma&gt;12)),"yes","no")</f>
        <v>yes</v>
      </c>
      <c r="AU33" s="253">
        <f t="shared" si="1"/>
        <v>0</v>
      </c>
      <c r="AV33" s="253">
        <f>IF(AU33=0,0,COUNTIF($AV$15:AV32,"&gt;0")+1)</f>
        <v>0</v>
      </c>
      <c r="AX33" s="255" t="str">
        <f t="shared" si="7"/>
        <v/>
      </c>
      <c r="AY33" s="255" t="str">
        <f t="shared" si="2"/>
        <v/>
      </c>
      <c r="BD33" s="254">
        <f t="shared" si="9"/>
        <v>19</v>
      </c>
      <c r="BE33" s="254" t="str">
        <f>IFERROR(INDEX(D01_Races!$B$2:$B$101,MATCH(C_Input!BD33,D01_Races!$C$2:$C$101,0),1),"")</f>
        <v>Kenku</v>
      </c>
      <c r="BF33" s="252" t="str">
        <f t="shared" si="10"/>
        <v/>
      </c>
      <c r="BG33" s="252" t="str">
        <f>IFERROR(IF(BF33="","",INDEX(D01_Races!$E$2:$E$101,MATCH(C_Input!BF33,D01_Races!$D$2:$D$101,0),1)),"")</f>
        <v/>
      </c>
      <c r="BH33" s="252" t="str">
        <f>IFERROR(IF(BF33="","",INDEX(D01_Races!$A$2:$A$101,MATCH(C_Input!BF33,D01_Races!$D$2:$D$101,0),1)),"")</f>
        <v/>
      </c>
    </row>
    <row r="34" spans="1:152" ht="15.95" customHeight="1" outlineLevel="1" x14ac:dyDescent="0.3">
      <c r="A34" s="152"/>
      <c r="B34" s="803" t="s">
        <v>4159</v>
      </c>
      <c r="C34" s="804"/>
      <c r="D34" s="809" t="str">
        <f>IFERROR(INDEX(D02_Background!O2:O101,SelectedBackgroundId,1),"")</f>
        <v>Criminal Contact</v>
      </c>
      <c r="E34" s="810"/>
      <c r="F34" s="810"/>
      <c r="G34" s="811"/>
      <c r="H34" s="773" t="str">
        <f>IFERROR(INDEX(D02_Background!P2:P101,SelectedBackgroundId,1),"")</f>
        <v>You have a reliable and trustworthy contact who acts as your liaison to a network of other criminals.</v>
      </c>
      <c r="I34" s="774"/>
      <c r="J34" s="774"/>
      <c r="K34" s="774"/>
      <c r="L34" s="774"/>
      <c r="M34" s="774"/>
      <c r="N34" s="774"/>
      <c r="O34" s="774"/>
      <c r="P34" s="774"/>
      <c r="Q34" s="774"/>
      <c r="R34" s="774"/>
      <c r="S34" s="774"/>
      <c r="T34" s="775"/>
      <c r="U34" s="152"/>
      <c r="V34" s="152"/>
      <c r="W34" s="152"/>
      <c r="X34" s="152"/>
      <c r="Y34" s="152"/>
      <c r="Z34" s="152"/>
      <c r="AA34" s="152"/>
      <c r="AB34" s="152"/>
      <c r="AC34" s="152"/>
      <c r="AD34" s="152"/>
      <c r="AE34" s="152"/>
      <c r="AF34" s="171"/>
      <c r="AH34" s="253" t="str">
        <f t="shared" si="5"/>
        <v/>
      </c>
      <c r="AI34" s="253" t="str">
        <f>IFERROR(INDEX(D04_Classes!$B$3:$B$102,AH34,1),"")</f>
        <v/>
      </c>
      <c r="AJ34" s="253" t="str">
        <f t="shared" si="0"/>
        <v/>
      </c>
      <c r="AK34" s="253">
        <f t="shared" si="6"/>
        <v>0</v>
      </c>
      <c r="AL34" s="253">
        <f>IF(AK34=0,0,COUNTIF($AL$15:AL33,"&gt;0")+1)</f>
        <v>0</v>
      </c>
      <c r="AM34" s="253">
        <f>IF(IFERROR(SEARCH("and",INDEX(D04_Classes!$BW$3:$BW$102,MATCH(C_Input!AI34,D04_Classes!$B$3:$B$102,0),1)),0)&gt;1,1,0)</f>
        <v>0</v>
      </c>
      <c r="AN34" s="253">
        <f>IF(IFERROR(SEARCH("or",INDEX(D04_Classes!$BW$3:$BW$102,MATCH(C_Input!AI34,D04_Classes!$B$3:$B$102,0),1)),0)&gt;1,1,0)</f>
        <v>0</v>
      </c>
      <c r="AO34" s="253" t="str">
        <f>IF(OR(IFERROR(SEARCH("Strength",INDEX(D04_Classes!$BW$3:$BW$102,MATCH(C_Input!AI34,D04_Classes!$B$3:$B$102,0),1)),0)=0,AND(IFERROR(SEARCH("Strength",INDEX(D04_Classes!$BW$3:$BW$102,MATCH(C_Input!AI34,D04_Classes!$B$3:$B$102,0),1)),0)&gt;0,Strength&gt;12)),"yes","no")</f>
        <v>yes</v>
      </c>
      <c r="AP34" s="253" t="str">
        <f>IF(OR(IFERROR(SEARCH("Dexterity",INDEX(D04_Classes!$BW$3:$BW$102,MATCH(C_Input!AI34,D04_Classes!$B$3:$B$102,0),1)),0)=0,AND(IFERROR(SEARCH("Dexterity",INDEX(D04_Classes!$BW$3:$BW$102,MATCH(C_Input!AI34,D04_Classes!$B$3:$B$102,0),1)),0)&gt;0,Dexterity&gt;12)),"yes","no")</f>
        <v>yes</v>
      </c>
      <c r="AQ34" s="253" t="str">
        <f>IF(OR(IFERROR(SEARCH("Constitution",INDEX(D04_Classes!$BW$3:$BW$102,MATCH(C_Input!AI34,D04_Classes!$B$3:$B$102,0),1)),0)=0,AND(IFERROR(SEARCH("Constitution",INDEX(D04_Classes!$BW$3:$BW$102,MATCH(C_Input!AI34,D04_Classes!$B$3:$B$102,0),1)),0)&gt;0,Constitution&gt;12)),"yes","no")</f>
        <v>yes</v>
      </c>
      <c r="AR34" s="253" t="str">
        <f>IF(OR(IFERROR(SEARCH("Intelligence",INDEX(D04_Classes!$BW$3:$BW$102,MATCH(C_Input!AI34,D04_Classes!$B$3:$B$102,0),1)),0)=0,AND(IFERROR(SEARCH("Intelligence",INDEX(D04_Classes!$BW$3:$BW$102,MATCH(C_Input!AI34,D04_Classes!$B$3:$B$102,0),1)),0)&gt;0,Intelligence&gt;12)),"yes","no")</f>
        <v>yes</v>
      </c>
      <c r="AS34" s="253" t="str">
        <f>IF(OR(IFERROR(SEARCH("Wisdom",INDEX(D04_Classes!$BW$3:$BW$102,MATCH(C_Input!AI34,D04_Classes!$B$3:$B$102,0),1)),0)=0,AND(IFERROR(SEARCH("Wisdom",INDEX(D04_Classes!$BW$3:$BW$102,MATCH(C_Input!AI34,D04_Classes!$B$3:$B$102,0),1)),0)&gt;0,Wisdom&gt;12)),"yes","no")</f>
        <v>yes</v>
      </c>
      <c r="AT34" s="253" t="str">
        <f>IF(OR(IFERROR(SEARCH("Charisma",INDEX(D04_Classes!$BW$3:$BW$102,MATCH(C_Input!AI34,D04_Classes!$B$3:$B$102,0),1)),0)=0,AND(IFERROR(SEARCH("Charisma",INDEX(D04_Classes!$BW$3:$BW$102,MATCH(C_Input!AI34,D04_Classes!$B$3:$B$102,0),1)),0)&gt;0,Charisma&gt;12)),"yes","no")</f>
        <v>yes</v>
      </c>
      <c r="AU34" s="253">
        <f t="shared" si="1"/>
        <v>0</v>
      </c>
      <c r="AV34" s="253">
        <f>IF(AU34=0,0,COUNTIF($AV$15:AV33,"&gt;0")+1)</f>
        <v>0</v>
      </c>
      <c r="AX34" s="255" t="str">
        <f t="shared" si="7"/>
        <v/>
      </c>
      <c r="AY34" s="255" t="str">
        <f t="shared" si="2"/>
        <v/>
      </c>
      <c r="BD34" s="254">
        <f t="shared" si="9"/>
        <v>20</v>
      </c>
      <c r="BE34" s="254" t="str">
        <f>IFERROR(INDEX(D01_Races!$B$2:$B$101,MATCH(C_Input!BD34,D01_Races!$C$2:$C$101,0),1),"")</f>
        <v>Kobold</v>
      </c>
      <c r="BF34" s="252" t="str">
        <f t="shared" si="10"/>
        <v/>
      </c>
      <c r="BG34" s="252" t="str">
        <f>IFERROR(IF(BF34="","",INDEX(D01_Races!$E$2:$E$101,MATCH(C_Input!BF34,D01_Races!$D$2:$D$101,0),1)),"")</f>
        <v/>
      </c>
      <c r="BH34" s="252" t="str">
        <f>IFERROR(IF(BF34="","",INDEX(D01_Races!$A$2:$A$101,MATCH(C_Input!BF34,D01_Races!$D$2:$D$101,0),1)),"")</f>
        <v/>
      </c>
    </row>
    <row r="35" spans="1:152" ht="15.95" customHeight="1" outlineLevel="1" x14ac:dyDescent="0.3">
      <c r="A35" s="152"/>
      <c r="B35" s="805"/>
      <c r="C35" s="806"/>
      <c r="D35" s="812"/>
      <c r="E35" s="813"/>
      <c r="F35" s="813"/>
      <c r="G35" s="814"/>
      <c r="H35" s="776"/>
      <c r="I35" s="777"/>
      <c r="J35" s="777"/>
      <c r="K35" s="777"/>
      <c r="L35" s="777"/>
      <c r="M35" s="777"/>
      <c r="N35" s="777"/>
      <c r="O35" s="777"/>
      <c r="P35" s="777"/>
      <c r="Q35" s="777"/>
      <c r="R35" s="777"/>
      <c r="S35" s="777"/>
      <c r="T35" s="778"/>
      <c r="U35" s="152"/>
      <c r="V35" s="152"/>
      <c r="W35" s="152"/>
      <c r="X35" s="152"/>
      <c r="Y35" s="152"/>
      <c r="Z35" s="152"/>
      <c r="AA35" s="152"/>
      <c r="AB35" s="152"/>
      <c r="AC35" s="152"/>
      <c r="AD35" s="152"/>
      <c r="AE35" s="152"/>
      <c r="AF35" s="171"/>
      <c r="AH35" s="253" t="str">
        <f t="shared" si="5"/>
        <v/>
      </c>
      <c r="AI35" s="253" t="str">
        <f>IFERROR(INDEX(D04_Classes!$B$3:$B$102,AH35,1),"")</f>
        <v/>
      </c>
      <c r="AJ35" s="253" t="str">
        <f t="shared" si="0"/>
        <v/>
      </c>
      <c r="AK35" s="253">
        <f t="shared" si="6"/>
        <v>0</v>
      </c>
      <c r="AL35" s="253">
        <f>IF(AK35=0,0,COUNTIF($AL$15:AL34,"&gt;0")+1)</f>
        <v>0</v>
      </c>
      <c r="AM35" s="253">
        <f>IF(IFERROR(SEARCH("and",INDEX(D04_Classes!$BW$3:$BW$102,MATCH(C_Input!AI35,D04_Classes!$B$3:$B$102,0),1)),0)&gt;1,1,0)</f>
        <v>0</v>
      </c>
      <c r="AN35" s="253">
        <f>IF(IFERROR(SEARCH("or",INDEX(D04_Classes!$BW$3:$BW$102,MATCH(C_Input!AI35,D04_Classes!$B$3:$B$102,0),1)),0)&gt;1,1,0)</f>
        <v>0</v>
      </c>
      <c r="AO35" s="253" t="str">
        <f>IF(OR(IFERROR(SEARCH("Strength",INDEX(D04_Classes!$BW$3:$BW$102,MATCH(C_Input!AI35,D04_Classes!$B$3:$B$102,0),1)),0)=0,AND(IFERROR(SEARCH("Strength",INDEX(D04_Classes!$BW$3:$BW$102,MATCH(C_Input!AI35,D04_Classes!$B$3:$B$102,0),1)),0)&gt;0,Strength&gt;12)),"yes","no")</f>
        <v>yes</v>
      </c>
      <c r="AP35" s="253" t="str">
        <f>IF(OR(IFERROR(SEARCH("Dexterity",INDEX(D04_Classes!$BW$3:$BW$102,MATCH(C_Input!AI35,D04_Classes!$B$3:$B$102,0),1)),0)=0,AND(IFERROR(SEARCH("Dexterity",INDEX(D04_Classes!$BW$3:$BW$102,MATCH(C_Input!AI35,D04_Classes!$B$3:$B$102,0),1)),0)&gt;0,Dexterity&gt;12)),"yes","no")</f>
        <v>yes</v>
      </c>
      <c r="AQ35" s="253" t="str">
        <f>IF(OR(IFERROR(SEARCH("Constitution",INDEX(D04_Classes!$BW$3:$BW$102,MATCH(C_Input!AI35,D04_Classes!$B$3:$B$102,0),1)),0)=0,AND(IFERROR(SEARCH("Constitution",INDEX(D04_Classes!$BW$3:$BW$102,MATCH(C_Input!AI35,D04_Classes!$B$3:$B$102,0),1)),0)&gt;0,Constitution&gt;12)),"yes","no")</f>
        <v>yes</v>
      </c>
      <c r="AR35" s="253" t="str">
        <f>IF(OR(IFERROR(SEARCH("Intelligence",INDEX(D04_Classes!$BW$3:$BW$102,MATCH(C_Input!AI35,D04_Classes!$B$3:$B$102,0),1)),0)=0,AND(IFERROR(SEARCH("Intelligence",INDEX(D04_Classes!$BW$3:$BW$102,MATCH(C_Input!AI35,D04_Classes!$B$3:$B$102,0),1)),0)&gt;0,Intelligence&gt;12)),"yes","no")</f>
        <v>yes</v>
      </c>
      <c r="AS35" s="253" t="str">
        <f>IF(OR(IFERROR(SEARCH("Wisdom",INDEX(D04_Classes!$BW$3:$BW$102,MATCH(C_Input!AI35,D04_Classes!$B$3:$B$102,0),1)),0)=0,AND(IFERROR(SEARCH("Wisdom",INDEX(D04_Classes!$BW$3:$BW$102,MATCH(C_Input!AI35,D04_Classes!$B$3:$B$102,0),1)),0)&gt;0,Wisdom&gt;12)),"yes","no")</f>
        <v>yes</v>
      </c>
      <c r="AT35" s="253" t="str">
        <f>IF(OR(IFERROR(SEARCH("Charisma",INDEX(D04_Classes!$BW$3:$BW$102,MATCH(C_Input!AI35,D04_Classes!$B$3:$B$102,0),1)),0)=0,AND(IFERROR(SEARCH("Charisma",INDEX(D04_Classes!$BW$3:$BW$102,MATCH(C_Input!AI35,D04_Classes!$B$3:$B$102,0),1)),0)&gt;0,Charisma&gt;12)),"yes","no")</f>
        <v>yes</v>
      </c>
      <c r="AU35" s="253">
        <f t="shared" si="1"/>
        <v>0</v>
      </c>
      <c r="AV35" s="253">
        <f>IF(AU35=0,0,COUNTIF($AV$15:AV34,"&gt;0")+1)</f>
        <v>0</v>
      </c>
      <c r="AX35" s="255" t="str">
        <f t="shared" si="7"/>
        <v/>
      </c>
      <c r="AY35" s="255" t="str">
        <f t="shared" si="2"/>
        <v/>
      </c>
      <c r="BD35" s="254">
        <f t="shared" si="9"/>
        <v>21</v>
      </c>
      <c r="BE35" s="254" t="str">
        <f>IFERROR(INDEX(D01_Races!$B$2:$B$101,MATCH(C_Input!BD35,D01_Races!$C$2:$C$101,0),1),"")</f>
        <v>Kuo-toa</v>
      </c>
      <c r="BF35" s="252" t="str">
        <f t="shared" si="10"/>
        <v/>
      </c>
      <c r="BG35" s="252" t="str">
        <f>IFERROR(IF(BF35="","",INDEX(D01_Races!$E$2:$E$101,MATCH(C_Input!BF35,D01_Races!$D$2:$D$101,0),1)),"")</f>
        <v/>
      </c>
      <c r="BH35" s="252" t="str">
        <f>IFERROR(IF(BF35="","",INDEX(D01_Races!$A$2:$A$101,MATCH(C_Input!BF35,D01_Races!$D$2:$D$101,0),1)),"")</f>
        <v/>
      </c>
    </row>
    <row r="36" spans="1:152" ht="15.95" customHeight="1" outlineLevel="1" thickBot="1" x14ac:dyDescent="0.35">
      <c r="A36" s="152"/>
      <c r="B36" s="807"/>
      <c r="C36" s="808"/>
      <c r="D36" s="815"/>
      <c r="E36" s="816"/>
      <c r="F36" s="816"/>
      <c r="G36" s="817"/>
      <c r="H36" s="779"/>
      <c r="I36" s="780"/>
      <c r="J36" s="780"/>
      <c r="K36" s="780"/>
      <c r="L36" s="780"/>
      <c r="M36" s="780"/>
      <c r="N36" s="780"/>
      <c r="O36" s="780"/>
      <c r="P36" s="780"/>
      <c r="Q36" s="780"/>
      <c r="R36" s="780"/>
      <c r="S36" s="780"/>
      <c r="T36" s="781"/>
      <c r="U36" s="152"/>
      <c r="V36" s="152"/>
      <c r="W36" s="152"/>
      <c r="X36" s="152"/>
      <c r="Y36" s="152"/>
      <c r="Z36" s="152"/>
      <c r="AA36" s="152"/>
      <c r="AB36" s="152"/>
      <c r="AC36" s="152"/>
      <c r="AD36" s="152"/>
      <c r="AE36" s="152"/>
      <c r="AF36" s="171"/>
      <c r="AH36" s="253" t="str">
        <f t="shared" si="5"/>
        <v/>
      </c>
      <c r="AI36" s="253" t="str">
        <f>IFERROR(INDEX(D04_Classes!$B$3:$B$102,AH36,1),"")</f>
        <v/>
      </c>
      <c r="AJ36" s="253" t="str">
        <f t="shared" si="0"/>
        <v/>
      </c>
      <c r="AK36" s="253">
        <f t="shared" si="6"/>
        <v>0</v>
      </c>
      <c r="AL36" s="253">
        <f>IF(AK36=0,0,COUNTIF($AL$15:AL35,"&gt;0")+1)</f>
        <v>0</v>
      </c>
      <c r="AM36" s="253">
        <f>IF(IFERROR(SEARCH("and",INDEX(D04_Classes!$BW$3:$BW$102,MATCH(C_Input!AI36,D04_Classes!$B$3:$B$102,0),1)),0)&gt;1,1,0)</f>
        <v>0</v>
      </c>
      <c r="AN36" s="253">
        <f>IF(IFERROR(SEARCH("or",INDEX(D04_Classes!$BW$3:$BW$102,MATCH(C_Input!AI36,D04_Classes!$B$3:$B$102,0),1)),0)&gt;1,1,0)</f>
        <v>0</v>
      </c>
      <c r="AO36" s="253" t="str">
        <f>IF(OR(IFERROR(SEARCH("Strength",INDEX(D04_Classes!$BW$3:$BW$102,MATCH(C_Input!AI36,D04_Classes!$B$3:$B$102,0),1)),0)=0,AND(IFERROR(SEARCH("Strength",INDEX(D04_Classes!$BW$3:$BW$102,MATCH(C_Input!AI36,D04_Classes!$B$3:$B$102,0),1)),0)&gt;0,Strength&gt;12)),"yes","no")</f>
        <v>yes</v>
      </c>
      <c r="AP36" s="253" t="str">
        <f>IF(OR(IFERROR(SEARCH("Dexterity",INDEX(D04_Classes!$BW$3:$BW$102,MATCH(C_Input!AI36,D04_Classes!$B$3:$B$102,0),1)),0)=0,AND(IFERROR(SEARCH("Dexterity",INDEX(D04_Classes!$BW$3:$BW$102,MATCH(C_Input!AI36,D04_Classes!$B$3:$B$102,0),1)),0)&gt;0,Dexterity&gt;12)),"yes","no")</f>
        <v>yes</v>
      </c>
      <c r="AQ36" s="253" t="str">
        <f>IF(OR(IFERROR(SEARCH("Constitution",INDEX(D04_Classes!$BW$3:$BW$102,MATCH(C_Input!AI36,D04_Classes!$B$3:$B$102,0),1)),0)=0,AND(IFERROR(SEARCH("Constitution",INDEX(D04_Classes!$BW$3:$BW$102,MATCH(C_Input!AI36,D04_Classes!$B$3:$B$102,0),1)),0)&gt;0,Constitution&gt;12)),"yes","no")</f>
        <v>yes</v>
      </c>
      <c r="AR36" s="253" t="str">
        <f>IF(OR(IFERROR(SEARCH("Intelligence",INDEX(D04_Classes!$BW$3:$BW$102,MATCH(C_Input!AI36,D04_Classes!$B$3:$B$102,0),1)),0)=0,AND(IFERROR(SEARCH("Intelligence",INDEX(D04_Classes!$BW$3:$BW$102,MATCH(C_Input!AI36,D04_Classes!$B$3:$B$102,0),1)),0)&gt;0,Intelligence&gt;12)),"yes","no")</f>
        <v>yes</v>
      </c>
      <c r="AS36" s="253" t="str">
        <f>IF(OR(IFERROR(SEARCH("Wisdom",INDEX(D04_Classes!$BW$3:$BW$102,MATCH(C_Input!AI36,D04_Classes!$B$3:$B$102,0),1)),0)=0,AND(IFERROR(SEARCH("Wisdom",INDEX(D04_Classes!$BW$3:$BW$102,MATCH(C_Input!AI36,D04_Classes!$B$3:$B$102,0),1)),0)&gt;0,Wisdom&gt;12)),"yes","no")</f>
        <v>yes</v>
      </c>
      <c r="AT36" s="253" t="str">
        <f>IF(OR(IFERROR(SEARCH("Charisma",INDEX(D04_Classes!$BW$3:$BW$102,MATCH(C_Input!AI36,D04_Classes!$B$3:$B$102,0),1)),0)=0,AND(IFERROR(SEARCH("Charisma",INDEX(D04_Classes!$BW$3:$BW$102,MATCH(C_Input!AI36,D04_Classes!$B$3:$B$102,0),1)),0)&gt;0,Charisma&gt;12)),"yes","no")</f>
        <v>yes</v>
      </c>
      <c r="AU36" s="253">
        <f t="shared" si="1"/>
        <v>0</v>
      </c>
      <c r="AV36" s="253">
        <f>IF(AU36=0,0,COUNTIF($AV$15:AV35,"&gt;0")+1)</f>
        <v>0</v>
      </c>
      <c r="AX36" s="255" t="str">
        <f t="shared" si="7"/>
        <v/>
      </c>
      <c r="AY36" s="255" t="str">
        <f t="shared" si="2"/>
        <v/>
      </c>
      <c r="BD36" s="254">
        <f t="shared" si="9"/>
        <v>22</v>
      </c>
      <c r="BE36" s="254" t="str">
        <f>IFERROR(INDEX(D01_Races!$B$2:$B$101,MATCH(C_Input!BD36,D01_Races!$C$2:$C$101,0),1),"")</f>
        <v>Lizardfolk</v>
      </c>
      <c r="BF36" s="252" t="str">
        <f t="shared" si="10"/>
        <v/>
      </c>
      <c r="BG36" s="252" t="str">
        <f>IFERROR(IF(BF36="","",INDEX(D01_Races!$E$2:$E$101,MATCH(C_Input!BF36,D01_Races!$D$2:$D$101,0),1)),"")</f>
        <v/>
      </c>
      <c r="BH36" s="252" t="str">
        <f>IFERROR(IF(BF36="","",INDEX(D01_Races!$A$2:$A$101,MATCH(C_Input!BF36,D01_Races!$D$2:$D$101,0),1)),"")</f>
        <v/>
      </c>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row>
    <row r="37" spans="1:152" ht="15.95" customHeight="1" thickBot="1" x14ac:dyDescent="0.35">
      <c r="A37" s="152"/>
      <c r="B37" s="152"/>
      <c r="C37" s="152"/>
      <c r="D37" s="152"/>
      <c r="E37" s="152"/>
      <c r="F37" s="152"/>
      <c r="G37" s="152"/>
      <c r="H37" s="152"/>
      <c r="I37" s="152"/>
      <c r="J37" s="152"/>
      <c r="K37" s="152"/>
      <c r="L37" s="152"/>
      <c r="M37" s="152"/>
      <c r="N37" s="152"/>
      <c r="O37" s="152"/>
      <c r="P37" s="152"/>
      <c r="Q37" s="152"/>
      <c r="R37" s="152"/>
      <c r="S37" s="152"/>
      <c r="T37" s="152"/>
      <c r="U37" s="152"/>
      <c r="V37" s="152"/>
      <c r="W37" s="152"/>
      <c r="X37" s="152"/>
      <c r="Y37" s="152"/>
      <c r="Z37" s="152"/>
      <c r="AA37" s="152"/>
      <c r="AB37" s="152"/>
      <c r="AC37" s="152"/>
      <c r="AD37" s="152"/>
      <c r="AE37" s="152"/>
      <c r="AF37" s="172"/>
      <c r="AH37" s="253" t="str">
        <f t="shared" si="5"/>
        <v/>
      </c>
      <c r="AI37" s="253" t="str">
        <f>IFERROR(INDEX(D04_Classes!$B$3:$B$102,AH37,1),"")</f>
        <v/>
      </c>
      <c r="AJ37" s="253" t="str">
        <f t="shared" si="0"/>
        <v/>
      </c>
      <c r="AK37" s="253">
        <f t="shared" si="6"/>
        <v>0</v>
      </c>
      <c r="AL37" s="253">
        <f>IF(AK37=0,0,COUNTIF($AL$15:AL36,"&gt;0")+1)</f>
        <v>0</v>
      </c>
      <c r="AM37" s="253">
        <f>IF(IFERROR(SEARCH("and",INDEX(D04_Classes!$BW$3:$BW$102,MATCH(C_Input!AI37,D04_Classes!$B$3:$B$102,0),1)),0)&gt;1,1,0)</f>
        <v>0</v>
      </c>
      <c r="AN37" s="253">
        <f>IF(IFERROR(SEARCH("or",INDEX(D04_Classes!$BW$3:$BW$102,MATCH(C_Input!AI37,D04_Classes!$B$3:$B$102,0),1)),0)&gt;1,1,0)</f>
        <v>0</v>
      </c>
      <c r="AO37" s="253" t="str">
        <f>IF(OR(IFERROR(SEARCH("Strength",INDEX(D04_Classes!$BW$3:$BW$102,MATCH(C_Input!AI37,D04_Classes!$B$3:$B$102,0),1)),0)=0,AND(IFERROR(SEARCH("Strength",INDEX(D04_Classes!$BW$3:$BW$102,MATCH(C_Input!AI37,D04_Classes!$B$3:$B$102,0),1)),0)&gt;0,Strength&gt;12)),"yes","no")</f>
        <v>yes</v>
      </c>
      <c r="AP37" s="253" t="str">
        <f>IF(OR(IFERROR(SEARCH("Dexterity",INDEX(D04_Classes!$BW$3:$BW$102,MATCH(C_Input!AI37,D04_Classes!$B$3:$B$102,0),1)),0)=0,AND(IFERROR(SEARCH("Dexterity",INDEX(D04_Classes!$BW$3:$BW$102,MATCH(C_Input!AI37,D04_Classes!$B$3:$B$102,0),1)),0)&gt;0,Dexterity&gt;12)),"yes","no")</f>
        <v>yes</v>
      </c>
      <c r="AQ37" s="253" t="str">
        <f>IF(OR(IFERROR(SEARCH("Constitution",INDEX(D04_Classes!$BW$3:$BW$102,MATCH(C_Input!AI37,D04_Classes!$B$3:$B$102,0),1)),0)=0,AND(IFERROR(SEARCH("Constitution",INDEX(D04_Classes!$BW$3:$BW$102,MATCH(C_Input!AI37,D04_Classes!$B$3:$B$102,0),1)),0)&gt;0,Constitution&gt;12)),"yes","no")</f>
        <v>yes</v>
      </c>
      <c r="AR37" s="253" t="str">
        <f>IF(OR(IFERROR(SEARCH("Intelligence",INDEX(D04_Classes!$BW$3:$BW$102,MATCH(C_Input!AI37,D04_Classes!$B$3:$B$102,0),1)),0)=0,AND(IFERROR(SEARCH("Intelligence",INDEX(D04_Classes!$BW$3:$BW$102,MATCH(C_Input!AI37,D04_Classes!$B$3:$B$102,0),1)),0)&gt;0,Intelligence&gt;12)),"yes","no")</f>
        <v>yes</v>
      </c>
      <c r="AS37" s="253" t="str">
        <f>IF(OR(IFERROR(SEARCH("Wisdom",INDEX(D04_Classes!$BW$3:$BW$102,MATCH(C_Input!AI37,D04_Classes!$B$3:$B$102,0),1)),0)=0,AND(IFERROR(SEARCH("Wisdom",INDEX(D04_Classes!$BW$3:$BW$102,MATCH(C_Input!AI37,D04_Classes!$B$3:$B$102,0),1)),0)&gt;0,Wisdom&gt;12)),"yes","no")</f>
        <v>yes</v>
      </c>
      <c r="AT37" s="253" t="str">
        <f>IF(OR(IFERROR(SEARCH("Charisma",INDEX(D04_Classes!$BW$3:$BW$102,MATCH(C_Input!AI37,D04_Classes!$B$3:$B$102,0),1)),0)=0,AND(IFERROR(SEARCH("Charisma",INDEX(D04_Classes!$BW$3:$BW$102,MATCH(C_Input!AI37,D04_Classes!$B$3:$B$102,0),1)),0)&gt;0,Charisma&gt;12)),"yes","no")</f>
        <v>yes</v>
      </c>
      <c r="AU37" s="253">
        <f t="shared" si="1"/>
        <v>0</v>
      </c>
      <c r="AV37" s="253">
        <f>IF(AU37=0,0,COUNTIF($AV$15:AV36,"&gt;0")+1)</f>
        <v>0</v>
      </c>
      <c r="AW37" s="166"/>
      <c r="AX37" s="255" t="str">
        <f t="shared" si="7"/>
        <v/>
      </c>
      <c r="AY37" s="255" t="str">
        <f t="shared" si="2"/>
        <v/>
      </c>
      <c r="AZ37" s="166"/>
      <c r="BA37" s="166"/>
      <c r="BB37" s="166"/>
      <c r="BC37" s="166"/>
      <c r="BD37" s="254">
        <f t="shared" si="9"/>
        <v>23</v>
      </c>
      <c r="BE37" s="254" t="str">
        <f>IFERROR(INDEX(D01_Races!$B$2:$B$101,MATCH(C_Input!BD37,D01_Races!$C$2:$C$101,0),1),"")</f>
        <v>Merfolk</v>
      </c>
      <c r="BF37" s="252" t="str">
        <f t="shared" si="10"/>
        <v/>
      </c>
      <c r="BG37" s="252" t="str">
        <f>IFERROR(IF(BF37="","",INDEX(D01_Races!$E$2:$E$101,MATCH(C_Input!BF37,D01_Races!$D$2:$D$101,0),1)),"")</f>
        <v/>
      </c>
      <c r="BH37" s="252" t="str">
        <f>IFERROR(IF(BF37="","",INDEX(D01_Races!$A$2:$A$101,MATCH(C_Input!BF37,D01_Races!$D$2:$D$101,0),1)),"")</f>
        <v/>
      </c>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row>
    <row r="38" spans="1:152" ht="15.95" customHeight="1" x14ac:dyDescent="0.3">
      <c r="A38" s="152"/>
      <c r="B38" s="753" t="s">
        <v>2238</v>
      </c>
      <c r="C38" s="754"/>
      <c r="D38" s="754"/>
      <c r="E38" s="754"/>
      <c r="F38" s="754"/>
      <c r="G38" s="754"/>
      <c r="H38" s="754"/>
      <c r="I38" s="754"/>
      <c r="J38" s="754"/>
      <c r="K38" s="754"/>
      <c r="L38" s="754"/>
      <c r="M38" s="754"/>
      <c r="N38" s="754"/>
      <c r="O38" s="754"/>
      <c r="P38" s="754"/>
      <c r="Q38" s="754"/>
      <c r="R38" s="754"/>
      <c r="S38" s="754"/>
      <c r="T38" s="755"/>
      <c r="U38" s="152"/>
      <c r="V38" s="152"/>
      <c r="W38" s="152"/>
      <c r="X38" s="152"/>
      <c r="Y38" s="152"/>
      <c r="Z38" s="152"/>
      <c r="AA38" s="152"/>
      <c r="AB38" s="152"/>
      <c r="AC38" s="152"/>
      <c r="AD38" s="152"/>
      <c r="AE38" s="152"/>
      <c r="AF38" s="172"/>
      <c r="AH38" s="253" t="str">
        <f t="shared" si="5"/>
        <v/>
      </c>
      <c r="AI38" s="253" t="str">
        <f>IFERROR(INDEX(D04_Classes!$B$3:$B$102,AH38,1),"")</f>
        <v/>
      </c>
      <c r="AJ38" s="253" t="str">
        <f t="shared" si="0"/>
        <v/>
      </c>
      <c r="AK38" s="253">
        <f t="shared" si="6"/>
        <v>0</v>
      </c>
      <c r="AL38" s="253">
        <f>IF(AK38=0,0,COUNTIF($AL$15:AL37,"&gt;0")+1)</f>
        <v>0</v>
      </c>
      <c r="AM38" s="253">
        <f>IF(IFERROR(SEARCH("and",INDEX(D04_Classes!$BW$3:$BW$102,MATCH(C_Input!AI38,D04_Classes!$B$3:$B$102,0),1)),0)&gt;1,1,0)</f>
        <v>0</v>
      </c>
      <c r="AN38" s="253">
        <f>IF(IFERROR(SEARCH("or",INDEX(D04_Classes!$BW$3:$BW$102,MATCH(C_Input!AI38,D04_Classes!$B$3:$B$102,0),1)),0)&gt;1,1,0)</f>
        <v>0</v>
      </c>
      <c r="AO38" s="253" t="str">
        <f>IF(OR(IFERROR(SEARCH("Strength",INDEX(D04_Classes!$BW$3:$BW$102,MATCH(C_Input!AI38,D04_Classes!$B$3:$B$102,0),1)),0)=0,AND(IFERROR(SEARCH("Strength",INDEX(D04_Classes!$BW$3:$BW$102,MATCH(C_Input!AI38,D04_Classes!$B$3:$B$102,0),1)),0)&gt;0,Strength&gt;12)),"yes","no")</f>
        <v>yes</v>
      </c>
      <c r="AP38" s="253" t="str">
        <f>IF(OR(IFERROR(SEARCH("Dexterity",INDEX(D04_Classes!$BW$3:$BW$102,MATCH(C_Input!AI38,D04_Classes!$B$3:$B$102,0),1)),0)=0,AND(IFERROR(SEARCH("Dexterity",INDEX(D04_Classes!$BW$3:$BW$102,MATCH(C_Input!AI38,D04_Classes!$B$3:$B$102,0),1)),0)&gt;0,Dexterity&gt;12)),"yes","no")</f>
        <v>yes</v>
      </c>
      <c r="AQ38" s="253" t="str">
        <f>IF(OR(IFERROR(SEARCH("Constitution",INDEX(D04_Classes!$BW$3:$BW$102,MATCH(C_Input!AI38,D04_Classes!$B$3:$B$102,0),1)),0)=0,AND(IFERROR(SEARCH("Constitution",INDEX(D04_Classes!$BW$3:$BW$102,MATCH(C_Input!AI38,D04_Classes!$B$3:$B$102,0),1)),0)&gt;0,Constitution&gt;12)),"yes","no")</f>
        <v>yes</v>
      </c>
      <c r="AR38" s="253" t="str">
        <f>IF(OR(IFERROR(SEARCH("Intelligence",INDEX(D04_Classes!$BW$3:$BW$102,MATCH(C_Input!AI38,D04_Classes!$B$3:$B$102,0),1)),0)=0,AND(IFERROR(SEARCH("Intelligence",INDEX(D04_Classes!$BW$3:$BW$102,MATCH(C_Input!AI38,D04_Classes!$B$3:$B$102,0),1)),0)&gt;0,Intelligence&gt;12)),"yes","no")</f>
        <v>yes</v>
      </c>
      <c r="AS38" s="253" t="str">
        <f>IF(OR(IFERROR(SEARCH("Wisdom",INDEX(D04_Classes!$BW$3:$BW$102,MATCH(C_Input!AI38,D04_Classes!$B$3:$B$102,0),1)),0)=0,AND(IFERROR(SEARCH("Wisdom",INDEX(D04_Classes!$BW$3:$BW$102,MATCH(C_Input!AI38,D04_Classes!$B$3:$B$102,0),1)),0)&gt;0,Wisdom&gt;12)),"yes","no")</f>
        <v>yes</v>
      </c>
      <c r="AT38" s="253" t="str">
        <f>IF(OR(IFERROR(SEARCH("Charisma",INDEX(D04_Classes!$BW$3:$BW$102,MATCH(C_Input!AI38,D04_Classes!$B$3:$B$102,0),1)),0)=0,AND(IFERROR(SEARCH("Charisma",INDEX(D04_Classes!$BW$3:$BW$102,MATCH(C_Input!AI38,D04_Classes!$B$3:$B$102,0),1)),0)&gt;0,Charisma&gt;12)),"yes","no")</f>
        <v>yes</v>
      </c>
      <c r="AU38" s="253">
        <f t="shared" si="1"/>
        <v>0</v>
      </c>
      <c r="AV38" s="253">
        <f>IF(AU38=0,0,COUNTIF($AV$15:AV37,"&gt;0")+1)</f>
        <v>0</v>
      </c>
      <c r="AW38" s="166"/>
      <c r="AX38" s="255" t="str">
        <f t="shared" si="7"/>
        <v/>
      </c>
      <c r="AY38" s="255" t="str">
        <f t="shared" si="2"/>
        <v/>
      </c>
      <c r="AZ38" s="166"/>
      <c r="BA38" s="166"/>
      <c r="BB38" s="166"/>
      <c r="BC38" s="166"/>
      <c r="BD38" s="254">
        <f t="shared" si="9"/>
        <v>24</v>
      </c>
      <c r="BE38" s="254" t="str">
        <f>IFERROR(INDEX(D01_Races!$B$2:$B$101,MATCH(C_Input!BD38,D01_Races!$C$2:$C$101,0),1),"")</f>
        <v>Orc</v>
      </c>
      <c r="BF38" s="252" t="str">
        <f t="shared" si="10"/>
        <v/>
      </c>
      <c r="BG38" s="252" t="str">
        <f>IFERROR(IF(BF38="","",INDEX(D01_Races!$E$2:$E$101,MATCH(C_Input!BF38,D01_Races!$D$2:$D$101,0),1)),"")</f>
        <v/>
      </c>
      <c r="BH38" s="252" t="str">
        <f>IFERROR(IF(BF38="","",INDEX(D01_Races!$A$2:$A$101,MATCH(C_Input!BF38,D01_Races!$D$2:$D$101,0),1)),"")</f>
        <v/>
      </c>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row>
    <row r="39" spans="1:152" ht="15.95" customHeight="1" thickBot="1" x14ac:dyDescent="0.35">
      <c r="A39" s="152"/>
      <c r="B39" s="763"/>
      <c r="C39" s="764"/>
      <c r="D39" s="764"/>
      <c r="E39" s="764"/>
      <c r="F39" s="764"/>
      <c r="G39" s="764"/>
      <c r="H39" s="764"/>
      <c r="I39" s="764"/>
      <c r="J39" s="764"/>
      <c r="K39" s="764"/>
      <c r="L39" s="764"/>
      <c r="M39" s="764"/>
      <c r="N39" s="764"/>
      <c r="O39" s="764"/>
      <c r="P39" s="764"/>
      <c r="Q39" s="764"/>
      <c r="R39" s="764"/>
      <c r="S39" s="764"/>
      <c r="T39" s="765"/>
      <c r="U39" s="152"/>
      <c r="V39" s="152"/>
      <c r="W39" s="152"/>
      <c r="X39" s="152"/>
      <c r="Y39" s="152"/>
      <c r="Z39" s="152"/>
      <c r="AA39" s="152"/>
      <c r="AB39" s="152"/>
      <c r="AC39" s="152"/>
      <c r="AD39" s="152"/>
      <c r="AE39" s="152"/>
      <c r="AF39" s="171"/>
      <c r="AH39" s="253" t="str">
        <f t="shared" si="5"/>
        <v/>
      </c>
      <c r="AI39" s="253" t="str">
        <f>IFERROR(INDEX(D04_Classes!$B$3:$B$102,AH39,1),"")</f>
        <v/>
      </c>
      <c r="AJ39" s="253" t="str">
        <f t="shared" si="0"/>
        <v/>
      </c>
      <c r="AK39" s="253">
        <f t="shared" si="6"/>
        <v>0</v>
      </c>
      <c r="AL39" s="253">
        <f>IF(AK39=0,0,COUNTIF($AL$15:AL38,"&gt;0")+1)</f>
        <v>0</v>
      </c>
      <c r="AM39" s="253">
        <f>IF(IFERROR(SEARCH("and",INDEX(D04_Classes!$BW$3:$BW$102,MATCH(C_Input!AI39,D04_Classes!$B$3:$B$102,0),1)),0)&gt;1,1,0)</f>
        <v>0</v>
      </c>
      <c r="AN39" s="253">
        <f>IF(IFERROR(SEARCH("or",INDEX(D04_Classes!$BW$3:$BW$102,MATCH(C_Input!AI39,D04_Classes!$B$3:$B$102,0),1)),0)&gt;1,1,0)</f>
        <v>0</v>
      </c>
      <c r="AO39" s="253" t="str">
        <f>IF(OR(IFERROR(SEARCH("Strength",INDEX(D04_Classes!$BW$3:$BW$102,MATCH(C_Input!AI39,D04_Classes!$B$3:$B$102,0),1)),0)=0,AND(IFERROR(SEARCH("Strength",INDEX(D04_Classes!$BW$3:$BW$102,MATCH(C_Input!AI39,D04_Classes!$B$3:$B$102,0),1)),0)&gt;0,Strength&gt;12)),"yes","no")</f>
        <v>yes</v>
      </c>
      <c r="AP39" s="253" t="str">
        <f>IF(OR(IFERROR(SEARCH("Dexterity",INDEX(D04_Classes!$BW$3:$BW$102,MATCH(C_Input!AI39,D04_Classes!$B$3:$B$102,0),1)),0)=0,AND(IFERROR(SEARCH("Dexterity",INDEX(D04_Classes!$BW$3:$BW$102,MATCH(C_Input!AI39,D04_Classes!$B$3:$B$102,0),1)),0)&gt;0,Dexterity&gt;12)),"yes","no")</f>
        <v>yes</v>
      </c>
      <c r="AQ39" s="253" t="str">
        <f>IF(OR(IFERROR(SEARCH("Constitution",INDEX(D04_Classes!$BW$3:$BW$102,MATCH(C_Input!AI39,D04_Classes!$B$3:$B$102,0),1)),0)=0,AND(IFERROR(SEARCH("Constitution",INDEX(D04_Classes!$BW$3:$BW$102,MATCH(C_Input!AI39,D04_Classes!$B$3:$B$102,0),1)),0)&gt;0,Constitution&gt;12)),"yes","no")</f>
        <v>yes</v>
      </c>
      <c r="AR39" s="253" t="str">
        <f>IF(OR(IFERROR(SEARCH("Intelligence",INDEX(D04_Classes!$BW$3:$BW$102,MATCH(C_Input!AI39,D04_Classes!$B$3:$B$102,0),1)),0)=0,AND(IFERROR(SEARCH("Intelligence",INDEX(D04_Classes!$BW$3:$BW$102,MATCH(C_Input!AI39,D04_Classes!$B$3:$B$102,0),1)),0)&gt;0,Intelligence&gt;12)),"yes","no")</f>
        <v>yes</v>
      </c>
      <c r="AS39" s="253" t="str">
        <f>IF(OR(IFERROR(SEARCH("Wisdom",INDEX(D04_Classes!$BW$3:$BW$102,MATCH(C_Input!AI39,D04_Classes!$B$3:$B$102,0),1)),0)=0,AND(IFERROR(SEARCH("Wisdom",INDEX(D04_Classes!$BW$3:$BW$102,MATCH(C_Input!AI39,D04_Classes!$B$3:$B$102,0),1)),0)&gt;0,Wisdom&gt;12)),"yes","no")</f>
        <v>yes</v>
      </c>
      <c r="AT39" s="253" t="str">
        <f>IF(OR(IFERROR(SEARCH("Charisma",INDEX(D04_Classes!$BW$3:$BW$102,MATCH(C_Input!AI39,D04_Classes!$B$3:$B$102,0),1)),0)=0,AND(IFERROR(SEARCH("Charisma",INDEX(D04_Classes!$BW$3:$BW$102,MATCH(C_Input!AI39,D04_Classes!$B$3:$B$102,0),1)),0)&gt;0,Charisma&gt;12)),"yes","no")</f>
        <v>yes</v>
      </c>
      <c r="AU39" s="253">
        <f t="shared" si="1"/>
        <v>0</v>
      </c>
      <c r="AV39" s="253">
        <f>IF(AU39=0,0,COUNTIF($AV$15:AV38,"&gt;0")+1)</f>
        <v>0</v>
      </c>
      <c r="AX39" s="255" t="str">
        <f t="shared" si="7"/>
        <v/>
      </c>
      <c r="AY39" s="255" t="str">
        <f t="shared" si="2"/>
        <v/>
      </c>
      <c r="BD39" s="254">
        <f t="shared" si="9"/>
        <v>25</v>
      </c>
      <c r="BE39" s="254" t="str">
        <f>IFERROR(INDEX(D01_Races!$B$2:$B$101,MATCH(C_Input!BD39,D01_Races!$C$2:$C$101,0),1),"")</f>
        <v>Goblin</v>
      </c>
      <c r="BF39" s="252" t="str">
        <f t="shared" si="10"/>
        <v/>
      </c>
      <c r="BG39" s="252" t="str">
        <f>IFERROR(IF(BF39="","",INDEX(D01_Races!$E$2:$E$101,MATCH(C_Input!BF39,D01_Races!$D$2:$D$101,0),1)),"")</f>
        <v/>
      </c>
      <c r="BH39" s="252" t="str">
        <f>IFERROR(IF(BF39="","",INDEX(D01_Races!$A$2:$A$101,MATCH(C_Input!BF39,D01_Races!$D$2:$D$101,0),1)),"")</f>
        <v/>
      </c>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row>
    <row r="40" spans="1:152" ht="15.95" customHeight="1" outlineLevel="1" x14ac:dyDescent="0.3">
      <c r="A40" s="152"/>
      <c r="B40" s="152"/>
      <c r="C40" s="152"/>
      <c r="D40" s="152"/>
      <c r="E40" s="152"/>
      <c r="F40" s="152"/>
      <c r="G40" s="152"/>
      <c r="H40" s="152"/>
      <c r="I40" s="152"/>
      <c r="J40" s="152"/>
      <c r="K40" s="152"/>
      <c r="L40" s="152"/>
      <c r="M40" s="152"/>
      <c r="N40" s="152"/>
      <c r="O40" s="152"/>
      <c r="P40" s="152"/>
      <c r="Q40" s="152"/>
      <c r="R40" s="152"/>
      <c r="S40" s="152"/>
      <c r="T40" s="152"/>
      <c r="U40" s="152"/>
      <c r="V40" s="152"/>
      <c r="W40" s="152"/>
      <c r="X40" s="152"/>
      <c r="Y40" s="152"/>
      <c r="Z40" s="152"/>
      <c r="AA40" s="152"/>
      <c r="AB40" s="152"/>
      <c r="AC40" s="152"/>
      <c r="AD40" s="152"/>
      <c r="AE40" s="152"/>
      <c r="AF40" s="173"/>
      <c r="AH40" s="253" t="str">
        <f t="shared" si="5"/>
        <v/>
      </c>
      <c r="AI40" s="253" t="str">
        <f>IFERROR(INDEX(D04_Classes!$B$3:$B$102,AH40,1),"")</f>
        <v/>
      </c>
      <c r="AJ40" s="253" t="str">
        <f t="shared" si="0"/>
        <v/>
      </c>
      <c r="AK40" s="253">
        <f t="shared" si="6"/>
        <v>0</v>
      </c>
      <c r="AL40" s="253">
        <f>IF(AK40=0,0,COUNTIF($AL$15:AL39,"&gt;0")+1)</f>
        <v>0</v>
      </c>
      <c r="AM40" s="253">
        <f>IF(IFERROR(SEARCH("and",INDEX(D04_Classes!$BW$3:$BW$102,MATCH(C_Input!AI40,D04_Classes!$B$3:$B$102,0),1)),0)&gt;1,1,0)</f>
        <v>0</v>
      </c>
      <c r="AN40" s="253">
        <f>IF(IFERROR(SEARCH("or",INDEX(D04_Classes!$BW$3:$BW$102,MATCH(C_Input!AI40,D04_Classes!$B$3:$B$102,0),1)),0)&gt;1,1,0)</f>
        <v>0</v>
      </c>
      <c r="AO40" s="253" t="str">
        <f>IF(OR(IFERROR(SEARCH("Strength",INDEX(D04_Classes!$BW$3:$BW$102,MATCH(C_Input!AI40,D04_Classes!$B$3:$B$102,0),1)),0)=0,AND(IFERROR(SEARCH("Strength",INDEX(D04_Classes!$BW$3:$BW$102,MATCH(C_Input!AI40,D04_Classes!$B$3:$B$102,0),1)),0)&gt;0,Strength&gt;12)),"yes","no")</f>
        <v>yes</v>
      </c>
      <c r="AP40" s="253" t="str">
        <f>IF(OR(IFERROR(SEARCH("Dexterity",INDEX(D04_Classes!$BW$3:$BW$102,MATCH(C_Input!AI40,D04_Classes!$B$3:$B$102,0),1)),0)=0,AND(IFERROR(SEARCH("Dexterity",INDEX(D04_Classes!$BW$3:$BW$102,MATCH(C_Input!AI40,D04_Classes!$B$3:$B$102,0),1)),0)&gt;0,Dexterity&gt;12)),"yes","no")</f>
        <v>yes</v>
      </c>
      <c r="AQ40" s="253" t="str">
        <f>IF(OR(IFERROR(SEARCH("Constitution",INDEX(D04_Classes!$BW$3:$BW$102,MATCH(C_Input!AI40,D04_Classes!$B$3:$B$102,0),1)),0)=0,AND(IFERROR(SEARCH("Constitution",INDEX(D04_Classes!$BW$3:$BW$102,MATCH(C_Input!AI40,D04_Classes!$B$3:$B$102,0),1)),0)&gt;0,Constitution&gt;12)),"yes","no")</f>
        <v>yes</v>
      </c>
      <c r="AR40" s="253" t="str">
        <f>IF(OR(IFERROR(SEARCH("Intelligence",INDEX(D04_Classes!$BW$3:$BW$102,MATCH(C_Input!AI40,D04_Classes!$B$3:$B$102,0),1)),0)=0,AND(IFERROR(SEARCH("Intelligence",INDEX(D04_Classes!$BW$3:$BW$102,MATCH(C_Input!AI40,D04_Classes!$B$3:$B$102,0),1)),0)&gt;0,Intelligence&gt;12)),"yes","no")</f>
        <v>yes</v>
      </c>
      <c r="AS40" s="253" t="str">
        <f>IF(OR(IFERROR(SEARCH("Wisdom",INDEX(D04_Classes!$BW$3:$BW$102,MATCH(C_Input!AI40,D04_Classes!$B$3:$B$102,0),1)),0)=0,AND(IFERROR(SEARCH("Wisdom",INDEX(D04_Classes!$BW$3:$BW$102,MATCH(C_Input!AI40,D04_Classes!$B$3:$B$102,0),1)),0)&gt;0,Wisdom&gt;12)),"yes","no")</f>
        <v>yes</v>
      </c>
      <c r="AT40" s="253" t="str">
        <f>IF(OR(IFERROR(SEARCH("Charisma",INDEX(D04_Classes!$BW$3:$BW$102,MATCH(C_Input!AI40,D04_Classes!$B$3:$B$102,0),1)),0)=0,AND(IFERROR(SEARCH("Charisma",INDEX(D04_Classes!$BW$3:$BW$102,MATCH(C_Input!AI40,D04_Classes!$B$3:$B$102,0),1)),0)&gt;0,Charisma&gt;12)),"yes","no")</f>
        <v>yes</v>
      </c>
      <c r="AU40" s="253">
        <f t="shared" si="1"/>
        <v>0</v>
      </c>
      <c r="AV40" s="253">
        <f>IF(AU40=0,0,COUNTIF($AV$15:AV39,"&gt;0")+1)</f>
        <v>0</v>
      </c>
      <c r="AW40" s="168"/>
      <c r="AX40" s="255" t="str">
        <f t="shared" si="7"/>
        <v/>
      </c>
      <c r="AY40" s="255" t="str">
        <f t="shared" si="2"/>
        <v/>
      </c>
      <c r="AZ40" s="168"/>
      <c r="BA40" s="168"/>
      <c r="BB40" s="168"/>
      <c r="BC40" s="168"/>
      <c r="BD40" s="254">
        <f t="shared" si="9"/>
        <v>26</v>
      </c>
      <c r="BE40" s="254" t="str">
        <f>IFERROR(INDEX(D01_Races!$B$2:$B$101,MATCH(C_Input!BD40,D01_Races!$C$2:$C$101,0),1),"")</f>
        <v>Troglodyte</v>
      </c>
      <c r="BF40" s="252" t="str">
        <f t="shared" si="10"/>
        <v/>
      </c>
      <c r="BG40" s="252" t="str">
        <f>IFERROR(IF(BF40="","",INDEX(D01_Races!$E$2:$E$101,MATCH(C_Input!BF40,D01_Races!$D$2:$D$101,0),1)),"")</f>
        <v/>
      </c>
      <c r="BH40" s="252" t="str">
        <f>IFERROR(IF(BF40="","",INDEX(D01_Races!$A$2:$A$101,MATCH(C_Input!BF40,D01_Races!$D$2:$D$101,0),1)),"")</f>
        <v/>
      </c>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row>
    <row r="41" spans="1:152" ht="15.95" customHeight="1" outlineLevel="1" thickBot="1" x14ac:dyDescent="0.35">
      <c r="A41" s="152"/>
      <c r="B41" s="152"/>
      <c r="C41" s="154" t="s">
        <v>604</v>
      </c>
      <c r="D41" s="152"/>
      <c r="E41" s="154" t="s">
        <v>605</v>
      </c>
      <c r="F41" s="152"/>
      <c r="G41" s="154" t="s">
        <v>607</v>
      </c>
      <c r="H41" s="152"/>
      <c r="I41" s="154" t="s">
        <v>4135</v>
      </c>
      <c r="J41" s="152"/>
      <c r="K41" s="154" t="s">
        <v>4136</v>
      </c>
      <c r="L41" s="152"/>
      <c r="M41" s="152"/>
      <c r="N41" s="152"/>
      <c r="O41" s="152"/>
      <c r="P41" s="152"/>
      <c r="Q41" s="152"/>
      <c r="R41" s="152"/>
      <c r="S41" s="152"/>
      <c r="T41" s="152"/>
      <c r="U41" s="152"/>
      <c r="V41" s="152"/>
      <c r="W41" s="152"/>
      <c r="X41" s="152"/>
      <c r="Y41" s="152"/>
      <c r="Z41" s="152"/>
      <c r="AA41" s="152"/>
      <c r="AB41" s="152"/>
      <c r="AC41" s="152"/>
      <c r="AD41" s="152"/>
      <c r="AE41" s="152"/>
      <c r="AF41" s="174"/>
      <c r="AH41" s="253" t="str">
        <f t="shared" si="5"/>
        <v/>
      </c>
      <c r="AI41" s="253" t="str">
        <f>IFERROR(INDEX(D04_Classes!$B$3:$B$102,AH41,1),"")</f>
        <v/>
      </c>
      <c r="AJ41" s="253" t="str">
        <f t="shared" si="0"/>
        <v/>
      </c>
      <c r="AK41" s="253">
        <f t="shared" si="6"/>
        <v>0</v>
      </c>
      <c r="AL41" s="253">
        <f>IF(AK41=0,0,COUNTIF($AL$15:AL40,"&gt;0")+1)</f>
        <v>0</v>
      </c>
      <c r="AM41" s="253">
        <f>IF(IFERROR(SEARCH("and",INDEX(D04_Classes!$BW$3:$BW$102,MATCH(C_Input!AI41,D04_Classes!$B$3:$B$102,0),1)),0)&gt;1,1,0)</f>
        <v>0</v>
      </c>
      <c r="AN41" s="253">
        <f>IF(IFERROR(SEARCH("or",INDEX(D04_Classes!$BW$3:$BW$102,MATCH(C_Input!AI41,D04_Classes!$B$3:$B$102,0),1)),0)&gt;1,1,0)</f>
        <v>0</v>
      </c>
      <c r="AO41" s="253" t="str">
        <f>IF(OR(IFERROR(SEARCH("Strength",INDEX(D04_Classes!$BW$3:$BW$102,MATCH(C_Input!AI41,D04_Classes!$B$3:$B$102,0),1)),0)=0,AND(IFERROR(SEARCH("Strength",INDEX(D04_Classes!$BW$3:$BW$102,MATCH(C_Input!AI41,D04_Classes!$B$3:$B$102,0),1)),0)&gt;0,Strength&gt;12)),"yes","no")</f>
        <v>yes</v>
      </c>
      <c r="AP41" s="253" t="str">
        <f>IF(OR(IFERROR(SEARCH("Dexterity",INDEX(D04_Classes!$BW$3:$BW$102,MATCH(C_Input!AI41,D04_Classes!$B$3:$B$102,0),1)),0)=0,AND(IFERROR(SEARCH("Dexterity",INDEX(D04_Classes!$BW$3:$BW$102,MATCH(C_Input!AI41,D04_Classes!$B$3:$B$102,0),1)),0)&gt;0,Dexterity&gt;12)),"yes","no")</f>
        <v>yes</v>
      </c>
      <c r="AQ41" s="253" t="str">
        <f>IF(OR(IFERROR(SEARCH("Constitution",INDEX(D04_Classes!$BW$3:$BW$102,MATCH(C_Input!AI41,D04_Classes!$B$3:$B$102,0),1)),0)=0,AND(IFERROR(SEARCH("Constitution",INDEX(D04_Classes!$BW$3:$BW$102,MATCH(C_Input!AI41,D04_Classes!$B$3:$B$102,0),1)),0)&gt;0,Constitution&gt;12)),"yes","no")</f>
        <v>yes</v>
      </c>
      <c r="AR41" s="253" t="str">
        <f>IF(OR(IFERROR(SEARCH("Intelligence",INDEX(D04_Classes!$BW$3:$BW$102,MATCH(C_Input!AI41,D04_Classes!$B$3:$B$102,0),1)),0)=0,AND(IFERROR(SEARCH("Intelligence",INDEX(D04_Classes!$BW$3:$BW$102,MATCH(C_Input!AI41,D04_Classes!$B$3:$B$102,0),1)),0)&gt;0,Intelligence&gt;12)),"yes","no")</f>
        <v>yes</v>
      </c>
      <c r="AS41" s="253" t="str">
        <f>IF(OR(IFERROR(SEARCH("Wisdom",INDEX(D04_Classes!$BW$3:$BW$102,MATCH(C_Input!AI41,D04_Classes!$B$3:$B$102,0),1)),0)=0,AND(IFERROR(SEARCH("Wisdom",INDEX(D04_Classes!$BW$3:$BW$102,MATCH(C_Input!AI41,D04_Classes!$B$3:$B$102,0),1)),0)&gt;0,Wisdom&gt;12)),"yes","no")</f>
        <v>yes</v>
      </c>
      <c r="AT41" s="253" t="str">
        <f>IF(OR(IFERROR(SEARCH("Charisma",INDEX(D04_Classes!$BW$3:$BW$102,MATCH(C_Input!AI41,D04_Classes!$B$3:$B$102,0),1)),0)=0,AND(IFERROR(SEARCH("Charisma",INDEX(D04_Classes!$BW$3:$BW$102,MATCH(C_Input!AI41,D04_Classes!$B$3:$B$102,0),1)),0)&gt;0,Charisma&gt;12)),"yes","no")</f>
        <v>yes</v>
      </c>
      <c r="AU41" s="253">
        <f t="shared" si="1"/>
        <v>0</v>
      </c>
      <c r="AV41" s="253">
        <f>IF(AU41=0,0,COUNTIF($AV$15:AV40,"&gt;0")+1)</f>
        <v>0</v>
      </c>
      <c r="AW41" s="169"/>
      <c r="AX41" s="255" t="str">
        <f t="shared" si="7"/>
        <v/>
      </c>
      <c r="AY41" s="255" t="str">
        <f t="shared" si="2"/>
        <v/>
      </c>
      <c r="AZ41" s="169"/>
      <c r="BA41" s="169"/>
      <c r="BB41" s="169"/>
      <c r="BC41" s="169"/>
      <c r="BD41" s="254">
        <f t="shared" si="9"/>
        <v>27</v>
      </c>
      <c r="BE41" s="254" t="str">
        <f>IFERROR(INDEX(D01_Races!$B$2:$B$101,MATCH(C_Input!BD41,D01_Races!$C$2:$C$101,0),1),"")</f>
        <v>Genasi</v>
      </c>
      <c r="BF41" s="252" t="str">
        <f t="shared" si="10"/>
        <v/>
      </c>
      <c r="BG41" s="252" t="str">
        <f>IFERROR(IF(BF41="","",INDEX(D01_Races!$E$2:$E$101,MATCH(C_Input!BF41,D01_Races!$D$2:$D$101,0),1)),"")</f>
        <v/>
      </c>
      <c r="BH41" s="252" t="str">
        <f>IFERROR(IF(BF41="","",INDEX(D01_Races!$A$2:$A$101,MATCH(C_Input!BF41,D01_Races!$D$2:$D$101,0),1)),"")</f>
        <v/>
      </c>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row>
    <row r="42" spans="1:152" ht="15.95" customHeight="1" outlineLevel="1" x14ac:dyDescent="0.3">
      <c r="A42" s="152"/>
      <c r="B42" s="1350" t="s">
        <v>113</v>
      </c>
      <c r="C42" s="1356">
        <v>14.00005</v>
      </c>
      <c r="D42" s="770" t="s">
        <v>606</v>
      </c>
      <c r="E42" s="1357">
        <f>IFERROR(INDEX(D01_Races!$J$2:$J$101,MATCH(SelectedRaceID,D01_Races!$A$2:$A$101,0),1),"")</f>
        <v>0</v>
      </c>
      <c r="F42" s="770" t="s">
        <v>606</v>
      </c>
      <c r="G42" s="1358"/>
      <c r="H42" s="770" t="s">
        <v>606</v>
      </c>
      <c r="I42" s="1357"/>
      <c r="J42" s="770" t="s">
        <v>606</v>
      </c>
      <c r="K42" s="1353"/>
      <c r="L42" s="770" t="s">
        <v>608</v>
      </c>
      <c r="M42" s="794">
        <f>IFERROR(INT(BaseStr+E42+G42+I42+K42),"")</f>
        <v>14</v>
      </c>
      <c r="N42" s="795">
        <f>IFERROR(IF(M42&gt;10,ROUNDDOWN((M42-10)/2,0),ROUND((M42-10)/2,0)),"")</f>
        <v>2</v>
      </c>
      <c r="O42" s="152"/>
      <c r="P42" s="786" t="s">
        <v>609</v>
      </c>
      <c r="Q42" s="787"/>
      <c r="R42" s="782">
        <f>IFERROR(INDEX(D01_Races!$Q$2:$Q$101,MATCH(SelectedRaceID,D01_Races!$A$2:$A$101,0),1),"")</f>
        <v>0</v>
      </c>
      <c r="S42" s="783"/>
      <c r="T42" s="152"/>
      <c r="U42" s="786" t="s">
        <v>161</v>
      </c>
      <c r="V42" s="787"/>
      <c r="W42" s="918" t="s">
        <v>7133</v>
      </c>
      <c r="X42" s="919"/>
      <c r="Y42" s="919"/>
      <c r="Z42" s="919"/>
      <c r="AA42" s="152"/>
      <c r="AB42" s="152"/>
      <c r="AC42" s="920">
        <v>18</v>
      </c>
      <c r="AD42" s="886">
        <f>IFERROR(IF(AC42&gt;10,ROUNDDOWN((AC42-10)/2,0),ROUND((AC42-10)/2,0)),"")</f>
        <v>4</v>
      </c>
      <c r="AE42" s="152"/>
      <c r="AF42" s="174"/>
      <c r="AH42" s="253" t="str">
        <f t="shared" si="5"/>
        <v/>
      </c>
      <c r="AI42" s="253" t="str">
        <f>IFERROR(INDEX(D04_Classes!$B$3:$B$102,AH42,1),"")</f>
        <v/>
      </c>
      <c r="AJ42" s="253" t="str">
        <f t="shared" si="0"/>
        <v/>
      </c>
      <c r="AK42" s="253">
        <f t="shared" si="6"/>
        <v>0</v>
      </c>
      <c r="AL42" s="253">
        <f>IF(AK42=0,0,COUNTIF($AL$15:AL41,"&gt;0")+1)</f>
        <v>0</v>
      </c>
      <c r="AM42" s="253">
        <f>IF(IFERROR(SEARCH("and",INDEX(D04_Classes!$BW$3:$BW$102,MATCH(C_Input!AI42,D04_Classes!$B$3:$B$102,0),1)),0)&gt;1,1,0)</f>
        <v>0</v>
      </c>
      <c r="AN42" s="253">
        <f>IF(IFERROR(SEARCH("or",INDEX(D04_Classes!$BW$3:$BW$102,MATCH(C_Input!AI42,D04_Classes!$B$3:$B$102,0),1)),0)&gt;1,1,0)</f>
        <v>0</v>
      </c>
      <c r="AO42" s="253" t="str">
        <f>IF(OR(IFERROR(SEARCH("Strength",INDEX(D04_Classes!$BW$3:$BW$102,MATCH(C_Input!AI42,D04_Classes!$B$3:$B$102,0),1)),0)=0,AND(IFERROR(SEARCH("Strength",INDEX(D04_Classes!$BW$3:$BW$102,MATCH(C_Input!AI42,D04_Classes!$B$3:$B$102,0),1)),0)&gt;0,Strength&gt;12)),"yes","no")</f>
        <v>yes</v>
      </c>
      <c r="AP42" s="253" t="str">
        <f>IF(OR(IFERROR(SEARCH("Dexterity",INDEX(D04_Classes!$BW$3:$BW$102,MATCH(C_Input!AI42,D04_Classes!$B$3:$B$102,0),1)),0)=0,AND(IFERROR(SEARCH("Dexterity",INDEX(D04_Classes!$BW$3:$BW$102,MATCH(C_Input!AI42,D04_Classes!$B$3:$B$102,0),1)),0)&gt;0,Dexterity&gt;12)),"yes","no")</f>
        <v>yes</v>
      </c>
      <c r="AQ42" s="253" t="str">
        <f>IF(OR(IFERROR(SEARCH("Constitution",INDEX(D04_Classes!$BW$3:$BW$102,MATCH(C_Input!AI42,D04_Classes!$B$3:$B$102,0),1)),0)=0,AND(IFERROR(SEARCH("Constitution",INDEX(D04_Classes!$BW$3:$BW$102,MATCH(C_Input!AI42,D04_Classes!$B$3:$B$102,0),1)),0)&gt;0,Constitution&gt;12)),"yes","no")</f>
        <v>yes</v>
      </c>
      <c r="AR42" s="253" t="str">
        <f>IF(OR(IFERROR(SEARCH("Intelligence",INDEX(D04_Classes!$BW$3:$BW$102,MATCH(C_Input!AI42,D04_Classes!$B$3:$B$102,0),1)),0)=0,AND(IFERROR(SEARCH("Intelligence",INDEX(D04_Classes!$BW$3:$BW$102,MATCH(C_Input!AI42,D04_Classes!$B$3:$B$102,0),1)),0)&gt;0,Intelligence&gt;12)),"yes","no")</f>
        <v>yes</v>
      </c>
      <c r="AS42" s="253" t="str">
        <f>IF(OR(IFERROR(SEARCH("Wisdom",INDEX(D04_Classes!$BW$3:$BW$102,MATCH(C_Input!AI42,D04_Classes!$B$3:$B$102,0),1)),0)=0,AND(IFERROR(SEARCH("Wisdom",INDEX(D04_Classes!$BW$3:$BW$102,MATCH(C_Input!AI42,D04_Classes!$B$3:$B$102,0),1)),0)&gt;0,Wisdom&gt;12)),"yes","no")</f>
        <v>yes</v>
      </c>
      <c r="AT42" s="253" t="str">
        <f>IF(OR(IFERROR(SEARCH("Charisma",INDEX(D04_Classes!$BW$3:$BW$102,MATCH(C_Input!AI42,D04_Classes!$B$3:$B$102,0),1)),0)=0,AND(IFERROR(SEARCH("Charisma",INDEX(D04_Classes!$BW$3:$BW$102,MATCH(C_Input!AI42,D04_Classes!$B$3:$B$102,0),1)),0)&gt;0,Charisma&gt;12)),"yes","no")</f>
        <v>yes</v>
      </c>
      <c r="AU42" s="253">
        <f t="shared" si="1"/>
        <v>0</v>
      </c>
      <c r="AV42" s="253">
        <f>IF(AU42=0,0,COUNTIF($AV$15:AV41,"&gt;0")+1)</f>
        <v>0</v>
      </c>
      <c r="AW42" s="169"/>
      <c r="AX42" s="255" t="str">
        <f t="shared" si="7"/>
        <v/>
      </c>
      <c r="AY42" s="255" t="str">
        <f t="shared" si="2"/>
        <v/>
      </c>
      <c r="AZ42" s="169"/>
      <c r="BA42" s="169"/>
      <c r="BB42" s="169"/>
      <c r="BC42" s="169"/>
      <c r="BD42" s="254">
        <f t="shared" si="9"/>
        <v>28</v>
      </c>
      <c r="BE42" s="254" t="str">
        <f>IFERROR(INDEX(D01_Races!$B$2:$B$101,MATCH(C_Input!BD42,D01_Races!$C$2:$C$101,0),1),"")</f>
        <v>Goliath</v>
      </c>
      <c r="BF42" s="252" t="str">
        <f t="shared" si="10"/>
        <v/>
      </c>
      <c r="BG42" s="252" t="str">
        <f>IFERROR(IF(BF42="","",INDEX(D01_Races!$E$2:$E$101,MATCH(C_Input!BF42,D01_Races!$D$2:$D$101,0),1)),"")</f>
        <v/>
      </c>
      <c r="BH42" s="252" t="str">
        <f>IFERROR(IF(BF42="","",INDEX(D01_Races!$A$2:$A$101,MATCH(C_Input!BF42,D01_Races!$D$2:$D$101,0),1)),"")</f>
        <v/>
      </c>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row>
    <row r="43" spans="1:152" ht="15.95" customHeight="1" outlineLevel="1" thickBot="1" x14ac:dyDescent="0.35">
      <c r="A43" s="152"/>
      <c r="B43" s="1351"/>
      <c r="C43" s="1356"/>
      <c r="D43" s="770"/>
      <c r="E43" s="1357"/>
      <c r="F43" s="770"/>
      <c r="G43" s="1358"/>
      <c r="H43" s="770"/>
      <c r="I43" s="1357"/>
      <c r="J43" s="770"/>
      <c r="K43" s="1354"/>
      <c r="L43" s="770"/>
      <c r="M43" s="744"/>
      <c r="N43" s="742"/>
      <c r="O43" s="152"/>
      <c r="P43" s="788"/>
      <c r="Q43" s="789"/>
      <c r="R43" s="784"/>
      <c r="S43" s="785"/>
      <c r="T43" s="152"/>
      <c r="U43" s="788"/>
      <c r="V43" s="789"/>
      <c r="W43" s="918"/>
      <c r="X43" s="919"/>
      <c r="Y43" s="919"/>
      <c r="Z43" s="919"/>
      <c r="AA43" s="152"/>
      <c r="AB43" s="152"/>
      <c r="AC43" s="921"/>
      <c r="AD43" s="887"/>
      <c r="AE43" s="152"/>
      <c r="AF43" s="174"/>
      <c r="AH43" s="253" t="str">
        <f t="shared" si="5"/>
        <v/>
      </c>
      <c r="AI43" s="253" t="str">
        <f>IFERROR(INDEX(D04_Classes!$B$3:$B$102,AH43,1),"")</f>
        <v/>
      </c>
      <c r="AJ43" s="253" t="str">
        <f t="shared" si="0"/>
        <v/>
      </c>
      <c r="AK43" s="253">
        <f t="shared" si="6"/>
        <v>0</v>
      </c>
      <c r="AL43" s="253">
        <f>IF(AK43=0,0,COUNTIF($AL$15:AL42,"&gt;0")+1)</f>
        <v>0</v>
      </c>
      <c r="AM43" s="253">
        <f>IF(IFERROR(SEARCH("and",INDEX(D04_Classes!$BW$3:$BW$102,MATCH(C_Input!AI43,D04_Classes!$B$3:$B$102,0),1)),0)&gt;1,1,0)</f>
        <v>0</v>
      </c>
      <c r="AN43" s="253">
        <f>IF(IFERROR(SEARCH("or",INDEX(D04_Classes!$BW$3:$BW$102,MATCH(C_Input!AI43,D04_Classes!$B$3:$B$102,0),1)),0)&gt;1,1,0)</f>
        <v>0</v>
      </c>
      <c r="AO43" s="253" t="str">
        <f>IF(OR(IFERROR(SEARCH("Strength",INDEX(D04_Classes!$BW$3:$BW$102,MATCH(C_Input!AI43,D04_Classes!$B$3:$B$102,0),1)),0)=0,AND(IFERROR(SEARCH("Strength",INDEX(D04_Classes!$BW$3:$BW$102,MATCH(C_Input!AI43,D04_Classes!$B$3:$B$102,0),1)),0)&gt;0,Strength&gt;12)),"yes","no")</f>
        <v>yes</v>
      </c>
      <c r="AP43" s="253" t="str">
        <f>IF(OR(IFERROR(SEARCH("Dexterity",INDEX(D04_Classes!$BW$3:$BW$102,MATCH(C_Input!AI43,D04_Classes!$B$3:$B$102,0),1)),0)=0,AND(IFERROR(SEARCH("Dexterity",INDEX(D04_Classes!$BW$3:$BW$102,MATCH(C_Input!AI43,D04_Classes!$B$3:$B$102,0),1)),0)&gt;0,Dexterity&gt;12)),"yes","no")</f>
        <v>yes</v>
      </c>
      <c r="AQ43" s="253" t="str">
        <f>IF(OR(IFERROR(SEARCH("Constitution",INDEX(D04_Classes!$BW$3:$BW$102,MATCH(C_Input!AI43,D04_Classes!$B$3:$B$102,0),1)),0)=0,AND(IFERROR(SEARCH("Constitution",INDEX(D04_Classes!$BW$3:$BW$102,MATCH(C_Input!AI43,D04_Classes!$B$3:$B$102,0),1)),0)&gt;0,Constitution&gt;12)),"yes","no")</f>
        <v>yes</v>
      </c>
      <c r="AR43" s="253" t="str">
        <f>IF(OR(IFERROR(SEARCH("Intelligence",INDEX(D04_Classes!$BW$3:$BW$102,MATCH(C_Input!AI43,D04_Classes!$B$3:$B$102,0),1)),0)=0,AND(IFERROR(SEARCH("Intelligence",INDEX(D04_Classes!$BW$3:$BW$102,MATCH(C_Input!AI43,D04_Classes!$B$3:$B$102,0),1)),0)&gt;0,Intelligence&gt;12)),"yes","no")</f>
        <v>yes</v>
      </c>
      <c r="AS43" s="253" t="str">
        <f>IF(OR(IFERROR(SEARCH("Wisdom",INDEX(D04_Classes!$BW$3:$BW$102,MATCH(C_Input!AI43,D04_Classes!$B$3:$B$102,0),1)),0)=0,AND(IFERROR(SEARCH("Wisdom",INDEX(D04_Classes!$BW$3:$BW$102,MATCH(C_Input!AI43,D04_Classes!$B$3:$B$102,0),1)),0)&gt;0,Wisdom&gt;12)),"yes","no")</f>
        <v>yes</v>
      </c>
      <c r="AT43" s="253" t="str">
        <f>IF(OR(IFERROR(SEARCH("Charisma",INDEX(D04_Classes!$BW$3:$BW$102,MATCH(C_Input!AI43,D04_Classes!$B$3:$B$102,0),1)),0)=0,AND(IFERROR(SEARCH("Charisma",INDEX(D04_Classes!$BW$3:$BW$102,MATCH(C_Input!AI43,D04_Classes!$B$3:$B$102,0),1)),0)&gt;0,Charisma&gt;12)),"yes","no")</f>
        <v>yes</v>
      </c>
      <c r="AU43" s="253">
        <f t="shared" si="1"/>
        <v>0</v>
      </c>
      <c r="AV43" s="253">
        <f>IF(AU43=0,0,COUNTIF($AV$15:AV42,"&gt;0")+1)</f>
        <v>0</v>
      </c>
      <c r="AW43" s="169"/>
      <c r="AX43" s="255" t="str">
        <f t="shared" si="7"/>
        <v/>
      </c>
      <c r="AY43" s="255" t="str">
        <f t="shared" si="2"/>
        <v/>
      </c>
      <c r="AZ43" s="169"/>
      <c r="BA43" s="169"/>
      <c r="BB43" s="169"/>
      <c r="BC43" s="169"/>
      <c r="BD43" s="254" t="str">
        <f t="shared" si="9"/>
        <v/>
      </c>
      <c r="BE43" s="254" t="str">
        <f>IFERROR(INDEX(D01_Races!$B$2:$B$101,MATCH(C_Input!BD43,D01_Races!$C$2:$C$101,0),1),"")</f>
        <v/>
      </c>
      <c r="BF43" s="252" t="str">
        <f t="shared" si="10"/>
        <v/>
      </c>
      <c r="BG43" s="252" t="str">
        <f>IFERROR(IF(BF43="","",INDEX(D01_Races!$E$2:$E$101,MATCH(C_Input!BF43,D01_Races!$D$2:$D$101,0),1)),"")</f>
        <v/>
      </c>
      <c r="BH43" s="252" t="str">
        <f>IFERROR(IF(BF43="","",INDEX(D01_Races!$A$2:$A$101,MATCH(C_Input!BF43,D01_Races!$D$2:$D$101,0),1)),"")</f>
        <v/>
      </c>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row>
    <row r="44" spans="1:152" ht="15.95" customHeight="1" outlineLevel="1" thickBot="1" x14ac:dyDescent="0.35">
      <c r="A44" s="152"/>
      <c r="B44" s="1351" t="s">
        <v>117</v>
      </c>
      <c r="C44" s="1356">
        <v>18.000039999999998</v>
      </c>
      <c r="D44" s="770" t="s">
        <v>606</v>
      </c>
      <c r="E44" s="1357">
        <f>IFERROR(INDEX(D01_Races!$K$2:$K$101,MATCH(SelectedRaceID,D01_Races!$A$2:$A$101,0),1),"")</f>
        <v>2</v>
      </c>
      <c r="F44" s="770" t="s">
        <v>606</v>
      </c>
      <c r="G44" s="1358"/>
      <c r="H44" s="770" t="s">
        <v>606</v>
      </c>
      <c r="I44" s="1357"/>
      <c r="J44" s="770" t="s">
        <v>606</v>
      </c>
      <c r="K44" s="1354"/>
      <c r="L44" s="770" t="s">
        <v>608</v>
      </c>
      <c r="M44" s="743">
        <f>IFERROR(INT(BaseDex+E44+G44+I44+K44),"")</f>
        <v>20</v>
      </c>
      <c r="N44" s="741">
        <f>IFERROR(IF(M44&gt;10,ROUNDDOWN((M44-10)/2,0),ROUND((M44-10)/2,0)),"")</f>
        <v>5</v>
      </c>
      <c r="O44" s="152"/>
      <c r="P44" s="152"/>
      <c r="Q44" s="152"/>
      <c r="R44" s="152"/>
      <c r="S44" s="152"/>
      <c r="T44" s="152"/>
      <c r="U44" s="152"/>
      <c r="V44" s="152"/>
      <c r="W44" s="152"/>
      <c r="X44" s="152"/>
      <c r="Y44" s="152"/>
      <c r="Z44" s="152"/>
      <c r="AA44" s="152"/>
      <c r="AB44" s="152"/>
      <c r="AC44" s="921">
        <v>14</v>
      </c>
      <c r="AD44" s="888">
        <f>IFERROR(IF(AC44&gt;10,ROUNDDOWN((AC44-10)/2,0),ROUND((AC44-10)/2,0)),"")</f>
        <v>2</v>
      </c>
      <c r="AE44" s="152"/>
      <c r="AF44" s="174"/>
      <c r="AH44" s="253" t="str">
        <f t="shared" si="5"/>
        <v/>
      </c>
      <c r="AI44" s="253" t="str">
        <f>IFERROR(INDEX(D04_Classes!$B$3:$B$102,AH44,1),"")</f>
        <v/>
      </c>
      <c r="AJ44" s="253" t="str">
        <f t="shared" si="0"/>
        <v/>
      </c>
      <c r="AK44" s="253">
        <f t="shared" si="6"/>
        <v>0</v>
      </c>
      <c r="AL44" s="253">
        <f>IF(AK44=0,0,COUNTIF($AL$15:AL43,"&gt;0")+1)</f>
        <v>0</v>
      </c>
      <c r="AM44" s="253">
        <f>IF(IFERROR(SEARCH("and",INDEX(D04_Classes!$BW$3:$BW$102,MATCH(C_Input!AI44,D04_Classes!$B$3:$B$102,0),1)),0)&gt;1,1,0)</f>
        <v>0</v>
      </c>
      <c r="AN44" s="253">
        <f>IF(IFERROR(SEARCH("or",INDEX(D04_Classes!$BW$3:$BW$102,MATCH(C_Input!AI44,D04_Classes!$B$3:$B$102,0),1)),0)&gt;1,1,0)</f>
        <v>0</v>
      </c>
      <c r="AO44" s="253" t="str">
        <f>IF(OR(IFERROR(SEARCH("Strength",INDEX(D04_Classes!$BW$3:$BW$102,MATCH(C_Input!AI44,D04_Classes!$B$3:$B$102,0),1)),0)=0,AND(IFERROR(SEARCH("Strength",INDEX(D04_Classes!$BW$3:$BW$102,MATCH(C_Input!AI44,D04_Classes!$B$3:$B$102,0),1)),0)&gt;0,Strength&gt;12)),"yes","no")</f>
        <v>yes</v>
      </c>
      <c r="AP44" s="253" t="str">
        <f>IF(OR(IFERROR(SEARCH("Dexterity",INDEX(D04_Classes!$BW$3:$BW$102,MATCH(C_Input!AI44,D04_Classes!$B$3:$B$102,0),1)),0)=0,AND(IFERROR(SEARCH("Dexterity",INDEX(D04_Classes!$BW$3:$BW$102,MATCH(C_Input!AI44,D04_Classes!$B$3:$B$102,0),1)),0)&gt;0,Dexterity&gt;12)),"yes","no")</f>
        <v>yes</v>
      </c>
      <c r="AQ44" s="253" t="str">
        <f>IF(OR(IFERROR(SEARCH("Constitution",INDEX(D04_Classes!$BW$3:$BW$102,MATCH(C_Input!AI44,D04_Classes!$B$3:$B$102,0),1)),0)=0,AND(IFERROR(SEARCH("Constitution",INDEX(D04_Classes!$BW$3:$BW$102,MATCH(C_Input!AI44,D04_Classes!$B$3:$B$102,0),1)),0)&gt;0,Constitution&gt;12)),"yes","no")</f>
        <v>yes</v>
      </c>
      <c r="AR44" s="253" t="str">
        <f>IF(OR(IFERROR(SEARCH("Intelligence",INDEX(D04_Classes!$BW$3:$BW$102,MATCH(C_Input!AI44,D04_Classes!$B$3:$B$102,0),1)),0)=0,AND(IFERROR(SEARCH("Intelligence",INDEX(D04_Classes!$BW$3:$BW$102,MATCH(C_Input!AI44,D04_Classes!$B$3:$B$102,0),1)),0)&gt;0,Intelligence&gt;12)),"yes","no")</f>
        <v>yes</v>
      </c>
      <c r="AS44" s="253" t="str">
        <f>IF(OR(IFERROR(SEARCH("Wisdom",INDEX(D04_Classes!$BW$3:$BW$102,MATCH(C_Input!AI44,D04_Classes!$B$3:$B$102,0),1)),0)=0,AND(IFERROR(SEARCH("Wisdom",INDEX(D04_Classes!$BW$3:$BW$102,MATCH(C_Input!AI44,D04_Classes!$B$3:$B$102,0),1)),0)&gt;0,Wisdom&gt;12)),"yes","no")</f>
        <v>yes</v>
      </c>
      <c r="AT44" s="253" t="str">
        <f>IF(OR(IFERROR(SEARCH("Charisma",INDEX(D04_Classes!$BW$3:$BW$102,MATCH(C_Input!AI44,D04_Classes!$B$3:$B$102,0),1)),0)=0,AND(IFERROR(SEARCH("Charisma",INDEX(D04_Classes!$BW$3:$BW$102,MATCH(C_Input!AI44,D04_Classes!$B$3:$B$102,0),1)),0)&gt;0,Charisma&gt;12)),"yes","no")</f>
        <v>yes</v>
      </c>
      <c r="AU44" s="253">
        <f t="shared" si="1"/>
        <v>0</v>
      </c>
      <c r="AV44" s="253">
        <f>IF(AU44=0,0,COUNTIF($AV$15:AV43,"&gt;0")+1)</f>
        <v>0</v>
      </c>
      <c r="AW44" s="169"/>
      <c r="AX44" s="255" t="str">
        <f t="shared" si="7"/>
        <v/>
      </c>
      <c r="AY44" s="255" t="str">
        <f t="shared" si="2"/>
        <v/>
      </c>
      <c r="AZ44" s="169"/>
      <c r="BA44" s="169"/>
      <c r="BB44" s="169"/>
      <c r="BC44" s="169"/>
      <c r="BD44" s="254" t="str">
        <f t="shared" si="9"/>
        <v/>
      </c>
      <c r="BE44" s="254" t="str">
        <f>IFERROR(INDEX(D01_Races!$B$2:$B$101,MATCH(C_Input!BD44,D01_Races!$C$2:$C$101,0),1),"")</f>
        <v/>
      </c>
      <c r="BF44" s="252" t="str">
        <f t="shared" si="10"/>
        <v/>
      </c>
      <c r="BG44" s="252" t="str">
        <f>IFERROR(IF(BF44="","",INDEX(D01_Races!$E$2:$E$101,MATCH(C_Input!BF44,D01_Races!$D$2:$D$101,0),1)),"")</f>
        <v/>
      </c>
      <c r="BH44" s="252" t="str">
        <f>IFERROR(IF(BF44="","",INDEX(D01_Races!$A$2:$A$101,MATCH(C_Input!BF44,D01_Races!$D$2:$D$101,0),1)),"")</f>
        <v/>
      </c>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row>
    <row r="45" spans="1:152" ht="15.95" customHeight="1" outlineLevel="1" thickBot="1" x14ac:dyDescent="0.35">
      <c r="A45" s="152"/>
      <c r="B45" s="1351"/>
      <c r="C45" s="1356"/>
      <c r="D45" s="770"/>
      <c r="E45" s="1357"/>
      <c r="F45" s="770"/>
      <c r="G45" s="1358"/>
      <c r="H45" s="770"/>
      <c r="I45" s="1357"/>
      <c r="J45" s="770"/>
      <c r="K45" s="1354"/>
      <c r="L45" s="770"/>
      <c r="M45" s="744"/>
      <c r="N45" s="742"/>
      <c r="O45" s="152"/>
      <c r="P45" s="786" t="s">
        <v>2198</v>
      </c>
      <c r="Q45" s="787"/>
      <c r="R45" s="845">
        <f>IFERROR(R42-G42-G44-G46-G48-G50-G52,"")</f>
        <v>0</v>
      </c>
      <c r="S45" s="846"/>
      <c r="T45" s="152"/>
      <c r="U45" s="152"/>
      <c r="V45" s="152"/>
      <c r="W45" s="152"/>
      <c r="X45" s="152"/>
      <c r="Y45" s="152"/>
      <c r="Z45" s="152"/>
      <c r="AA45" s="152"/>
      <c r="AB45" s="152"/>
      <c r="AC45" s="921"/>
      <c r="AD45" s="887"/>
      <c r="AE45" s="152"/>
      <c r="AF45" s="175"/>
      <c r="AH45" s="253" t="str">
        <f t="shared" si="5"/>
        <v/>
      </c>
      <c r="AI45" s="253" t="str">
        <f>IFERROR(INDEX(D04_Classes!$B$3:$B$102,AH45,1),"")</f>
        <v/>
      </c>
      <c r="AJ45" s="253" t="str">
        <f t="shared" si="0"/>
        <v/>
      </c>
      <c r="AK45" s="253">
        <f t="shared" si="6"/>
        <v>0</v>
      </c>
      <c r="AL45" s="253">
        <f>IF(AK45=0,0,COUNTIF($AL$15:AL44,"&gt;0")+1)</f>
        <v>0</v>
      </c>
      <c r="AM45" s="253">
        <f>IF(IFERROR(SEARCH("and",INDEX(D04_Classes!$BW$3:$BW$102,MATCH(C_Input!AI45,D04_Classes!$B$3:$B$102,0),1)),0)&gt;1,1,0)</f>
        <v>0</v>
      </c>
      <c r="AN45" s="253">
        <f>IF(IFERROR(SEARCH("or",INDEX(D04_Classes!$BW$3:$BW$102,MATCH(C_Input!AI45,D04_Classes!$B$3:$B$102,0),1)),0)&gt;1,1,0)</f>
        <v>0</v>
      </c>
      <c r="AO45" s="253" t="str">
        <f>IF(OR(IFERROR(SEARCH("Strength",INDEX(D04_Classes!$BW$3:$BW$102,MATCH(C_Input!AI45,D04_Classes!$B$3:$B$102,0),1)),0)=0,AND(IFERROR(SEARCH("Strength",INDEX(D04_Classes!$BW$3:$BW$102,MATCH(C_Input!AI45,D04_Classes!$B$3:$B$102,0),1)),0)&gt;0,Strength&gt;12)),"yes","no")</f>
        <v>yes</v>
      </c>
      <c r="AP45" s="253" t="str">
        <f>IF(OR(IFERROR(SEARCH("Dexterity",INDEX(D04_Classes!$BW$3:$BW$102,MATCH(C_Input!AI45,D04_Classes!$B$3:$B$102,0),1)),0)=0,AND(IFERROR(SEARCH("Dexterity",INDEX(D04_Classes!$BW$3:$BW$102,MATCH(C_Input!AI45,D04_Classes!$B$3:$B$102,0),1)),0)&gt;0,Dexterity&gt;12)),"yes","no")</f>
        <v>yes</v>
      </c>
      <c r="AQ45" s="253" t="str">
        <f>IF(OR(IFERROR(SEARCH("Constitution",INDEX(D04_Classes!$BW$3:$BW$102,MATCH(C_Input!AI45,D04_Classes!$B$3:$B$102,0),1)),0)=0,AND(IFERROR(SEARCH("Constitution",INDEX(D04_Classes!$BW$3:$BW$102,MATCH(C_Input!AI45,D04_Classes!$B$3:$B$102,0),1)),0)&gt;0,Constitution&gt;12)),"yes","no")</f>
        <v>yes</v>
      </c>
      <c r="AR45" s="253" t="str">
        <f>IF(OR(IFERROR(SEARCH("Intelligence",INDEX(D04_Classes!$BW$3:$BW$102,MATCH(C_Input!AI45,D04_Classes!$B$3:$B$102,0),1)),0)=0,AND(IFERROR(SEARCH("Intelligence",INDEX(D04_Classes!$BW$3:$BW$102,MATCH(C_Input!AI45,D04_Classes!$B$3:$B$102,0),1)),0)&gt;0,Intelligence&gt;12)),"yes","no")</f>
        <v>yes</v>
      </c>
      <c r="AS45" s="253" t="str">
        <f>IF(OR(IFERROR(SEARCH("Wisdom",INDEX(D04_Classes!$BW$3:$BW$102,MATCH(C_Input!AI45,D04_Classes!$B$3:$B$102,0),1)),0)=0,AND(IFERROR(SEARCH("Wisdom",INDEX(D04_Classes!$BW$3:$BW$102,MATCH(C_Input!AI45,D04_Classes!$B$3:$B$102,0),1)),0)&gt;0,Wisdom&gt;12)),"yes","no")</f>
        <v>yes</v>
      </c>
      <c r="AT45" s="253" t="str">
        <f>IF(OR(IFERROR(SEARCH("Charisma",INDEX(D04_Classes!$BW$3:$BW$102,MATCH(C_Input!AI45,D04_Classes!$B$3:$B$102,0),1)),0)=0,AND(IFERROR(SEARCH("Charisma",INDEX(D04_Classes!$BW$3:$BW$102,MATCH(C_Input!AI45,D04_Classes!$B$3:$B$102,0),1)),0)&gt;0,Charisma&gt;12)),"yes","no")</f>
        <v>yes</v>
      </c>
      <c r="AU45" s="253">
        <f t="shared" si="1"/>
        <v>0</v>
      </c>
      <c r="AV45" s="253">
        <f>IF(AU45=0,0,COUNTIF($AV$15:AV44,"&gt;0")+1)</f>
        <v>0</v>
      </c>
      <c r="AW45" s="170"/>
      <c r="AX45" s="255" t="str">
        <f t="shared" si="7"/>
        <v/>
      </c>
      <c r="AY45" s="255" t="str">
        <f t="shared" si="2"/>
        <v/>
      </c>
      <c r="AZ45" s="170"/>
      <c r="BA45" s="170"/>
      <c r="BB45" s="170"/>
      <c r="BC45" s="170"/>
      <c r="BD45" s="254" t="str">
        <f t="shared" si="9"/>
        <v/>
      </c>
      <c r="BE45" s="254" t="str">
        <f>IFERROR(INDEX(D01_Races!$B$2:$B$101,MATCH(C_Input!BD45,D01_Races!$C$2:$C$101,0),1),"")</f>
        <v/>
      </c>
      <c r="BF45" s="252" t="str">
        <f t="shared" si="10"/>
        <v/>
      </c>
      <c r="BG45" s="252" t="str">
        <f>IFERROR(IF(BF45="","",INDEX(D01_Races!$E$2:$E$101,MATCH(C_Input!BF45,D01_Races!$D$2:$D$101,0),1)),"")</f>
        <v/>
      </c>
      <c r="BH45" s="252" t="str">
        <f>IFERROR(IF(BF45="","",INDEX(D01_Races!$A$2:$A$101,MATCH(C_Input!BF45,D01_Races!$D$2:$D$101,0),1)),"")</f>
        <v/>
      </c>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row>
    <row r="46" spans="1:152" ht="15.95" customHeight="1" outlineLevel="1" thickBot="1" x14ac:dyDescent="0.35">
      <c r="A46" s="152"/>
      <c r="B46" s="1351" t="s">
        <v>508</v>
      </c>
      <c r="C46" s="1356">
        <v>11.000069999999999</v>
      </c>
      <c r="D46" s="770" t="s">
        <v>606</v>
      </c>
      <c r="E46" s="1357">
        <f>IFERROR(INDEX(D01_Races!$L$2:$L$101,MATCH(SelectedRaceID,D01_Races!$A$2:$A$101,0),1),"")</f>
        <v>0</v>
      </c>
      <c r="F46" s="770" t="s">
        <v>606</v>
      </c>
      <c r="G46" s="1358"/>
      <c r="H46" s="770" t="s">
        <v>606</v>
      </c>
      <c r="I46" s="1357"/>
      <c r="J46" s="770" t="s">
        <v>606</v>
      </c>
      <c r="K46" s="1354"/>
      <c r="L46" s="770" t="s">
        <v>608</v>
      </c>
      <c r="M46" s="743">
        <f>IFERROR(INT(BaseCon+E46+G46+I46+K46),"")</f>
        <v>11</v>
      </c>
      <c r="N46" s="741">
        <f>IFERROR(IF(M46&gt;10,ROUNDDOWN((M46-10)/2,0),ROUND((M46-10)/2,0)),"")</f>
        <v>0</v>
      </c>
      <c r="O46" s="152"/>
      <c r="P46" s="788"/>
      <c r="Q46" s="789"/>
      <c r="R46" s="847"/>
      <c r="S46" s="848"/>
      <c r="T46" s="152"/>
      <c r="U46" s="152"/>
      <c r="V46" s="152"/>
      <c r="W46" s="152"/>
      <c r="X46" s="152"/>
      <c r="Y46" s="152"/>
      <c r="Z46" s="152"/>
      <c r="AA46" s="152"/>
      <c r="AB46" s="152"/>
      <c r="AC46" s="921">
        <v>10</v>
      </c>
      <c r="AD46" s="888">
        <f>IFERROR(IF(AC46&gt;10,ROUNDDOWN((AC46-10)/2,0),ROUND((AC46-10)/2,0)),"")</f>
        <v>0</v>
      </c>
      <c r="AE46" s="152"/>
      <c r="AF46" s="173"/>
      <c r="AH46" s="253" t="str">
        <f t="shared" si="5"/>
        <v/>
      </c>
      <c r="AI46" s="253" t="str">
        <f>IFERROR(INDEX(D04_Classes!$B$3:$B$102,AH46,1),"")</f>
        <v/>
      </c>
      <c r="AJ46" s="253" t="str">
        <f t="shared" si="0"/>
        <v/>
      </c>
      <c r="AK46" s="253">
        <f t="shared" si="6"/>
        <v>0</v>
      </c>
      <c r="AL46" s="253">
        <f>IF(AK46=0,0,COUNTIF($AL$15:AL45,"&gt;0")+1)</f>
        <v>0</v>
      </c>
      <c r="AM46" s="253">
        <f>IF(IFERROR(SEARCH("and",INDEX(D04_Classes!$BW$3:$BW$102,MATCH(C_Input!AI46,D04_Classes!$B$3:$B$102,0),1)),0)&gt;1,1,0)</f>
        <v>0</v>
      </c>
      <c r="AN46" s="253">
        <f>IF(IFERROR(SEARCH("or",INDEX(D04_Classes!$BW$3:$BW$102,MATCH(C_Input!AI46,D04_Classes!$B$3:$B$102,0),1)),0)&gt;1,1,0)</f>
        <v>0</v>
      </c>
      <c r="AO46" s="253" t="str">
        <f>IF(OR(IFERROR(SEARCH("Strength",INDEX(D04_Classes!$BW$3:$BW$102,MATCH(C_Input!AI46,D04_Classes!$B$3:$B$102,0),1)),0)=0,AND(IFERROR(SEARCH("Strength",INDEX(D04_Classes!$BW$3:$BW$102,MATCH(C_Input!AI46,D04_Classes!$B$3:$B$102,0),1)),0)&gt;0,Strength&gt;12)),"yes","no")</f>
        <v>yes</v>
      </c>
      <c r="AP46" s="253" t="str">
        <f>IF(OR(IFERROR(SEARCH("Dexterity",INDEX(D04_Classes!$BW$3:$BW$102,MATCH(C_Input!AI46,D04_Classes!$B$3:$B$102,0),1)),0)=0,AND(IFERROR(SEARCH("Dexterity",INDEX(D04_Classes!$BW$3:$BW$102,MATCH(C_Input!AI46,D04_Classes!$B$3:$B$102,0),1)),0)&gt;0,Dexterity&gt;12)),"yes","no")</f>
        <v>yes</v>
      </c>
      <c r="AQ46" s="253" t="str">
        <f>IF(OR(IFERROR(SEARCH("Constitution",INDEX(D04_Classes!$BW$3:$BW$102,MATCH(C_Input!AI46,D04_Classes!$B$3:$B$102,0),1)),0)=0,AND(IFERROR(SEARCH("Constitution",INDEX(D04_Classes!$BW$3:$BW$102,MATCH(C_Input!AI46,D04_Classes!$B$3:$B$102,0),1)),0)&gt;0,Constitution&gt;12)),"yes","no")</f>
        <v>yes</v>
      </c>
      <c r="AR46" s="253" t="str">
        <f>IF(OR(IFERROR(SEARCH("Intelligence",INDEX(D04_Classes!$BW$3:$BW$102,MATCH(C_Input!AI46,D04_Classes!$B$3:$B$102,0),1)),0)=0,AND(IFERROR(SEARCH("Intelligence",INDEX(D04_Classes!$BW$3:$BW$102,MATCH(C_Input!AI46,D04_Classes!$B$3:$B$102,0),1)),0)&gt;0,Intelligence&gt;12)),"yes","no")</f>
        <v>yes</v>
      </c>
      <c r="AS46" s="253" t="str">
        <f>IF(OR(IFERROR(SEARCH("Wisdom",INDEX(D04_Classes!$BW$3:$BW$102,MATCH(C_Input!AI46,D04_Classes!$B$3:$B$102,0),1)),0)=0,AND(IFERROR(SEARCH("Wisdom",INDEX(D04_Classes!$BW$3:$BW$102,MATCH(C_Input!AI46,D04_Classes!$B$3:$B$102,0),1)),0)&gt;0,Wisdom&gt;12)),"yes","no")</f>
        <v>yes</v>
      </c>
      <c r="AT46" s="253" t="str">
        <f>IF(OR(IFERROR(SEARCH("Charisma",INDEX(D04_Classes!$BW$3:$BW$102,MATCH(C_Input!AI46,D04_Classes!$B$3:$B$102,0),1)),0)=0,AND(IFERROR(SEARCH("Charisma",INDEX(D04_Classes!$BW$3:$BW$102,MATCH(C_Input!AI46,D04_Classes!$B$3:$B$102,0),1)),0)&gt;0,Charisma&gt;12)),"yes","no")</f>
        <v>yes</v>
      </c>
      <c r="AU46" s="253">
        <f t="shared" si="1"/>
        <v>0</v>
      </c>
      <c r="AV46" s="253">
        <f>IF(AU46=0,0,COUNTIF($AV$15:AV45,"&gt;0")+1)</f>
        <v>0</v>
      </c>
      <c r="AW46" s="168"/>
      <c r="AX46" s="255" t="str">
        <f t="shared" si="7"/>
        <v/>
      </c>
      <c r="AY46" s="255" t="str">
        <f t="shared" si="2"/>
        <v/>
      </c>
      <c r="AZ46" s="168"/>
      <c r="BA46" s="168"/>
      <c r="BB46" s="168"/>
      <c r="BC46" s="168"/>
      <c r="BD46" s="254" t="str">
        <f t="shared" si="9"/>
        <v/>
      </c>
      <c r="BE46" s="254" t="str">
        <f>IFERROR(INDEX(D01_Races!$B$2:$B$101,MATCH(C_Input!BD46,D01_Races!$C$2:$C$101,0),1),"")</f>
        <v/>
      </c>
      <c r="BF46" s="252" t="str">
        <f t="shared" si="10"/>
        <v/>
      </c>
      <c r="BG46" s="252" t="str">
        <f>IFERROR(IF(BF46="","",INDEX(D01_Races!$E$2:$E$101,MATCH(C_Input!BF46,D01_Races!$D$2:$D$101,0),1)),"")</f>
        <v/>
      </c>
      <c r="BH46" s="252" t="str">
        <f>IFERROR(IF(BF46="","",INDEX(D01_Races!$A$2:$A$101,MATCH(C_Input!BF46,D01_Races!$D$2:$D$101,0),1)),"")</f>
        <v/>
      </c>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row>
    <row r="47" spans="1:152" ht="15.95" customHeight="1" outlineLevel="1" thickBot="1" x14ac:dyDescent="0.35">
      <c r="A47" s="152"/>
      <c r="B47" s="1351"/>
      <c r="C47" s="1356"/>
      <c r="D47" s="770"/>
      <c r="E47" s="1357"/>
      <c r="F47" s="770"/>
      <c r="G47" s="1358"/>
      <c r="H47" s="770"/>
      <c r="I47" s="1357"/>
      <c r="J47" s="770"/>
      <c r="K47" s="1354"/>
      <c r="L47" s="770"/>
      <c r="M47" s="744"/>
      <c r="N47" s="742"/>
      <c r="O47" s="152"/>
      <c r="P47" s="152"/>
      <c r="Q47" s="152"/>
      <c r="R47" s="152"/>
      <c r="S47" s="152"/>
      <c r="T47" s="152"/>
      <c r="U47" s="152"/>
      <c r="V47" s="152"/>
      <c r="W47" s="152"/>
      <c r="X47" s="152"/>
      <c r="Y47" s="152"/>
      <c r="Z47" s="152"/>
      <c r="AA47" s="152"/>
      <c r="AB47" s="152"/>
      <c r="AC47" s="921"/>
      <c r="AD47" s="887"/>
      <c r="AE47" s="152"/>
      <c r="AF47" s="174"/>
      <c r="AH47" s="253" t="str">
        <f t="shared" si="5"/>
        <v/>
      </c>
      <c r="AI47" s="253" t="str">
        <f>IFERROR(INDEX(D04_Classes!$B$3:$B$102,AH47,1),"")</f>
        <v/>
      </c>
      <c r="AJ47" s="253" t="str">
        <f t="shared" ref="AJ47:AJ78" si="11">IF(AI47="","",COUNTIF($R$58:$T$67,AI47)+COUNTIF($R$68:$T$77,AI47))</f>
        <v/>
      </c>
      <c r="AK47" s="253">
        <f t="shared" si="6"/>
        <v>0</v>
      </c>
      <c r="AL47" s="253">
        <f>IF(AK47=0,0,COUNTIF($AL$15:AL46,"&gt;0")+1)</f>
        <v>0</v>
      </c>
      <c r="AM47" s="253">
        <f>IF(IFERROR(SEARCH("and",INDEX(D04_Classes!$BW$3:$BW$102,MATCH(C_Input!AI47,D04_Classes!$B$3:$B$102,0),1)),0)&gt;1,1,0)</f>
        <v>0</v>
      </c>
      <c r="AN47" s="253">
        <f>IF(IFERROR(SEARCH("or",INDEX(D04_Classes!$BW$3:$BW$102,MATCH(C_Input!AI47,D04_Classes!$B$3:$B$102,0),1)),0)&gt;1,1,0)</f>
        <v>0</v>
      </c>
      <c r="AO47" s="253" t="str">
        <f>IF(OR(IFERROR(SEARCH("Strength",INDEX(D04_Classes!$BW$3:$BW$102,MATCH(C_Input!AI47,D04_Classes!$B$3:$B$102,0),1)),0)=0,AND(IFERROR(SEARCH("Strength",INDEX(D04_Classes!$BW$3:$BW$102,MATCH(C_Input!AI47,D04_Classes!$B$3:$B$102,0),1)),0)&gt;0,Strength&gt;12)),"yes","no")</f>
        <v>yes</v>
      </c>
      <c r="AP47" s="253" t="str">
        <f>IF(OR(IFERROR(SEARCH("Dexterity",INDEX(D04_Classes!$BW$3:$BW$102,MATCH(C_Input!AI47,D04_Classes!$B$3:$B$102,0),1)),0)=0,AND(IFERROR(SEARCH("Dexterity",INDEX(D04_Classes!$BW$3:$BW$102,MATCH(C_Input!AI47,D04_Classes!$B$3:$B$102,0),1)),0)&gt;0,Dexterity&gt;12)),"yes","no")</f>
        <v>yes</v>
      </c>
      <c r="AQ47" s="253" t="str">
        <f>IF(OR(IFERROR(SEARCH("Constitution",INDEX(D04_Classes!$BW$3:$BW$102,MATCH(C_Input!AI47,D04_Classes!$B$3:$B$102,0),1)),0)=0,AND(IFERROR(SEARCH("Constitution",INDEX(D04_Classes!$BW$3:$BW$102,MATCH(C_Input!AI47,D04_Classes!$B$3:$B$102,0),1)),0)&gt;0,Constitution&gt;12)),"yes","no")</f>
        <v>yes</v>
      </c>
      <c r="AR47" s="253" t="str">
        <f>IF(OR(IFERROR(SEARCH("Intelligence",INDEX(D04_Classes!$BW$3:$BW$102,MATCH(C_Input!AI47,D04_Classes!$B$3:$B$102,0),1)),0)=0,AND(IFERROR(SEARCH("Intelligence",INDEX(D04_Classes!$BW$3:$BW$102,MATCH(C_Input!AI47,D04_Classes!$B$3:$B$102,0),1)),0)&gt;0,Intelligence&gt;12)),"yes","no")</f>
        <v>yes</v>
      </c>
      <c r="AS47" s="253" t="str">
        <f>IF(OR(IFERROR(SEARCH("Wisdom",INDEX(D04_Classes!$BW$3:$BW$102,MATCH(C_Input!AI47,D04_Classes!$B$3:$B$102,0),1)),0)=0,AND(IFERROR(SEARCH("Wisdom",INDEX(D04_Classes!$BW$3:$BW$102,MATCH(C_Input!AI47,D04_Classes!$B$3:$B$102,0),1)),0)&gt;0,Wisdom&gt;12)),"yes","no")</f>
        <v>yes</v>
      </c>
      <c r="AT47" s="253" t="str">
        <f>IF(OR(IFERROR(SEARCH("Charisma",INDEX(D04_Classes!$BW$3:$BW$102,MATCH(C_Input!AI47,D04_Classes!$B$3:$B$102,0),1)),0)=0,AND(IFERROR(SEARCH("Charisma",INDEX(D04_Classes!$BW$3:$BW$102,MATCH(C_Input!AI47,D04_Classes!$B$3:$B$102,0),1)),0)&gt;0,Charisma&gt;12)),"yes","no")</f>
        <v>yes</v>
      </c>
      <c r="AU47" s="253">
        <f t="shared" ref="AU47:AU78" si="12">IF(AI47="",0,IF(AN47=1,IF(COUNTIF(AO47:AT47,"no")&lt;2,1,0),IF(COUNTIF(AO47:AT47,"no")&gt;0,0,1)))</f>
        <v>0</v>
      </c>
      <c r="AV47" s="253">
        <f>IF(AU47=0,0,COUNTIF($AV$15:AV46,"&gt;0")+1)</f>
        <v>0</v>
      </c>
      <c r="AW47" s="169"/>
      <c r="AX47" s="255" t="str">
        <f t="shared" si="7"/>
        <v/>
      </c>
      <c r="AY47" s="255" t="str">
        <f t="shared" ref="AY47:AY78" si="13">IFERROR(INDEX($AI$15:$AI$114,MATCH(AX47,$AV$15:$AV$114,0),1),"")</f>
        <v/>
      </c>
      <c r="AZ47" s="169"/>
      <c r="BA47" s="169"/>
      <c r="BB47" s="169"/>
      <c r="BC47" s="169"/>
      <c r="BD47" s="254" t="str">
        <f t="shared" si="9"/>
        <v/>
      </c>
      <c r="BE47" s="254" t="str">
        <f>IFERROR(INDEX(D01_Races!$B$2:$B$101,MATCH(C_Input!BD47,D01_Races!$C$2:$C$101,0),1),"")</f>
        <v/>
      </c>
      <c r="BF47" s="252" t="str">
        <f t="shared" si="10"/>
        <v/>
      </c>
      <c r="BG47" s="252" t="str">
        <f>IFERROR(IF(BF47="","",INDEX(D01_Races!$E$2:$E$101,MATCH(C_Input!BF47,D01_Races!$D$2:$D$101,0),1)),"")</f>
        <v/>
      </c>
      <c r="BH47" s="252" t="str">
        <f>IFERROR(IF(BF47="","",INDEX(D01_Races!$A$2:$A$101,MATCH(C_Input!BF47,D01_Races!$D$2:$D$101,0),1)),"")</f>
        <v/>
      </c>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row>
    <row r="48" spans="1:152" ht="15.95" customHeight="1" outlineLevel="1" x14ac:dyDescent="0.3">
      <c r="A48" s="152"/>
      <c r="B48" s="1351" t="s">
        <v>509</v>
      </c>
      <c r="C48" s="1356">
        <v>13.00009</v>
      </c>
      <c r="D48" s="770" t="s">
        <v>606</v>
      </c>
      <c r="E48" s="1357">
        <f>IFERROR(INDEX(D01_Races!$M$2:$M$101,MATCH(SelectedRaceID,D01_Races!$A$2:$A$101,0),1),"")</f>
        <v>0</v>
      </c>
      <c r="F48" s="770" t="s">
        <v>606</v>
      </c>
      <c r="G48" s="1358"/>
      <c r="H48" s="770" t="s">
        <v>606</v>
      </c>
      <c r="I48" s="1357"/>
      <c r="J48" s="770" t="s">
        <v>606</v>
      </c>
      <c r="K48" s="1354"/>
      <c r="L48" s="770" t="s">
        <v>608</v>
      </c>
      <c r="M48" s="743">
        <f>IFERROR(INT(BaseInt+E48+G48+I48+K48),"")</f>
        <v>13</v>
      </c>
      <c r="N48" s="741">
        <f>IFERROR(IF(M48&gt;10,ROUNDDOWN((M48-10)/2,0),ROUND((M48-10)/2,0)),"")</f>
        <v>1</v>
      </c>
      <c r="O48" s="152"/>
      <c r="P48" s="786" t="s">
        <v>4433</v>
      </c>
      <c r="Q48" s="787"/>
      <c r="R48" s="782">
        <f>2*ASINumber</f>
        <v>0</v>
      </c>
      <c r="S48" s="783"/>
      <c r="T48" s="152"/>
      <c r="U48" s="152"/>
      <c r="V48" s="152"/>
      <c r="W48" s="152"/>
      <c r="X48" s="152"/>
      <c r="Y48" s="152"/>
      <c r="Z48" s="152"/>
      <c r="AA48" s="152"/>
      <c r="AB48" s="152"/>
      <c r="AC48" s="921">
        <v>11</v>
      </c>
      <c r="AD48" s="888">
        <f>IFERROR(IF(AC48&gt;10,ROUNDDOWN((AC48-10)/2,0),ROUND((AC48-10)/2,0)),"")</f>
        <v>0</v>
      </c>
      <c r="AE48" s="152"/>
      <c r="AF48" s="175"/>
      <c r="AH48" s="253" t="str">
        <f t="shared" ref="AH48:AH79" si="14">IFERROR(IF(AH47+1&lt;UniqueClassesNumber+1,AH47+1,""),"")</f>
        <v/>
      </c>
      <c r="AI48" s="253" t="str">
        <f>IFERROR(INDEX(D04_Classes!$B$3:$B$102,AH48,1),"")</f>
        <v/>
      </c>
      <c r="AJ48" s="253" t="str">
        <f t="shared" si="11"/>
        <v/>
      </c>
      <c r="AK48" s="253">
        <f t="shared" si="6"/>
        <v>0</v>
      </c>
      <c r="AL48" s="253">
        <f>IF(AK48=0,0,COUNTIF($AL$15:AL47,"&gt;0")+1)</f>
        <v>0</v>
      </c>
      <c r="AM48" s="253">
        <f>IF(IFERROR(SEARCH("and",INDEX(D04_Classes!$BW$3:$BW$102,MATCH(C_Input!AI48,D04_Classes!$B$3:$B$102,0),1)),0)&gt;1,1,0)</f>
        <v>0</v>
      </c>
      <c r="AN48" s="253">
        <f>IF(IFERROR(SEARCH("or",INDEX(D04_Classes!$BW$3:$BW$102,MATCH(C_Input!AI48,D04_Classes!$B$3:$B$102,0),1)),0)&gt;1,1,0)</f>
        <v>0</v>
      </c>
      <c r="AO48" s="253" t="str">
        <f>IF(OR(IFERROR(SEARCH("Strength",INDEX(D04_Classes!$BW$3:$BW$102,MATCH(C_Input!AI48,D04_Classes!$B$3:$B$102,0),1)),0)=0,AND(IFERROR(SEARCH("Strength",INDEX(D04_Classes!$BW$3:$BW$102,MATCH(C_Input!AI48,D04_Classes!$B$3:$B$102,0),1)),0)&gt;0,Strength&gt;12)),"yes","no")</f>
        <v>yes</v>
      </c>
      <c r="AP48" s="253" t="str">
        <f>IF(OR(IFERROR(SEARCH("Dexterity",INDEX(D04_Classes!$BW$3:$BW$102,MATCH(C_Input!AI48,D04_Classes!$B$3:$B$102,0),1)),0)=0,AND(IFERROR(SEARCH("Dexterity",INDEX(D04_Classes!$BW$3:$BW$102,MATCH(C_Input!AI48,D04_Classes!$B$3:$B$102,0),1)),0)&gt;0,Dexterity&gt;12)),"yes","no")</f>
        <v>yes</v>
      </c>
      <c r="AQ48" s="253" t="str">
        <f>IF(OR(IFERROR(SEARCH("Constitution",INDEX(D04_Classes!$BW$3:$BW$102,MATCH(C_Input!AI48,D04_Classes!$B$3:$B$102,0),1)),0)=0,AND(IFERROR(SEARCH("Constitution",INDEX(D04_Classes!$BW$3:$BW$102,MATCH(C_Input!AI48,D04_Classes!$B$3:$B$102,0),1)),0)&gt;0,Constitution&gt;12)),"yes","no")</f>
        <v>yes</v>
      </c>
      <c r="AR48" s="253" t="str">
        <f>IF(OR(IFERROR(SEARCH("Intelligence",INDEX(D04_Classes!$BW$3:$BW$102,MATCH(C_Input!AI48,D04_Classes!$B$3:$B$102,0),1)),0)=0,AND(IFERROR(SEARCH("Intelligence",INDEX(D04_Classes!$BW$3:$BW$102,MATCH(C_Input!AI48,D04_Classes!$B$3:$B$102,0),1)),0)&gt;0,Intelligence&gt;12)),"yes","no")</f>
        <v>yes</v>
      </c>
      <c r="AS48" s="253" t="str">
        <f>IF(OR(IFERROR(SEARCH("Wisdom",INDEX(D04_Classes!$BW$3:$BW$102,MATCH(C_Input!AI48,D04_Classes!$B$3:$B$102,0),1)),0)=0,AND(IFERROR(SEARCH("Wisdom",INDEX(D04_Classes!$BW$3:$BW$102,MATCH(C_Input!AI48,D04_Classes!$B$3:$B$102,0),1)),0)&gt;0,Wisdom&gt;12)),"yes","no")</f>
        <v>yes</v>
      </c>
      <c r="AT48" s="253" t="str">
        <f>IF(OR(IFERROR(SEARCH("Charisma",INDEX(D04_Classes!$BW$3:$BW$102,MATCH(C_Input!AI48,D04_Classes!$B$3:$B$102,0),1)),0)=0,AND(IFERROR(SEARCH("Charisma",INDEX(D04_Classes!$BW$3:$BW$102,MATCH(C_Input!AI48,D04_Classes!$B$3:$B$102,0),1)),0)&gt;0,Charisma&gt;12)),"yes","no")</f>
        <v>yes</v>
      </c>
      <c r="AU48" s="253">
        <f t="shared" si="12"/>
        <v>0</v>
      </c>
      <c r="AV48" s="253">
        <f>IF(AU48=0,0,COUNTIF($AV$15:AV47,"&gt;0")+1)</f>
        <v>0</v>
      </c>
      <c r="AW48" s="170"/>
      <c r="AX48" s="255" t="str">
        <f t="shared" ref="AX48:AX79" si="15">IFERROR(IF(AX47+1&lt;=MAX($AV$15:$AV$114),AX47+1,""),"")</f>
        <v/>
      </c>
      <c r="AY48" s="255" t="str">
        <f t="shared" si="13"/>
        <v/>
      </c>
      <c r="AZ48" s="170"/>
      <c r="BA48" s="170"/>
      <c r="BB48" s="170"/>
      <c r="BC48" s="170"/>
      <c r="BD48" s="254" t="str">
        <f t="shared" si="9"/>
        <v/>
      </c>
      <c r="BE48" s="254" t="str">
        <f>IFERROR(INDEX(D01_Races!$B$2:$B$101,MATCH(C_Input!BD48,D01_Races!$C$2:$C$101,0),1),"")</f>
        <v/>
      </c>
      <c r="BF48" s="252" t="str">
        <f t="shared" si="10"/>
        <v/>
      </c>
      <c r="BG48" s="252" t="str">
        <f>IFERROR(IF(BF48="","",INDEX(D01_Races!$E$2:$E$101,MATCH(C_Input!BF48,D01_Races!$D$2:$D$101,0),1)),"")</f>
        <v/>
      </c>
      <c r="BH48" s="252" t="str">
        <f>IFERROR(IF(BF48="","",INDEX(D01_Races!$A$2:$A$101,MATCH(C_Input!BF48,D01_Races!$D$2:$D$101,0),1)),"")</f>
        <v/>
      </c>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row>
    <row r="49" spans="1:152" ht="15.95" customHeight="1" outlineLevel="1" thickBot="1" x14ac:dyDescent="0.35">
      <c r="A49" s="152"/>
      <c r="B49" s="1351"/>
      <c r="C49" s="1356"/>
      <c r="D49" s="770"/>
      <c r="E49" s="1357"/>
      <c r="F49" s="770"/>
      <c r="G49" s="1358"/>
      <c r="H49" s="770"/>
      <c r="I49" s="1357"/>
      <c r="J49" s="770"/>
      <c r="K49" s="1354"/>
      <c r="L49" s="770"/>
      <c r="M49" s="744"/>
      <c r="N49" s="742"/>
      <c r="O49" s="152"/>
      <c r="P49" s="788"/>
      <c r="Q49" s="789"/>
      <c r="R49" s="784"/>
      <c r="S49" s="785"/>
      <c r="T49" s="152"/>
      <c r="U49" s="152"/>
      <c r="V49" s="152"/>
      <c r="W49" s="152"/>
      <c r="X49" s="152"/>
      <c r="Y49" s="152"/>
      <c r="Z49" s="152"/>
      <c r="AA49" s="152"/>
      <c r="AB49" s="152"/>
      <c r="AC49" s="921"/>
      <c r="AD49" s="887"/>
      <c r="AE49" s="152"/>
      <c r="AF49" s="171"/>
      <c r="AH49" s="253" t="str">
        <f t="shared" si="14"/>
        <v/>
      </c>
      <c r="AI49" s="253" t="str">
        <f>IFERROR(INDEX(D04_Classes!$B$3:$B$102,AH49,1),"")</f>
        <v/>
      </c>
      <c r="AJ49" s="253" t="str">
        <f t="shared" si="11"/>
        <v/>
      </c>
      <c r="AK49" s="253">
        <f t="shared" si="6"/>
        <v>0</v>
      </c>
      <c r="AL49" s="253">
        <f>IF(AK49=0,0,COUNTIF($AL$15:AL48,"&gt;0")+1)</f>
        <v>0</v>
      </c>
      <c r="AM49" s="253">
        <f>IF(IFERROR(SEARCH("and",INDEX(D04_Classes!$BW$3:$BW$102,MATCH(C_Input!AI49,D04_Classes!$B$3:$B$102,0),1)),0)&gt;1,1,0)</f>
        <v>0</v>
      </c>
      <c r="AN49" s="253">
        <f>IF(IFERROR(SEARCH("or",INDEX(D04_Classes!$BW$3:$BW$102,MATCH(C_Input!AI49,D04_Classes!$B$3:$B$102,0),1)),0)&gt;1,1,0)</f>
        <v>0</v>
      </c>
      <c r="AO49" s="253" t="str">
        <f>IF(OR(IFERROR(SEARCH("Strength",INDEX(D04_Classes!$BW$3:$BW$102,MATCH(C_Input!AI49,D04_Classes!$B$3:$B$102,0),1)),0)=0,AND(IFERROR(SEARCH("Strength",INDEX(D04_Classes!$BW$3:$BW$102,MATCH(C_Input!AI49,D04_Classes!$B$3:$B$102,0),1)),0)&gt;0,Strength&gt;12)),"yes","no")</f>
        <v>yes</v>
      </c>
      <c r="AP49" s="253" t="str">
        <f>IF(OR(IFERROR(SEARCH("Dexterity",INDEX(D04_Classes!$BW$3:$BW$102,MATCH(C_Input!AI49,D04_Classes!$B$3:$B$102,0),1)),0)=0,AND(IFERROR(SEARCH("Dexterity",INDEX(D04_Classes!$BW$3:$BW$102,MATCH(C_Input!AI49,D04_Classes!$B$3:$B$102,0),1)),0)&gt;0,Dexterity&gt;12)),"yes","no")</f>
        <v>yes</v>
      </c>
      <c r="AQ49" s="253" t="str">
        <f>IF(OR(IFERROR(SEARCH("Constitution",INDEX(D04_Classes!$BW$3:$BW$102,MATCH(C_Input!AI49,D04_Classes!$B$3:$B$102,0),1)),0)=0,AND(IFERROR(SEARCH("Constitution",INDEX(D04_Classes!$BW$3:$BW$102,MATCH(C_Input!AI49,D04_Classes!$B$3:$B$102,0),1)),0)&gt;0,Constitution&gt;12)),"yes","no")</f>
        <v>yes</v>
      </c>
      <c r="AR49" s="253" t="str">
        <f>IF(OR(IFERROR(SEARCH("Intelligence",INDEX(D04_Classes!$BW$3:$BW$102,MATCH(C_Input!AI49,D04_Classes!$B$3:$B$102,0),1)),0)=0,AND(IFERROR(SEARCH("Intelligence",INDEX(D04_Classes!$BW$3:$BW$102,MATCH(C_Input!AI49,D04_Classes!$B$3:$B$102,0),1)),0)&gt;0,Intelligence&gt;12)),"yes","no")</f>
        <v>yes</v>
      </c>
      <c r="AS49" s="253" t="str">
        <f>IF(OR(IFERROR(SEARCH("Wisdom",INDEX(D04_Classes!$BW$3:$BW$102,MATCH(C_Input!AI49,D04_Classes!$B$3:$B$102,0),1)),0)=0,AND(IFERROR(SEARCH("Wisdom",INDEX(D04_Classes!$BW$3:$BW$102,MATCH(C_Input!AI49,D04_Classes!$B$3:$B$102,0),1)),0)&gt;0,Wisdom&gt;12)),"yes","no")</f>
        <v>yes</v>
      </c>
      <c r="AT49" s="253" t="str">
        <f>IF(OR(IFERROR(SEARCH("Charisma",INDEX(D04_Classes!$BW$3:$BW$102,MATCH(C_Input!AI49,D04_Classes!$B$3:$B$102,0),1)),0)=0,AND(IFERROR(SEARCH("Charisma",INDEX(D04_Classes!$BW$3:$BW$102,MATCH(C_Input!AI49,D04_Classes!$B$3:$B$102,0),1)),0)&gt;0,Charisma&gt;12)),"yes","no")</f>
        <v>yes</v>
      </c>
      <c r="AU49" s="253">
        <f t="shared" si="12"/>
        <v>0</v>
      </c>
      <c r="AV49" s="253">
        <f>IF(AU49=0,0,COUNTIF($AV$15:AV48,"&gt;0")+1)</f>
        <v>0</v>
      </c>
      <c r="AX49" s="255" t="str">
        <f t="shared" si="15"/>
        <v/>
      </c>
      <c r="AY49" s="255" t="str">
        <f t="shared" si="13"/>
        <v/>
      </c>
      <c r="BD49" s="254" t="str">
        <f t="shared" si="9"/>
        <v/>
      </c>
      <c r="BE49" s="254" t="str">
        <f>IFERROR(INDEX(D01_Races!$B$2:$B$101,MATCH(C_Input!BD49,D01_Races!$C$2:$C$101,0),1),"")</f>
        <v/>
      </c>
      <c r="BF49" s="252" t="str">
        <f t="shared" si="10"/>
        <v/>
      </c>
      <c r="BG49" s="252" t="str">
        <f>IFERROR(IF(BF49="","",INDEX(D01_Races!$E$2:$E$101,MATCH(C_Input!BF49,D01_Races!$D$2:$D$101,0),1)),"")</f>
        <v/>
      </c>
      <c r="BH49" s="252" t="str">
        <f>IFERROR(IF(BF49="","",INDEX(D01_Races!$A$2:$A$101,MATCH(C_Input!BF49,D01_Races!$D$2:$D$101,0),1)),"")</f>
        <v/>
      </c>
      <c r="BI49" s="165" t="e">
        <f>MATCH(MainClassSelected,D03_Skills!D1:O1,0)</f>
        <v>#N/A</v>
      </c>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row>
    <row r="50" spans="1:152" ht="15.95" customHeight="1" outlineLevel="1" thickBot="1" x14ac:dyDescent="0.35">
      <c r="A50" s="152"/>
      <c r="B50" s="1351" t="s">
        <v>510</v>
      </c>
      <c r="C50" s="1356">
        <v>10.00006</v>
      </c>
      <c r="D50" s="770" t="s">
        <v>606</v>
      </c>
      <c r="E50" s="1357">
        <f>IFERROR(INDEX(D01_Races!$N$2:$N$101,MATCH(SelectedRaceID,D01_Races!$A$2:$A$101,0),1),"")</f>
        <v>0</v>
      </c>
      <c r="F50" s="770" t="s">
        <v>606</v>
      </c>
      <c r="G50" s="1358"/>
      <c r="H50" s="770" t="s">
        <v>606</v>
      </c>
      <c r="I50" s="1357"/>
      <c r="J50" s="770" t="s">
        <v>606</v>
      </c>
      <c r="K50" s="1354"/>
      <c r="L50" s="770" t="s">
        <v>608</v>
      </c>
      <c r="M50" s="743">
        <f>IFERROR(INT(BaseWis+E50+G50+I50+K50),"")</f>
        <v>10</v>
      </c>
      <c r="N50" s="741">
        <f>IFERROR(IF(M50&gt;10,ROUNDDOWN((M50-10)/2,0),ROUND((M50-10)/2,0)),"")</f>
        <v>0</v>
      </c>
      <c r="O50" s="152"/>
      <c r="P50" s="152"/>
      <c r="Q50" s="152"/>
      <c r="R50" s="152"/>
      <c r="S50" s="152"/>
      <c r="T50" s="152"/>
      <c r="U50" s="152"/>
      <c r="V50" s="152"/>
      <c r="W50" s="152"/>
      <c r="X50" s="152"/>
      <c r="Y50" s="152"/>
      <c r="Z50" s="152"/>
      <c r="AA50" s="152"/>
      <c r="AB50" s="152"/>
      <c r="AC50" s="921">
        <v>17</v>
      </c>
      <c r="AD50" s="888">
        <f>IFERROR(IF(AC50&gt;10,ROUNDDOWN((AC50-10)/2,0),ROUND((AC50-10)/2,0)),"")</f>
        <v>3</v>
      </c>
      <c r="AE50" s="152"/>
      <c r="AF50" s="172"/>
      <c r="AH50" s="253" t="str">
        <f t="shared" si="14"/>
        <v/>
      </c>
      <c r="AI50" s="253" t="str">
        <f>IFERROR(INDEX(D04_Classes!$B$3:$B$102,AH50,1),"")</f>
        <v/>
      </c>
      <c r="AJ50" s="253" t="str">
        <f t="shared" si="11"/>
        <v/>
      </c>
      <c r="AK50" s="253">
        <f t="shared" si="6"/>
        <v>0</v>
      </c>
      <c r="AL50" s="253">
        <f>IF(AK50=0,0,COUNTIF($AL$15:AL49,"&gt;0")+1)</f>
        <v>0</v>
      </c>
      <c r="AM50" s="253">
        <f>IF(IFERROR(SEARCH("and",INDEX(D04_Classes!$BW$3:$BW$102,MATCH(C_Input!AI50,D04_Classes!$B$3:$B$102,0),1)),0)&gt;1,1,0)</f>
        <v>0</v>
      </c>
      <c r="AN50" s="253">
        <f>IF(IFERROR(SEARCH("or",INDEX(D04_Classes!$BW$3:$BW$102,MATCH(C_Input!AI50,D04_Classes!$B$3:$B$102,0),1)),0)&gt;1,1,0)</f>
        <v>0</v>
      </c>
      <c r="AO50" s="253" t="str">
        <f>IF(OR(IFERROR(SEARCH("Strength",INDEX(D04_Classes!$BW$3:$BW$102,MATCH(C_Input!AI50,D04_Classes!$B$3:$B$102,0),1)),0)=0,AND(IFERROR(SEARCH("Strength",INDEX(D04_Classes!$BW$3:$BW$102,MATCH(C_Input!AI50,D04_Classes!$B$3:$B$102,0),1)),0)&gt;0,Strength&gt;12)),"yes","no")</f>
        <v>yes</v>
      </c>
      <c r="AP50" s="253" t="str">
        <f>IF(OR(IFERROR(SEARCH("Dexterity",INDEX(D04_Classes!$BW$3:$BW$102,MATCH(C_Input!AI50,D04_Classes!$B$3:$B$102,0),1)),0)=0,AND(IFERROR(SEARCH("Dexterity",INDEX(D04_Classes!$BW$3:$BW$102,MATCH(C_Input!AI50,D04_Classes!$B$3:$B$102,0),1)),0)&gt;0,Dexterity&gt;12)),"yes","no")</f>
        <v>yes</v>
      </c>
      <c r="AQ50" s="253" t="str">
        <f>IF(OR(IFERROR(SEARCH("Constitution",INDEX(D04_Classes!$BW$3:$BW$102,MATCH(C_Input!AI50,D04_Classes!$B$3:$B$102,0),1)),0)=0,AND(IFERROR(SEARCH("Constitution",INDEX(D04_Classes!$BW$3:$BW$102,MATCH(C_Input!AI50,D04_Classes!$B$3:$B$102,0),1)),0)&gt;0,Constitution&gt;12)),"yes","no")</f>
        <v>yes</v>
      </c>
      <c r="AR50" s="253" t="str">
        <f>IF(OR(IFERROR(SEARCH("Intelligence",INDEX(D04_Classes!$BW$3:$BW$102,MATCH(C_Input!AI50,D04_Classes!$B$3:$B$102,0),1)),0)=0,AND(IFERROR(SEARCH("Intelligence",INDEX(D04_Classes!$BW$3:$BW$102,MATCH(C_Input!AI50,D04_Classes!$B$3:$B$102,0),1)),0)&gt;0,Intelligence&gt;12)),"yes","no")</f>
        <v>yes</v>
      </c>
      <c r="AS50" s="253" t="str">
        <f>IF(OR(IFERROR(SEARCH("Wisdom",INDEX(D04_Classes!$BW$3:$BW$102,MATCH(C_Input!AI50,D04_Classes!$B$3:$B$102,0),1)),0)=0,AND(IFERROR(SEARCH("Wisdom",INDEX(D04_Classes!$BW$3:$BW$102,MATCH(C_Input!AI50,D04_Classes!$B$3:$B$102,0),1)),0)&gt;0,Wisdom&gt;12)),"yes","no")</f>
        <v>yes</v>
      </c>
      <c r="AT50" s="253" t="str">
        <f>IF(OR(IFERROR(SEARCH("Charisma",INDEX(D04_Classes!$BW$3:$BW$102,MATCH(C_Input!AI50,D04_Classes!$B$3:$B$102,0),1)),0)=0,AND(IFERROR(SEARCH("Charisma",INDEX(D04_Classes!$BW$3:$BW$102,MATCH(C_Input!AI50,D04_Classes!$B$3:$B$102,0),1)),0)&gt;0,Charisma&gt;12)),"yes","no")</f>
        <v>yes</v>
      </c>
      <c r="AU50" s="253">
        <f t="shared" si="12"/>
        <v>0</v>
      </c>
      <c r="AV50" s="253">
        <f>IF(AU50=0,0,COUNTIF($AV$15:AV49,"&gt;0")+1)</f>
        <v>0</v>
      </c>
      <c r="AW50" s="166"/>
      <c r="AX50" s="255" t="str">
        <f t="shared" si="15"/>
        <v/>
      </c>
      <c r="AY50" s="255" t="str">
        <f t="shared" si="13"/>
        <v/>
      </c>
      <c r="AZ50" s="166"/>
      <c r="BA50" s="166"/>
      <c r="BB50" s="166"/>
      <c r="BC50" s="166"/>
      <c r="BD50" s="254" t="str">
        <f t="shared" si="9"/>
        <v/>
      </c>
      <c r="BE50" s="254" t="str">
        <f>IFERROR(INDEX(D01_Races!$B$2:$B$101,MATCH(C_Input!BD50,D01_Races!$C$2:$C$101,0),1),"")</f>
        <v/>
      </c>
      <c r="BF50" s="252" t="str">
        <f t="shared" si="10"/>
        <v/>
      </c>
      <c r="BG50" s="252" t="str">
        <f>IFERROR(IF(BF50="","",INDEX(D01_Races!$E$2:$E$101,MATCH(C_Input!BF50,D01_Races!$D$2:$D$101,0),1)),"")</f>
        <v/>
      </c>
      <c r="BH50" s="252" t="str">
        <f>IFERROR(IF(BF50="","",INDEX(D01_Races!$A$2:$A$101,MATCH(C_Input!BF50,D01_Races!$D$2:$D$101,0),1)),"")</f>
        <v/>
      </c>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row>
    <row r="51" spans="1:152" ht="15.95" customHeight="1" outlineLevel="1" thickBot="1" x14ac:dyDescent="0.35">
      <c r="A51" s="152"/>
      <c r="B51" s="1351"/>
      <c r="C51" s="1356"/>
      <c r="D51" s="770"/>
      <c r="E51" s="1357"/>
      <c r="F51" s="770"/>
      <c r="G51" s="1358"/>
      <c r="H51" s="770"/>
      <c r="I51" s="1357"/>
      <c r="J51" s="770"/>
      <c r="K51" s="1354"/>
      <c r="L51" s="770"/>
      <c r="M51" s="744"/>
      <c r="N51" s="742"/>
      <c r="O51" s="152"/>
      <c r="P51" s="786" t="s">
        <v>2198</v>
      </c>
      <c r="Q51" s="787"/>
      <c r="R51" s="845">
        <f>IFERROR(R48-K42-K44-K46-K48-K50-K52,"")</f>
        <v>0</v>
      </c>
      <c r="S51" s="846"/>
      <c r="T51" s="152"/>
      <c r="U51" s="152"/>
      <c r="V51" s="152"/>
      <c r="W51" s="152"/>
      <c r="X51" s="152"/>
      <c r="Y51" s="152"/>
      <c r="Z51" s="152"/>
      <c r="AA51" s="152"/>
      <c r="AB51" s="152"/>
      <c r="AC51" s="921"/>
      <c r="AD51" s="887"/>
      <c r="AE51" s="152"/>
      <c r="AF51" s="172"/>
      <c r="AH51" s="253" t="str">
        <f t="shared" si="14"/>
        <v/>
      </c>
      <c r="AI51" s="253" t="str">
        <f>IFERROR(INDEX(D04_Classes!$B$3:$B$102,AH51,1),"")</f>
        <v/>
      </c>
      <c r="AJ51" s="253" t="str">
        <f t="shared" si="11"/>
        <v/>
      </c>
      <c r="AK51" s="253">
        <f t="shared" si="6"/>
        <v>0</v>
      </c>
      <c r="AL51" s="253">
        <f>IF(AK51=0,0,COUNTIF($AL$15:AL50,"&gt;0")+1)</f>
        <v>0</v>
      </c>
      <c r="AM51" s="253">
        <f>IF(IFERROR(SEARCH("and",INDEX(D04_Classes!$BW$3:$BW$102,MATCH(C_Input!AI51,D04_Classes!$B$3:$B$102,0),1)),0)&gt;1,1,0)</f>
        <v>0</v>
      </c>
      <c r="AN51" s="253">
        <f>IF(IFERROR(SEARCH("or",INDEX(D04_Classes!$BW$3:$BW$102,MATCH(C_Input!AI51,D04_Classes!$B$3:$B$102,0),1)),0)&gt;1,1,0)</f>
        <v>0</v>
      </c>
      <c r="AO51" s="253" t="str">
        <f>IF(OR(IFERROR(SEARCH("Strength",INDEX(D04_Classes!$BW$3:$BW$102,MATCH(C_Input!AI51,D04_Classes!$B$3:$B$102,0),1)),0)=0,AND(IFERROR(SEARCH("Strength",INDEX(D04_Classes!$BW$3:$BW$102,MATCH(C_Input!AI51,D04_Classes!$B$3:$B$102,0),1)),0)&gt;0,Strength&gt;12)),"yes","no")</f>
        <v>yes</v>
      </c>
      <c r="AP51" s="253" t="str">
        <f>IF(OR(IFERROR(SEARCH("Dexterity",INDEX(D04_Classes!$BW$3:$BW$102,MATCH(C_Input!AI51,D04_Classes!$B$3:$B$102,0),1)),0)=0,AND(IFERROR(SEARCH("Dexterity",INDEX(D04_Classes!$BW$3:$BW$102,MATCH(C_Input!AI51,D04_Classes!$B$3:$B$102,0),1)),0)&gt;0,Dexterity&gt;12)),"yes","no")</f>
        <v>yes</v>
      </c>
      <c r="AQ51" s="253" t="str">
        <f>IF(OR(IFERROR(SEARCH("Constitution",INDEX(D04_Classes!$BW$3:$BW$102,MATCH(C_Input!AI51,D04_Classes!$B$3:$B$102,0),1)),0)=0,AND(IFERROR(SEARCH("Constitution",INDEX(D04_Classes!$BW$3:$BW$102,MATCH(C_Input!AI51,D04_Classes!$B$3:$B$102,0),1)),0)&gt;0,Constitution&gt;12)),"yes","no")</f>
        <v>yes</v>
      </c>
      <c r="AR51" s="253" t="str">
        <f>IF(OR(IFERROR(SEARCH("Intelligence",INDEX(D04_Classes!$BW$3:$BW$102,MATCH(C_Input!AI51,D04_Classes!$B$3:$B$102,0),1)),0)=0,AND(IFERROR(SEARCH("Intelligence",INDEX(D04_Classes!$BW$3:$BW$102,MATCH(C_Input!AI51,D04_Classes!$B$3:$B$102,0),1)),0)&gt;0,Intelligence&gt;12)),"yes","no")</f>
        <v>yes</v>
      </c>
      <c r="AS51" s="253" t="str">
        <f>IF(OR(IFERROR(SEARCH("Wisdom",INDEX(D04_Classes!$BW$3:$BW$102,MATCH(C_Input!AI51,D04_Classes!$B$3:$B$102,0),1)),0)=0,AND(IFERROR(SEARCH("Wisdom",INDEX(D04_Classes!$BW$3:$BW$102,MATCH(C_Input!AI51,D04_Classes!$B$3:$B$102,0),1)),0)&gt;0,Wisdom&gt;12)),"yes","no")</f>
        <v>yes</v>
      </c>
      <c r="AT51" s="253" t="str">
        <f>IF(OR(IFERROR(SEARCH("Charisma",INDEX(D04_Classes!$BW$3:$BW$102,MATCH(C_Input!AI51,D04_Classes!$B$3:$B$102,0),1)),0)=0,AND(IFERROR(SEARCH("Charisma",INDEX(D04_Classes!$BW$3:$BW$102,MATCH(C_Input!AI51,D04_Classes!$B$3:$B$102,0),1)),0)&gt;0,Charisma&gt;12)),"yes","no")</f>
        <v>yes</v>
      </c>
      <c r="AU51" s="253">
        <f t="shared" si="12"/>
        <v>0</v>
      </c>
      <c r="AV51" s="253">
        <f>IF(AU51=0,0,COUNTIF($AV$15:AV50,"&gt;0")+1)</f>
        <v>0</v>
      </c>
      <c r="AW51" s="166"/>
      <c r="AX51" s="255" t="str">
        <f t="shared" si="15"/>
        <v/>
      </c>
      <c r="AY51" s="255" t="str">
        <f t="shared" si="13"/>
        <v/>
      </c>
      <c r="AZ51" s="166"/>
      <c r="BA51" s="166"/>
      <c r="BB51" s="166"/>
      <c r="BC51" s="166"/>
      <c r="BD51" s="254" t="str">
        <f t="shared" si="9"/>
        <v/>
      </c>
      <c r="BE51" s="254" t="str">
        <f>IFERROR(INDEX(D01_Races!$B$2:$B$101,MATCH(C_Input!BD51,D01_Races!$C$2:$C$101,0),1),"")</f>
        <v/>
      </c>
      <c r="BF51" s="252" t="str">
        <f t="shared" si="10"/>
        <v/>
      </c>
      <c r="BG51" s="252" t="str">
        <f>IFERROR(IF(BF51="","",INDEX(D01_Races!$E$2:$E$101,MATCH(C_Input!BF51,D01_Races!$D$2:$D$101,0),1)),"")</f>
        <v/>
      </c>
      <c r="BH51" s="252" t="str">
        <f>IFERROR(IF(BF51="","",INDEX(D01_Races!$A$2:$A$101,MATCH(C_Input!BF51,D01_Races!$D$2:$D$101,0),1)),"")</f>
        <v/>
      </c>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row>
    <row r="52" spans="1:152" ht="15.95" customHeight="1" outlineLevel="1" thickBot="1" x14ac:dyDescent="0.35">
      <c r="A52" s="152"/>
      <c r="B52" s="1351" t="s">
        <v>511</v>
      </c>
      <c r="C52" s="1356">
        <v>17.000080000000001</v>
      </c>
      <c r="D52" s="770" t="s">
        <v>606</v>
      </c>
      <c r="E52" s="1357">
        <f>IFERROR(INDEX(D01_Races!$O$2:$O$101,MATCH(SelectedRaceID,D01_Races!$A$2:$A$101,0),1),"")</f>
        <v>1</v>
      </c>
      <c r="F52" s="770" t="s">
        <v>606</v>
      </c>
      <c r="G52" s="1358"/>
      <c r="H52" s="770" t="s">
        <v>606</v>
      </c>
      <c r="I52" s="1357"/>
      <c r="J52" s="770" t="s">
        <v>606</v>
      </c>
      <c r="K52" s="1354"/>
      <c r="L52" s="770" t="s">
        <v>608</v>
      </c>
      <c r="M52" s="743">
        <f>IFERROR(INT(BaseCha+E52+G52+I52+K52),"")</f>
        <v>18</v>
      </c>
      <c r="N52" s="741">
        <f>IFERROR(IF(M52&gt;10,ROUNDDOWN((M52-10)/2,0),ROUND((M52-10)/2,0)),"")</f>
        <v>4</v>
      </c>
      <c r="O52" s="152"/>
      <c r="P52" s="788"/>
      <c r="Q52" s="789"/>
      <c r="R52" s="847"/>
      <c r="S52" s="848"/>
      <c r="T52" s="152"/>
      <c r="U52" s="152"/>
      <c r="V52" s="152"/>
      <c r="W52" s="152"/>
      <c r="X52" s="152"/>
      <c r="Y52" s="152"/>
      <c r="Z52" s="152"/>
      <c r="AA52" s="152"/>
      <c r="AB52" s="152"/>
      <c r="AC52" s="921">
        <v>13</v>
      </c>
      <c r="AD52" s="888">
        <f>IFERROR(IF(AC52&gt;10,ROUNDDOWN((AC52-10)/2,0),ROUND((AC52-10)/2,0)),"")</f>
        <v>1</v>
      </c>
      <c r="AE52" s="152"/>
      <c r="AF52" s="171"/>
      <c r="AH52" s="253" t="str">
        <f t="shared" si="14"/>
        <v/>
      </c>
      <c r="AI52" s="253" t="str">
        <f>IFERROR(INDEX(D04_Classes!$B$3:$B$102,AH52,1),"")</f>
        <v/>
      </c>
      <c r="AJ52" s="253" t="str">
        <f t="shared" si="11"/>
        <v/>
      </c>
      <c r="AK52" s="253">
        <f t="shared" si="6"/>
        <v>0</v>
      </c>
      <c r="AL52" s="253">
        <f>IF(AK52=0,0,COUNTIF($AL$15:AL51,"&gt;0")+1)</f>
        <v>0</v>
      </c>
      <c r="AM52" s="253">
        <f>IF(IFERROR(SEARCH("and",INDEX(D04_Classes!$BW$3:$BW$102,MATCH(C_Input!AI52,D04_Classes!$B$3:$B$102,0),1)),0)&gt;1,1,0)</f>
        <v>0</v>
      </c>
      <c r="AN52" s="253">
        <f>IF(IFERROR(SEARCH("or",INDEX(D04_Classes!$BW$3:$BW$102,MATCH(C_Input!AI52,D04_Classes!$B$3:$B$102,0),1)),0)&gt;1,1,0)</f>
        <v>0</v>
      </c>
      <c r="AO52" s="253" t="str">
        <f>IF(OR(IFERROR(SEARCH("Strength",INDEX(D04_Classes!$BW$3:$BW$102,MATCH(C_Input!AI52,D04_Classes!$B$3:$B$102,0),1)),0)=0,AND(IFERROR(SEARCH("Strength",INDEX(D04_Classes!$BW$3:$BW$102,MATCH(C_Input!AI52,D04_Classes!$B$3:$B$102,0),1)),0)&gt;0,Strength&gt;12)),"yes","no")</f>
        <v>yes</v>
      </c>
      <c r="AP52" s="253" t="str">
        <f>IF(OR(IFERROR(SEARCH("Dexterity",INDEX(D04_Classes!$BW$3:$BW$102,MATCH(C_Input!AI52,D04_Classes!$B$3:$B$102,0),1)),0)=0,AND(IFERROR(SEARCH("Dexterity",INDEX(D04_Classes!$BW$3:$BW$102,MATCH(C_Input!AI52,D04_Classes!$B$3:$B$102,0),1)),0)&gt;0,Dexterity&gt;12)),"yes","no")</f>
        <v>yes</v>
      </c>
      <c r="AQ52" s="253" t="str">
        <f>IF(OR(IFERROR(SEARCH("Constitution",INDEX(D04_Classes!$BW$3:$BW$102,MATCH(C_Input!AI52,D04_Classes!$B$3:$B$102,0),1)),0)=0,AND(IFERROR(SEARCH("Constitution",INDEX(D04_Classes!$BW$3:$BW$102,MATCH(C_Input!AI52,D04_Classes!$B$3:$B$102,0),1)),0)&gt;0,Constitution&gt;12)),"yes","no")</f>
        <v>yes</v>
      </c>
      <c r="AR52" s="253" t="str">
        <f>IF(OR(IFERROR(SEARCH("Intelligence",INDEX(D04_Classes!$BW$3:$BW$102,MATCH(C_Input!AI52,D04_Classes!$B$3:$B$102,0),1)),0)=0,AND(IFERROR(SEARCH("Intelligence",INDEX(D04_Classes!$BW$3:$BW$102,MATCH(C_Input!AI52,D04_Classes!$B$3:$B$102,0),1)),0)&gt;0,Intelligence&gt;12)),"yes","no")</f>
        <v>yes</v>
      </c>
      <c r="AS52" s="253" t="str">
        <f>IF(OR(IFERROR(SEARCH("Wisdom",INDEX(D04_Classes!$BW$3:$BW$102,MATCH(C_Input!AI52,D04_Classes!$B$3:$B$102,0),1)),0)=0,AND(IFERROR(SEARCH("Wisdom",INDEX(D04_Classes!$BW$3:$BW$102,MATCH(C_Input!AI52,D04_Classes!$B$3:$B$102,0),1)),0)&gt;0,Wisdom&gt;12)),"yes","no")</f>
        <v>yes</v>
      </c>
      <c r="AT52" s="253" t="str">
        <f>IF(OR(IFERROR(SEARCH("Charisma",INDEX(D04_Classes!$BW$3:$BW$102,MATCH(C_Input!AI52,D04_Classes!$B$3:$B$102,0),1)),0)=0,AND(IFERROR(SEARCH("Charisma",INDEX(D04_Classes!$BW$3:$BW$102,MATCH(C_Input!AI52,D04_Classes!$B$3:$B$102,0),1)),0)&gt;0,Charisma&gt;12)),"yes","no")</f>
        <v>yes</v>
      </c>
      <c r="AU52" s="253">
        <f t="shared" si="12"/>
        <v>0</v>
      </c>
      <c r="AV52" s="253">
        <f>IF(AU52=0,0,COUNTIF($AV$15:AV51,"&gt;0")+1)</f>
        <v>0</v>
      </c>
      <c r="AX52" s="255" t="str">
        <f t="shared" si="15"/>
        <v/>
      </c>
      <c r="AY52" s="255" t="str">
        <f t="shared" si="13"/>
        <v/>
      </c>
      <c r="BD52" s="254" t="str">
        <f t="shared" si="9"/>
        <v/>
      </c>
      <c r="BE52" s="254" t="str">
        <f>IFERROR(INDEX(D01_Races!$B$2:$B$101,MATCH(C_Input!BD52,D01_Races!$C$2:$C$101,0),1),"")</f>
        <v/>
      </c>
      <c r="BF52" s="252" t="str">
        <f t="shared" si="10"/>
        <v/>
      </c>
      <c r="BG52" s="252" t="str">
        <f>IFERROR(IF(BF52="","",INDEX(D01_Races!$E$2:$E$101,MATCH(C_Input!BF52,D01_Races!$D$2:$D$101,0),1)),"")</f>
        <v/>
      </c>
      <c r="BH52" s="252" t="str">
        <f>IFERROR(IF(BF52="","",INDEX(D01_Races!$A$2:$A$101,MATCH(C_Input!BF52,D01_Races!$D$2:$D$101,0),1)),"")</f>
        <v/>
      </c>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row>
    <row r="53" spans="1:152" ht="15.95" customHeight="1" outlineLevel="1" thickBot="1" x14ac:dyDescent="0.35">
      <c r="A53" s="152"/>
      <c r="B53" s="1352"/>
      <c r="C53" s="1356"/>
      <c r="D53" s="770"/>
      <c r="E53" s="1357"/>
      <c r="F53" s="770"/>
      <c r="G53" s="1358"/>
      <c r="H53" s="770"/>
      <c r="I53" s="1357"/>
      <c r="J53" s="770"/>
      <c r="K53" s="1355"/>
      <c r="L53" s="770"/>
      <c r="M53" s="744"/>
      <c r="N53" s="742"/>
      <c r="O53" s="152"/>
      <c r="P53" s="152"/>
      <c r="Q53" s="152"/>
      <c r="R53" s="152"/>
      <c r="S53" s="152"/>
      <c r="T53" s="152"/>
      <c r="U53" s="152"/>
      <c r="V53" s="152"/>
      <c r="W53" s="152"/>
      <c r="X53" s="152"/>
      <c r="Y53" s="152"/>
      <c r="Z53" s="152"/>
      <c r="AA53" s="152"/>
      <c r="AB53" s="152"/>
      <c r="AC53" s="922"/>
      <c r="AD53" s="887"/>
      <c r="AE53" s="152"/>
      <c r="AF53" s="171"/>
      <c r="AH53" s="253" t="str">
        <f t="shared" si="14"/>
        <v/>
      </c>
      <c r="AI53" s="253" t="str">
        <f>IFERROR(INDEX(D04_Classes!$B$3:$B$102,AH53,1),"")</f>
        <v/>
      </c>
      <c r="AJ53" s="253" t="str">
        <f t="shared" si="11"/>
        <v/>
      </c>
      <c r="AK53" s="253">
        <f t="shared" si="6"/>
        <v>0</v>
      </c>
      <c r="AL53" s="253">
        <f>IF(AK53=0,0,COUNTIF($AL$15:AL52,"&gt;0")+1)</f>
        <v>0</v>
      </c>
      <c r="AM53" s="253">
        <f>IF(IFERROR(SEARCH("and",INDEX(D04_Classes!$BW$3:$BW$102,MATCH(C_Input!AI53,D04_Classes!$B$3:$B$102,0),1)),0)&gt;1,1,0)</f>
        <v>0</v>
      </c>
      <c r="AN53" s="253">
        <f>IF(IFERROR(SEARCH("or",INDEX(D04_Classes!$BW$3:$BW$102,MATCH(C_Input!AI53,D04_Classes!$B$3:$B$102,0),1)),0)&gt;1,1,0)</f>
        <v>0</v>
      </c>
      <c r="AO53" s="253" t="str">
        <f>IF(OR(IFERROR(SEARCH("Strength",INDEX(D04_Classes!$BW$3:$BW$102,MATCH(C_Input!AI53,D04_Classes!$B$3:$B$102,0),1)),0)=0,AND(IFERROR(SEARCH("Strength",INDEX(D04_Classes!$BW$3:$BW$102,MATCH(C_Input!AI53,D04_Classes!$B$3:$B$102,0),1)),0)&gt;0,Strength&gt;12)),"yes","no")</f>
        <v>yes</v>
      </c>
      <c r="AP53" s="253" t="str">
        <f>IF(OR(IFERROR(SEARCH("Dexterity",INDEX(D04_Classes!$BW$3:$BW$102,MATCH(C_Input!AI53,D04_Classes!$B$3:$B$102,0),1)),0)=0,AND(IFERROR(SEARCH("Dexterity",INDEX(D04_Classes!$BW$3:$BW$102,MATCH(C_Input!AI53,D04_Classes!$B$3:$B$102,0),1)),0)&gt;0,Dexterity&gt;12)),"yes","no")</f>
        <v>yes</v>
      </c>
      <c r="AQ53" s="253" t="str">
        <f>IF(OR(IFERROR(SEARCH("Constitution",INDEX(D04_Classes!$BW$3:$BW$102,MATCH(C_Input!AI53,D04_Classes!$B$3:$B$102,0),1)),0)=0,AND(IFERROR(SEARCH("Constitution",INDEX(D04_Classes!$BW$3:$BW$102,MATCH(C_Input!AI53,D04_Classes!$B$3:$B$102,0),1)),0)&gt;0,Constitution&gt;12)),"yes","no")</f>
        <v>yes</v>
      </c>
      <c r="AR53" s="253" t="str">
        <f>IF(OR(IFERROR(SEARCH("Intelligence",INDEX(D04_Classes!$BW$3:$BW$102,MATCH(C_Input!AI53,D04_Classes!$B$3:$B$102,0),1)),0)=0,AND(IFERROR(SEARCH("Intelligence",INDEX(D04_Classes!$BW$3:$BW$102,MATCH(C_Input!AI53,D04_Classes!$B$3:$B$102,0),1)),0)&gt;0,Intelligence&gt;12)),"yes","no")</f>
        <v>yes</v>
      </c>
      <c r="AS53" s="253" t="str">
        <f>IF(OR(IFERROR(SEARCH("Wisdom",INDEX(D04_Classes!$BW$3:$BW$102,MATCH(C_Input!AI53,D04_Classes!$B$3:$B$102,0),1)),0)=0,AND(IFERROR(SEARCH("Wisdom",INDEX(D04_Classes!$BW$3:$BW$102,MATCH(C_Input!AI53,D04_Classes!$B$3:$B$102,0),1)),0)&gt;0,Wisdom&gt;12)),"yes","no")</f>
        <v>yes</v>
      </c>
      <c r="AT53" s="253" t="str">
        <f>IF(OR(IFERROR(SEARCH("Charisma",INDEX(D04_Classes!$BW$3:$BW$102,MATCH(C_Input!AI53,D04_Classes!$B$3:$B$102,0),1)),0)=0,AND(IFERROR(SEARCH("Charisma",INDEX(D04_Classes!$BW$3:$BW$102,MATCH(C_Input!AI53,D04_Classes!$B$3:$B$102,0),1)),0)&gt;0,Charisma&gt;12)),"yes","no")</f>
        <v>yes</v>
      </c>
      <c r="AU53" s="253">
        <f t="shared" si="12"/>
        <v>0</v>
      </c>
      <c r="AV53" s="253">
        <f>IF(AU53=0,0,COUNTIF($AV$15:AV52,"&gt;0")+1)</f>
        <v>0</v>
      </c>
      <c r="AX53" s="255" t="str">
        <f t="shared" si="15"/>
        <v/>
      </c>
      <c r="AY53" s="255" t="str">
        <f t="shared" si="13"/>
        <v/>
      </c>
      <c r="BD53" s="254" t="str">
        <f t="shared" si="9"/>
        <v/>
      </c>
      <c r="BE53" s="254" t="str">
        <f>IFERROR(INDEX(D01_Races!$B$2:$B$101,MATCH(C_Input!BD53,D01_Races!$C$2:$C$101,0),1),"")</f>
        <v/>
      </c>
      <c r="BF53" s="252" t="str">
        <f t="shared" si="10"/>
        <v/>
      </c>
      <c r="BG53" s="252" t="str">
        <f>IFERROR(IF(BF53="","",INDEX(D01_Races!$E$2:$E$101,MATCH(C_Input!BF53,D01_Races!$D$2:$D$101,0),1)),"")</f>
        <v/>
      </c>
      <c r="BH53" s="252" t="str">
        <f>IFERROR(IF(BF53="","",INDEX(D01_Races!$A$2:$A$101,MATCH(C_Input!BF53,D01_Races!$D$2:$D$101,0),1)),"")</f>
        <v/>
      </c>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row>
    <row r="54" spans="1:152" ht="15.95" customHeight="1" outlineLevel="1" thickBot="1" x14ac:dyDescent="0.35">
      <c r="A54" s="152"/>
      <c r="B54" s="152"/>
      <c r="C54" s="152"/>
      <c r="D54" s="152"/>
      <c r="E54" s="152"/>
      <c r="F54" s="152"/>
      <c r="G54" s="152"/>
      <c r="H54" s="152"/>
      <c r="I54" s="152"/>
      <c r="J54" s="152"/>
      <c r="K54" s="152"/>
      <c r="L54" s="152"/>
      <c r="M54" s="152"/>
      <c r="N54" s="152"/>
      <c r="O54" s="152"/>
      <c r="P54" s="152"/>
      <c r="Q54" s="152"/>
      <c r="R54" s="152"/>
      <c r="S54" s="152"/>
      <c r="T54" s="152"/>
      <c r="U54" s="152"/>
      <c r="V54" s="152"/>
      <c r="W54" s="152"/>
      <c r="X54" s="152"/>
      <c r="Y54" s="152"/>
      <c r="Z54" s="152"/>
      <c r="AA54" s="152"/>
      <c r="AB54" s="152"/>
      <c r="AC54" s="152"/>
      <c r="AD54" s="152"/>
      <c r="AE54" s="152"/>
      <c r="AF54" s="171"/>
      <c r="AH54" s="253" t="str">
        <f t="shared" si="14"/>
        <v/>
      </c>
      <c r="AI54" s="253" t="str">
        <f>IFERROR(INDEX(D04_Classes!$B$3:$B$102,AH54,1),"")</f>
        <v/>
      </c>
      <c r="AJ54" s="253" t="str">
        <f t="shared" si="11"/>
        <v/>
      </c>
      <c r="AK54" s="253">
        <f t="shared" si="6"/>
        <v>0</v>
      </c>
      <c r="AL54" s="253">
        <f>IF(AK54=0,0,COUNTIF($AL$15:AL53,"&gt;0")+1)</f>
        <v>0</v>
      </c>
      <c r="AM54" s="253">
        <f>IF(IFERROR(SEARCH("and",INDEX(D04_Classes!$BW$3:$BW$102,MATCH(C_Input!AI54,D04_Classes!$B$3:$B$102,0),1)),0)&gt;1,1,0)</f>
        <v>0</v>
      </c>
      <c r="AN54" s="253">
        <f>IF(IFERROR(SEARCH("or",INDEX(D04_Classes!$BW$3:$BW$102,MATCH(C_Input!AI54,D04_Classes!$B$3:$B$102,0),1)),0)&gt;1,1,0)</f>
        <v>0</v>
      </c>
      <c r="AO54" s="253" t="str">
        <f>IF(OR(IFERROR(SEARCH("Strength",INDEX(D04_Classes!$BW$3:$BW$102,MATCH(C_Input!AI54,D04_Classes!$B$3:$B$102,0),1)),0)=0,AND(IFERROR(SEARCH("Strength",INDEX(D04_Classes!$BW$3:$BW$102,MATCH(C_Input!AI54,D04_Classes!$B$3:$B$102,0),1)),0)&gt;0,Strength&gt;12)),"yes","no")</f>
        <v>yes</v>
      </c>
      <c r="AP54" s="253" t="str">
        <f>IF(OR(IFERROR(SEARCH("Dexterity",INDEX(D04_Classes!$BW$3:$BW$102,MATCH(C_Input!AI54,D04_Classes!$B$3:$B$102,0),1)),0)=0,AND(IFERROR(SEARCH("Dexterity",INDEX(D04_Classes!$BW$3:$BW$102,MATCH(C_Input!AI54,D04_Classes!$B$3:$B$102,0),1)),0)&gt;0,Dexterity&gt;12)),"yes","no")</f>
        <v>yes</v>
      </c>
      <c r="AQ54" s="253" t="str">
        <f>IF(OR(IFERROR(SEARCH("Constitution",INDEX(D04_Classes!$BW$3:$BW$102,MATCH(C_Input!AI54,D04_Classes!$B$3:$B$102,0),1)),0)=0,AND(IFERROR(SEARCH("Constitution",INDEX(D04_Classes!$BW$3:$BW$102,MATCH(C_Input!AI54,D04_Classes!$B$3:$B$102,0),1)),0)&gt;0,Constitution&gt;12)),"yes","no")</f>
        <v>yes</v>
      </c>
      <c r="AR54" s="253" t="str">
        <f>IF(OR(IFERROR(SEARCH("Intelligence",INDEX(D04_Classes!$BW$3:$BW$102,MATCH(C_Input!AI54,D04_Classes!$B$3:$B$102,0),1)),0)=0,AND(IFERROR(SEARCH("Intelligence",INDEX(D04_Classes!$BW$3:$BW$102,MATCH(C_Input!AI54,D04_Classes!$B$3:$B$102,0),1)),0)&gt;0,Intelligence&gt;12)),"yes","no")</f>
        <v>yes</v>
      </c>
      <c r="AS54" s="253" t="str">
        <f>IF(OR(IFERROR(SEARCH("Wisdom",INDEX(D04_Classes!$BW$3:$BW$102,MATCH(C_Input!AI54,D04_Classes!$B$3:$B$102,0),1)),0)=0,AND(IFERROR(SEARCH("Wisdom",INDEX(D04_Classes!$BW$3:$BW$102,MATCH(C_Input!AI54,D04_Classes!$B$3:$B$102,0),1)),0)&gt;0,Wisdom&gt;12)),"yes","no")</f>
        <v>yes</v>
      </c>
      <c r="AT54" s="253" t="str">
        <f>IF(OR(IFERROR(SEARCH("Charisma",INDEX(D04_Classes!$BW$3:$BW$102,MATCH(C_Input!AI54,D04_Classes!$B$3:$B$102,0),1)),0)=0,AND(IFERROR(SEARCH("Charisma",INDEX(D04_Classes!$BW$3:$BW$102,MATCH(C_Input!AI54,D04_Classes!$B$3:$B$102,0),1)),0)&gt;0,Charisma&gt;12)),"yes","no")</f>
        <v>yes</v>
      </c>
      <c r="AU54" s="253">
        <f t="shared" si="12"/>
        <v>0</v>
      </c>
      <c r="AV54" s="253">
        <f>IF(AU54=0,0,COUNTIF($AV$15:AV53,"&gt;0")+1)</f>
        <v>0</v>
      </c>
      <c r="AX54" s="255" t="str">
        <f t="shared" si="15"/>
        <v/>
      </c>
      <c r="AY54" s="255" t="str">
        <f t="shared" si="13"/>
        <v/>
      </c>
      <c r="BD54" s="254" t="str">
        <f t="shared" si="9"/>
        <v/>
      </c>
      <c r="BE54" s="254" t="str">
        <f>IFERROR(INDEX(D01_Races!$B$2:$B$101,MATCH(C_Input!BD54,D01_Races!$C$2:$C$101,0),1),"")</f>
        <v/>
      </c>
      <c r="BF54" s="252" t="str">
        <f t="shared" si="10"/>
        <v/>
      </c>
      <c r="BG54" s="252" t="str">
        <f>IFERROR(IF(BF54="","",INDEX(D01_Races!$E$2:$E$101,MATCH(C_Input!BF54,D01_Races!$D$2:$D$101,0),1)),"")</f>
        <v/>
      </c>
      <c r="BH54" s="252" t="str">
        <f>IFERROR(IF(BF54="","",INDEX(D01_Races!$A$2:$A$101,MATCH(C_Input!BF54,D01_Races!$D$2:$D$101,0),1)),"")</f>
        <v/>
      </c>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row>
    <row r="55" spans="1:152" ht="15.95" customHeight="1" x14ac:dyDescent="0.3">
      <c r="A55" s="152"/>
      <c r="B55" s="753" t="s">
        <v>4141</v>
      </c>
      <c r="C55" s="754"/>
      <c r="D55" s="754"/>
      <c r="E55" s="754"/>
      <c r="F55" s="754"/>
      <c r="G55" s="754"/>
      <c r="H55" s="754"/>
      <c r="I55" s="754"/>
      <c r="J55" s="754"/>
      <c r="K55" s="754"/>
      <c r="L55" s="754"/>
      <c r="M55" s="754"/>
      <c r="N55" s="754"/>
      <c r="O55" s="754"/>
      <c r="P55" s="754"/>
      <c r="Q55" s="754"/>
      <c r="R55" s="754"/>
      <c r="S55" s="754"/>
      <c r="T55" s="755"/>
      <c r="U55" s="152"/>
      <c r="V55" s="152"/>
      <c r="W55" s="152"/>
      <c r="X55" s="152"/>
      <c r="Y55" s="152"/>
      <c r="Z55" s="152"/>
      <c r="AA55" s="152"/>
      <c r="AB55" s="152"/>
      <c r="AC55" s="152"/>
      <c r="AD55" s="152"/>
      <c r="AE55" s="152"/>
      <c r="AF55" s="171"/>
      <c r="AH55" s="253" t="str">
        <f t="shared" si="14"/>
        <v/>
      </c>
      <c r="AI55" s="253" t="str">
        <f>IFERROR(INDEX(D04_Classes!$B$3:$B$102,AH55,1),"")</f>
        <v/>
      </c>
      <c r="AJ55" s="253" t="str">
        <f t="shared" si="11"/>
        <v/>
      </c>
      <c r="AK55" s="253">
        <f t="shared" si="6"/>
        <v>0</v>
      </c>
      <c r="AL55" s="253">
        <f>IF(AK55=0,0,COUNTIF($AL$15:AL54,"&gt;0")+1)</f>
        <v>0</v>
      </c>
      <c r="AM55" s="253">
        <f>IF(IFERROR(SEARCH("and",INDEX(D04_Classes!$BW$3:$BW$102,MATCH(C_Input!AI55,D04_Classes!$B$3:$B$102,0),1)),0)&gt;1,1,0)</f>
        <v>0</v>
      </c>
      <c r="AN55" s="253">
        <f>IF(IFERROR(SEARCH("or",INDEX(D04_Classes!$BW$3:$BW$102,MATCH(C_Input!AI55,D04_Classes!$B$3:$B$102,0),1)),0)&gt;1,1,0)</f>
        <v>0</v>
      </c>
      <c r="AO55" s="253" t="str">
        <f>IF(OR(IFERROR(SEARCH("Strength",INDEX(D04_Classes!$BW$3:$BW$102,MATCH(C_Input!AI55,D04_Classes!$B$3:$B$102,0),1)),0)=0,AND(IFERROR(SEARCH("Strength",INDEX(D04_Classes!$BW$3:$BW$102,MATCH(C_Input!AI55,D04_Classes!$B$3:$B$102,0),1)),0)&gt;0,Strength&gt;12)),"yes","no")</f>
        <v>yes</v>
      </c>
      <c r="AP55" s="253" t="str">
        <f>IF(OR(IFERROR(SEARCH("Dexterity",INDEX(D04_Classes!$BW$3:$BW$102,MATCH(C_Input!AI55,D04_Classes!$B$3:$B$102,0),1)),0)=0,AND(IFERROR(SEARCH("Dexterity",INDEX(D04_Classes!$BW$3:$BW$102,MATCH(C_Input!AI55,D04_Classes!$B$3:$B$102,0),1)),0)&gt;0,Dexterity&gt;12)),"yes","no")</f>
        <v>yes</v>
      </c>
      <c r="AQ55" s="253" t="str">
        <f>IF(OR(IFERROR(SEARCH("Constitution",INDEX(D04_Classes!$BW$3:$BW$102,MATCH(C_Input!AI55,D04_Classes!$B$3:$B$102,0),1)),0)=0,AND(IFERROR(SEARCH("Constitution",INDEX(D04_Classes!$BW$3:$BW$102,MATCH(C_Input!AI55,D04_Classes!$B$3:$B$102,0),1)),0)&gt;0,Constitution&gt;12)),"yes","no")</f>
        <v>yes</v>
      </c>
      <c r="AR55" s="253" t="str">
        <f>IF(OR(IFERROR(SEARCH("Intelligence",INDEX(D04_Classes!$BW$3:$BW$102,MATCH(C_Input!AI55,D04_Classes!$B$3:$B$102,0),1)),0)=0,AND(IFERROR(SEARCH("Intelligence",INDEX(D04_Classes!$BW$3:$BW$102,MATCH(C_Input!AI55,D04_Classes!$B$3:$B$102,0),1)),0)&gt;0,Intelligence&gt;12)),"yes","no")</f>
        <v>yes</v>
      </c>
      <c r="AS55" s="253" t="str">
        <f>IF(OR(IFERROR(SEARCH("Wisdom",INDEX(D04_Classes!$BW$3:$BW$102,MATCH(C_Input!AI55,D04_Classes!$B$3:$B$102,0),1)),0)=0,AND(IFERROR(SEARCH("Wisdom",INDEX(D04_Classes!$BW$3:$BW$102,MATCH(C_Input!AI55,D04_Classes!$B$3:$B$102,0),1)),0)&gt;0,Wisdom&gt;12)),"yes","no")</f>
        <v>yes</v>
      </c>
      <c r="AT55" s="253" t="str">
        <f>IF(OR(IFERROR(SEARCH("Charisma",INDEX(D04_Classes!$BW$3:$BW$102,MATCH(C_Input!AI55,D04_Classes!$B$3:$B$102,0),1)),0)=0,AND(IFERROR(SEARCH("Charisma",INDEX(D04_Classes!$BW$3:$BW$102,MATCH(C_Input!AI55,D04_Classes!$B$3:$B$102,0),1)),0)&gt;0,Charisma&gt;12)),"yes","no")</f>
        <v>yes</v>
      </c>
      <c r="AU55" s="253">
        <f t="shared" si="12"/>
        <v>0</v>
      </c>
      <c r="AV55" s="253">
        <f>IF(AU55=0,0,COUNTIF($AV$15:AV54,"&gt;0")+1)</f>
        <v>0</v>
      </c>
      <c r="AX55" s="255" t="str">
        <f t="shared" si="15"/>
        <v/>
      </c>
      <c r="AY55" s="255" t="str">
        <f t="shared" si="13"/>
        <v/>
      </c>
      <c r="BD55" s="254" t="str">
        <f t="shared" si="9"/>
        <v/>
      </c>
      <c r="BE55" s="254" t="str">
        <f>IFERROR(INDEX(D01_Races!$B$2:$B$101,MATCH(C_Input!BD55,D01_Races!$C$2:$C$101,0),1),"")</f>
        <v/>
      </c>
      <c r="BF55" s="252" t="str">
        <f t="shared" si="10"/>
        <v/>
      </c>
      <c r="BG55" s="252" t="str">
        <f>IFERROR(IF(BF55="","",INDEX(D01_Races!$E$2:$E$101,MATCH(C_Input!BF55,D01_Races!$D$2:$D$101,0),1)),"")</f>
        <v/>
      </c>
      <c r="BH55" s="252" t="str">
        <f>IFERROR(IF(BF55="","",INDEX(D01_Races!$A$2:$A$101,MATCH(C_Input!BF55,D01_Races!$D$2:$D$101,0),1)),"")</f>
        <v/>
      </c>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row>
    <row r="56" spans="1:152" ht="15.95" customHeight="1" thickBot="1" x14ac:dyDescent="0.35">
      <c r="A56" s="152"/>
      <c r="B56" s="756"/>
      <c r="C56" s="757"/>
      <c r="D56" s="757"/>
      <c r="E56" s="757"/>
      <c r="F56" s="757"/>
      <c r="G56" s="757"/>
      <c r="H56" s="757"/>
      <c r="I56" s="757"/>
      <c r="J56" s="757"/>
      <c r="K56" s="757"/>
      <c r="L56" s="757"/>
      <c r="M56" s="757"/>
      <c r="N56" s="757"/>
      <c r="O56" s="757"/>
      <c r="P56" s="757"/>
      <c r="Q56" s="757"/>
      <c r="R56" s="757"/>
      <c r="S56" s="757"/>
      <c r="T56" s="758"/>
      <c r="U56" s="152"/>
      <c r="V56" s="152"/>
      <c r="W56" s="152"/>
      <c r="X56" s="152"/>
      <c r="Y56" s="152"/>
      <c r="Z56" s="152"/>
      <c r="AA56" s="152"/>
      <c r="AB56" s="152"/>
      <c r="AC56" s="152"/>
      <c r="AD56" s="152"/>
      <c r="AE56" s="152"/>
      <c r="AF56" s="171"/>
      <c r="AH56" s="253" t="str">
        <f t="shared" si="14"/>
        <v/>
      </c>
      <c r="AI56" s="253" t="str">
        <f>IFERROR(INDEX(D04_Classes!$B$3:$B$102,AH56,1),"")</f>
        <v/>
      </c>
      <c r="AJ56" s="253" t="str">
        <f t="shared" si="11"/>
        <v/>
      </c>
      <c r="AK56" s="253">
        <f t="shared" si="6"/>
        <v>0</v>
      </c>
      <c r="AL56" s="253">
        <f>IF(AK56=0,0,COUNTIF($AL$15:AL55,"&gt;0")+1)</f>
        <v>0</v>
      </c>
      <c r="AM56" s="253">
        <f>IF(IFERROR(SEARCH("and",INDEX(D04_Classes!$BW$3:$BW$102,MATCH(C_Input!AI56,D04_Classes!$B$3:$B$102,0),1)),0)&gt;1,1,0)</f>
        <v>0</v>
      </c>
      <c r="AN56" s="253">
        <f>IF(IFERROR(SEARCH("or",INDEX(D04_Classes!$BW$3:$BW$102,MATCH(C_Input!AI56,D04_Classes!$B$3:$B$102,0),1)),0)&gt;1,1,0)</f>
        <v>0</v>
      </c>
      <c r="AO56" s="253" t="str">
        <f>IF(OR(IFERROR(SEARCH("Strength",INDEX(D04_Classes!$BW$3:$BW$102,MATCH(C_Input!AI56,D04_Classes!$B$3:$B$102,0),1)),0)=0,AND(IFERROR(SEARCH("Strength",INDEX(D04_Classes!$BW$3:$BW$102,MATCH(C_Input!AI56,D04_Classes!$B$3:$B$102,0),1)),0)&gt;0,Strength&gt;12)),"yes","no")</f>
        <v>yes</v>
      </c>
      <c r="AP56" s="253" t="str">
        <f>IF(OR(IFERROR(SEARCH("Dexterity",INDEX(D04_Classes!$BW$3:$BW$102,MATCH(C_Input!AI56,D04_Classes!$B$3:$B$102,0),1)),0)=0,AND(IFERROR(SEARCH("Dexterity",INDEX(D04_Classes!$BW$3:$BW$102,MATCH(C_Input!AI56,D04_Classes!$B$3:$B$102,0),1)),0)&gt;0,Dexterity&gt;12)),"yes","no")</f>
        <v>yes</v>
      </c>
      <c r="AQ56" s="253" t="str">
        <f>IF(OR(IFERROR(SEARCH("Constitution",INDEX(D04_Classes!$BW$3:$BW$102,MATCH(C_Input!AI56,D04_Classes!$B$3:$B$102,0),1)),0)=0,AND(IFERROR(SEARCH("Constitution",INDEX(D04_Classes!$BW$3:$BW$102,MATCH(C_Input!AI56,D04_Classes!$B$3:$B$102,0),1)),0)&gt;0,Constitution&gt;12)),"yes","no")</f>
        <v>yes</v>
      </c>
      <c r="AR56" s="253" t="str">
        <f>IF(OR(IFERROR(SEARCH("Intelligence",INDEX(D04_Classes!$BW$3:$BW$102,MATCH(C_Input!AI56,D04_Classes!$B$3:$B$102,0),1)),0)=0,AND(IFERROR(SEARCH("Intelligence",INDEX(D04_Classes!$BW$3:$BW$102,MATCH(C_Input!AI56,D04_Classes!$B$3:$B$102,0),1)),0)&gt;0,Intelligence&gt;12)),"yes","no")</f>
        <v>yes</v>
      </c>
      <c r="AS56" s="253" t="str">
        <f>IF(OR(IFERROR(SEARCH("Wisdom",INDEX(D04_Classes!$BW$3:$BW$102,MATCH(C_Input!AI56,D04_Classes!$B$3:$B$102,0),1)),0)=0,AND(IFERROR(SEARCH("Wisdom",INDEX(D04_Classes!$BW$3:$BW$102,MATCH(C_Input!AI56,D04_Classes!$B$3:$B$102,0),1)),0)&gt;0,Wisdom&gt;12)),"yes","no")</f>
        <v>yes</v>
      </c>
      <c r="AT56" s="253" t="str">
        <f>IF(OR(IFERROR(SEARCH("Charisma",INDEX(D04_Classes!$BW$3:$BW$102,MATCH(C_Input!AI56,D04_Classes!$B$3:$B$102,0),1)),0)=0,AND(IFERROR(SEARCH("Charisma",INDEX(D04_Classes!$BW$3:$BW$102,MATCH(C_Input!AI56,D04_Classes!$B$3:$B$102,0),1)),0)&gt;0,Charisma&gt;12)),"yes","no")</f>
        <v>yes</v>
      </c>
      <c r="AU56" s="253">
        <f t="shared" si="12"/>
        <v>0</v>
      </c>
      <c r="AV56" s="253">
        <f>IF(AU56=0,0,COUNTIF($AV$15:AV55,"&gt;0")+1)</f>
        <v>0</v>
      </c>
      <c r="AX56" s="255" t="str">
        <f t="shared" si="15"/>
        <v/>
      </c>
      <c r="AY56" s="255" t="str">
        <f t="shared" si="13"/>
        <v/>
      </c>
      <c r="BD56" s="254" t="str">
        <f t="shared" si="9"/>
        <v/>
      </c>
      <c r="BE56" s="254" t="str">
        <f>IFERROR(INDEX(D01_Races!$B$2:$B$101,MATCH(C_Input!BD56,D01_Races!$C$2:$C$101,0),1),"")</f>
        <v/>
      </c>
      <c r="BF56" s="252" t="str">
        <f t="shared" si="10"/>
        <v/>
      </c>
      <c r="BG56" s="252" t="str">
        <f>IFERROR(IF(BF56="","",INDEX(D01_Races!$E$2:$E$101,MATCH(C_Input!BF56,D01_Races!$D$2:$D$101,0),1)),"")</f>
        <v/>
      </c>
      <c r="BH56" s="252" t="str">
        <f>IFERROR(IF(BF56="","",INDEX(D01_Races!$A$2:$A$101,MATCH(C_Input!BF56,D01_Races!$D$2:$D$101,0),1)),"")</f>
        <v/>
      </c>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row>
    <row r="57" spans="1:152" ht="15.95" customHeight="1" outlineLevel="1" thickBot="1" x14ac:dyDescent="0.4">
      <c r="A57" s="152"/>
      <c r="B57" s="283"/>
      <c r="C57" s="283"/>
      <c r="D57" s="283"/>
      <c r="E57" s="283"/>
      <c r="F57" s="283"/>
      <c r="G57" s="283"/>
      <c r="H57" s="283"/>
      <c r="I57" s="283"/>
      <c r="J57" s="283"/>
      <c r="K57" s="283"/>
      <c r="L57" s="283"/>
      <c r="M57" s="283"/>
      <c r="N57" s="283"/>
      <c r="O57" s="283"/>
      <c r="P57" s="283"/>
      <c r="Q57" s="283"/>
      <c r="R57" s="283"/>
      <c r="S57" s="283"/>
      <c r="T57" s="283"/>
      <c r="U57" s="152"/>
      <c r="V57" s="861" t="s">
        <v>5210</v>
      </c>
      <c r="W57" s="862"/>
      <c r="X57" s="862"/>
      <c r="Y57" s="862"/>
      <c r="Z57" s="862"/>
      <c r="AA57" s="862"/>
      <c r="AB57" s="862"/>
      <c r="AC57" s="862"/>
      <c r="AD57" s="862"/>
      <c r="AE57" s="863"/>
      <c r="AF57" s="171"/>
      <c r="AH57" s="253" t="str">
        <f t="shared" si="14"/>
        <v/>
      </c>
      <c r="AI57" s="253" t="str">
        <f>IFERROR(INDEX(D04_Classes!$B$3:$B$102,AH57,1),"")</f>
        <v/>
      </c>
      <c r="AJ57" s="253" t="str">
        <f t="shared" si="11"/>
        <v/>
      </c>
      <c r="AK57" s="253">
        <f t="shared" si="6"/>
        <v>0</v>
      </c>
      <c r="AL57" s="253">
        <f>IF(AK57=0,0,COUNTIF($AL$15:AL56,"&gt;0")+1)</f>
        <v>0</v>
      </c>
      <c r="AM57" s="253">
        <f>IF(IFERROR(SEARCH("and",INDEX(D04_Classes!$BW$3:$BW$102,MATCH(C_Input!AI57,D04_Classes!$B$3:$B$102,0),1)),0)&gt;1,1,0)</f>
        <v>0</v>
      </c>
      <c r="AN57" s="253">
        <f>IF(IFERROR(SEARCH("or",INDEX(D04_Classes!$BW$3:$BW$102,MATCH(C_Input!AI57,D04_Classes!$B$3:$B$102,0),1)),0)&gt;1,1,0)</f>
        <v>0</v>
      </c>
      <c r="AO57" s="253" t="str">
        <f>IF(OR(IFERROR(SEARCH("Strength",INDEX(D04_Classes!$BW$3:$BW$102,MATCH(C_Input!AI57,D04_Classes!$B$3:$B$102,0),1)),0)=0,AND(IFERROR(SEARCH("Strength",INDEX(D04_Classes!$BW$3:$BW$102,MATCH(C_Input!AI57,D04_Classes!$B$3:$B$102,0),1)),0)&gt;0,Strength&gt;12)),"yes","no")</f>
        <v>yes</v>
      </c>
      <c r="AP57" s="253" t="str">
        <f>IF(OR(IFERROR(SEARCH("Dexterity",INDEX(D04_Classes!$BW$3:$BW$102,MATCH(C_Input!AI57,D04_Classes!$B$3:$B$102,0),1)),0)=0,AND(IFERROR(SEARCH("Dexterity",INDEX(D04_Classes!$BW$3:$BW$102,MATCH(C_Input!AI57,D04_Classes!$B$3:$B$102,0),1)),0)&gt;0,Dexterity&gt;12)),"yes","no")</f>
        <v>yes</v>
      </c>
      <c r="AQ57" s="253" t="str">
        <f>IF(OR(IFERROR(SEARCH("Constitution",INDEX(D04_Classes!$BW$3:$BW$102,MATCH(C_Input!AI57,D04_Classes!$B$3:$B$102,0),1)),0)=0,AND(IFERROR(SEARCH("Constitution",INDEX(D04_Classes!$BW$3:$BW$102,MATCH(C_Input!AI57,D04_Classes!$B$3:$B$102,0),1)),0)&gt;0,Constitution&gt;12)),"yes","no")</f>
        <v>yes</v>
      </c>
      <c r="AR57" s="253" t="str">
        <f>IF(OR(IFERROR(SEARCH("Intelligence",INDEX(D04_Classes!$BW$3:$BW$102,MATCH(C_Input!AI57,D04_Classes!$B$3:$B$102,0),1)),0)=0,AND(IFERROR(SEARCH("Intelligence",INDEX(D04_Classes!$BW$3:$BW$102,MATCH(C_Input!AI57,D04_Classes!$B$3:$B$102,0),1)),0)&gt;0,Intelligence&gt;12)),"yes","no")</f>
        <v>yes</v>
      </c>
      <c r="AS57" s="253" t="str">
        <f>IF(OR(IFERROR(SEARCH("Wisdom",INDEX(D04_Classes!$BW$3:$BW$102,MATCH(C_Input!AI57,D04_Classes!$B$3:$B$102,0),1)),0)=0,AND(IFERROR(SEARCH("Wisdom",INDEX(D04_Classes!$BW$3:$BW$102,MATCH(C_Input!AI57,D04_Classes!$B$3:$B$102,0),1)),0)&gt;0,Wisdom&gt;12)),"yes","no")</f>
        <v>yes</v>
      </c>
      <c r="AT57" s="253" t="str">
        <f>IF(OR(IFERROR(SEARCH("Charisma",INDEX(D04_Classes!$BW$3:$BW$102,MATCH(C_Input!AI57,D04_Classes!$B$3:$B$102,0),1)),0)=0,AND(IFERROR(SEARCH("Charisma",INDEX(D04_Classes!$BW$3:$BW$102,MATCH(C_Input!AI57,D04_Classes!$B$3:$B$102,0),1)),0)&gt;0,Charisma&gt;12)),"yes","no")</f>
        <v>yes</v>
      </c>
      <c r="AU57" s="253">
        <f t="shared" si="12"/>
        <v>0</v>
      </c>
      <c r="AV57" s="253">
        <f>IF(AU57=0,0,COUNTIF($AV$15:AV56,"&gt;0")+1)</f>
        <v>0</v>
      </c>
      <c r="AX57" s="255" t="str">
        <f t="shared" si="15"/>
        <v/>
      </c>
      <c r="AY57" s="255" t="str">
        <f t="shared" si="13"/>
        <v/>
      </c>
      <c r="BD57" s="254" t="str">
        <f t="shared" si="9"/>
        <v/>
      </c>
      <c r="BE57" s="254" t="str">
        <f>IFERROR(INDEX(D01_Races!$B$2:$B$101,MATCH(C_Input!BD57,D01_Races!$C$2:$C$101,0),1),"")</f>
        <v/>
      </c>
      <c r="BF57" s="252" t="str">
        <f t="shared" si="10"/>
        <v/>
      </c>
      <c r="BG57" s="252" t="str">
        <f>IFERROR(IF(BF57="","",INDEX(D01_Races!$E$2:$E$101,MATCH(C_Input!BF57,D01_Races!$D$2:$D$101,0),1)),"")</f>
        <v/>
      </c>
      <c r="BH57" s="252" t="str">
        <f>IFERROR(IF(BF57="","",INDEX(D01_Races!$A$2:$A$101,MATCH(C_Input!BF57,D01_Races!$D$2:$D$101,0),1)),"")</f>
        <v/>
      </c>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row>
    <row r="58" spans="1:152" ht="15.95" customHeight="1" outlineLevel="1" thickTop="1" thickBot="1" x14ac:dyDescent="0.35">
      <c r="A58" s="152"/>
      <c r="B58" s="802" t="s">
        <v>2227</v>
      </c>
      <c r="C58" s="802"/>
      <c r="D58" s="818"/>
      <c r="E58" s="818"/>
      <c r="F58" s="818"/>
      <c r="G58" s="818"/>
      <c r="H58" s="819" t="str">
        <f>C_Variables!N4</f>
        <v/>
      </c>
      <c r="I58" s="819"/>
      <c r="J58" s="820"/>
      <c r="K58" s="820"/>
      <c r="L58" s="820"/>
      <c r="M58" s="820"/>
      <c r="N58" s="745" t="s">
        <v>4147</v>
      </c>
      <c r="O58" s="745"/>
      <c r="P58" s="747">
        <f>IFERROR(COUNTIF($R$58:$R$77,MainClassSelected),"")</f>
        <v>1</v>
      </c>
      <c r="Q58" s="376">
        <v>1</v>
      </c>
      <c r="R58" s="748">
        <f>MainClass</f>
        <v>0</v>
      </c>
      <c r="S58" s="748"/>
      <c r="T58" s="748"/>
      <c r="U58" s="152"/>
      <c r="V58" s="864" t="str">
        <f>""&amp;CHAR(10)&amp;IFERROR(INDEX(D04_Classes!C3:C102,SelectedClassID,1),"")</f>
        <v xml:space="preserve">
</v>
      </c>
      <c r="W58" s="865"/>
      <c r="X58" s="865"/>
      <c r="Y58" s="865"/>
      <c r="Z58" s="865"/>
      <c r="AA58" s="865"/>
      <c r="AB58" s="865"/>
      <c r="AC58" s="865"/>
      <c r="AD58" s="865"/>
      <c r="AE58" s="866"/>
      <c r="AF58" s="171"/>
      <c r="AH58" s="253" t="str">
        <f t="shared" si="14"/>
        <v/>
      </c>
      <c r="AI58" s="253" t="str">
        <f>IFERROR(INDEX(D04_Classes!$B$3:$B$102,AH58,1),"")</f>
        <v/>
      </c>
      <c r="AJ58" s="253" t="str">
        <f t="shared" si="11"/>
        <v/>
      </c>
      <c r="AK58" s="253">
        <f t="shared" si="6"/>
        <v>0</v>
      </c>
      <c r="AL58" s="253">
        <f>IF(AK58=0,0,COUNTIF($AL$15:AL57,"&gt;0")+1)</f>
        <v>0</v>
      </c>
      <c r="AM58" s="253">
        <f>IF(IFERROR(SEARCH("and",INDEX(D04_Classes!$BW$3:$BW$102,MATCH(C_Input!AI58,D04_Classes!$B$3:$B$102,0),1)),0)&gt;1,1,0)</f>
        <v>0</v>
      </c>
      <c r="AN58" s="253">
        <f>IF(IFERROR(SEARCH("or",INDEX(D04_Classes!$BW$3:$BW$102,MATCH(C_Input!AI58,D04_Classes!$B$3:$B$102,0),1)),0)&gt;1,1,0)</f>
        <v>0</v>
      </c>
      <c r="AO58" s="253" t="str">
        <f>IF(OR(IFERROR(SEARCH("Strength",INDEX(D04_Classes!$BW$3:$BW$102,MATCH(C_Input!AI58,D04_Classes!$B$3:$B$102,0),1)),0)=0,AND(IFERROR(SEARCH("Strength",INDEX(D04_Classes!$BW$3:$BW$102,MATCH(C_Input!AI58,D04_Classes!$B$3:$B$102,0),1)),0)&gt;0,Strength&gt;12)),"yes","no")</f>
        <v>yes</v>
      </c>
      <c r="AP58" s="253" t="str">
        <f>IF(OR(IFERROR(SEARCH("Dexterity",INDEX(D04_Classes!$BW$3:$BW$102,MATCH(C_Input!AI58,D04_Classes!$B$3:$B$102,0),1)),0)=0,AND(IFERROR(SEARCH("Dexterity",INDEX(D04_Classes!$BW$3:$BW$102,MATCH(C_Input!AI58,D04_Classes!$B$3:$B$102,0),1)),0)&gt;0,Dexterity&gt;12)),"yes","no")</f>
        <v>yes</v>
      </c>
      <c r="AQ58" s="253" t="str">
        <f>IF(OR(IFERROR(SEARCH("Constitution",INDEX(D04_Classes!$BW$3:$BW$102,MATCH(C_Input!AI58,D04_Classes!$B$3:$B$102,0),1)),0)=0,AND(IFERROR(SEARCH("Constitution",INDEX(D04_Classes!$BW$3:$BW$102,MATCH(C_Input!AI58,D04_Classes!$B$3:$B$102,0),1)),0)&gt;0,Constitution&gt;12)),"yes","no")</f>
        <v>yes</v>
      </c>
      <c r="AR58" s="253" t="str">
        <f>IF(OR(IFERROR(SEARCH("Intelligence",INDEX(D04_Classes!$BW$3:$BW$102,MATCH(C_Input!AI58,D04_Classes!$B$3:$B$102,0),1)),0)=0,AND(IFERROR(SEARCH("Intelligence",INDEX(D04_Classes!$BW$3:$BW$102,MATCH(C_Input!AI58,D04_Classes!$B$3:$B$102,0),1)),0)&gt;0,Intelligence&gt;12)),"yes","no")</f>
        <v>yes</v>
      </c>
      <c r="AS58" s="253" t="str">
        <f>IF(OR(IFERROR(SEARCH("Wisdom",INDEX(D04_Classes!$BW$3:$BW$102,MATCH(C_Input!AI58,D04_Classes!$B$3:$B$102,0),1)),0)=0,AND(IFERROR(SEARCH("Wisdom",INDEX(D04_Classes!$BW$3:$BW$102,MATCH(C_Input!AI58,D04_Classes!$B$3:$B$102,0),1)),0)&gt;0,Wisdom&gt;12)),"yes","no")</f>
        <v>yes</v>
      </c>
      <c r="AT58" s="253" t="str">
        <f>IF(OR(IFERROR(SEARCH("Charisma",INDEX(D04_Classes!$BW$3:$BW$102,MATCH(C_Input!AI58,D04_Classes!$B$3:$B$102,0),1)),0)=0,AND(IFERROR(SEARCH("Charisma",INDEX(D04_Classes!$BW$3:$BW$102,MATCH(C_Input!AI58,D04_Classes!$B$3:$B$102,0),1)),0)&gt;0,Charisma&gt;12)),"yes","no")</f>
        <v>yes</v>
      </c>
      <c r="AU58" s="253">
        <f t="shared" si="12"/>
        <v>0</v>
      </c>
      <c r="AV58" s="253">
        <f>IF(AU58=0,0,COUNTIF($AV$15:AV57,"&gt;0")+1)</f>
        <v>0</v>
      </c>
      <c r="AX58" s="255" t="str">
        <f t="shared" si="15"/>
        <v/>
      </c>
      <c r="AY58" s="255" t="str">
        <f t="shared" si="13"/>
        <v/>
      </c>
      <c r="BD58" s="254" t="str">
        <f t="shared" si="9"/>
        <v/>
      </c>
      <c r="BE58" s="254" t="str">
        <f>IFERROR(INDEX(D01_Races!$B$2:$B$101,MATCH(C_Input!BD58,D01_Races!$C$2:$C$101,0),1),"")</f>
        <v/>
      </c>
      <c r="BF58" s="252" t="str">
        <f t="shared" si="10"/>
        <v/>
      </c>
      <c r="BG58" s="252" t="str">
        <f>IFERROR(IF(BF58="","",INDEX(D01_Races!$E$2:$E$101,MATCH(C_Input!BF58,D01_Races!$D$2:$D$101,0),1)),"")</f>
        <v/>
      </c>
      <c r="BH58" s="252" t="str">
        <f>IFERROR(IF(BF58="","",INDEX(D01_Races!$A$2:$A$101,MATCH(C_Input!BF58,D01_Races!$D$2:$D$101,0),1)),"")</f>
        <v/>
      </c>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row>
    <row r="59" spans="1:152" ht="15.95" customHeight="1" outlineLevel="1" thickTop="1" thickBot="1" x14ac:dyDescent="0.35">
      <c r="A59" s="152"/>
      <c r="B59" s="802"/>
      <c r="C59" s="802"/>
      <c r="D59" s="818"/>
      <c r="E59" s="818"/>
      <c r="F59" s="818"/>
      <c r="G59" s="818"/>
      <c r="H59" s="819"/>
      <c r="I59" s="819"/>
      <c r="J59" s="820"/>
      <c r="K59" s="820"/>
      <c r="L59" s="820"/>
      <c r="M59" s="820"/>
      <c r="N59" s="745"/>
      <c r="O59" s="745"/>
      <c r="P59" s="747"/>
      <c r="Q59" s="376">
        <f t="shared" ref="Q59:Q77" si="16">Q58+1</f>
        <v>2</v>
      </c>
      <c r="R59" s="734"/>
      <c r="S59" s="734"/>
      <c r="T59" s="734"/>
      <c r="U59" s="152"/>
      <c r="V59" s="867"/>
      <c r="W59" s="868"/>
      <c r="X59" s="868"/>
      <c r="Y59" s="868"/>
      <c r="Z59" s="868"/>
      <c r="AA59" s="868"/>
      <c r="AB59" s="868"/>
      <c r="AC59" s="868"/>
      <c r="AD59" s="868"/>
      <c r="AE59" s="869"/>
      <c r="AF59" s="171"/>
      <c r="AH59" s="253" t="str">
        <f t="shared" si="14"/>
        <v/>
      </c>
      <c r="AI59" s="253" t="str">
        <f>IFERROR(INDEX(D04_Classes!$B$3:$B$102,AH59,1),"")</f>
        <v/>
      </c>
      <c r="AJ59" s="253" t="str">
        <f t="shared" si="11"/>
        <v/>
      </c>
      <c r="AK59" s="253">
        <f t="shared" si="6"/>
        <v>0</v>
      </c>
      <c r="AL59" s="253">
        <f>IF(AK59=0,0,COUNTIF($AL$15:AL58,"&gt;0")+1)</f>
        <v>0</v>
      </c>
      <c r="AM59" s="253">
        <f>IF(IFERROR(SEARCH("and",INDEX(D04_Classes!$BW$3:$BW$102,MATCH(C_Input!AI59,D04_Classes!$B$3:$B$102,0),1)),0)&gt;1,1,0)</f>
        <v>0</v>
      </c>
      <c r="AN59" s="253">
        <f>IF(IFERROR(SEARCH("or",INDEX(D04_Classes!$BW$3:$BW$102,MATCH(C_Input!AI59,D04_Classes!$B$3:$B$102,0),1)),0)&gt;1,1,0)</f>
        <v>0</v>
      </c>
      <c r="AO59" s="253" t="str">
        <f>IF(OR(IFERROR(SEARCH("Strength",INDEX(D04_Classes!$BW$3:$BW$102,MATCH(C_Input!AI59,D04_Classes!$B$3:$B$102,0),1)),0)=0,AND(IFERROR(SEARCH("Strength",INDEX(D04_Classes!$BW$3:$BW$102,MATCH(C_Input!AI59,D04_Classes!$B$3:$B$102,0),1)),0)&gt;0,Strength&gt;12)),"yes","no")</f>
        <v>yes</v>
      </c>
      <c r="AP59" s="253" t="str">
        <f>IF(OR(IFERROR(SEARCH("Dexterity",INDEX(D04_Classes!$BW$3:$BW$102,MATCH(C_Input!AI59,D04_Classes!$B$3:$B$102,0),1)),0)=0,AND(IFERROR(SEARCH("Dexterity",INDEX(D04_Classes!$BW$3:$BW$102,MATCH(C_Input!AI59,D04_Classes!$B$3:$B$102,0),1)),0)&gt;0,Dexterity&gt;12)),"yes","no")</f>
        <v>yes</v>
      </c>
      <c r="AQ59" s="253" t="str">
        <f>IF(OR(IFERROR(SEARCH("Constitution",INDEX(D04_Classes!$BW$3:$BW$102,MATCH(C_Input!AI59,D04_Classes!$B$3:$B$102,0),1)),0)=0,AND(IFERROR(SEARCH("Constitution",INDEX(D04_Classes!$BW$3:$BW$102,MATCH(C_Input!AI59,D04_Classes!$B$3:$B$102,0),1)),0)&gt;0,Constitution&gt;12)),"yes","no")</f>
        <v>yes</v>
      </c>
      <c r="AR59" s="253" t="str">
        <f>IF(OR(IFERROR(SEARCH("Intelligence",INDEX(D04_Classes!$BW$3:$BW$102,MATCH(C_Input!AI59,D04_Classes!$B$3:$B$102,0),1)),0)=0,AND(IFERROR(SEARCH("Intelligence",INDEX(D04_Classes!$BW$3:$BW$102,MATCH(C_Input!AI59,D04_Classes!$B$3:$B$102,0),1)),0)&gt;0,Intelligence&gt;12)),"yes","no")</f>
        <v>yes</v>
      </c>
      <c r="AS59" s="253" t="str">
        <f>IF(OR(IFERROR(SEARCH("Wisdom",INDEX(D04_Classes!$BW$3:$BW$102,MATCH(C_Input!AI59,D04_Classes!$B$3:$B$102,0),1)),0)=0,AND(IFERROR(SEARCH("Wisdom",INDEX(D04_Classes!$BW$3:$BW$102,MATCH(C_Input!AI59,D04_Classes!$B$3:$B$102,0),1)),0)&gt;0,Wisdom&gt;12)),"yes","no")</f>
        <v>yes</v>
      </c>
      <c r="AT59" s="253" t="str">
        <f>IF(OR(IFERROR(SEARCH("Charisma",INDEX(D04_Classes!$BW$3:$BW$102,MATCH(C_Input!AI59,D04_Classes!$B$3:$B$102,0),1)),0)=0,AND(IFERROR(SEARCH("Charisma",INDEX(D04_Classes!$BW$3:$BW$102,MATCH(C_Input!AI59,D04_Classes!$B$3:$B$102,0),1)),0)&gt;0,Charisma&gt;12)),"yes","no")</f>
        <v>yes</v>
      </c>
      <c r="AU59" s="253">
        <f t="shared" si="12"/>
        <v>0</v>
      </c>
      <c r="AV59" s="253">
        <f>IF(AU59=0,0,COUNTIF($AV$15:AV58,"&gt;0")+1)</f>
        <v>0</v>
      </c>
      <c r="AX59" s="255" t="str">
        <f t="shared" si="15"/>
        <v/>
      </c>
      <c r="AY59" s="255" t="str">
        <f t="shared" si="13"/>
        <v/>
      </c>
      <c r="BD59" s="254" t="str">
        <f t="shared" si="9"/>
        <v/>
      </c>
      <c r="BE59" s="254" t="str">
        <f>IFERROR(INDEX(D01_Races!$B$2:$B$101,MATCH(C_Input!BD59,D01_Races!$C$2:$C$101,0),1),"")</f>
        <v/>
      </c>
      <c r="BF59" s="252" t="str">
        <f t="shared" si="10"/>
        <v/>
      </c>
      <c r="BG59" s="252" t="str">
        <f>IFERROR(IF(BF59="","",INDEX(D01_Races!$E$2:$E$101,MATCH(C_Input!BF59,D01_Races!$D$2:$D$101,0),1)),"")</f>
        <v/>
      </c>
      <c r="BH59" s="252" t="str">
        <f>IFERROR(IF(BF59="","",INDEX(D01_Races!$A$2:$A$101,MATCH(C_Input!BF59,D01_Races!$D$2:$D$101,0),1)),"")</f>
        <v/>
      </c>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row>
    <row r="60" spans="1:152" ht="15.95" customHeight="1" outlineLevel="1" thickTop="1" thickBot="1" x14ac:dyDescent="0.35">
      <c r="A60" s="152"/>
      <c r="B60" s="283"/>
      <c r="C60" s="283"/>
      <c r="D60" s="283"/>
      <c r="E60" s="283"/>
      <c r="F60" s="283"/>
      <c r="G60" s="283"/>
      <c r="H60" s="377"/>
      <c r="I60" s="377"/>
      <c r="J60" s="283"/>
      <c r="K60" s="283"/>
      <c r="L60" s="283"/>
      <c r="M60" s="283"/>
      <c r="N60" s="283"/>
      <c r="O60" s="283"/>
      <c r="P60" s="283"/>
      <c r="Q60" s="376">
        <f t="shared" si="16"/>
        <v>3</v>
      </c>
      <c r="R60" s="734"/>
      <c r="S60" s="734"/>
      <c r="T60" s="734"/>
      <c r="U60" s="152"/>
      <c r="V60" s="867"/>
      <c r="W60" s="868"/>
      <c r="X60" s="868"/>
      <c r="Y60" s="868"/>
      <c r="Z60" s="868"/>
      <c r="AA60" s="868"/>
      <c r="AB60" s="868"/>
      <c r="AC60" s="868"/>
      <c r="AD60" s="868"/>
      <c r="AE60" s="869"/>
      <c r="AF60" s="171"/>
      <c r="AH60" s="253" t="str">
        <f t="shared" si="14"/>
        <v/>
      </c>
      <c r="AI60" s="253" t="str">
        <f>IFERROR(INDEX(D04_Classes!$B$3:$B$102,AH60,1),"")</f>
        <v/>
      </c>
      <c r="AJ60" s="253" t="str">
        <f t="shared" si="11"/>
        <v/>
      </c>
      <c r="AK60" s="253">
        <f t="shared" si="6"/>
        <v>0</v>
      </c>
      <c r="AL60" s="253">
        <f>IF(AK60=0,0,COUNTIF($AL$15:AL59,"&gt;0")+1)</f>
        <v>0</v>
      </c>
      <c r="AM60" s="253">
        <f>IF(IFERROR(SEARCH("and",INDEX(D04_Classes!$BW$3:$BW$102,MATCH(C_Input!AI60,D04_Classes!$B$3:$B$102,0),1)),0)&gt;1,1,0)</f>
        <v>0</v>
      </c>
      <c r="AN60" s="253">
        <f>IF(IFERROR(SEARCH("or",INDEX(D04_Classes!$BW$3:$BW$102,MATCH(C_Input!AI60,D04_Classes!$B$3:$B$102,0),1)),0)&gt;1,1,0)</f>
        <v>0</v>
      </c>
      <c r="AO60" s="253" t="str">
        <f>IF(OR(IFERROR(SEARCH("Strength",INDEX(D04_Classes!$BW$3:$BW$102,MATCH(C_Input!AI60,D04_Classes!$B$3:$B$102,0),1)),0)=0,AND(IFERROR(SEARCH("Strength",INDEX(D04_Classes!$BW$3:$BW$102,MATCH(C_Input!AI60,D04_Classes!$B$3:$B$102,0),1)),0)&gt;0,Strength&gt;12)),"yes","no")</f>
        <v>yes</v>
      </c>
      <c r="AP60" s="253" t="str">
        <f>IF(OR(IFERROR(SEARCH("Dexterity",INDEX(D04_Classes!$BW$3:$BW$102,MATCH(C_Input!AI60,D04_Classes!$B$3:$B$102,0),1)),0)=0,AND(IFERROR(SEARCH("Dexterity",INDEX(D04_Classes!$BW$3:$BW$102,MATCH(C_Input!AI60,D04_Classes!$B$3:$B$102,0),1)),0)&gt;0,Dexterity&gt;12)),"yes","no")</f>
        <v>yes</v>
      </c>
      <c r="AQ60" s="253" t="str">
        <f>IF(OR(IFERROR(SEARCH("Constitution",INDEX(D04_Classes!$BW$3:$BW$102,MATCH(C_Input!AI60,D04_Classes!$B$3:$B$102,0),1)),0)=0,AND(IFERROR(SEARCH("Constitution",INDEX(D04_Classes!$BW$3:$BW$102,MATCH(C_Input!AI60,D04_Classes!$B$3:$B$102,0),1)),0)&gt;0,Constitution&gt;12)),"yes","no")</f>
        <v>yes</v>
      </c>
      <c r="AR60" s="253" t="str">
        <f>IF(OR(IFERROR(SEARCH("Intelligence",INDEX(D04_Classes!$BW$3:$BW$102,MATCH(C_Input!AI60,D04_Classes!$B$3:$B$102,0),1)),0)=0,AND(IFERROR(SEARCH("Intelligence",INDEX(D04_Classes!$BW$3:$BW$102,MATCH(C_Input!AI60,D04_Classes!$B$3:$B$102,0),1)),0)&gt;0,Intelligence&gt;12)),"yes","no")</f>
        <v>yes</v>
      </c>
      <c r="AS60" s="253" t="str">
        <f>IF(OR(IFERROR(SEARCH("Wisdom",INDEX(D04_Classes!$BW$3:$BW$102,MATCH(C_Input!AI60,D04_Classes!$B$3:$B$102,0),1)),0)=0,AND(IFERROR(SEARCH("Wisdom",INDEX(D04_Classes!$BW$3:$BW$102,MATCH(C_Input!AI60,D04_Classes!$B$3:$B$102,0),1)),0)&gt;0,Wisdom&gt;12)),"yes","no")</f>
        <v>yes</v>
      </c>
      <c r="AT60" s="253" t="str">
        <f>IF(OR(IFERROR(SEARCH("Charisma",INDEX(D04_Classes!$BW$3:$BW$102,MATCH(C_Input!AI60,D04_Classes!$B$3:$B$102,0),1)),0)=0,AND(IFERROR(SEARCH("Charisma",INDEX(D04_Classes!$BW$3:$BW$102,MATCH(C_Input!AI60,D04_Classes!$B$3:$B$102,0),1)),0)&gt;0,Charisma&gt;12)),"yes","no")</f>
        <v>yes</v>
      </c>
      <c r="AU60" s="253">
        <f t="shared" si="12"/>
        <v>0</v>
      </c>
      <c r="AV60" s="253">
        <f>IF(AU60=0,0,COUNTIF($AV$15:AV59,"&gt;0")+1)</f>
        <v>0</v>
      </c>
      <c r="AX60" s="255" t="str">
        <f t="shared" si="15"/>
        <v/>
      </c>
      <c r="AY60" s="255" t="str">
        <f t="shared" si="13"/>
        <v/>
      </c>
      <c r="BD60" s="254" t="str">
        <f t="shared" si="9"/>
        <v/>
      </c>
      <c r="BE60" s="254" t="str">
        <f>IFERROR(INDEX(D01_Races!$B$2:$B$101,MATCH(C_Input!BD60,D01_Races!$C$2:$C$101,0),1),"")</f>
        <v/>
      </c>
      <c r="BF60" s="252" t="str">
        <f t="shared" si="10"/>
        <v/>
      </c>
      <c r="BG60" s="252" t="str">
        <f>IFERROR(IF(BF60="","",INDEX(D01_Races!$E$2:$E$101,MATCH(C_Input!BF60,D01_Races!$D$2:$D$101,0),1)),"")</f>
        <v/>
      </c>
      <c r="BH60" s="252" t="str">
        <f>IFERROR(IF(BF60="","",INDEX(D01_Races!$A$2:$A$101,MATCH(C_Input!BF60,D01_Races!$D$2:$D$101,0),1)),"")</f>
        <v/>
      </c>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row>
    <row r="61" spans="1:152" ht="15.95" customHeight="1" outlineLevel="1" thickTop="1" thickBot="1" x14ac:dyDescent="0.35">
      <c r="A61" s="152"/>
      <c r="B61" s="802" t="s">
        <v>4142</v>
      </c>
      <c r="C61" s="802"/>
      <c r="D61" s="873" t="str">
        <f>IF(BC15="","",BC15)</f>
        <v/>
      </c>
      <c r="E61" s="873"/>
      <c r="F61" s="873"/>
      <c r="G61" s="873"/>
      <c r="H61" s="819" t="str">
        <f>C_Variables!N5</f>
        <v/>
      </c>
      <c r="I61" s="819"/>
      <c r="J61" s="820"/>
      <c r="K61" s="820"/>
      <c r="L61" s="820"/>
      <c r="M61" s="820"/>
      <c r="N61" s="745" t="s">
        <v>4147</v>
      </c>
      <c r="O61" s="745"/>
      <c r="P61" s="747" t="str">
        <f>IF(Multiclass1="","",IFERROR(COUNTIF($R$58:$R$77,Multiclass1),""))</f>
        <v/>
      </c>
      <c r="Q61" s="376">
        <f t="shared" si="16"/>
        <v>4</v>
      </c>
      <c r="R61" s="734"/>
      <c r="S61" s="734"/>
      <c r="T61" s="734"/>
      <c r="U61" s="152"/>
      <c r="V61" s="867"/>
      <c r="W61" s="868"/>
      <c r="X61" s="868"/>
      <c r="Y61" s="868"/>
      <c r="Z61" s="868"/>
      <c r="AA61" s="868"/>
      <c r="AB61" s="868"/>
      <c r="AC61" s="868"/>
      <c r="AD61" s="868"/>
      <c r="AE61" s="869"/>
      <c r="AF61" s="171"/>
      <c r="AH61" s="253" t="str">
        <f t="shared" si="14"/>
        <v/>
      </c>
      <c r="AI61" s="253" t="str">
        <f>IFERROR(INDEX(D04_Classes!$B$3:$B$102,AH61,1),"")</f>
        <v/>
      </c>
      <c r="AJ61" s="253" t="str">
        <f t="shared" si="11"/>
        <v/>
      </c>
      <c r="AK61" s="253">
        <f t="shared" si="6"/>
        <v>0</v>
      </c>
      <c r="AL61" s="253">
        <f>IF(AK61=0,0,COUNTIF($AL$15:AL60,"&gt;0")+1)</f>
        <v>0</v>
      </c>
      <c r="AM61" s="253">
        <f>IF(IFERROR(SEARCH("and",INDEX(D04_Classes!$BW$3:$BW$102,MATCH(C_Input!AI61,D04_Classes!$B$3:$B$102,0),1)),0)&gt;1,1,0)</f>
        <v>0</v>
      </c>
      <c r="AN61" s="253">
        <f>IF(IFERROR(SEARCH("or",INDEX(D04_Classes!$BW$3:$BW$102,MATCH(C_Input!AI61,D04_Classes!$B$3:$B$102,0),1)),0)&gt;1,1,0)</f>
        <v>0</v>
      </c>
      <c r="AO61" s="253" t="str">
        <f>IF(OR(IFERROR(SEARCH("Strength",INDEX(D04_Classes!$BW$3:$BW$102,MATCH(C_Input!AI61,D04_Classes!$B$3:$B$102,0),1)),0)=0,AND(IFERROR(SEARCH("Strength",INDEX(D04_Classes!$BW$3:$BW$102,MATCH(C_Input!AI61,D04_Classes!$B$3:$B$102,0),1)),0)&gt;0,Strength&gt;12)),"yes","no")</f>
        <v>yes</v>
      </c>
      <c r="AP61" s="253" t="str">
        <f>IF(OR(IFERROR(SEARCH("Dexterity",INDEX(D04_Classes!$BW$3:$BW$102,MATCH(C_Input!AI61,D04_Classes!$B$3:$B$102,0),1)),0)=0,AND(IFERROR(SEARCH("Dexterity",INDEX(D04_Classes!$BW$3:$BW$102,MATCH(C_Input!AI61,D04_Classes!$B$3:$B$102,0),1)),0)&gt;0,Dexterity&gt;12)),"yes","no")</f>
        <v>yes</v>
      </c>
      <c r="AQ61" s="253" t="str">
        <f>IF(OR(IFERROR(SEARCH("Constitution",INDEX(D04_Classes!$BW$3:$BW$102,MATCH(C_Input!AI61,D04_Classes!$B$3:$B$102,0),1)),0)=0,AND(IFERROR(SEARCH("Constitution",INDEX(D04_Classes!$BW$3:$BW$102,MATCH(C_Input!AI61,D04_Classes!$B$3:$B$102,0),1)),0)&gt;0,Constitution&gt;12)),"yes","no")</f>
        <v>yes</v>
      </c>
      <c r="AR61" s="253" t="str">
        <f>IF(OR(IFERROR(SEARCH("Intelligence",INDEX(D04_Classes!$BW$3:$BW$102,MATCH(C_Input!AI61,D04_Classes!$B$3:$B$102,0),1)),0)=0,AND(IFERROR(SEARCH("Intelligence",INDEX(D04_Classes!$BW$3:$BW$102,MATCH(C_Input!AI61,D04_Classes!$B$3:$B$102,0),1)),0)&gt;0,Intelligence&gt;12)),"yes","no")</f>
        <v>yes</v>
      </c>
      <c r="AS61" s="253" t="str">
        <f>IF(OR(IFERROR(SEARCH("Wisdom",INDEX(D04_Classes!$BW$3:$BW$102,MATCH(C_Input!AI61,D04_Classes!$B$3:$B$102,0),1)),0)=0,AND(IFERROR(SEARCH("Wisdom",INDEX(D04_Classes!$BW$3:$BW$102,MATCH(C_Input!AI61,D04_Classes!$B$3:$B$102,0),1)),0)&gt;0,Wisdom&gt;12)),"yes","no")</f>
        <v>yes</v>
      </c>
      <c r="AT61" s="253" t="str">
        <f>IF(OR(IFERROR(SEARCH("Charisma",INDEX(D04_Classes!$BW$3:$BW$102,MATCH(C_Input!AI61,D04_Classes!$B$3:$B$102,0),1)),0)=0,AND(IFERROR(SEARCH("Charisma",INDEX(D04_Classes!$BW$3:$BW$102,MATCH(C_Input!AI61,D04_Classes!$B$3:$B$102,0),1)),0)&gt;0,Charisma&gt;12)),"yes","no")</f>
        <v>yes</v>
      </c>
      <c r="AU61" s="253">
        <f t="shared" si="12"/>
        <v>0</v>
      </c>
      <c r="AV61" s="253">
        <f>IF(AU61=0,0,COUNTIF($AV$15:AV60,"&gt;0")+1)</f>
        <v>0</v>
      </c>
      <c r="AX61" s="255" t="str">
        <f t="shared" si="15"/>
        <v/>
      </c>
      <c r="AY61" s="255" t="str">
        <f t="shared" si="13"/>
        <v/>
      </c>
      <c r="BD61" s="254" t="str">
        <f t="shared" si="9"/>
        <v/>
      </c>
      <c r="BE61" s="254" t="str">
        <f>IFERROR(INDEX(D01_Races!$B$2:$B$101,MATCH(C_Input!BD61,D01_Races!$C$2:$C$101,0),1),"")</f>
        <v/>
      </c>
      <c r="BF61" s="252" t="str">
        <f t="shared" si="10"/>
        <v/>
      </c>
      <c r="BG61" s="252" t="str">
        <f>IFERROR(IF(BF61="","",INDEX(D01_Races!$E$2:$E$101,MATCH(C_Input!BF61,D01_Races!$D$2:$D$101,0),1)),"")</f>
        <v/>
      </c>
      <c r="BH61" s="252" t="str">
        <f>IFERROR(IF(BF61="","",INDEX(D01_Races!$A$2:$A$101,MATCH(C_Input!BF61,D01_Races!$D$2:$D$101,0),1)),"")</f>
        <v/>
      </c>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row>
    <row r="62" spans="1:152" ht="15.95" customHeight="1" outlineLevel="1" thickTop="1" thickBot="1" x14ac:dyDescent="0.35">
      <c r="A62" s="152"/>
      <c r="B62" s="802"/>
      <c r="C62" s="802"/>
      <c r="D62" s="873"/>
      <c r="E62" s="873"/>
      <c r="F62" s="873"/>
      <c r="G62" s="873"/>
      <c r="H62" s="819"/>
      <c r="I62" s="819"/>
      <c r="J62" s="820"/>
      <c r="K62" s="820"/>
      <c r="L62" s="820"/>
      <c r="M62" s="820"/>
      <c r="N62" s="745"/>
      <c r="O62" s="745"/>
      <c r="P62" s="747"/>
      <c r="Q62" s="376">
        <f t="shared" si="16"/>
        <v>5</v>
      </c>
      <c r="R62" s="734"/>
      <c r="S62" s="734"/>
      <c r="T62" s="734"/>
      <c r="U62" s="152"/>
      <c r="V62" s="867"/>
      <c r="W62" s="868"/>
      <c r="X62" s="868"/>
      <c r="Y62" s="868"/>
      <c r="Z62" s="868"/>
      <c r="AA62" s="868"/>
      <c r="AB62" s="868"/>
      <c r="AC62" s="868"/>
      <c r="AD62" s="868"/>
      <c r="AE62" s="869"/>
      <c r="AF62" s="171"/>
      <c r="AH62" s="253" t="str">
        <f t="shared" si="14"/>
        <v/>
      </c>
      <c r="AI62" s="253" t="str">
        <f>IFERROR(INDEX(D04_Classes!$B$3:$B$102,AH62,1),"")</f>
        <v/>
      </c>
      <c r="AJ62" s="253" t="str">
        <f t="shared" si="11"/>
        <v/>
      </c>
      <c r="AK62" s="253">
        <f t="shared" si="6"/>
        <v>0</v>
      </c>
      <c r="AL62" s="253">
        <f>IF(AK62=0,0,COUNTIF($AL$15:AL61,"&gt;0")+1)</f>
        <v>0</v>
      </c>
      <c r="AM62" s="253">
        <f>IF(IFERROR(SEARCH("and",INDEX(D04_Classes!$BW$3:$BW$102,MATCH(C_Input!AI62,D04_Classes!$B$3:$B$102,0),1)),0)&gt;1,1,0)</f>
        <v>0</v>
      </c>
      <c r="AN62" s="253">
        <f>IF(IFERROR(SEARCH("or",INDEX(D04_Classes!$BW$3:$BW$102,MATCH(C_Input!AI62,D04_Classes!$B$3:$B$102,0),1)),0)&gt;1,1,0)</f>
        <v>0</v>
      </c>
      <c r="AO62" s="253" t="str">
        <f>IF(OR(IFERROR(SEARCH("Strength",INDEX(D04_Classes!$BW$3:$BW$102,MATCH(C_Input!AI62,D04_Classes!$B$3:$B$102,0),1)),0)=0,AND(IFERROR(SEARCH("Strength",INDEX(D04_Classes!$BW$3:$BW$102,MATCH(C_Input!AI62,D04_Classes!$B$3:$B$102,0),1)),0)&gt;0,Strength&gt;12)),"yes","no")</f>
        <v>yes</v>
      </c>
      <c r="AP62" s="253" t="str">
        <f>IF(OR(IFERROR(SEARCH("Dexterity",INDEX(D04_Classes!$BW$3:$BW$102,MATCH(C_Input!AI62,D04_Classes!$B$3:$B$102,0),1)),0)=0,AND(IFERROR(SEARCH("Dexterity",INDEX(D04_Classes!$BW$3:$BW$102,MATCH(C_Input!AI62,D04_Classes!$B$3:$B$102,0),1)),0)&gt;0,Dexterity&gt;12)),"yes","no")</f>
        <v>yes</v>
      </c>
      <c r="AQ62" s="253" t="str">
        <f>IF(OR(IFERROR(SEARCH("Constitution",INDEX(D04_Classes!$BW$3:$BW$102,MATCH(C_Input!AI62,D04_Classes!$B$3:$B$102,0),1)),0)=0,AND(IFERROR(SEARCH("Constitution",INDEX(D04_Classes!$BW$3:$BW$102,MATCH(C_Input!AI62,D04_Classes!$B$3:$B$102,0),1)),0)&gt;0,Constitution&gt;12)),"yes","no")</f>
        <v>yes</v>
      </c>
      <c r="AR62" s="253" t="str">
        <f>IF(OR(IFERROR(SEARCH("Intelligence",INDEX(D04_Classes!$BW$3:$BW$102,MATCH(C_Input!AI62,D04_Classes!$B$3:$B$102,0),1)),0)=0,AND(IFERROR(SEARCH("Intelligence",INDEX(D04_Classes!$BW$3:$BW$102,MATCH(C_Input!AI62,D04_Classes!$B$3:$B$102,0),1)),0)&gt;0,Intelligence&gt;12)),"yes","no")</f>
        <v>yes</v>
      </c>
      <c r="AS62" s="253" t="str">
        <f>IF(OR(IFERROR(SEARCH("Wisdom",INDEX(D04_Classes!$BW$3:$BW$102,MATCH(C_Input!AI62,D04_Classes!$B$3:$B$102,0),1)),0)=0,AND(IFERROR(SEARCH("Wisdom",INDEX(D04_Classes!$BW$3:$BW$102,MATCH(C_Input!AI62,D04_Classes!$B$3:$B$102,0),1)),0)&gt;0,Wisdom&gt;12)),"yes","no")</f>
        <v>yes</v>
      </c>
      <c r="AT62" s="253" t="str">
        <f>IF(OR(IFERROR(SEARCH("Charisma",INDEX(D04_Classes!$BW$3:$BW$102,MATCH(C_Input!AI62,D04_Classes!$B$3:$B$102,0),1)),0)=0,AND(IFERROR(SEARCH("Charisma",INDEX(D04_Classes!$BW$3:$BW$102,MATCH(C_Input!AI62,D04_Classes!$B$3:$B$102,0),1)),0)&gt;0,Charisma&gt;12)),"yes","no")</f>
        <v>yes</v>
      </c>
      <c r="AU62" s="253">
        <f t="shared" si="12"/>
        <v>0</v>
      </c>
      <c r="AV62" s="253">
        <f>IF(AU62=0,0,COUNTIF($AV$15:AV61,"&gt;0")+1)</f>
        <v>0</v>
      </c>
      <c r="AX62" s="255" t="str">
        <f t="shared" si="15"/>
        <v/>
      </c>
      <c r="AY62" s="255" t="str">
        <f t="shared" si="13"/>
        <v/>
      </c>
      <c r="BD62" s="254" t="str">
        <f t="shared" si="9"/>
        <v/>
      </c>
      <c r="BE62" s="254" t="str">
        <f>IFERROR(INDEX(D01_Races!$B$2:$B$101,MATCH(C_Input!BD62,D01_Races!$C$2:$C$101,0),1),"")</f>
        <v/>
      </c>
      <c r="BF62" s="252" t="str">
        <f t="shared" si="10"/>
        <v/>
      </c>
      <c r="BG62" s="252" t="str">
        <f>IFERROR(IF(BF62="","",INDEX(D01_Races!$E$2:$E$101,MATCH(C_Input!BF62,D01_Races!$D$2:$D$101,0),1)),"")</f>
        <v/>
      </c>
      <c r="BH62" s="252" t="str">
        <f>IFERROR(IF(BF62="","",INDEX(D01_Races!$A$2:$A$101,MATCH(C_Input!BF62,D01_Races!$D$2:$D$101,0),1)),"")</f>
        <v/>
      </c>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row>
    <row r="63" spans="1:152" ht="15.95" customHeight="1" outlineLevel="1" thickTop="1" thickBot="1" x14ac:dyDescent="0.35">
      <c r="A63" s="152"/>
      <c r="B63" s="283"/>
      <c r="C63" s="283"/>
      <c r="D63" s="283"/>
      <c r="E63" s="283"/>
      <c r="F63" s="283"/>
      <c r="G63" s="283"/>
      <c r="H63" s="377"/>
      <c r="I63" s="377"/>
      <c r="J63" s="283"/>
      <c r="K63" s="283"/>
      <c r="L63" s="283"/>
      <c r="M63" s="283"/>
      <c r="N63" s="283"/>
      <c r="O63" s="283"/>
      <c r="P63" s="283"/>
      <c r="Q63" s="376">
        <f t="shared" si="16"/>
        <v>6</v>
      </c>
      <c r="R63" s="734"/>
      <c r="S63" s="734"/>
      <c r="T63" s="734"/>
      <c r="U63" s="152"/>
      <c r="V63" s="867"/>
      <c r="W63" s="868"/>
      <c r="X63" s="868"/>
      <c r="Y63" s="868"/>
      <c r="Z63" s="868"/>
      <c r="AA63" s="868"/>
      <c r="AB63" s="868"/>
      <c r="AC63" s="868"/>
      <c r="AD63" s="868"/>
      <c r="AE63" s="869"/>
      <c r="AF63" s="171"/>
      <c r="AH63" s="253" t="str">
        <f t="shared" si="14"/>
        <v/>
      </c>
      <c r="AI63" s="253" t="str">
        <f>IFERROR(INDEX(D04_Classes!$B$3:$B$102,AH63,1),"")</f>
        <v/>
      </c>
      <c r="AJ63" s="253" t="str">
        <f t="shared" si="11"/>
        <v/>
      </c>
      <c r="AK63" s="253">
        <f t="shared" si="6"/>
        <v>0</v>
      </c>
      <c r="AL63" s="253">
        <f>IF(AK63=0,0,COUNTIF($AL$15:AL62,"&gt;0")+1)</f>
        <v>0</v>
      </c>
      <c r="AM63" s="253">
        <f>IF(IFERROR(SEARCH("and",INDEX(D04_Classes!$BW$3:$BW$102,MATCH(C_Input!AI63,D04_Classes!$B$3:$B$102,0),1)),0)&gt;1,1,0)</f>
        <v>0</v>
      </c>
      <c r="AN63" s="253">
        <f>IF(IFERROR(SEARCH("or",INDEX(D04_Classes!$BW$3:$BW$102,MATCH(C_Input!AI63,D04_Classes!$B$3:$B$102,0),1)),0)&gt;1,1,0)</f>
        <v>0</v>
      </c>
      <c r="AO63" s="253" t="str">
        <f>IF(OR(IFERROR(SEARCH("Strength",INDEX(D04_Classes!$BW$3:$BW$102,MATCH(C_Input!AI63,D04_Classes!$B$3:$B$102,0),1)),0)=0,AND(IFERROR(SEARCH("Strength",INDEX(D04_Classes!$BW$3:$BW$102,MATCH(C_Input!AI63,D04_Classes!$B$3:$B$102,0),1)),0)&gt;0,Strength&gt;12)),"yes","no")</f>
        <v>yes</v>
      </c>
      <c r="AP63" s="253" t="str">
        <f>IF(OR(IFERROR(SEARCH("Dexterity",INDEX(D04_Classes!$BW$3:$BW$102,MATCH(C_Input!AI63,D04_Classes!$B$3:$B$102,0),1)),0)=0,AND(IFERROR(SEARCH("Dexterity",INDEX(D04_Classes!$BW$3:$BW$102,MATCH(C_Input!AI63,D04_Classes!$B$3:$B$102,0),1)),0)&gt;0,Dexterity&gt;12)),"yes","no")</f>
        <v>yes</v>
      </c>
      <c r="AQ63" s="253" t="str">
        <f>IF(OR(IFERROR(SEARCH("Constitution",INDEX(D04_Classes!$BW$3:$BW$102,MATCH(C_Input!AI63,D04_Classes!$B$3:$B$102,0),1)),0)=0,AND(IFERROR(SEARCH("Constitution",INDEX(D04_Classes!$BW$3:$BW$102,MATCH(C_Input!AI63,D04_Classes!$B$3:$B$102,0),1)),0)&gt;0,Constitution&gt;12)),"yes","no")</f>
        <v>yes</v>
      </c>
      <c r="AR63" s="253" t="str">
        <f>IF(OR(IFERROR(SEARCH("Intelligence",INDEX(D04_Classes!$BW$3:$BW$102,MATCH(C_Input!AI63,D04_Classes!$B$3:$B$102,0),1)),0)=0,AND(IFERROR(SEARCH("Intelligence",INDEX(D04_Classes!$BW$3:$BW$102,MATCH(C_Input!AI63,D04_Classes!$B$3:$B$102,0),1)),0)&gt;0,Intelligence&gt;12)),"yes","no")</f>
        <v>yes</v>
      </c>
      <c r="AS63" s="253" t="str">
        <f>IF(OR(IFERROR(SEARCH("Wisdom",INDEX(D04_Classes!$BW$3:$BW$102,MATCH(C_Input!AI63,D04_Classes!$B$3:$B$102,0),1)),0)=0,AND(IFERROR(SEARCH("Wisdom",INDEX(D04_Classes!$BW$3:$BW$102,MATCH(C_Input!AI63,D04_Classes!$B$3:$B$102,0),1)),0)&gt;0,Wisdom&gt;12)),"yes","no")</f>
        <v>yes</v>
      </c>
      <c r="AT63" s="253" t="str">
        <f>IF(OR(IFERROR(SEARCH("Charisma",INDEX(D04_Classes!$BW$3:$BW$102,MATCH(C_Input!AI63,D04_Classes!$B$3:$B$102,0),1)),0)=0,AND(IFERROR(SEARCH("Charisma",INDEX(D04_Classes!$BW$3:$BW$102,MATCH(C_Input!AI63,D04_Classes!$B$3:$B$102,0),1)),0)&gt;0,Charisma&gt;12)),"yes","no")</f>
        <v>yes</v>
      </c>
      <c r="AU63" s="253">
        <f t="shared" si="12"/>
        <v>0</v>
      </c>
      <c r="AV63" s="253">
        <f>IF(AU63=0,0,COUNTIF($AV$15:AV62,"&gt;0")+1)</f>
        <v>0</v>
      </c>
      <c r="AX63" s="255" t="str">
        <f t="shared" si="15"/>
        <v/>
      </c>
      <c r="AY63" s="255" t="str">
        <f t="shared" si="13"/>
        <v/>
      </c>
      <c r="BD63" s="254" t="str">
        <f t="shared" si="9"/>
        <v/>
      </c>
      <c r="BE63" s="254" t="str">
        <f>IFERROR(INDEX(D01_Races!$B$2:$B$101,MATCH(C_Input!BD63,D01_Races!$C$2:$C$101,0),1),"")</f>
        <v/>
      </c>
      <c r="BF63" s="252" t="str">
        <f t="shared" si="10"/>
        <v/>
      </c>
      <c r="BG63" s="252" t="str">
        <f>IFERROR(IF(BF63="","",INDEX(D01_Races!$E$2:$E$101,MATCH(C_Input!BF63,D01_Races!$D$2:$D$101,0),1)),"")</f>
        <v/>
      </c>
      <c r="BH63" s="252" t="str">
        <f>IFERROR(IF(BF63="","",INDEX(D01_Races!$A$2:$A$101,MATCH(C_Input!BF63,D01_Races!$D$2:$D$101,0),1)),"")</f>
        <v/>
      </c>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row>
    <row r="64" spans="1:152" ht="15.95" customHeight="1" outlineLevel="1" thickTop="1" thickBot="1" x14ac:dyDescent="0.35">
      <c r="A64" s="152"/>
      <c r="B64" s="802" t="s">
        <v>4143</v>
      </c>
      <c r="C64" s="802"/>
      <c r="D64" s="873" t="str">
        <f>IF(BC16="","",BC16)</f>
        <v/>
      </c>
      <c r="E64" s="873"/>
      <c r="F64" s="873"/>
      <c r="G64" s="873"/>
      <c r="H64" s="819" t="str">
        <f>C_Variables!N6</f>
        <v/>
      </c>
      <c r="I64" s="819"/>
      <c r="J64" s="844"/>
      <c r="K64" s="844"/>
      <c r="L64" s="844"/>
      <c r="M64" s="844"/>
      <c r="N64" s="745" t="s">
        <v>4147</v>
      </c>
      <c r="O64" s="745"/>
      <c r="P64" s="747" t="str">
        <f>IF(Multiclass2="","",IFERROR(COUNTIF($R$58:$R$77,Multiclass2),""))</f>
        <v/>
      </c>
      <c r="Q64" s="376">
        <f t="shared" si="16"/>
        <v>7</v>
      </c>
      <c r="R64" s="734"/>
      <c r="S64" s="734"/>
      <c r="T64" s="734"/>
      <c r="U64" s="152"/>
      <c r="V64" s="867"/>
      <c r="W64" s="868"/>
      <c r="X64" s="868"/>
      <c r="Y64" s="868"/>
      <c r="Z64" s="868"/>
      <c r="AA64" s="868"/>
      <c r="AB64" s="868"/>
      <c r="AC64" s="868"/>
      <c r="AD64" s="868"/>
      <c r="AE64" s="869"/>
      <c r="AF64" s="171"/>
      <c r="AH64" s="253" t="str">
        <f t="shared" si="14"/>
        <v/>
      </c>
      <c r="AI64" s="253" t="str">
        <f>IFERROR(INDEX(D04_Classes!$B$3:$B$102,AH64,1),"")</f>
        <v/>
      </c>
      <c r="AJ64" s="253" t="str">
        <f t="shared" si="11"/>
        <v/>
      </c>
      <c r="AK64" s="253">
        <f t="shared" si="6"/>
        <v>0</v>
      </c>
      <c r="AL64" s="253">
        <f>IF(AK64=0,0,COUNTIF($AL$15:AL63,"&gt;0")+1)</f>
        <v>0</v>
      </c>
      <c r="AM64" s="253">
        <f>IF(IFERROR(SEARCH("and",INDEX(D04_Classes!$BW$3:$BW$102,MATCH(C_Input!AI64,D04_Classes!$B$3:$B$102,0),1)),0)&gt;1,1,0)</f>
        <v>0</v>
      </c>
      <c r="AN64" s="253">
        <f>IF(IFERROR(SEARCH("or",INDEX(D04_Classes!$BW$3:$BW$102,MATCH(C_Input!AI64,D04_Classes!$B$3:$B$102,0),1)),0)&gt;1,1,0)</f>
        <v>0</v>
      </c>
      <c r="AO64" s="253" t="str">
        <f>IF(OR(IFERROR(SEARCH("Strength",INDEX(D04_Classes!$BW$3:$BW$102,MATCH(C_Input!AI64,D04_Classes!$B$3:$B$102,0),1)),0)=0,AND(IFERROR(SEARCH("Strength",INDEX(D04_Classes!$BW$3:$BW$102,MATCH(C_Input!AI64,D04_Classes!$B$3:$B$102,0),1)),0)&gt;0,Strength&gt;12)),"yes","no")</f>
        <v>yes</v>
      </c>
      <c r="AP64" s="253" t="str">
        <f>IF(OR(IFERROR(SEARCH("Dexterity",INDEX(D04_Classes!$BW$3:$BW$102,MATCH(C_Input!AI64,D04_Classes!$B$3:$B$102,0),1)),0)=0,AND(IFERROR(SEARCH("Dexterity",INDEX(D04_Classes!$BW$3:$BW$102,MATCH(C_Input!AI64,D04_Classes!$B$3:$B$102,0),1)),0)&gt;0,Dexterity&gt;12)),"yes","no")</f>
        <v>yes</v>
      </c>
      <c r="AQ64" s="253" t="str">
        <f>IF(OR(IFERROR(SEARCH("Constitution",INDEX(D04_Classes!$BW$3:$BW$102,MATCH(C_Input!AI64,D04_Classes!$B$3:$B$102,0),1)),0)=0,AND(IFERROR(SEARCH("Constitution",INDEX(D04_Classes!$BW$3:$BW$102,MATCH(C_Input!AI64,D04_Classes!$B$3:$B$102,0),1)),0)&gt;0,Constitution&gt;12)),"yes","no")</f>
        <v>yes</v>
      </c>
      <c r="AR64" s="253" t="str">
        <f>IF(OR(IFERROR(SEARCH("Intelligence",INDEX(D04_Classes!$BW$3:$BW$102,MATCH(C_Input!AI64,D04_Classes!$B$3:$B$102,0),1)),0)=0,AND(IFERROR(SEARCH("Intelligence",INDEX(D04_Classes!$BW$3:$BW$102,MATCH(C_Input!AI64,D04_Classes!$B$3:$B$102,0),1)),0)&gt;0,Intelligence&gt;12)),"yes","no")</f>
        <v>yes</v>
      </c>
      <c r="AS64" s="253" t="str">
        <f>IF(OR(IFERROR(SEARCH("Wisdom",INDEX(D04_Classes!$BW$3:$BW$102,MATCH(C_Input!AI64,D04_Classes!$B$3:$B$102,0),1)),0)=0,AND(IFERROR(SEARCH("Wisdom",INDEX(D04_Classes!$BW$3:$BW$102,MATCH(C_Input!AI64,D04_Classes!$B$3:$B$102,0),1)),0)&gt;0,Wisdom&gt;12)),"yes","no")</f>
        <v>yes</v>
      </c>
      <c r="AT64" s="253" t="str">
        <f>IF(OR(IFERROR(SEARCH("Charisma",INDEX(D04_Classes!$BW$3:$BW$102,MATCH(C_Input!AI64,D04_Classes!$B$3:$B$102,0),1)),0)=0,AND(IFERROR(SEARCH("Charisma",INDEX(D04_Classes!$BW$3:$BW$102,MATCH(C_Input!AI64,D04_Classes!$B$3:$B$102,0),1)),0)&gt;0,Charisma&gt;12)),"yes","no")</f>
        <v>yes</v>
      </c>
      <c r="AU64" s="253">
        <f t="shared" si="12"/>
        <v>0</v>
      </c>
      <c r="AV64" s="253">
        <f>IF(AU64=0,0,COUNTIF($AV$15:AV63,"&gt;0")+1)</f>
        <v>0</v>
      </c>
      <c r="AX64" s="255" t="str">
        <f t="shared" si="15"/>
        <v/>
      </c>
      <c r="AY64" s="255" t="str">
        <f t="shared" si="13"/>
        <v/>
      </c>
      <c r="BD64" s="254" t="str">
        <f t="shared" si="9"/>
        <v/>
      </c>
      <c r="BE64" s="254" t="str">
        <f>IFERROR(INDEX(D01_Races!$B$2:$B$101,MATCH(C_Input!BD64,D01_Races!$C$2:$C$101,0),1),"")</f>
        <v/>
      </c>
      <c r="BF64" s="252" t="str">
        <f t="shared" si="10"/>
        <v/>
      </c>
      <c r="BG64" s="252" t="str">
        <f>IFERROR(IF(BF64="","",INDEX(D01_Races!$E$2:$E$101,MATCH(C_Input!BF64,D01_Races!$D$2:$D$101,0),1)),"")</f>
        <v/>
      </c>
      <c r="BH64" s="252" t="str">
        <f>IFERROR(IF(BF64="","",INDEX(D01_Races!$A$2:$A$101,MATCH(C_Input!BF64,D01_Races!$D$2:$D$101,0),1)),"")</f>
        <v/>
      </c>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row>
    <row r="65" spans="1:152" ht="15.95" customHeight="1" outlineLevel="1" thickTop="1" thickBot="1" x14ac:dyDescent="0.35">
      <c r="A65" s="152"/>
      <c r="B65" s="802"/>
      <c r="C65" s="802"/>
      <c r="D65" s="873"/>
      <c r="E65" s="873"/>
      <c r="F65" s="873"/>
      <c r="G65" s="873"/>
      <c r="H65" s="819"/>
      <c r="I65" s="819"/>
      <c r="J65" s="844"/>
      <c r="K65" s="844"/>
      <c r="L65" s="844"/>
      <c r="M65" s="844"/>
      <c r="N65" s="745"/>
      <c r="O65" s="745"/>
      <c r="P65" s="747"/>
      <c r="Q65" s="376">
        <f t="shared" si="16"/>
        <v>8</v>
      </c>
      <c r="R65" s="734"/>
      <c r="S65" s="734"/>
      <c r="T65" s="734"/>
      <c r="U65" s="152"/>
      <c r="V65" s="867"/>
      <c r="W65" s="868"/>
      <c r="X65" s="868"/>
      <c r="Y65" s="868"/>
      <c r="Z65" s="868"/>
      <c r="AA65" s="868"/>
      <c r="AB65" s="868"/>
      <c r="AC65" s="868"/>
      <c r="AD65" s="868"/>
      <c r="AE65" s="869"/>
      <c r="AF65" s="171"/>
      <c r="AH65" s="253" t="str">
        <f t="shared" si="14"/>
        <v/>
      </c>
      <c r="AI65" s="253" t="str">
        <f>IFERROR(INDEX(D04_Classes!$B$3:$B$102,AH65,1),"")</f>
        <v/>
      </c>
      <c r="AJ65" s="253" t="str">
        <f t="shared" si="11"/>
        <v/>
      </c>
      <c r="AK65" s="253">
        <f t="shared" si="6"/>
        <v>0</v>
      </c>
      <c r="AL65" s="253">
        <f>IF(AK65=0,0,COUNTIF($AL$15:AL64,"&gt;0")+1)</f>
        <v>0</v>
      </c>
      <c r="AM65" s="253">
        <f>IF(IFERROR(SEARCH("and",INDEX(D04_Classes!$BW$3:$BW$102,MATCH(C_Input!AI65,D04_Classes!$B$3:$B$102,0),1)),0)&gt;1,1,0)</f>
        <v>0</v>
      </c>
      <c r="AN65" s="253">
        <f>IF(IFERROR(SEARCH("or",INDEX(D04_Classes!$BW$3:$BW$102,MATCH(C_Input!AI65,D04_Classes!$B$3:$B$102,0),1)),0)&gt;1,1,0)</f>
        <v>0</v>
      </c>
      <c r="AO65" s="253" t="str">
        <f>IF(OR(IFERROR(SEARCH("Strength",INDEX(D04_Classes!$BW$3:$BW$102,MATCH(C_Input!AI65,D04_Classes!$B$3:$B$102,0),1)),0)=0,AND(IFERROR(SEARCH("Strength",INDEX(D04_Classes!$BW$3:$BW$102,MATCH(C_Input!AI65,D04_Classes!$B$3:$B$102,0),1)),0)&gt;0,Strength&gt;12)),"yes","no")</f>
        <v>yes</v>
      </c>
      <c r="AP65" s="253" t="str">
        <f>IF(OR(IFERROR(SEARCH("Dexterity",INDEX(D04_Classes!$BW$3:$BW$102,MATCH(C_Input!AI65,D04_Classes!$B$3:$B$102,0),1)),0)=0,AND(IFERROR(SEARCH("Dexterity",INDEX(D04_Classes!$BW$3:$BW$102,MATCH(C_Input!AI65,D04_Classes!$B$3:$B$102,0),1)),0)&gt;0,Dexterity&gt;12)),"yes","no")</f>
        <v>yes</v>
      </c>
      <c r="AQ65" s="253" t="str">
        <f>IF(OR(IFERROR(SEARCH("Constitution",INDEX(D04_Classes!$BW$3:$BW$102,MATCH(C_Input!AI65,D04_Classes!$B$3:$B$102,0),1)),0)=0,AND(IFERROR(SEARCH("Constitution",INDEX(D04_Classes!$BW$3:$BW$102,MATCH(C_Input!AI65,D04_Classes!$B$3:$B$102,0),1)),0)&gt;0,Constitution&gt;12)),"yes","no")</f>
        <v>yes</v>
      </c>
      <c r="AR65" s="253" t="str">
        <f>IF(OR(IFERROR(SEARCH("Intelligence",INDEX(D04_Classes!$BW$3:$BW$102,MATCH(C_Input!AI65,D04_Classes!$B$3:$B$102,0),1)),0)=0,AND(IFERROR(SEARCH("Intelligence",INDEX(D04_Classes!$BW$3:$BW$102,MATCH(C_Input!AI65,D04_Classes!$B$3:$B$102,0),1)),0)&gt;0,Intelligence&gt;12)),"yes","no")</f>
        <v>yes</v>
      </c>
      <c r="AS65" s="253" t="str">
        <f>IF(OR(IFERROR(SEARCH("Wisdom",INDEX(D04_Classes!$BW$3:$BW$102,MATCH(C_Input!AI65,D04_Classes!$B$3:$B$102,0),1)),0)=0,AND(IFERROR(SEARCH("Wisdom",INDEX(D04_Classes!$BW$3:$BW$102,MATCH(C_Input!AI65,D04_Classes!$B$3:$B$102,0),1)),0)&gt;0,Wisdom&gt;12)),"yes","no")</f>
        <v>yes</v>
      </c>
      <c r="AT65" s="253" t="str">
        <f>IF(OR(IFERROR(SEARCH("Charisma",INDEX(D04_Classes!$BW$3:$BW$102,MATCH(C_Input!AI65,D04_Classes!$B$3:$B$102,0),1)),0)=0,AND(IFERROR(SEARCH("Charisma",INDEX(D04_Classes!$BW$3:$BW$102,MATCH(C_Input!AI65,D04_Classes!$B$3:$B$102,0),1)),0)&gt;0,Charisma&gt;12)),"yes","no")</f>
        <v>yes</v>
      </c>
      <c r="AU65" s="253">
        <f t="shared" si="12"/>
        <v>0</v>
      </c>
      <c r="AV65" s="253">
        <f>IF(AU65=0,0,COUNTIF($AV$15:AV64,"&gt;0")+1)</f>
        <v>0</v>
      </c>
      <c r="AX65" s="255" t="str">
        <f t="shared" si="15"/>
        <v/>
      </c>
      <c r="AY65" s="255" t="str">
        <f t="shared" si="13"/>
        <v/>
      </c>
      <c r="BD65" s="254" t="str">
        <f t="shared" si="9"/>
        <v/>
      </c>
      <c r="BE65" s="254" t="str">
        <f>IFERROR(INDEX(D01_Races!$B$2:$B$101,MATCH(C_Input!BD65,D01_Races!$C$2:$C$101,0),1),"")</f>
        <v/>
      </c>
      <c r="BF65" s="252" t="str">
        <f t="shared" si="10"/>
        <v/>
      </c>
      <c r="BG65" s="252" t="str">
        <f>IFERROR(IF(BF65="","",INDEX(D01_Races!$E$2:$E$101,MATCH(C_Input!BF65,D01_Races!$D$2:$D$101,0),1)),"")</f>
        <v/>
      </c>
      <c r="BH65" s="252" t="str">
        <f>IFERROR(IF(BF65="","",INDEX(D01_Races!$A$2:$A$101,MATCH(C_Input!BF65,D01_Races!$D$2:$D$101,0),1)),"")</f>
        <v/>
      </c>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row>
    <row r="66" spans="1:152" ht="15.95" customHeight="1" outlineLevel="1" thickTop="1" thickBot="1" x14ac:dyDescent="0.35">
      <c r="A66" s="152"/>
      <c r="B66" s="283"/>
      <c r="C66" s="283"/>
      <c r="D66" s="283"/>
      <c r="E66" s="283"/>
      <c r="F66" s="283"/>
      <c r="G66" s="283"/>
      <c r="H66" s="377"/>
      <c r="I66" s="377"/>
      <c r="J66" s="283"/>
      <c r="K66" s="283"/>
      <c r="L66" s="283"/>
      <c r="M66" s="283"/>
      <c r="N66" s="283"/>
      <c r="O66" s="283"/>
      <c r="P66" s="283"/>
      <c r="Q66" s="376">
        <f t="shared" si="16"/>
        <v>9</v>
      </c>
      <c r="R66" s="734"/>
      <c r="S66" s="734"/>
      <c r="T66" s="734"/>
      <c r="U66" s="152"/>
      <c r="V66" s="867"/>
      <c r="W66" s="868"/>
      <c r="X66" s="868"/>
      <c r="Y66" s="868"/>
      <c r="Z66" s="868"/>
      <c r="AA66" s="868"/>
      <c r="AB66" s="868"/>
      <c r="AC66" s="868"/>
      <c r="AD66" s="868"/>
      <c r="AE66" s="869"/>
      <c r="AF66" s="171"/>
      <c r="AH66" s="253" t="str">
        <f t="shared" si="14"/>
        <v/>
      </c>
      <c r="AI66" s="253" t="str">
        <f>IFERROR(INDEX(D04_Classes!$B$3:$B$102,AH66,1),"")</f>
        <v/>
      </c>
      <c r="AJ66" s="253" t="str">
        <f t="shared" si="11"/>
        <v/>
      </c>
      <c r="AK66" s="253">
        <f t="shared" si="6"/>
        <v>0</v>
      </c>
      <c r="AL66" s="253">
        <f>IF(AK66=0,0,COUNTIF($AL$15:AL65,"&gt;0")+1)</f>
        <v>0</v>
      </c>
      <c r="AM66" s="253">
        <f>IF(IFERROR(SEARCH("and",INDEX(D04_Classes!$BW$3:$BW$102,MATCH(C_Input!AI66,D04_Classes!$B$3:$B$102,0),1)),0)&gt;1,1,0)</f>
        <v>0</v>
      </c>
      <c r="AN66" s="253">
        <f>IF(IFERROR(SEARCH("or",INDEX(D04_Classes!$BW$3:$BW$102,MATCH(C_Input!AI66,D04_Classes!$B$3:$B$102,0),1)),0)&gt;1,1,0)</f>
        <v>0</v>
      </c>
      <c r="AO66" s="253" t="str">
        <f>IF(OR(IFERROR(SEARCH("Strength",INDEX(D04_Classes!$BW$3:$BW$102,MATCH(C_Input!AI66,D04_Classes!$B$3:$B$102,0),1)),0)=0,AND(IFERROR(SEARCH("Strength",INDEX(D04_Classes!$BW$3:$BW$102,MATCH(C_Input!AI66,D04_Classes!$B$3:$B$102,0),1)),0)&gt;0,Strength&gt;12)),"yes","no")</f>
        <v>yes</v>
      </c>
      <c r="AP66" s="253" t="str">
        <f>IF(OR(IFERROR(SEARCH("Dexterity",INDEX(D04_Classes!$BW$3:$BW$102,MATCH(C_Input!AI66,D04_Classes!$B$3:$B$102,0),1)),0)=0,AND(IFERROR(SEARCH("Dexterity",INDEX(D04_Classes!$BW$3:$BW$102,MATCH(C_Input!AI66,D04_Classes!$B$3:$B$102,0),1)),0)&gt;0,Dexterity&gt;12)),"yes","no")</f>
        <v>yes</v>
      </c>
      <c r="AQ66" s="253" t="str">
        <f>IF(OR(IFERROR(SEARCH("Constitution",INDEX(D04_Classes!$BW$3:$BW$102,MATCH(C_Input!AI66,D04_Classes!$B$3:$B$102,0),1)),0)=0,AND(IFERROR(SEARCH("Constitution",INDEX(D04_Classes!$BW$3:$BW$102,MATCH(C_Input!AI66,D04_Classes!$B$3:$B$102,0),1)),0)&gt;0,Constitution&gt;12)),"yes","no")</f>
        <v>yes</v>
      </c>
      <c r="AR66" s="253" t="str">
        <f>IF(OR(IFERROR(SEARCH("Intelligence",INDEX(D04_Classes!$BW$3:$BW$102,MATCH(C_Input!AI66,D04_Classes!$B$3:$B$102,0),1)),0)=0,AND(IFERROR(SEARCH("Intelligence",INDEX(D04_Classes!$BW$3:$BW$102,MATCH(C_Input!AI66,D04_Classes!$B$3:$B$102,0),1)),0)&gt;0,Intelligence&gt;12)),"yes","no")</f>
        <v>yes</v>
      </c>
      <c r="AS66" s="253" t="str">
        <f>IF(OR(IFERROR(SEARCH("Wisdom",INDEX(D04_Classes!$BW$3:$BW$102,MATCH(C_Input!AI66,D04_Classes!$B$3:$B$102,0),1)),0)=0,AND(IFERROR(SEARCH("Wisdom",INDEX(D04_Classes!$BW$3:$BW$102,MATCH(C_Input!AI66,D04_Classes!$B$3:$B$102,0),1)),0)&gt;0,Wisdom&gt;12)),"yes","no")</f>
        <v>yes</v>
      </c>
      <c r="AT66" s="253" t="str">
        <f>IF(OR(IFERROR(SEARCH("Charisma",INDEX(D04_Classes!$BW$3:$BW$102,MATCH(C_Input!AI66,D04_Classes!$B$3:$B$102,0),1)),0)=0,AND(IFERROR(SEARCH("Charisma",INDEX(D04_Classes!$BW$3:$BW$102,MATCH(C_Input!AI66,D04_Classes!$B$3:$B$102,0),1)),0)&gt;0,Charisma&gt;12)),"yes","no")</f>
        <v>yes</v>
      </c>
      <c r="AU66" s="253">
        <f t="shared" si="12"/>
        <v>0</v>
      </c>
      <c r="AV66" s="253">
        <f>IF(AU66=0,0,COUNTIF($AV$15:AV65,"&gt;0")+1)</f>
        <v>0</v>
      </c>
      <c r="AX66" s="255" t="str">
        <f t="shared" si="15"/>
        <v/>
      </c>
      <c r="AY66" s="255" t="str">
        <f t="shared" si="13"/>
        <v/>
      </c>
      <c r="BD66" s="254" t="str">
        <f t="shared" si="9"/>
        <v/>
      </c>
      <c r="BE66" s="254" t="str">
        <f>IFERROR(INDEX(D01_Races!$B$2:$B$101,MATCH(C_Input!BD66,D01_Races!$C$2:$C$101,0),1),"")</f>
        <v/>
      </c>
      <c r="BF66" s="252" t="str">
        <f t="shared" si="10"/>
        <v/>
      </c>
      <c r="BG66" s="252" t="str">
        <f>IFERROR(IF(BF66="","",INDEX(D01_Races!$E$2:$E$101,MATCH(C_Input!BF66,D01_Races!$D$2:$D$101,0),1)),"")</f>
        <v/>
      </c>
      <c r="BH66" s="252" t="str">
        <f>IFERROR(IF(BF66="","",INDEX(D01_Races!$A$2:$A$101,MATCH(C_Input!BF66,D01_Races!$D$2:$D$101,0),1)),"")</f>
        <v/>
      </c>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row>
    <row r="67" spans="1:152" ht="15.95" customHeight="1" outlineLevel="1" thickTop="1" thickBot="1" x14ac:dyDescent="0.35">
      <c r="A67" s="152"/>
      <c r="B67" s="802" t="s">
        <v>4144</v>
      </c>
      <c r="C67" s="802"/>
      <c r="D67" s="873" t="str">
        <f>IF(BC17="","",BC17)</f>
        <v/>
      </c>
      <c r="E67" s="873"/>
      <c r="F67" s="873"/>
      <c r="G67" s="873"/>
      <c r="H67" s="819" t="str">
        <f>C_Variables!N7</f>
        <v/>
      </c>
      <c r="I67" s="819"/>
      <c r="J67" s="844"/>
      <c r="K67" s="844"/>
      <c r="L67" s="844"/>
      <c r="M67" s="844"/>
      <c r="N67" s="745" t="s">
        <v>4147</v>
      </c>
      <c r="O67" s="745"/>
      <c r="P67" s="747" t="str">
        <f>IF(Multiclass3="","",IFERROR(COUNTIF($R$58:$R$77,Multiclass3),""))</f>
        <v/>
      </c>
      <c r="Q67" s="376">
        <f t="shared" si="16"/>
        <v>10</v>
      </c>
      <c r="R67" s="734"/>
      <c r="S67" s="734"/>
      <c r="T67" s="734"/>
      <c r="U67" s="152"/>
      <c r="V67" s="867"/>
      <c r="W67" s="868"/>
      <c r="X67" s="868"/>
      <c r="Y67" s="868"/>
      <c r="Z67" s="868"/>
      <c r="AA67" s="868"/>
      <c r="AB67" s="868"/>
      <c r="AC67" s="868"/>
      <c r="AD67" s="868"/>
      <c r="AE67" s="869"/>
      <c r="AF67" s="171"/>
      <c r="AH67" s="253" t="str">
        <f t="shared" si="14"/>
        <v/>
      </c>
      <c r="AI67" s="253" t="str">
        <f>IFERROR(INDEX(D04_Classes!$B$3:$B$102,AH67,1),"")</f>
        <v/>
      </c>
      <c r="AJ67" s="253" t="str">
        <f t="shared" si="11"/>
        <v/>
      </c>
      <c r="AK67" s="253">
        <f t="shared" si="6"/>
        <v>0</v>
      </c>
      <c r="AL67" s="253">
        <f>IF(AK67=0,0,COUNTIF($AL$15:AL66,"&gt;0")+1)</f>
        <v>0</v>
      </c>
      <c r="AM67" s="253">
        <f>IF(IFERROR(SEARCH("and",INDEX(D04_Classes!$BW$3:$BW$102,MATCH(C_Input!AI67,D04_Classes!$B$3:$B$102,0),1)),0)&gt;1,1,0)</f>
        <v>0</v>
      </c>
      <c r="AN67" s="253">
        <f>IF(IFERROR(SEARCH("or",INDEX(D04_Classes!$BW$3:$BW$102,MATCH(C_Input!AI67,D04_Classes!$B$3:$B$102,0),1)),0)&gt;1,1,0)</f>
        <v>0</v>
      </c>
      <c r="AO67" s="253" t="str">
        <f>IF(OR(IFERROR(SEARCH("Strength",INDEX(D04_Classes!$BW$3:$BW$102,MATCH(C_Input!AI67,D04_Classes!$B$3:$B$102,0),1)),0)=0,AND(IFERROR(SEARCH("Strength",INDEX(D04_Classes!$BW$3:$BW$102,MATCH(C_Input!AI67,D04_Classes!$B$3:$B$102,0),1)),0)&gt;0,Strength&gt;12)),"yes","no")</f>
        <v>yes</v>
      </c>
      <c r="AP67" s="253" t="str">
        <f>IF(OR(IFERROR(SEARCH("Dexterity",INDEX(D04_Classes!$BW$3:$BW$102,MATCH(C_Input!AI67,D04_Classes!$B$3:$B$102,0),1)),0)=0,AND(IFERROR(SEARCH("Dexterity",INDEX(D04_Classes!$BW$3:$BW$102,MATCH(C_Input!AI67,D04_Classes!$B$3:$B$102,0),1)),0)&gt;0,Dexterity&gt;12)),"yes","no")</f>
        <v>yes</v>
      </c>
      <c r="AQ67" s="253" t="str">
        <f>IF(OR(IFERROR(SEARCH("Constitution",INDEX(D04_Classes!$BW$3:$BW$102,MATCH(C_Input!AI67,D04_Classes!$B$3:$B$102,0),1)),0)=0,AND(IFERROR(SEARCH("Constitution",INDEX(D04_Classes!$BW$3:$BW$102,MATCH(C_Input!AI67,D04_Classes!$B$3:$B$102,0),1)),0)&gt;0,Constitution&gt;12)),"yes","no")</f>
        <v>yes</v>
      </c>
      <c r="AR67" s="253" t="str">
        <f>IF(OR(IFERROR(SEARCH("Intelligence",INDEX(D04_Classes!$BW$3:$BW$102,MATCH(C_Input!AI67,D04_Classes!$B$3:$B$102,0),1)),0)=0,AND(IFERROR(SEARCH("Intelligence",INDEX(D04_Classes!$BW$3:$BW$102,MATCH(C_Input!AI67,D04_Classes!$B$3:$B$102,0),1)),0)&gt;0,Intelligence&gt;12)),"yes","no")</f>
        <v>yes</v>
      </c>
      <c r="AS67" s="253" t="str">
        <f>IF(OR(IFERROR(SEARCH("Wisdom",INDEX(D04_Classes!$BW$3:$BW$102,MATCH(C_Input!AI67,D04_Classes!$B$3:$B$102,0),1)),0)=0,AND(IFERROR(SEARCH("Wisdom",INDEX(D04_Classes!$BW$3:$BW$102,MATCH(C_Input!AI67,D04_Classes!$B$3:$B$102,0),1)),0)&gt;0,Wisdom&gt;12)),"yes","no")</f>
        <v>yes</v>
      </c>
      <c r="AT67" s="253" t="str">
        <f>IF(OR(IFERROR(SEARCH("Charisma",INDEX(D04_Classes!$BW$3:$BW$102,MATCH(C_Input!AI67,D04_Classes!$B$3:$B$102,0),1)),0)=0,AND(IFERROR(SEARCH("Charisma",INDEX(D04_Classes!$BW$3:$BW$102,MATCH(C_Input!AI67,D04_Classes!$B$3:$B$102,0),1)),0)&gt;0,Charisma&gt;12)),"yes","no")</f>
        <v>yes</v>
      </c>
      <c r="AU67" s="253">
        <f t="shared" si="12"/>
        <v>0</v>
      </c>
      <c r="AV67" s="253">
        <f>IF(AU67=0,0,COUNTIF($AV$15:AV66,"&gt;0")+1)</f>
        <v>0</v>
      </c>
      <c r="AX67" s="255" t="str">
        <f t="shared" si="15"/>
        <v/>
      </c>
      <c r="AY67" s="255" t="str">
        <f t="shared" si="13"/>
        <v/>
      </c>
      <c r="BD67" s="254" t="str">
        <f t="shared" si="9"/>
        <v/>
      </c>
      <c r="BE67" s="254" t="str">
        <f>IFERROR(INDEX(D01_Races!$B$2:$B$101,MATCH(C_Input!BD67,D01_Races!$C$2:$C$101,0),1),"")</f>
        <v/>
      </c>
      <c r="BF67" s="252" t="str">
        <f t="shared" si="10"/>
        <v/>
      </c>
      <c r="BG67" s="252" t="str">
        <f>IFERROR(IF(BF67="","",INDEX(D01_Races!$E$2:$E$101,MATCH(C_Input!BF67,D01_Races!$D$2:$D$101,0),1)),"")</f>
        <v/>
      </c>
      <c r="BH67" s="252" t="str">
        <f>IFERROR(IF(BF67="","",INDEX(D01_Races!$A$2:$A$101,MATCH(C_Input!BF67,D01_Races!$D$2:$D$101,0),1)),"")</f>
        <v/>
      </c>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row>
    <row r="68" spans="1:152" ht="15.95" customHeight="1" outlineLevel="1" thickTop="1" thickBot="1" x14ac:dyDescent="0.35">
      <c r="A68" s="152"/>
      <c r="B68" s="802"/>
      <c r="C68" s="802"/>
      <c r="D68" s="873"/>
      <c r="E68" s="873"/>
      <c r="F68" s="873"/>
      <c r="G68" s="873"/>
      <c r="H68" s="819"/>
      <c r="I68" s="819"/>
      <c r="J68" s="844"/>
      <c r="K68" s="844"/>
      <c r="L68" s="844"/>
      <c r="M68" s="844"/>
      <c r="N68" s="745"/>
      <c r="O68" s="745"/>
      <c r="P68" s="747"/>
      <c r="Q68" s="376">
        <f t="shared" si="16"/>
        <v>11</v>
      </c>
      <c r="R68" s="734"/>
      <c r="S68" s="734"/>
      <c r="T68" s="734"/>
      <c r="U68" s="152"/>
      <c r="V68" s="867"/>
      <c r="W68" s="868"/>
      <c r="X68" s="868"/>
      <c r="Y68" s="868"/>
      <c r="Z68" s="868"/>
      <c r="AA68" s="868"/>
      <c r="AB68" s="868"/>
      <c r="AC68" s="868"/>
      <c r="AD68" s="868"/>
      <c r="AE68" s="869"/>
      <c r="AF68" s="171"/>
      <c r="AH68" s="253" t="str">
        <f t="shared" si="14"/>
        <v/>
      </c>
      <c r="AI68" s="253" t="str">
        <f>IFERROR(INDEX(D04_Classes!$B$3:$B$102,AH68,1),"")</f>
        <v/>
      </c>
      <c r="AJ68" s="253" t="str">
        <f t="shared" si="11"/>
        <v/>
      </c>
      <c r="AK68" s="253">
        <f t="shared" si="6"/>
        <v>0</v>
      </c>
      <c r="AL68" s="253">
        <f>IF(AK68=0,0,COUNTIF($AL$15:AL67,"&gt;0")+1)</f>
        <v>0</v>
      </c>
      <c r="AM68" s="253">
        <f>IF(IFERROR(SEARCH("and",INDEX(D04_Classes!$BW$3:$BW$102,MATCH(C_Input!AI68,D04_Classes!$B$3:$B$102,0),1)),0)&gt;1,1,0)</f>
        <v>0</v>
      </c>
      <c r="AN68" s="253">
        <f>IF(IFERROR(SEARCH("or",INDEX(D04_Classes!$BW$3:$BW$102,MATCH(C_Input!AI68,D04_Classes!$B$3:$B$102,0),1)),0)&gt;1,1,0)</f>
        <v>0</v>
      </c>
      <c r="AO68" s="253" t="str">
        <f>IF(OR(IFERROR(SEARCH("Strength",INDEX(D04_Classes!$BW$3:$BW$102,MATCH(C_Input!AI68,D04_Classes!$B$3:$B$102,0),1)),0)=0,AND(IFERROR(SEARCH("Strength",INDEX(D04_Classes!$BW$3:$BW$102,MATCH(C_Input!AI68,D04_Classes!$B$3:$B$102,0),1)),0)&gt;0,Strength&gt;12)),"yes","no")</f>
        <v>yes</v>
      </c>
      <c r="AP68" s="253" t="str">
        <f>IF(OR(IFERROR(SEARCH("Dexterity",INDEX(D04_Classes!$BW$3:$BW$102,MATCH(C_Input!AI68,D04_Classes!$B$3:$B$102,0),1)),0)=0,AND(IFERROR(SEARCH("Dexterity",INDEX(D04_Classes!$BW$3:$BW$102,MATCH(C_Input!AI68,D04_Classes!$B$3:$B$102,0),1)),0)&gt;0,Dexterity&gt;12)),"yes","no")</f>
        <v>yes</v>
      </c>
      <c r="AQ68" s="253" t="str">
        <f>IF(OR(IFERROR(SEARCH("Constitution",INDEX(D04_Classes!$BW$3:$BW$102,MATCH(C_Input!AI68,D04_Classes!$B$3:$B$102,0),1)),0)=0,AND(IFERROR(SEARCH("Constitution",INDEX(D04_Classes!$BW$3:$BW$102,MATCH(C_Input!AI68,D04_Classes!$B$3:$B$102,0),1)),0)&gt;0,Constitution&gt;12)),"yes","no")</f>
        <v>yes</v>
      </c>
      <c r="AR68" s="253" t="str">
        <f>IF(OR(IFERROR(SEARCH("Intelligence",INDEX(D04_Classes!$BW$3:$BW$102,MATCH(C_Input!AI68,D04_Classes!$B$3:$B$102,0),1)),0)=0,AND(IFERROR(SEARCH("Intelligence",INDEX(D04_Classes!$BW$3:$BW$102,MATCH(C_Input!AI68,D04_Classes!$B$3:$B$102,0),1)),0)&gt;0,Intelligence&gt;12)),"yes","no")</f>
        <v>yes</v>
      </c>
      <c r="AS68" s="253" t="str">
        <f>IF(OR(IFERROR(SEARCH("Wisdom",INDEX(D04_Classes!$BW$3:$BW$102,MATCH(C_Input!AI68,D04_Classes!$B$3:$B$102,0),1)),0)=0,AND(IFERROR(SEARCH("Wisdom",INDEX(D04_Classes!$BW$3:$BW$102,MATCH(C_Input!AI68,D04_Classes!$B$3:$B$102,0),1)),0)&gt;0,Wisdom&gt;12)),"yes","no")</f>
        <v>yes</v>
      </c>
      <c r="AT68" s="253" t="str">
        <f>IF(OR(IFERROR(SEARCH("Charisma",INDEX(D04_Classes!$BW$3:$BW$102,MATCH(C_Input!AI68,D04_Classes!$B$3:$B$102,0),1)),0)=0,AND(IFERROR(SEARCH("Charisma",INDEX(D04_Classes!$BW$3:$BW$102,MATCH(C_Input!AI68,D04_Classes!$B$3:$B$102,0),1)),0)&gt;0,Charisma&gt;12)),"yes","no")</f>
        <v>yes</v>
      </c>
      <c r="AU68" s="253">
        <f t="shared" si="12"/>
        <v>0</v>
      </c>
      <c r="AV68" s="253">
        <f>IF(AU68=0,0,COUNTIF($AV$15:AV67,"&gt;0")+1)</f>
        <v>0</v>
      </c>
      <c r="AX68" s="255" t="str">
        <f t="shared" si="15"/>
        <v/>
      </c>
      <c r="AY68" s="255" t="str">
        <f t="shared" si="13"/>
        <v/>
      </c>
      <c r="BD68" s="254" t="str">
        <f t="shared" si="9"/>
        <v/>
      </c>
      <c r="BE68" s="254" t="str">
        <f>IFERROR(INDEX(D01_Races!$B$2:$B$101,MATCH(C_Input!BD68,D01_Races!$C$2:$C$101,0),1),"")</f>
        <v/>
      </c>
      <c r="BF68" s="252" t="str">
        <f t="shared" si="10"/>
        <v/>
      </c>
      <c r="BG68" s="252" t="str">
        <f>IFERROR(IF(BF68="","",INDEX(D01_Races!$E$2:$E$101,MATCH(C_Input!BF68,D01_Races!$D$2:$D$101,0),1)),"")</f>
        <v/>
      </c>
      <c r="BH68" s="252" t="str">
        <f>IFERROR(IF(BF68="","",INDEX(D01_Races!$A$2:$A$101,MATCH(C_Input!BF68,D01_Races!$D$2:$D$101,0),1)),"")</f>
        <v/>
      </c>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row>
    <row r="69" spans="1:152" ht="15.95" customHeight="1" outlineLevel="1" thickTop="1" thickBot="1" x14ac:dyDescent="0.35">
      <c r="A69" s="152"/>
      <c r="B69" s="283"/>
      <c r="C69" s="283"/>
      <c r="D69" s="283"/>
      <c r="E69" s="283"/>
      <c r="F69" s="283"/>
      <c r="G69" s="283"/>
      <c r="H69" s="377"/>
      <c r="I69" s="377"/>
      <c r="J69" s="283"/>
      <c r="K69" s="283"/>
      <c r="L69" s="283"/>
      <c r="M69" s="283"/>
      <c r="N69" s="283"/>
      <c r="O69" s="283"/>
      <c r="P69" s="283"/>
      <c r="Q69" s="376">
        <f t="shared" si="16"/>
        <v>12</v>
      </c>
      <c r="R69" s="734"/>
      <c r="S69" s="734"/>
      <c r="T69" s="734"/>
      <c r="U69" s="152"/>
      <c r="V69" s="867"/>
      <c r="W69" s="868"/>
      <c r="X69" s="868"/>
      <c r="Y69" s="868"/>
      <c r="Z69" s="868"/>
      <c r="AA69" s="868"/>
      <c r="AB69" s="868"/>
      <c r="AC69" s="868"/>
      <c r="AD69" s="868"/>
      <c r="AE69" s="869"/>
      <c r="AF69" s="171"/>
      <c r="AH69" s="253" t="str">
        <f t="shared" si="14"/>
        <v/>
      </c>
      <c r="AI69" s="253" t="str">
        <f>IFERROR(INDEX(D04_Classes!$B$3:$B$102,AH69,1),"")</f>
        <v/>
      </c>
      <c r="AJ69" s="253" t="str">
        <f t="shared" si="11"/>
        <v/>
      </c>
      <c r="AK69" s="253">
        <f t="shared" si="6"/>
        <v>0</v>
      </c>
      <c r="AL69" s="253">
        <f>IF(AK69=0,0,COUNTIF($AL$15:AL68,"&gt;0")+1)</f>
        <v>0</v>
      </c>
      <c r="AM69" s="253">
        <f>IF(IFERROR(SEARCH("and",INDEX(D04_Classes!$BW$3:$BW$102,MATCH(C_Input!AI69,D04_Classes!$B$3:$B$102,0),1)),0)&gt;1,1,0)</f>
        <v>0</v>
      </c>
      <c r="AN69" s="253">
        <f>IF(IFERROR(SEARCH("or",INDEX(D04_Classes!$BW$3:$BW$102,MATCH(C_Input!AI69,D04_Classes!$B$3:$B$102,0),1)),0)&gt;1,1,0)</f>
        <v>0</v>
      </c>
      <c r="AO69" s="253" t="str">
        <f>IF(OR(IFERROR(SEARCH("Strength",INDEX(D04_Classes!$BW$3:$BW$102,MATCH(C_Input!AI69,D04_Classes!$B$3:$B$102,0),1)),0)=0,AND(IFERROR(SEARCH("Strength",INDEX(D04_Classes!$BW$3:$BW$102,MATCH(C_Input!AI69,D04_Classes!$B$3:$B$102,0),1)),0)&gt;0,Strength&gt;12)),"yes","no")</f>
        <v>yes</v>
      </c>
      <c r="AP69" s="253" t="str">
        <f>IF(OR(IFERROR(SEARCH("Dexterity",INDEX(D04_Classes!$BW$3:$BW$102,MATCH(C_Input!AI69,D04_Classes!$B$3:$B$102,0),1)),0)=0,AND(IFERROR(SEARCH("Dexterity",INDEX(D04_Classes!$BW$3:$BW$102,MATCH(C_Input!AI69,D04_Classes!$B$3:$B$102,0),1)),0)&gt;0,Dexterity&gt;12)),"yes","no")</f>
        <v>yes</v>
      </c>
      <c r="AQ69" s="253" t="str">
        <f>IF(OR(IFERROR(SEARCH("Constitution",INDEX(D04_Classes!$BW$3:$BW$102,MATCH(C_Input!AI69,D04_Classes!$B$3:$B$102,0),1)),0)=0,AND(IFERROR(SEARCH("Constitution",INDEX(D04_Classes!$BW$3:$BW$102,MATCH(C_Input!AI69,D04_Classes!$B$3:$B$102,0),1)),0)&gt;0,Constitution&gt;12)),"yes","no")</f>
        <v>yes</v>
      </c>
      <c r="AR69" s="253" t="str">
        <f>IF(OR(IFERROR(SEARCH("Intelligence",INDEX(D04_Classes!$BW$3:$BW$102,MATCH(C_Input!AI69,D04_Classes!$B$3:$B$102,0),1)),0)=0,AND(IFERROR(SEARCH("Intelligence",INDEX(D04_Classes!$BW$3:$BW$102,MATCH(C_Input!AI69,D04_Classes!$B$3:$B$102,0),1)),0)&gt;0,Intelligence&gt;12)),"yes","no")</f>
        <v>yes</v>
      </c>
      <c r="AS69" s="253" t="str">
        <f>IF(OR(IFERROR(SEARCH("Wisdom",INDEX(D04_Classes!$BW$3:$BW$102,MATCH(C_Input!AI69,D04_Classes!$B$3:$B$102,0),1)),0)=0,AND(IFERROR(SEARCH("Wisdom",INDEX(D04_Classes!$BW$3:$BW$102,MATCH(C_Input!AI69,D04_Classes!$B$3:$B$102,0),1)),0)&gt;0,Wisdom&gt;12)),"yes","no")</f>
        <v>yes</v>
      </c>
      <c r="AT69" s="253" t="str">
        <f>IF(OR(IFERROR(SEARCH("Charisma",INDEX(D04_Classes!$BW$3:$BW$102,MATCH(C_Input!AI69,D04_Classes!$B$3:$B$102,0),1)),0)=0,AND(IFERROR(SEARCH("Charisma",INDEX(D04_Classes!$BW$3:$BW$102,MATCH(C_Input!AI69,D04_Classes!$B$3:$B$102,0),1)),0)&gt;0,Charisma&gt;12)),"yes","no")</f>
        <v>yes</v>
      </c>
      <c r="AU69" s="253">
        <f t="shared" si="12"/>
        <v>0</v>
      </c>
      <c r="AV69" s="253">
        <f>IF(AU69=0,0,COUNTIF($AV$15:AV68,"&gt;0")+1)</f>
        <v>0</v>
      </c>
      <c r="AX69" s="255" t="str">
        <f t="shared" si="15"/>
        <v/>
      </c>
      <c r="AY69" s="255" t="str">
        <f t="shared" si="13"/>
        <v/>
      </c>
      <c r="BD69" s="254" t="str">
        <f t="shared" si="9"/>
        <v/>
      </c>
      <c r="BE69" s="254" t="str">
        <f>IFERROR(INDEX(D01_Races!$B$2:$B$101,MATCH(C_Input!BD69,D01_Races!$C$2:$C$101,0),1),"")</f>
        <v/>
      </c>
      <c r="BF69" s="252" t="str">
        <f t="shared" si="10"/>
        <v/>
      </c>
      <c r="BG69" s="252" t="str">
        <f>IFERROR(IF(BF69="","",INDEX(D01_Races!$E$2:$E$101,MATCH(C_Input!BF69,D01_Races!$D$2:$D$101,0),1)),"")</f>
        <v/>
      </c>
      <c r="BH69" s="252" t="str">
        <f>IFERROR(IF(BF69="","",INDEX(D01_Races!$A$2:$A$101,MATCH(C_Input!BF69,D01_Races!$D$2:$D$101,0),1)),"")</f>
        <v/>
      </c>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row>
    <row r="70" spans="1:152" ht="15.95" customHeight="1" outlineLevel="1" thickTop="1" thickBot="1" x14ac:dyDescent="0.35">
      <c r="A70" s="152"/>
      <c r="B70" s="802" t="s">
        <v>4145</v>
      </c>
      <c r="C70" s="802"/>
      <c r="D70" s="873" t="str">
        <f>IF(BC18="","",BC18)</f>
        <v/>
      </c>
      <c r="E70" s="873"/>
      <c r="F70" s="873"/>
      <c r="G70" s="873"/>
      <c r="H70" s="819" t="str">
        <f>C_Variables!N8</f>
        <v/>
      </c>
      <c r="I70" s="819"/>
      <c r="J70" s="844"/>
      <c r="K70" s="844"/>
      <c r="L70" s="844"/>
      <c r="M70" s="844"/>
      <c r="N70" s="745" t="s">
        <v>4147</v>
      </c>
      <c r="O70" s="745"/>
      <c r="P70" s="747" t="str">
        <f>IF(Multiclass4="","",IFERROR(COUNTIF($R$58:$R$77,Multiclass4),""))</f>
        <v/>
      </c>
      <c r="Q70" s="376">
        <f t="shared" si="16"/>
        <v>13</v>
      </c>
      <c r="R70" s="734"/>
      <c r="S70" s="734"/>
      <c r="T70" s="734"/>
      <c r="U70" s="152"/>
      <c r="V70" s="867"/>
      <c r="W70" s="868"/>
      <c r="X70" s="868"/>
      <c r="Y70" s="868"/>
      <c r="Z70" s="868"/>
      <c r="AA70" s="868"/>
      <c r="AB70" s="868"/>
      <c r="AC70" s="868"/>
      <c r="AD70" s="868"/>
      <c r="AE70" s="869"/>
      <c r="AF70" s="171"/>
      <c r="AH70" s="253" t="str">
        <f t="shared" si="14"/>
        <v/>
      </c>
      <c r="AI70" s="253" t="str">
        <f>IFERROR(INDEX(D04_Classes!$B$3:$B$102,AH70,1),"")</f>
        <v/>
      </c>
      <c r="AJ70" s="253" t="str">
        <f t="shared" si="11"/>
        <v/>
      </c>
      <c r="AK70" s="253">
        <f t="shared" si="6"/>
        <v>0</v>
      </c>
      <c r="AL70" s="253">
        <f>IF(AK70=0,0,COUNTIF($AL$15:AL69,"&gt;0")+1)</f>
        <v>0</v>
      </c>
      <c r="AM70" s="253">
        <f>IF(IFERROR(SEARCH("and",INDEX(D04_Classes!$BW$3:$BW$102,MATCH(C_Input!AI70,D04_Classes!$B$3:$B$102,0),1)),0)&gt;1,1,0)</f>
        <v>0</v>
      </c>
      <c r="AN70" s="253">
        <f>IF(IFERROR(SEARCH("or",INDEX(D04_Classes!$BW$3:$BW$102,MATCH(C_Input!AI70,D04_Classes!$B$3:$B$102,0),1)),0)&gt;1,1,0)</f>
        <v>0</v>
      </c>
      <c r="AO70" s="253" t="str">
        <f>IF(OR(IFERROR(SEARCH("Strength",INDEX(D04_Classes!$BW$3:$BW$102,MATCH(C_Input!AI70,D04_Classes!$B$3:$B$102,0),1)),0)=0,AND(IFERROR(SEARCH("Strength",INDEX(D04_Classes!$BW$3:$BW$102,MATCH(C_Input!AI70,D04_Classes!$B$3:$B$102,0),1)),0)&gt;0,Strength&gt;12)),"yes","no")</f>
        <v>yes</v>
      </c>
      <c r="AP70" s="253" t="str">
        <f>IF(OR(IFERROR(SEARCH("Dexterity",INDEX(D04_Classes!$BW$3:$BW$102,MATCH(C_Input!AI70,D04_Classes!$B$3:$B$102,0),1)),0)=0,AND(IFERROR(SEARCH("Dexterity",INDEX(D04_Classes!$BW$3:$BW$102,MATCH(C_Input!AI70,D04_Classes!$B$3:$B$102,0),1)),0)&gt;0,Dexterity&gt;12)),"yes","no")</f>
        <v>yes</v>
      </c>
      <c r="AQ70" s="253" t="str">
        <f>IF(OR(IFERROR(SEARCH("Constitution",INDEX(D04_Classes!$BW$3:$BW$102,MATCH(C_Input!AI70,D04_Classes!$B$3:$B$102,0),1)),0)=0,AND(IFERROR(SEARCH("Constitution",INDEX(D04_Classes!$BW$3:$BW$102,MATCH(C_Input!AI70,D04_Classes!$B$3:$B$102,0),1)),0)&gt;0,Constitution&gt;12)),"yes","no")</f>
        <v>yes</v>
      </c>
      <c r="AR70" s="253" t="str">
        <f>IF(OR(IFERROR(SEARCH("Intelligence",INDEX(D04_Classes!$BW$3:$BW$102,MATCH(C_Input!AI70,D04_Classes!$B$3:$B$102,0),1)),0)=0,AND(IFERROR(SEARCH("Intelligence",INDEX(D04_Classes!$BW$3:$BW$102,MATCH(C_Input!AI70,D04_Classes!$B$3:$B$102,0),1)),0)&gt;0,Intelligence&gt;12)),"yes","no")</f>
        <v>yes</v>
      </c>
      <c r="AS70" s="253" t="str">
        <f>IF(OR(IFERROR(SEARCH("Wisdom",INDEX(D04_Classes!$BW$3:$BW$102,MATCH(C_Input!AI70,D04_Classes!$B$3:$B$102,0),1)),0)=0,AND(IFERROR(SEARCH("Wisdom",INDEX(D04_Classes!$BW$3:$BW$102,MATCH(C_Input!AI70,D04_Classes!$B$3:$B$102,0),1)),0)&gt;0,Wisdom&gt;12)),"yes","no")</f>
        <v>yes</v>
      </c>
      <c r="AT70" s="253" t="str">
        <f>IF(OR(IFERROR(SEARCH("Charisma",INDEX(D04_Classes!$BW$3:$BW$102,MATCH(C_Input!AI70,D04_Classes!$B$3:$B$102,0),1)),0)=0,AND(IFERROR(SEARCH("Charisma",INDEX(D04_Classes!$BW$3:$BW$102,MATCH(C_Input!AI70,D04_Classes!$B$3:$B$102,0),1)),0)&gt;0,Charisma&gt;12)),"yes","no")</f>
        <v>yes</v>
      </c>
      <c r="AU70" s="253">
        <f t="shared" si="12"/>
        <v>0</v>
      </c>
      <c r="AV70" s="253">
        <f>IF(AU70=0,0,COUNTIF($AV$15:AV69,"&gt;0")+1)</f>
        <v>0</v>
      </c>
      <c r="AX70" s="255" t="str">
        <f t="shared" si="15"/>
        <v/>
      </c>
      <c r="AY70" s="255" t="str">
        <f t="shared" si="13"/>
        <v/>
      </c>
      <c r="BD70" s="254" t="str">
        <f t="shared" si="9"/>
        <v/>
      </c>
      <c r="BE70" s="254" t="str">
        <f>IFERROR(INDEX(D01_Races!$B$2:$B$101,MATCH(C_Input!BD70,D01_Races!$C$2:$C$101,0),1),"")</f>
        <v/>
      </c>
      <c r="BF70" s="252" t="str">
        <f t="shared" si="10"/>
        <v/>
      </c>
      <c r="BG70" s="252" t="str">
        <f>IFERROR(IF(BF70="","",INDEX(D01_Races!$E$2:$E$101,MATCH(C_Input!BF70,D01_Races!$D$2:$D$101,0),1)),"")</f>
        <v/>
      </c>
      <c r="BH70" s="252" t="str">
        <f>IFERROR(IF(BF70="","",INDEX(D01_Races!$A$2:$A$101,MATCH(C_Input!BF70,D01_Races!$D$2:$D$101,0),1)),"")</f>
        <v/>
      </c>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row>
    <row r="71" spans="1:152" ht="15.95" customHeight="1" outlineLevel="1" thickTop="1" thickBot="1" x14ac:dyDescent="0.35">
      <c r="A71" s="152"/>
      <c r="B71" s="802"/>
      <c r="C71" s="802"/>
      <c r="D71" s="873"/>
      <c r="E71" s="873"/>
      <c r="F71" s="873"/>
      <c r="G71" s="873"/>
      <c r="H71" s="819"/>
      <c r="I71" s="819"/>
      <c r="J71" s="844"/>
      <c r="K71" s="844"/>
      <c r="L71" s="844"/>
      <c r="M71" s="844"/>
      <c r="N71" s="745"/>
      <c r="O71" s="745"/>
      <c r="P71" s="747"/>
      <c r="Q71" s="376">
        <f t="shared" si="16"/>
        <v>14</v>
      </c>
      <c r="R71" s="734"/>
      <c r="S71" s="734"/>
      <c r="T71" s="734"/>
      <c r="U71" s="152"/>
      <c r="V71" s="870"/>
      <c r="W71" s="871"/>
      <c r="X71" s="871"/>
      <c r="Y71" s="871"/>
      <c r="Z71" s="871"/>
      <c r="AA71" s="871"/>
      <c r="AB71" s="871"/>
      <c r="AC71" s="871"/>
      <c r="AD71" s="871"/>
      <c r="AE71" s="872"/>
      <c r="AF71" s="171"/>
      <c r="AH71" s="253" t="str">
        <f t="shared" si="14"/>
        <v/>
      </c>
      <c r="AI71" s="253" t="str">
        <f>IFERROR(INDEX(D04_Classes!$B$3:$B$102,AH71,1),"")</f>
        <v/>
      </c>
      <c r="AJ71" s="253" t="str">
        <f t="shared" si="11"/>
        <v/>
      </c>
      <c r="AK71" s="253">
        <f t="shared" si="6"/>
        <v>0</v>
      </c>
      <c r="AL71" s="253">
        <f>IF(AK71=0,0,COUNTIF($AL$15:AL70,"&gt;0")+1)</f>
        <v>0</v>
      </c>
      <c r="AM71" s="253">
        <f>IF(IFERROR(SEARCH("and",INDEX(D04_Classes!$BW$3:$BW$102,MATCH(C_Input!AI71,D04_Classes!$B$3:$B$102,0),1)),0)&gt;1,1,0)</f>
        <v>0</v>
      </c>
      <c r="AN71" s="253">
        <f>IF(IFERROR(SEARCH("or",INDEX(D04_Classes!$BW$3:$BW$102,MATCH(C_Input!AI71,D04_Classes!$B$3:$B$102,0),1)),0)&gt;1,1,0)</f>
        <v>0</v>
      </c>
      <c r="AO71" s="253" t="str">
        <f>IF(OR(IFERROR(SEARCH("Strength",INDEX(D04_Classes!$BW$3:$BW$102,MATCH(C_Input!AI71,D04_Classes!$B$3:$B$102,0),1)),0)=0,AND(IFERROR(SEARCH("Strength",INDEX(D04_Classes!$BW$3:$BW$102,MATCH(C_Input!AI71,D04_Classes!$B$3:$B$102,0),1)),0)&gt;0,Strength&gt;12)),"yes","no")</f>
        <v>yes</v>
      </c>
      <c r="AP71" s="253" t="str">
        <f>IF(OR(IFERROR(SEARCH("Dexterity",INDEX(D04_Classes!$BW$3:$BW$102,MATCH(C_Input!AI71,D04_Classes!$B$3:$B$102,0),1)),0)=0,AND(IFERROR(SEARCH("Dexterity",INDEX(D04_Classes!$BW$3:$BW$102,MATCH(C_Input!AI71,D04_Classes!$B$3:$B$102,0),1)),0)&gt;0,Dexterity&gt;12)),"yes","no")</f>
        <v>yes</v>
      </c>
      <c r="AQ71" s="253" t="str">
        <f>IF(OR(IFERROR(SEARCH("Constitution",INDEX(D04_Classes!$BW$3:$BW$102,MATCH(C_Input!AI71,D04_Classes!$B$3:$B$102,0),1)),0)=0,AND(IFERROR(SEARCH("Constitution",INDEX(D04_Classes!$BW$3:$BW$102,MATCH(C_Input!AI71,D04_Classes!$B$3:$B$102,0),1)),0)&gt;0,Constitution&gt;12)),"yes","no")</f>
        <v>yes</v>
      </c>
      <c r="AR71" s="253" t="str">
        <f>IF(OR(IFERROR(SEARCH("Intelligence",INDEX(D04_Classes!$BW$3:$BW$102,MATCH(C_Input!AI71,D04_Classes!$B$3:$B$102,0),1)),0)=0,AND(IFERROR(SEARCH("Intelligence",INDEX(D04_Classes!$BW$3:$BW$102,MATCH(C_Input!AI71,D04_Classes!$B$3:$B$102,0),1)),0)&gt;0,Intelligence&gt;12)),"yes","no")</f>
        <v>yes</v>
      </c>
      <c r="AS71" s="253" t="str">
        <f>IF(OR(IFERROR(SEARCH("Wisdom",INDEX(D04_Classes!$BW$3:$BW$102,MATCH(C_Input!AI71,D04_Classes!$B$3:$B$102,0),1)),0)=0,AND(IFERROR(SEARCH("Wisdom",INDEX(D04_Classes!$BW$3:$BW$102,MATCH(C_Input!AI71,D04_Classes!$B$3:$B$102,0),1)),0)&gt;0,Wisdom&gt;12)),"yes","no")</f>
        <v>yes</v>
      </c>
      <c r="AT71" s="253" t="str">
        <f>IF(OR(IFERROR(SEARCH("Charisma",INDEX(D04_Classes!$BW$3:$BW$102,MATCH(C_Input!AI71,D04_Classes!$B$3:$B$102,0),1)),0)=0,AND(IFERROR(SEARCH("Charisma",INDEX(D04_Classes!$BW$3:$BW$102,MATCH(C_Input!AI71,D04_Classes!$B$3:$B$102,0),1)),0)&gt;0,Charisma&gt;12)),"yes","no")</f>
        <v>yes</v>
      </c>
      <c r="AU71" s="253">
        <f t="shared" si="12"/>
        <v>0</v>
      </c>
      <c r="AV71" s="253">
        <f>IF(AU71=0,0,COUNTIF($AV$15:AV70,"&gt;0")+1)</f>
        <v>0</v>
      </c>
      <c r="AX71" s="255" t="str">
        <f t="shared" si="15"/>
        <v/>
      </c>
      <c r="AY71" s="255" t="str">
        <f t="shared" si="13"/>
        <v/>
      </c>
      <c r="BD71" s="254" t="str">
        <f t="shared" si="9"/>
        <v/>
      </c>
      <c r="BE71" s="254" t="str">
        <f>IFERROR(INDEX(D01_Races!$B$2:$B$101,MATCH(C_Input!BD71,D01_Races!$C$2:$C$101,0),1),"")</f>
        <v/>
      </c>
      <c r="BF71" s="252" t="str">
        <f t="shared" si="10"/>
        <v/>
      </c>
      <c r="BG71" s="252" t="str">
        <f>IFERROR(IF(BF71="","",INDEX(D01_Races!$E$2:$E$101,MATCH(C_Input!BF71,D01_Races!$D$2:$D$101,0),1)),"")</f>
        <v/>
      </c>
      <c r="BH71" s="252" t="str">
        <f>IFERROR(IF(BF71="","",INDEX(D01_Races!$A$2:$A$101,MATCH(C_Input!BF71,D01_Races!$D$2:$D$101,0),1)),"")</f>
        <v/>
      </c>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row>
    <row r="72" spans="1:152" ht="15.95" customHeight="1" outlineLevel="1" thickTop="1" thickBot="1" x14ac:dyDescent="0.35">
      <c r="A72" s="152"/>
      <c r="B72" s="283"/>
      <c r="C72" s="283"/>
      <c r="D72" s="283"/>
      <c r="E72" s="283"/>
      <c r="F72" s="283"/>
      <c r="G72" s="283"/>
      <c r="H72" s="377"/>
      <c r="I72" s="377"/>
      <c r="J72" s="283"/>
      <c r="K72" s="283"/>
      <c r="L72" s="283"/>
      <c r="M72" s="283"/>
      <c r="N72" s="283"/>
      <c r="O72" s="283"/>
      <c r="P72" s="283"/>
      <c r="Q72" s="376">
        <f t="shared" si="16"/>
        <v>15</v>
      </c>
      <c r="R72" s="734"/>
      <c r="S72" s="734"/>
      <c r="T72" s="734"/>
      <c r="U72" s="152"/>
      <c r="V72" s="152"/>
      <c r="W72" s="152"/>
      <c r="X72" s="152"/>
      <c r="Y72" s="152"/>
      <c r="Z72" s="152"/>
      <c r="AA72" s="152"/>
      <c r="AB72" s="152"/>
      <c r="AC72" s="152"/>
      <c r="AD72" s="152"/>
      <c r="AE72" s="152"/>
      <c r="AF72" s="171"/>
      <c r="AH72" s="253" t="str">
        <f t="shared" si="14"/>
        <v/>
      </c>
      <c r="AI72" s="253" t="str">
        <f>IFERROR(INDEX(D04_Classes!$B$3:$B$102,AH72,1),"")</f>
        <v/>
      </c>
      <c r="AJ72" s="253" t="str">
        <f t="shared" si="11"/>
        <v/>
      </c>
      <c r="AK72" s="253">
        <f t="shared" si="6"/>
        <v>0</v>
      </c>
      <c r="AL72" s="253">
        <f>IF(AK72=0,0,COUNTIF($AL$15:AL71,"&gt;0")+1)</f>
        <v>0</v>
      </c>
      <c r="AM72" s="253">
        <f>IF(IFERROR(SEARCH("and",INDEX(D04_Classes!$BW$3:$BW$102,MATCH(C_Input!AI72,D04_Classes!$B$3:$B$102,0),1)),0)&gt;1,1,0)</f>
        <v>0</v>
      </c>
      <c r="AN72" s="253">
        <f>IF(IFERROR(SEARCH("or",INDEX(D04_Classes!$BW$3:$BW$102,MATCH(C_Input!AI72,D04_Classes!$B$3:$B$102,0),1)),0)&gt;1,1,0)</f>
        <v>0</v>
      </c>
      <c r="AO72" s="253" t="str">
        <f>IF(OR(IFERROR(SEARCH("Strength",INDEX(D04_Classes!$BW$3:$BW$102,MATCH(C_Input!AI72,D04_Classes!$B$3:$B$102,0),1)),0)=0,AND(IFERROR(SEARCH("Strength",INDEX(D04_Classes!$BW$3:$BW$102,MATCH(C_Input!AI72,D04_Classes!$B$3:$B$102,0),1)),0)&gt;0,Strength&gt;12)),"yes","no")</f>
        <v>yes</v>
      </c>
      <c r="AP72" s="253" t="str">
        <f>IF(OR(IFERROR(SEARCH("Dexterity",INDEX(D04_Classes!$BW$3:$BW$102,MATCH(C_Input!AI72,D04_Classes!$B$3:$B$102,0),1)),0)=0,AND(IFERROR(SEARCH("Dexterity",INDEX(D04_Classes!$BW$3:$BW$102,MATCH(C_Input!AI72,D04_Classes!$B$3:$B$102,0),1)),0)&gt;0,Dexterity&gt;12)),"yes","no")</f>
        <v>yes</v>
      </c>
      <c r="AQ72" s="253" t="str">
        <f>IF(OR(IFERROR(SEARCH("Constitution",INDEX(D04_Classes!$BW$3:$BW$102,MATCH(C_Input!AI72,D04_Classes!$B$3:$B$102,0),1)),0)=0,AND(IFERROR(SEARCH("Constitution",INDEX(D04_Classes!$BW$3:$BW$102,MATCH(C_Input!AI72,D04_Classes!$B$3:$B$102,0),1)),0)&gt;0,Constitution&gt;12)),"yes","no")</f>
        <v>yes</v>
      </c>
      <c r="AR72" s="253" t="str">
        <f>IF(OR(IFERROR(SEARCH("Intelligence",INDEX(D04_Classes!$BW$3:$BW$102,MATCH(C_Input!AI72,D04_Classes!$B$3:$B$102,0),1)),0)=0,AND(IFERROR(SEARCH("Intelligence",INDEX(D04_Classes!$BW$3:$BW$102,MATCH(C_Input!AI72,D04_Classes!$B$3:$B$102,0),1)),0)&gt;0,Intelligence&gt;12)),"yes","no")</f>
        <v>yes</v>
      </c>
      <c r="AS72" s="253" t="str">
        <f>IF(OR(IFERROR(SEARCH("Wisdom",INDEX(D04_Classes!$BW$3:$BW$102,MATCH(C_Input!AI72,D04_Classes!$B$3:$B$102,0),1)),0)=0,AND(IFERROR(SEARCH("Wisdom",INDEX(D04_Classes!$BW$3:$BW$102,MATCH(C_Input!AI72,D04_Classes!$B$3:$B$102,0),1)),0)&gt;0,Wisdom&gt;12)),"yes","no")</f>
        <v>yes</v>
      </c>
      <c r="AT72" s="253" t="str">
        <f>IF(OR(IFERROR(SEARCH("Charisma",INDEX(D04_Classes!$BW$3:$BW$102,MATCH(C_Input!AI72,D04_Classes!$B$3:$B$102,0),1)),0)=0,AND(IFERROR(SEARCH("Charisma",INDEX(D04_Classes!$BW$3:$BW$102,MATCH(C_Input!AI72,D04_Classes!$B$3:$B$102,0),1)),0)&gt;0,Charisma&gt;12)),"yes","no")</f>
        <v>yes</v>
      </c>
      <c r="AU72" s="253">
        <f t="shared" si="12"/>
        <v>0</v>
      </c>
      <c r="AV72" s="253">
        <f>IF(AU72=0,0,COUNTIF($AV$15:AV71,"&gt;0")+1)</f>
        <v>0</v>
      </c>
      <c r="AX72" s="255" t="str">
        <f t="shared" si="15"/>
        <v/>
      </c>
      <c r="AY72" s="255" t="str">
        <f t="shared" si="13"/>
        <v/>
      </c>
      <c r="BD72" s="254" t="str">
        <f t="shared" si="9"/>
        <v/>
      </c>
      <c r="BE72" s="254" t="str">
        <f>IFERROR(INDEX(D01_Races!$B$2:$B$101,MATCH(C_Input!BD72,D01_Races!$C$2:$C$101,0),1),"")</f>
        <v/>
      </c>
      <c r="BF72" s="252" t="str">
        <f t="shared" si="10"/>
        <v/>
      </c>
      <c r="BG72" s="252" t="str">
        <f>IFERROR(IF(BF72="","",INDEX(D01_Races!$E$2:$E$101,MATCH(C_Input!BF72,D01_Races!$D$2:$D$101,0),1)),"")</f>
        <v/>
      </c>
      <c r="BH72" s="252" t="str">
        <f>IFERROR(IF(BF72="","",INDEX(D01_Races!$A$2:$A$101,MATCH(C_Input!BF72,D01_Races!$D$2:$D$101,0),1)),"")</f>
        <v/>
      </c>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row>
    <row r="73" spans="1:152" ht="15.95" customHeight="1" outlineLevel="1" thickTop="1" thickBot="1" x14ac:dyDescent="0.35">
      <c r="A73" s="152"/>
      <c r="B73" s="802" t="s">
        <v>4146</v>
      </c>
      <c r="C73" s="802"/>
      <c r="D73" s="873" t="str">
        <f>IF(BC19="","",BC19)</f>
        <v/>
      </c>
      <c r="E73" s="873"/>
      <c r="F73" s="873"/>
      <c r="G73" s="873"/>
      <c r="H73" s="819" t="str">
        <f>C_Variables!N9</f>
        <v/>
      </c>
      <c r="I73" s="819"/>
      <c r="J73" s="844"/>
      <c r="K73" s="844"/>
      <c r="L73" s="844"/>
      <c r="M73" s="844"/>
      <c r="N73" s="745" t="s">
        <v>4147</v>
      </c>
      <c r="O73" s="745"/>
      <c r="P73" s="747" t="str">
        <f>IF(Multiclass5="","",IFERROR(COUNTIF($R$58:$R$77,Multiclass5),""))</f>
        <v/>
      </c>
      <c r="Q73" s="376">
        <f t="shared" si="16"/>
        <v>16</v>
      </c>
      <c r="R73" s="734"/>
      <c r="S73" s="734"/>
      <c r="T73" s="734"/>
      <c r="U73" s="152"/>
      <c r="V73" s="152"/>
      <c r="W73" s="152"/>
      <c r="X73" s="152"/>
      <c r="Y73" s="152"/>
      <c r="Z73" s="152"/>
      <c r="AA73" s="152"/>
      <c r="AB73" s="152"/>
      <c r="AC73" s="152"/>
      <c r="AD73" s="152"/>
      <c r="AE73" s="152"/>
      <c r="AF73" s="171"/>
      <c r="AH73" s="253" t="str">
        <f t="shared" si="14"/>
        <v/>
      </c>
      <c r="AI73" s="253" t="str">
        <f>IFERROR(INDEX(D04_Classes!$B$3:$B$102,AH73,1),"")</f>
        <v/>
      </c>
      <c r="AJ73" s="253" t="str">
        <f t="shared" si="11"/>
        <v/>
      </c>
      <c r="AK73" s="253">
        <f t="shared" si="6"/>
        <v>0</v>
      </c>
      <c r="AL73" s="253">
        <f>IF(AK73=0,0,COUNTIF($AL$15:AL72,"&gt;0")+1)</f>
        <v>0</v>
      </c>
      <c r="AM73" s="253">
        <f>IF(IFERROR(SEARCH("and",INDEX(D04_Classes!$BW$3:$BW$102,MATCH(C_Input!AI73,D04_Classes!$B$3:$B$102,0),1)),0)&gt;1,1,0)</f>
        <v>0</v>
      </c>
      <c r="AN73" s="253">
        <f>IF(IFERROR(SEARCH("or",INDEX(D04_Classes!$BW$3:$BW$102,MATCH(C_Input!AI73,D04_Classes!$B$3:$B$102,0),1)),0)&gt;1,1,0)</f>
        <v>0</v>
      </c>
      <c r="AO73" s="253" t="str">
        <f>IF(OR(IFERROR(SEARCH("Strength",INDEX(D04_Classes!$BW$3:$BW$102,MATCH(C_Input!AI73,D04_Classes!$B$3:$B$102,0),1)),0)=0,AND(IFERROR(SEARCH("Strength",INDEX(D04_Classes!$BW$3:$BW$102,MATCH(C_Input!AI73,D04_Classes!$B$3:$B$102,0),1)),0)&gt;0,Strength&gt;12)),"yes","no")</f>
        <v>yes</v>
      </c>
      <c r="AP73" s="253" t="str">
        <f>IF(OR(IFERROR(SEARCH("Dexterity",INDEX(D04_Classes!$BW$3:$BW$102,MATCH(C_Input!AI73,D04_Classes!$B$3:$B$102,0),1)),0)=0,AND(IFERROR(SEARCH("Dexterity",INDEX(D04_Classes!$BW$3:$BW$102,MATCH(C_Input!AI73,D04_Classes!$B$3:$B$102,0),1)),0)&gt;0,Dexterity&gt;12)),"yes","no")</f>
        <v>yes</v>
      </c>
      <c r="AQ73" s="253" t="str">
        <f>IF(OR(IFERROR(SEARCH("Constitution",INDEX(D04_Classes!$BW$3:$BW$102,MATCH(C_Input!AI73,D04_Classes!$B$3:$B$102,0),1)),0)=0,AND(IFERROR(SEARCH("Constitution",INDEX(D04_Classes!$BW$3:$BW$102,MATCH(C_Input!AI73,D04_Classes!$B$3:$B$102,0),1)),0)&gt;0,Constitution&gt;12)),"yes","no")</f>
        <v>yes</v>
      </c>
      <c r="AR73" s="253" t="str">
        <f>IF(OR(IFERROR(SEARCH("Intelligence",INDEX(D04_Classes!$BW$3:$BW$102,MATCH(C_Input!AI73,D04_Classes!$B$3:$B$102,0),1)),0)=0,AND(IFERROR(SEARCH("Intelligence",INDEX(D04_Classes!$BW$3:$BW$102,MATCH(C_Input!AI73,D04_Classes!$B$3:$B$102,0),1)),0)&gt;0,Intelligence&gt;12)),"yes","no")</f>
        <v>yes</v>
      </c>
      <c r="AS73" s="253" t="str">
        <f>IF(OR(IFERROR(SEARCH("Wisdom",INDEX(D04_Classes!$BW$3:$BW$102,MATCH(C_Input!AI73,D04_Classes!$B$3:$B$102,0),1)),0)=0,AND(IFERROR(SEARCH("Wisdom",INDEX(D04_Classes!$BW$3:$BW$102,MATCH(C_Input!AI73,D04_Classes!$B$3:$B$102,0),1)),0)&gt;0,Wisdom&gt;12)),"yes","no")</f>
        <v>yes</v>
      </c>
      <c r="AT73" s="253" t="str">
        <f>IF(OR(IFERROR(SEARCH("Charisma",INDEX(D04_Classes!$BW$3:$BW$102,MATCH(C_Input!AI73,D04_Classes!$B$3:$B$102,0),1)),0)=0,AND(IFERROR(SEARCH("Charisma",INDEX(D04_Classes!$BW$3:$BW$102,MATCH(C_Input!AI73,D04_Classes!$B$3:$B$102,0),1)),0)&gt;0,Charisma&gt;12)),"yes","no")</f>
        <v>yes</v>
      </c>
      <c r="AU73" s="253">
        <f t="shared" si="12"/>
        <v>0</v>
      </c>
      <c r="AV73" s="253">
        <f>IF(AU73=0,0,COUNTIF($AV$15:AV72,"&gt;0")+1)</f>
        <v>0</v>
      </c>
      <c r="AX73" s="255" t="str">
        <f t="shared" si="15"/>
        <v/>
      </c>
      <c r="AY73" s="255" t="str">
        <f t="shared" si="13"/>
        <v/>
      </c>
      <c r="BD73" s="254" t="str">
        <f t="shared" si="9"/>
        <v/>
      </c>
      <c r="BE73" s="254" t="str">
        <f>IFERROR(INDEX(D01_Races!$B$2:$B$101,MATCH(C_Input!BD73,D01_Races!$C$2:$C$101,0),1),"")</f>
        <v/>
      </c>
      <c r="BF73" s="252" t="str">
        <f t="shared" si="10"/>
        <v/>
      </c>
      <c r="BG73" s="252" t="str">
        <f>IFERROR(IF(BF73="","",INDEX(D01_Races!$E$2:$E$101,MATCH(C_Input!BF73,D01_Races!$D$2:$D$101,0),1)),"")</f>
        <v/>
      </c>
      <c r="BH73" s="252" t="str">
        <f>IFERROR(IF(BF73="","",INDEX(D01_Races!$A$2:$A$101,MATCH(C_Input!BF73,D01_Races!$D$2:$D$101,0),1)),"")</f>
        <v/>
      </c>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row>
    <row r="74" spans="1:152" ht="15.95" customHeight="1" outlineLevel="1" thickTop="1" thickBot="1" x14ac:dyDescent="0.35">
      <c r="A74" s="152"/>
      <c r="B74" s="802"/>
      <c r="C74" s="802"/>
      <c r="D74" s="873"/>
      <c r="E74" s="873"/>
      <c r="F74" s="873"/>
      <c r="G74" s="873"/>
      <c r="H74" s="819"/>
      <c r="I74" s="819"/>
      <c r="J74" s="844"/>
      <c r="K74" s="844"/>
      <c r="L74" s="844"/>
      <c r="M74" s="844"/>
      <c r="N74" s="745"/>
      <c r="O74" s="745"/>
      <c r="P74" s="747"/>
      <c r="Q74" s="376">
        <f t="shared" si="16"/>
        <v>17</v>
      </c>
      <c r="R74" s="734"/>
      <c r="S74" s="734"/>
      <c r="T74" s="734"/>
      <c r="U74" s="152"/>
      <c r="V74" s="152"/>
      <c r="W74" s="152"/>
      <c r="X74" s="152"/>
      <c r="Y74" s="152"/>
      <c r="Z74" s="152"/>
      <c r="AA74" s="152"/>
      <c r="AB74" s="152"/>
      <c r="AC74" s="152"/>
      <c r="AD74" s="152"/>
      <c r="AE74" s="152"/>
      <c r="AF74" s="171"/>
      <c r="AH74" s="253" t="str">
        <f t="shared" si="14"/>
        <v/>
      </c>
      <c r="AI74" s="253" t="str">
        <f>IFERROR(INDEX(D04_Classes!$B$3:$B$102,AH74,1),"")</f>
        <v/>
      </c>
      <c r="AJ74" s="253" t="str">
        <f t="shared" si="11"/>
        <v/>
      </c>
      <c r="AK74" s="253">
        <f t="shared" si="6"/>
        <v>0</v>
      </c>
      <c r="AL74" s="253">
        <f>IF(AK74=0,0,COUNTIF($AL$15:AL73,"&gt;0")+1)</f>
        <v>0</v>
      </c>
      <c r="AM74" s="253">
        <f>IF(IFERROR(SEARCH("and",INDEX(D04_Classes!$BW$3:$BW$102,MATCH(C_Input!AI74,D04_Classes!$B$3:$B$102,0),1)),0)&gt;1,1,0)</f>
        <v>0</v>
      </c>
      <c r="AN74" s="253">
        <f>IF(IFERROR(SEARCH("or",INDEX(D04_Classes!$BW$3:$BW$102,MATCH(C_Input!AI74,D04_Classes!$B$3:$B$102,0),1)),0)&gt;1,1,0)</f>
        <v>0</v>
      </c>
      <c r="AO74" s="253" t="str">
        <f>IF(OR(IFERROR(SEARCH("Strength",INDEX(D04_Classes!$BW$3:$BW$102,MATCH(C_Input!AI74,D04_Classes!$B$3:$B$102,0),1)),0)=0,AND(IFERROR(SEARCH("Strength",INDEX(D04_Classes!$BW$3:$BW$102,MATCH(C_Input!AI74,D04_Classes!$B$3:$B$102,0),1)),0)&gt;0,Strength&gt;12)),"yes","no")</f>
        <v>yes</v>
      </c>
      <c r="AP74" s="253" t="str">
        <f>IF(OR(IFERROR(SEARCH("Dexterity",INDEX(D04_Classes!$BW$3:$BW$102,MATCH(C_Input!AI74,D04_Classes!$B$3:$B$102,0),1)),0)=0,AND(IFERROR(SEARCH("Dexterity",INDEX(D04_Classes!$BW$3:$BW$102,MATCH(C_Input!AI74,D04_Classes!$B$3:$B$102,0),1)),0)&gt;0,Dexterity&gt;12)),"yes","no")</f>
        <v>yes</v>
      </c>
      <c r="AQ74" s="253" t="str">
        <f>IF(OR(IFERROR(SEARCH("Constitution",INDEX(D04_Classes!$BW$3:$BW$102,MATCH(C_Input!AI74,D04_Classes!$B$3:$B$102,0),1)),0)=0,AND(IFERROR(SEARCH("Constitution",INDEX(D04_Classes!$BW$3:$BW$102,MATCH(C_Input!AI74,D04_Classes!$B$3:$B$102,0),1)),0)&gt;0,Constitution&gt;12)),"yes","no")</f>
        <v>yes</v>
      </c>
      <c r="AR74" s="253" t="str">
        <f>IF(OR(IFERROR(SEARCH("Intelligence",INDEX(D04_Classes!$BW$3:$BW$102,MATCH(C_Input!AI74,D04_Classes!$B$3:$B$102,0),1)),0)=0,AND(IFERROR(SEARCH("Intelligence",INDEX(D04_Classes!$BW$3:$BW$102,MATCH(C_Input!AI74,D04_Classes!$B$3:$B$102,0),1)),0)&gt;0,Intelligence&gt;12)),"yes","no")</f>
        <v>yes</v>
      </c>
      <c r="AS74" s="253" t="str">
        <f>IF(OR(IFERROR(SEARCH("Wisdom",INDEX(D04_Classes!$BW$3:$BW$102,MATCH(C_Input!AI74,D04_Classes!$B$3:$B$102,0),1)),0)=0,AND(IFERROR(SEARCH("Wisdom",INDEX(D04_Classes!$BW$3:$BW$102,MATCH(C_Input!AI74,D04_Classes!$B$3:$B$102,0),1)),0)&gt;0,Wisdom&gt;12)),"yes","no")</f>
        <v>yes</v>
      </c>
      <c r="AT74" s="253" t="str">
        <f>IF(OR(IFERROR(SEARCH("Charisma",INDEX(D04_Classes!$BW$3:$BW$102,MATCH(C_Input!AI74,D04_Classes!$B$3:$B$102,0),1)),0)=0,AND(IFERROR(SEARCH("Charisma",INDEX(D04_Classes!$BW$3:$BW$102,MATCH(C_Input!AI74,D04_Classes!$B$3:$B$102,0),1)),0)&gt;0,Charisma&gt;12)),"yes","no")</f>
        <v>yes</v>
      </c>
      <c r="AU74" s="253">
        <f t="shared" si="12"/>
        <v>0</v>
      </c>
      <c r="AV74" s="253">
        <f>IF(AU74=0,0,COUNTIF($AV$15:AV73,"&gt;0")+1)</f>
        <v>0</v>
      </c>
      <c r="AX74" s="255" t="str">
        <f t="shared" si="15"/>
        <v/>
      </c>
      <c r="AY74" s="255" t="str">
        <f t="shared" si="13"/>
        <v/>
      </c>
      <c r="BD74" s="254" t="str">
        <f t="shared" si="9"/>
        <v/>
      </c>
      <c r="BE74" s="254" t="str">
        <f>IFERROR(INDEX(D01_Races!$B$2:$B$101,MATCH(C_Input!BD74,D01_Races!$C$2:$C$101,0),1),"")</f>
        <v/>
      </c>
      <c r="BF74" s="252" t="str">
        <f t="shared" si="10"/>
        <v/>
      </c>
      <c r="BG74" s="252" t="str">
        <f>IFERROR(IF(BF74="","",INDEX(D01_Races!$E$2:$E$101,MATCH(C_Input!BF74,D01_Races!$D$2:$D$101,0),1)),"")</f>
        <v/>
      </c>
      <c r="BH74" s="252" t="str">
        <f>IFERROR(IF(BF74="","",INDEX(D01_Races!$A$2:$A$101,MATCH(C_Input!BF74,D01_Races!$D$2:$D$101,0),1)),"")</f>
        <v/>
      </c>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row>
    <row r="75" spans="1:152" ht="15.95" customHeight="1" outlineLevel="1" thickTop="1" thickBot="1" x14ac:dyDescent="0.35">
      <c r="A75" s="152"/>
      <c r="B75" s="283"/>
      <c r="C75" s="283"/>
      <c r="D75" s="283"/>
      <c r="E75" s="283"/>
      <c r="F75" s="283"/>
      <c r="G75" s="283"/>
      <c r="H75" s="283"/>
      <c r="I75" s="283"/>
      <c r="J75" s="283"/>
      <c r="K75" s="283"/>
      <c r="L75" s="283"/>
      <c r="M75" s="283"/>
      <c r="N75" s="283"/>
      <c r="O75" s="283"/>
      <c r="P75" s="283"/>
      <c r="Q75" s="376">
        <f t="shared" si="16"/>
        <v>18</v>
      </c>
      <c r="R75" s="734"/>
      <c r="S75" s="734"/>
      <c r="T75" s="734"/>
      <c r="U75" s="152"/>
      <c r="V75" s="152"/>
      <c r="W75" s="152"/>
      <c r="X75" s="152"/>
      <c r="Y75" s="152"/>
      <c r="Z75" s="152"/>
      <c r="AA75" s="152"/>
      <c r="AB75" s="152"/>
      <c r="AC75" s="152"/>
      <c r="AD75" s="152"/>
      <c r="AE75" s="152"/>
      <c r="AF75" s="171"/>
      <c r="AH75" s="253" t="str">
        <f t="shared" si="14"/>
        <v/>
      </c>
      <c r="AI75" s="253" t="str">
        <f>IFERROR(INDEX(D04_Classes!$B$3:$B$102,AH75,1),"")</f>
        <v/>
      </c>
      <c r="AJ75" s="253" t="str">
        <f t="shared" si="11"/>
        <v/>
      </c>
      <c r="AK75" s="253">
        <f t="shared" si="6"/>
        <v>0</v>
      </c>
      <c r="AL75" s="253">
        <f>IF(AK75=0,0,COUNTIF($AL$15:AL74,"&gt;0")+1)</f>
        <v>0</v>
      </c>
      <c r="AM75" s="253">
        <f>IF(IFERROR(SEARCH("and",INDEX(D04_Classes!$BW$3:$BW$102,MATCH(C_Input!AI75,D04_Classes!$B$3:$B$102,0),1)),0)&gt;1,1,0)</f>
        <v>0</v>
      </c>
      <c r="AN75" s="253">
        <f>IF(IFERROR(SEARCH("or",INDEX(D04_Classes!$BW$3:$BW$102,MATCH(C_Input!AI75,D04_Classes!$B$3:$B$102,0),1)),0)&gt;1,1,0)</f>
        <v>0</v>
      </c>
      <c r="AO75" s="253" t="str">
        <f>IF(OR(IFERROR(SEARCH("Strength",INDEX(D04_Classes!$BW$3:$BW$102,MATCH(C_Input!AI75,D04_Classes!$B$3:$B$102,0),1)),0)=0,AND(IFERROR(SEARCH("Strength",INDEX(D04_Classes!$BW$3:$BW$102,MATCH(C_Input!AI75,D04_Classes!$B$3:$B$102,0),1)),0)&gt;0,Strength&gt;12)),"yes","no")</f>
        <v>yes</v>
      </c>
      <c r="AP75" s="253" t="str">
        <f>IF(OR(IFERROR(SEARCH("Dexterity",INDEX(D04_Classes!$BW$3:$BW$102,MATCH(C_Input!AI75,D04_Classes!$B$3:$B$102,0),1)),0)=0,AND(IFERROR(SEARCH("Dexterity",INDEX(D04_Classes!$BW$3:$BW$102,MATCH(C_Input!AI75,D04_Classes!$B$3:$B$102,0),1)),0)&gt;0,Dexterity&gt;12)),"yes","no")</f>
        <v>yes</v>
      </c>
      <c r="AQ75" s="253" t="str">
        <f>IF(OR(IFERROR(SEARCH("Constitution",INDEX(D04_Classes!$BW$3:$BW$102,MATCH(C_Input!AI75,D04_Classes!$B$3:$B$102,0),1)),0)=0,AND(IFERROR(SEARCH("Constitution",INDEX(D04_Classes!$BW$3:$BW$102,MATCH(C_Input!AI75,D04_Classes!$B$3:$B$102,0),1)),0)&gt;0,Constitution&gt;12)),"yes","no")</f>
        <v>yes</v>
      </c>
      <c r="AR75" s="253" t="str">
        <f>IF(OR(IFERROR(SEARCH("Intelligence",INDEX(D04_Classes!$BW$3:$BW$102,MATCH(C_Input!AI75,D04_Classes!$B$3:$B$102,0),1)),0)=0,AND(IFERROR(SEARCH("Intelligence",INDEX(D04_Classes!$BW$3:$BW$102,MATCH(C_Input!AI75,D04_Classes!$B$3:$B$102,0),1)),0)&gt;0,Intelligence&gt;12)),"yes","no")</f>
        <v>yes</v>
      </c>
      <c r="AS75" s="253" t="str">
        <f>IF(OR(IFERROR(SEARCH("Wisdom",INDEX(D04_Classes!$BW$3:$BW$102,MATCH(C_Input!AI75,D04_Classes!$B$3:$B$102,0),1)),0)=0,AND(IFERROR(SEARCH("Wisdom",INDEX(D04_Classes!$BW$3:$BW$102,MATCH(C_Input!AI75,D04_Classes!$B$3:$B$102,0),1)),0)&gt;0,Wisdom&gt;12)),"yes","no")</f>
        <v>yes</v>
      </c>
      <c r="AT75" s="253" t="str">
        <f>IF(OR(IFERROR(SEARCH("Charisma",INDEX(D04_Classes!$BW$3:$BW$102,MATCH(C_Input!AI75,D04_Classes!$B$3:$B$102,0),1)),0)=0,AND(IFERROR(SEARCH("Charisma",INDEX(D04_Classes!$BW$3:$BW$102,MATCH(C_Input!AI75,D04_Classes!$B$3:$B$102,0),1)),0)&gt;0,Charisma&gt;12)),"yes","no")</f>
        <v>yes</v>
      </c>
      <c r="AU75" s="253">
        <f t="shared" si="12"/>
        <v>0</v>
      </c>
      <c r="AV75" s="253">
        <f>IF(AU75=0,0,COUNTIF($AV$15:AV74,"&gt;0")+1)</f>
        <v>0</v>
      </c>
      <c r="AX75" s="255" t="str">
        <f t="shared" si="15"/>
        <v/>
      </c>
      <c r="AY75" s="255" t="str">
        <f t="shared" si="13"/>
        <v/>
      </c>
      <c r="BD75" s="254" t="str">
        <f t="shared" si="9"/>
        <v/>
      </c>
      <c r="BE75" s="254" t="str">
        <f>IFERROR(INDEX(D01_Races!$B$2:$B$101,MATCH(C_Input!BD75,D01_Races!$C$2:$C$101,0),1),"")</f>
        <v/>
      </c>
      <c r="BF75" s="252" t="str">
        <f t="shared" si="10"/>
        <v/>
      </c>
      <c r="BG75" s="252" t="str">
        <f>IFERROR(IF(BF75="","",INDEX(D01_Races!$E$2:$E$101,MATCH(C_Input!BF75,D01_Races!$D$2:$D$101,0),1)),"")</f>
        <v/>
      </c>
      <c r="BH75" s="252" t="str">
        <f>IFERROR(IF(BF75="","",INDEX(D01_Races!$A$2:$A$101,MATCH(C_Input!BF75,D01_Races!$D$2:$D$101,0),1)),"")</f>
        <v/>
      </c>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row>
    <row r="76" spans="1:152" ht="15.95" customHeight="1" outlineLevel="1" thickTop="1" thickBot="1" x14ac:dyDescent="0.35">
      <c r="A76" s="152"/>
      <c r="B76" s="283"/>
      <c r="C76" s="283"/>
      <c r="D76" s="283"/>
      <c r="E76" s="283"/>
      <c r="F76" s="283"/>
      <c r="G76" s="283"/>
      <c r="H76" s="283"/>
      <c r="I76" s="745" t="s">
        <v>2255</v>
      </c>
      <c r="J76" s="745"/>
      <c r="K76" s="747">
        <f>COUNTA(R58:T77)</f>
        <v>1</v>
      </c>
      <c r="L76" s="745" t="s">
        <v>63</v>
      </c>
      <c r="M76" s="745"/>
      <c r="N76" s="746">
        <f>IFERROR(IFERROR(INDEX(D00_Leveling!$C$4:$C$23,MATCH(Total_Character_Level,D00_Leveling!$A$4:$A$23,0),1),""),"")</f>
        <v>2</v>
      </c>
      <c r="O76" s="746"/>
      <c r="P76" s="283"/>
      <c r="Q76" s="376">
        <f t="shared" si="16"/>
        <v>19</v>
      </c>
      <c r="R76" s="734"/>
      <c r="S76" s="734"/>
      <c r="T76" s="734"/>
      <c r="U76" s="152"/>
      <c r="V76" s="152"/>
      <c r="W76" s="152"/>
      <c r="X76" s="152"/>
      <c r="Y76" s="152"/>
      <c r="Z76" s="152"/>
      <c r="AA76" s="152"/>
      <c r="AB76" s="152"/>
      <c r="AC76" s="152"/>
      <c r="AD76" s="152"/>
      <c r="AE76" s="152"/>
      <c r="AF76" s="171"/>
      <c r="AH76" s="253" t="str">
        <f t="shared" si="14"/>
        <v/>
      </c>
      <c r="AI76" s="253" t="str">
        <f>IFERROR(INDEX(D04_Classes!$B$3:$B$102,AH76,1),"")</f>
        <v/>
      </c>
      <c r="AJ76" s="253" t="str">
        <f t="shared" si="11"/>
        <v/>
      </c>
      <c r="AK76" s="253">
        <f t="shared" si="6"/>
        <v>0</v>
      </c>
      <c r="AL76" s="253">
        <f>IF(AK76=0,0,COUNTIF($AL$15:AL75,"&gt;0")+1)</f>
        <v>0</v>
      </c>
      <c r="AM76" s="253">
        <f>IF(IFERROR(SEARCH("and",INDEX(D04_Classes!$BW$3:$BW$102,MATCH(C_Input!AI76,D04_Classes!$B$3:$B$102,0),1)),0)&gt;1,1,0)</f>
        <v>0</v>
      </c>
      <c r="AN76" s="253">
        <f>IF(IFERROR(SEARCH("or",INDEX(D04_Classes!$BW$3:$BW$102,MATCH(C_Input!AI76,D04_Classes!$B$3:$B$102,0),1)),0)&gt;1,1,0)</f>
        <v>0</v>
      </c>
      <c r="AO76" s="253" t="str">
        <f>IF(OR(IFERROR(SEARCH("Strength",INDEX(D04_Classes!$BW$3:$BW$102,MATCH(C_Input!AI76,D04_Classes!$B$3:$B$102,0),1)),0)=0,AND(IFERROR(SEARCH("Strength",INDEX(D04_Classes!$BW$3:$BW$102,MATCH(C_Input!AI76,D04_Classes!$B$3:$B$102,0),1)),0)&gt;0,Strength&gt;12)),"yes","no")</f>
        <v>yes</v>
      </c>
      <c r="AP76" s="253" t="str">
        <f>IF(OR(IFERROR(SEARCH("Dexterity",INDEX(D04_Classes!$BW$3:$BW$102,MATCH(C_Input!AI76,D04_Classes!$B$3:$B$102,0),1)),0)=0,AND(IFERROR(SEARCH("Dexterity",INDEX(D04_Classes!$BW$3:$BW$102,MATCH(C_Input!AI76,D04_Classes!$B$3:$B$102,0),1)),0)&gt;0,Dexterity&gt;12)),"yes","no")</f>
        <v>yes</v>
      </c>
      <c r="AQ76" s="253" t="str">
        <f>IF(OR(IFERROR(SEARCH("Constitution",INDEX(D04_Classes!$BW$3:$BW$102,MATCH(C_Input!AI76,D04_Classes!$B$3:$B$102,0),1)),0)=0,AND(IFERROR(SEARCH("Constitution",INDEX(D04_Classes!$BW$3:$BW$102,MATCH(C_Input!AI76,D04_Classes!$B$3:$B$102,0),1)),0)&gt;0,Constitution&gt;12)),"yes","no")</f>
        <v>yes</v>
      </c>
      <c r="AR76" s="253" t="str">
        <f>IF(OR(IFERROR(SEARCH("Intelligence",INDEX(D04_Classes!$BW$3:$BW$102,MATCH(C_Input!AI76,D04_Classes!$B$3:$B$102,0),1)),0)=0,AND(IFERROR(SEARCH("Intelligence",INDEX(D04_Classes!$BW$3:$BW$102,MATCH(C_Input!AI76,D04_Classes!$B$3:$B$102,0),1)),0)&gt;0,Intelligence&gt;12)),"yes","no")</f>
        <v>yes</v>
      </c>
      <c r="AS76" s="253" t="str">
        <f>IF(OR(IFERROR(SEARCH("Wisdom",INDEX(D04_Classes!$BW$3:$BW$102,MATCH(C_Input!AI76,D04_Classes!$B$3:$B$102,0),1)),0)=0,AND(IFERROR(SEARCH("Wisdom",INDEX(D04_Classes!$BW$3:$BW$102,MATCH(C_Input!AI76,D04_Classes!$B$3:$B$102,0),1)),0)&gt;0,Wisdom&gt;12)),"yes","no")</f>
        <v>yes</v>
      </c>
      <c r="AT76" s="253" t="str">
        <f>IF(OR(IFERROR(SEARCH("Charisma",INDEX(D04_Classes!$BW$3:$BW$102,MATCH(C_Input!AI76,D04_Classes!$B$3:$B$102,0),1)),0)=0,AND(IFERROR(SEARCH("Charisma",INDEX(D04_Classes!$BW$3:$BW$102,MATCH(C_Input!AI76,D04_Classes!$B$3:$B$102,0),1)),0)&gt;0,Charisma&gt;12)),"yes","no")</f>
        <v>yes</v>
      </c>
      <c r="AU76" s="253">
        <f t="shared" si="12"/>
        <v>0</v>
      </c>
      <c r="AV76" s="253">
        <f>IF(AU76=0,0,COUNTIF($AV$15:AV75,"&gt;0")+1)</f>
        <v>0</v>
      </c>
      <c r="AX76" s="255" t="str">
        <f t="shared" si="15"/>
        <v/>
      </c>
      <c r="AY76" s="255" t="str">
        <f t="shared" si="13"/>
        <v/>
      </c>
      <c r="BD76" s="254" t="str">
        <f t="shared" si="9"/>
        <v/>
      </c>
      <c r="BE76" s="254" t="str">
        <f>IFERROR(INDEX(D01_Races!$B$2:$B$101,MATCH(C_Input!BD76,D01_Races!$C$2:$C$101,0),1),"")</f>
        <v/>
      </c>
      <c r="BF76" s="252" t="str">
        <f t="shared" si="10"/>
        <v/>
      </c>
      <c r="BG76" s="252" t="str">
        <f>IFERROR(IF(BF76="","",INDEX(D01_Races!$E$2:$E$101,MATCH(C_Input!BF76,D01_Races!$D$2:$D$101,0),1)),"")</f>
        <v/>
      </c>
      <c r="BH76" s="252" t="str">
        <f>IFERROR(IF(BF76="","",INDEX(D01_Races!$A$2:$A$101,MATCH(C_Input!BF76,D01_Races!$D$2:$D$101,0),1)),"")</f>
        <v/>
      </c>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row>
    <row r="77" spans="1:152" ht="15.95" customHeight="1" outlineLevel="1" thickTop="1" thickBot="1" x14ac:dyDescent="0.35">
      <c r="A77" s="152"/>
      <c r="B77" s="283"/>
      <c r="C77" s="283"/>
      <c r="D77" s="283"/>
      <c r="E77" s="283"/>
      <c r="F77" s="283"/>
      <c r="G77" s="283"/>
      <c r="H77" s="283"/>
      <c r="I77" s="745"/>
      <c r="J77" s="745"/>
      <c r="K77" s="747"/>
      <c r="L77" s="745"/>
      <c r="M77" s="745"/>
      <c r="N77" s="746"/>
      <c r="O77" s="746"/>
      <c r="P77" s="283"/>
      <c r="Q77" s="376">
        <f t="shared" si="16"/>
        <v>20</v>
      </c>
      <c r="R77" s="734"/>
      <c r="S77" s="734"/>
      <c r="T77" s="734"/>
      <c r="U77" s="152"/>
      <c r="V77" s="152"/>
      <c r="W77" s="152"/>
      <c r="X77" s="152"/>
      <c r="Y77" s="152"/>
      <c r="Z77" s="152"/>
      <c r="AA77" s="152"/>
      <c r="AB77" s="152"/>
      <c r="AC77" s="152"/>
      <c r="AD77" s="152"/>
      <c r="AE77" s="152"/>
      <c r="AF77" s="171"/>
      <c r="AH77" s="253" t="str">
        <f t="shared" si="14"/>
        <v/>
      </c>
      <c r="AI77" s="253" t="str">
        <f>IFERROR(INDEX(D04_Classes!$B$3:$B$102,AH77,1),"")</f>
        <v/>
      </c>
      <c r="AJ77" s="253" t="str">
        <f t="shared" si="11"/>
        <v/>
      </c>
      <c r="AK77" s="253">
        <f t="shared" si="6"/>
        <v>0</v>
      </c>
      <c r="AL77" s="253">
        <f>IF(AK77=0,0,COUNTIF($AL$15:AL76,"&gt;0")+1)</f>
        <v>0</v>
      </c>
      <c r="AM77" s="253">
        <f>IF(IFERROR(SEARCH("and",INDEX(D04_Classes!$BW$3:$BW$102,MATCH(C_Input!AI77,D04_Classes!$B$3:$B$102,0),1)),0)&gt;1,1,0)</f>
        <v>0</v>
      </c>
      <c r="AN77" s="253">
        <f>IF(IFERROR(SEARCH("or",INDEX(D04_Classes!$BW$3:$BW$102,MATCH(C_Input!AI77,D04_Classes!$B$3:$B$102,0),1)),0)&gt;1,1,0)</f>
        <v>0</v>
      </c>
      <c r="AO77" s="253" t="str">
        <f>IF(OR(IFERROR(SEARCH("Strength",INDEX(D04_Classes!$BW$3:$BW$102,MATCH(C_Input!AI77,D04_Classes!$B$3:$B$102,0),1)),0)=0,AND(IFERROR(SEARCH("Strength",INDEX(D04_Classes!$BW$3:$BW$102,MATCH(C_Input!AI77,D04_Classes!$B$3:$B$102,0),1)),0)&gt;0,Strength&gt;12)),"yes","no")</f>
        <v>yes</v>
      </c>
      <c r="AP77" s="253" t="str">
        <f>IF(OR(IFERROR(SEARCH("Dexterity",INDEX(D04_Classes!$BW$3:$BW$102,MATCH(C_Input!AI77,D04_Classes!$B$3:$B$102,0),1)),0)=0,AND(IFERROR(SEARCH("Dexterity",INDEX(D04_Classes!$BW$3:$BW$102,MATCH(C_Input!AI77,D04_Classes!$B$3:$B$102,0),1)),0)&gt;0,Dexterity&gt;12)),"yes","no")</f>
        <v>yes</v>
      </c>
      <c r="AQ77" s="253" t="str">
        <f>IF(OR(IFERROR(SEARCH("Constitution",INDEX(D04_Classes!$BW$3:$BW$102,MATCH(C_Input!AI77,D04_Classes!$B$3:$B$102,0),1)),0)=0,AND(IFERROR(SEARCH("Constitution",INDEX(D04_Classes!$BW$3:$BW$102,MATCH(C_Input!AI77,D04_Classes!$B$3:$B$102,0),1)),0)&gt;0,Constitution&gt;12)),"yes","no")</f>
        <v>yes</v>
      </c>
      <c r="AR77" s="253" t="str">
        <f>IF(OR(IFERROR(SEARCH("Intelligence",INDEX(D04_Classes!$BW$3:$BW$102,MATCH(C_Input!AI77,D04_Classes!$B$3:$B$102,0),1)),0)=0,AND(IFERROR(SEARCH("Intelligence",INDEX(D04_Classes!$BW$3:$BW$102,MATCH(C_Input!AI77,D04_Classes!$B$3:$B$102,0),1)),0)&gt;0,Intelligence&gt;12)),"yes","no")</f>
        <v>yes</v>
      </c>
      <c r="AS77" s="253" t="str">
        <f>IF(OR(IFERROR(SEARCH("Wisdom",INDEX(D04_Classes!$BW$3:$BW$102,MATCH(C_Input!AI77,D04_Classes!$B$3:$B$102,0),1)),0)=0,AND(IFERROR(SEARCH("Wisdom",INDEX(D04_Classes!$BW$3:$BW$102,MATCH(C_Input!AI77,D04_Classes!$B$3:$B$102,0),1)),0)&gt;0,Wisdom&gt;12)),"yes","no")</f>
        <v>yes</v>
      </c>
      <c r="AT77" s="253" t="str">
        <f>IF(OR(IFERROR(SEARCH("Charisma",INDEX(D04_Classes!$BW$3:$BW$102,MATCH(C_Input!AI77,D04_Classes!$B$3:$B$102,0),1)),0)=0,AND(IFERROR(SEARCH("Charisma",INDEX(D04_Classes!$BW$3:$BW$102,MATCH(C_Input!AI77,D04_Classes!$B$3:$B$102,0),1)),0)&gt;0,Charisma&gt;12)),"yes","no")</f>
        <v>yes</v>
      </c>
      <c r="AU77" s="253">
        <f t="shared" si="12"/>
        <v>0</v>
      </c>
      <c r="AV77" s="253">
        <f>IF(AU77=0,0,COUNTIF($AV$15:AV76,"&gt;0")+1)</f>
        <v>0</v>
      </c>
      <c r="AX77" s="255" t="str">
        <f t="shared" si="15"/>
        <v/>
      </c>
      <c r="AY77" s="255" t="str">
        <f t="shared" si="13"/>
        <v/>
      </c>
      <c r="BD77" s="254" t="str">
        <f t="shared" si="9"/>
        <v/>
      </c>
      <c r="BE77" s="254" t="str">
        <f>IFERROR(INDEX(D01_Races!$B$2:$B$101,MATCH(C_Input!BD77,D01_Races!$C$2:$C$101,0),1),"")</f>
        <v/>
      </c>
      <c r="BF77" s="252" t="str">
        <f t="shared" si="10"/>
        <v/>
      </c>
      <c r="BG77" s="252" t="str">
        <f>IFERROR(IF(BF77="","",INDEX(D01_Races!$E$2:$E$101,MATCH(C_Input!BF77,D01_Races!$D$2:$D$101,0),1)),"")</f>
        <v/>
      </c>
      <c r="BH77" s="252" t="str">
        <f>IFERROR(IF(BF77="","",INDEX(D01_Races!$A$2:$A$101,MATCH(C_Input!BF77,D01_Races!$D$2:$D$101,0),1)),"")</f>
        <v/>
      </c>
    </row>
    <row r="78" spans="1:152" ht="15.95" customHeight="1" outlineLevel="1" thickTop="1" thickBot="1" x14ac:dyDescent="0.35">
      <c r="A78" s="152"/>
      <c r="B78" s="152"/>
      <c r="C78" s="152"/>
      <c r="D78" s="152"/>
      <c r="E78" s="152"/>
      <c r="F78" s="152"/>
      <c r="G78" s="152"/>
      <c r="H78" s="152"/>
      <c r="I78" s="152"/>
      <c r="J78" s="152"/>
      <c r="K78" s="152"/>
      <c r="L78" s="152"/>
      <c r="M78" s="152"/>
      <c r="N78" s="152"/>
      <c r="O78" s="152"/>
      <c r="P78" s="152"/>
      <c r="Q78" s="152"/>
      <c r="R78" s="152"/>
      <c r="S78" s="152"/>
      <c r="T78" s="152"/>
      <c r="U78" s="152"/>
      <c r="V78" s="152"/>
      <c r="W78" s="152"/>
      <c r="X78" s="152"/>
      <c r="Y78" s="152"/>
      <c r="Z78" s="152"/>
      <c r="AA78" s="152"/>
      <c r="AB78" s="152"/>
      <c r="AC78" s="152"/>
      <c r="AD78" s="152"/>
      <c r="AE78" s="152"/>
      <c r="AF78" s="171"/>
      <c r="AH78" s="253" t="str">
        <f t="shared" si="14"/>
        <v/>
      </c>
      <c r="AI78" s="253" t="str">
        <f>IFERROR(INDEX(D04_Classes!$B$3:$B$102,AH78,1),"")</f>
        <v/>
      </c>
      <c r="AJ78" s="253" t="str">
        <f t="shared" si="11"/>
        <v/>
      </c>
      <c r="AK78" s="253">
        <f t="shared" si="6"/>
        <v>0</v>
      </c>
      <c r="AL78" s="253">
        <f>IF(AK78=0,0,COUNTIF($AL$15:AL77,"&gt;0")+1)</f>
        <v>0</v>
      </c>
      <c r="AM78" s="253">
        <f>IF(IFERROR(SEARCH("and",INDEX(D04_Classes!$BW$3:$BW$102,MATCH(C_Input!AI78,D04_Classes!$B$3:$B$102,0),1)),0)&gt;1,1,0)</f>
        <v>0</v>
      </c>
      <c r="AN78" s="253">
        <f>IF(IFERROR(SEARCH("or",INDEX(D04_Classes!$BW$3:$BW$102,MATCH(C_Input!AI78,D04_Classes!$B$3:$B$102,0),1)),0)&gt;1,1,0)</f>
        <v>0</v>
      </c>
      <c r="AO78" s="253" t="str">
        <f>IF(OR(IFERROR(SEARCH("Strength",INDEX(D04_Classes!$BW$3:$BW$102,MATCH(C_Input!AI78,D04_Classes!$B$3:$B$102,0),1)),0)=0,AND(IFERROR(SEARCH("Strength",INDEX(D04_Classes!$BW$3:$BW$102,MATCH(C_Input!AI78,D04_Classes!$B$3:$B$102,0),1)),0)&gt;0,Strength&gt;12)),"yes","no")</f>
        <v>yes</v>
      </c>
      <c r="AP78" s="253" t="str">
        <f>IF(OR(IFERROR(SEARCH("Dexterity",INDEX(D04_Classes!$BW$3:$BW$102,MATCH(C_Input!AI78,D04_Classes!$B$3:$B$102,0),1)),0)=0,AND(IFERROR(SEARCH("Dexterity",INDEX(D04_Classes!$BW$3:$BW$102,MATCH(C_Input!AI78,D04_Classes!$B$3:$B$102,0),1)),0)&gt;0,Dexterity&gt;12)),"yes","no")</f>
        <v>yes</v>
      </c>
      <c r="AQ78" s="253" t="str">
        <f>IF(OR(IFERROR(SEARCH("Constitution",INDEX(D04_Classes!$BW$3:$BW$102,MATCH(C_Input!AI78,D04_Classes!$B$3:$B$102,0),1)),0)=0,AND(IFERROR(SEARCH("Constitution",INDEX(D04_Classes!$BW$3:$BW$102,MATCH(C_Input!AI78,D04_Classes!$B$3:$B$102,0),1)),0)&gt;0,Constitution&gt;12)),"yes","no")</f>
        <v>yes</v>
      </c>
      <c r="AR78" s="253" t="str">
        <f>IF(OR(IFERROR(SEARCH("Intelligence",INDEX(D04_Classes!$BW$3:$BW$102,MATCH(C_Input!AI78,D04_Classes!$B$3:$B$102,0),1)),0)=0,AND(IFERROR(SEARCH("Intelligence",INDEX(D04_Classes!$BW$3:$BW$102,MATCH(C_Input!AI78,D04_Classes!$B$3:$B$102,0),1)),0)&gt;0,Intelligence&gt;12)),"yes","no")</f>
        <v>yes</v>
      </c>
      <c r="AS78" s="253" t="str">
        <f>IF(OR(IFERROR(SEARCH("Wisdom",INDEX(D04_Classes!$BW$3:$BW$102,MATCH(C_Input!AI78,D04_Classes!$B$3:$B$102,0),1)),0)=0,AND(IFERROR(SEARCH("Wisdom",INDEX(D04_Classes!$BW$3:$BW$102,MATCH(C_Input!AI78,D04_Classes!$B$3:$B$102,0),1)),0)&gt;0,Wisdom&gt;12)),"yes","no")</f>
        <v>yes</v>
      </c>
      <c r="AT78" s="253" t="str">
        <f>IF(OR(IFERROR(SEARCH("Charisma",INDEX(D04_Classes!$BW$3:$BW$102,MATCH(C_Input!AI78,D04_Classes!$B$3:$B$102,0),1)),0)=0,AND(IFERROR(SEARCH("Charisma",INDEX(D04_Classes!$BW$3:$BW$102,MATCH(C_Input!AI78,D04_Classes!$B$3:$B$102,0),1)),0)&gt;0,Charisma&gt;12)),"yes","no")</f>
        <v>yes</v>
      </c>
      <c r="AU78" s="253">
        <f t="shared" si="12"/>
        <v>0</v>
      </c>
      <c r="AV78" s="253">
        <f>IF(AU78=0,0,COUNTIF($AV$15:AV77,"&gt;0")+1)</f>
        <v>0</v>
      </c>
      <c r="AX78" s="255" t="str">
        <f t="shared" si="15"/>
        <v/>
      </c>
      <c r="AY78" s="255" t="str">
        <f t="shared" si="13"/>
        <v/>
      </c>
      <c r="BD78" s="254" t="str">
        <f t="shared" si="9"/>
        <v/>
      </c>
      <c r="BE78" s="254" t="str">
        <f>IFERROR(INDEX(D01_Races!$B$2:$B$101,MATCH(C_Input!BD78,D01_Races!$C$2:$C$101,0),1),"")</f>
        <v/>
      </c>
      <c r="BF78" s="252" t="str">
        <f t="shared" si="10"/>
        <v/>
      </c>
      <c r="BG78" s="252" t="str">
        <f>IFERROR(IF(BF78="","",INDEX(D01_Races!$E$2:$E$101,MATCH(C_Input!BF78,D01_Races!$D$2:$D$101,0),1)),"")</f>
        <v/>
      </c>
      <c r="BH78" s="252" t="str">
        <f>IFERROR(IF(BF78="","",INDEX(D01_Races!$A$2:$A$101,MATCH(C_Input!BF78,D01_Races!$D$2:$D$101,0),1)),"")</f>
        <v/>
      </c>
    </row>
    <row r="79" spans="1:152" ht="15.95" customHeight="1" x14ac:dyDescent="0.3">
      <c r="A79" s="152"/>
      <c r="B79" s="753" t="s">
        <v>2237</v>
      </c>
      <c r="C79" s="754"/>
      <c r="D79" s="754"/>
      <c r="E79" s="754"/>
      <c r="F79" s="754"/>
      <c r="G79" s="754"/>
      <c r="H79" s="754"/>
      <c r="I79" s="754"/>
      <c r="J79" s="754"/>
      <c r="K79" s="754"/>
      <c r="L79" s="754"/>
      <c r="M79" s="754"/>
      <c r="N79" s="754"/>
      <c r="O79" s="754"/>
      <c r="P79" s="754"/>
      <c r="Q79" s="754"/>
      <c r="R79" s="754"/>
      <c r="S79" s="754"/>
      <c r="T79" s="755"/>
      <c r="U79" s="152"/>
      <c r="V79" s="152"/>
      <c r="W79" s="152"/>
      <c r="X79" s="152"/>
      <c r="Y79" s="152"/>
      <c r="Z79" s="152"/>
      <c r="AA79" s="152"/>
      <c r="AB79" s="152"/>
      <c r="AC79" s="152"/>
      <c r="AD79" s="152"/>
      <c r="AE79" s="152"/>
      <c r="AF79" s="171"/>
      <c r="AH79" s="253" t="str">
        <f t="shared" si="14"/>
        <v/>
      </c>
      <c r="AI79" s="253" t="str">
        <f>IFERROR(INDEX(D04_Classes!$B$3:$B$102,AH79,1),"")</f>
        <v/>
      </c>
      <c r="AJ79" s="253" t="str">
        <f t="shared" ref="AJ79:AJ110" si="17">IF(AI79="","",COUNTIF($R$58:$T$67,AI79)+COUNTIF($R$68:$T$77,AI79))</f>
        <v/>
      </c>
      <c r="AK79" s="253">
        <f t="shared" si="6"/>
        <v>0</v>
      </c>
      <c r="AL79" s="253">
        <f>IF(AK79=0,0,COUNTIF($AL$15:AL78,"&gt;0")+1)</f>
        <v>0</v>
      </c>
      <c r="AM79" s="253">
        <f>IF(IFERROR(SEARCH("and",INDEX(D04_Classes!$BW$3:$BW$102,MATCH(C_Input!AI79,D04_Classes!$B$3:$B$102,0),1)),0)&gt;1,1,0)</f>
        <v>0</v>
      </c>
      <c r="AN79" s="253">
        <f>IF(IFERROR(SEARCH("or",INDEX(D04_Classes!$BW$3:$BW$102,MATCH(C_Input!AI79,D04_Classes!$B$3:$B$102,0),1)),0)&gt;1,1,0)</f>
        <v>0</v>
      </c>
      <c r="AO79" s="253" t="str">
        <f>IF(OR(IFERROR(SEARCH("Strength",INDEX(D04_Classes!$BW$3:$BW$102,MATCH(C_Input!AI79,D04_Classes!$B$3:$B$102,0),1)),0)=0,AND(IFERROR(SEARCH("Strength",INDEX(D04_Classes!$BW$3:$BW$102,MATCH(C_Input!AI79,D04_Classes!$B$3:$B$102,0),1)),0)&gt;0,Strength&gt;12)),"yes","no")</f>
        <v>yes</v>
      </c>
      <c r="AP79" s="253" t="str">
        <f>IF(OR(IFERROR(SEARCH("Dexterity",INDEX(D04_Classes!$BW$3:$BW$102,MATCH(C_Input!AI79,D04_Classes!$B$3:$B$102,0),1)),0)=0,AND(IFERROR(SEARCH("Dexterity",INDEX(D04_Classes!$BW$3:$BW$102,MATCH(C_Input!AI79,D04_Classes!$B$3:$B$102,0),1)),0)&gt;0,Dexterity&gt;12)),"yes","no")</f>
        <v>yes</v>
      </c>
      <c r="AQ79" s="253" t="str">
        <f>IF(OR(IFERROR(SEARCH("Constitution",INDEX(D04_Classes!$BW$3:$BW$102,MATCH(C_Input!AI79,D04_Classes!$B$3:$B$102,0),1)),0)=0,AND(IFERROR(SEARCH("Constitution",INDEX(D04_Classes!$BW$3:$BW$102,MATCH(C_Input!AI79,D04_Classes!$B$3:$B$102,0),1)),0)&gt;0,Constitution&gt;12)),"yes","no")</f>
        <v>yes</v>
      </c>
      <c r="AR79" s="253" t="str">
        <f>IF(OR(IFERROR(SEARCH("Intelligence",INDEX(D04_Classes!$BW$3:$BW$102,MATCH(C_Input!AI79,D04_Classes!$B$3:$B$102,0),1)),0)=0,AND(IFERROR(SEARCH("Intelligence",INDEX(D04_Classes!$BW$3:$BW$102,MATCH(C_Input!AI79,D04_Classes!$B$3:$B$102,0),1)),0)&gt;0,Intelligence&gt;12)),"yes","no")</f>
        <v>yes</v>
      </c>
      <c r="AS79" s="253" t="str">
        <f>IF(OR(IFERROR(SEARCH("Wisdom",INDEX(D04_Classes!$BW$3:$BW$102,MATCH(C_Input!AI79,D04_Classes!$B$3:$B$102,0),1)),0)=0,AND(IFERROR(SEARCH("Wisdom",INDEX(D04_Classes!$BW$3:$BW$102,MATCH(C_Input!AI79,D04_Classes!$B$3:$B$102,0),1)),0)&gt;0,Wisdom&gt;12)),"yes","no")</f>
        <v>yes</v>
      </c>
      <c r="AT79" s="253" t="str">
        <f>IF(OR(IFERROR(SEARCH("Charisma",INDEX(D04_Classes!$BW$3:$BW$102,MATCH(C_Input!AI79,D04_Classes!$B$3:$B$102,0),1)),0)=0,AND(IFERROR(SEARCH("Charisma",INDEX(D04_Classes!$BW$3:$BW$102,MATCH(C_Input!AI79,D04_Classes!$B$3:$B$102,0),1)),0)&gt;0,Charisma&gt;12)),"yes","no")</f>
        <v>yes</v>
      </c>
      <c r="AU79" s="253">
        <f t="shared" ref="AU79:AU110" si="18">IF(AI79="",0,IF(AN79=1,IF(COUNTIF(AO79:AT79,"no")&lt;2,1,0),IF(COUNTIF(AO79:AT79,"no")&gt;0,0,1)))</f>
        <v>0</v>
      </c>
      <c r="AV79" s="253">
        <f>IF(AU79=0,0,COUNTIF($AV$15:AV78,"&gt;0")+1)</f>
        <v>0</v>
      </c>
      <c r="AX79" s="255" t="str">
        <f t="shared" si="15"/>
        <v/>
      </c>
      <c r="AY79" s="255" t="str">
        <f t="shared" ref="AY79:AY110" si="19">IFERROR(INDEX($AI$15:$AI$114,MATCH(AX79,$AV$15:$AV$114,0),1),"")</f>
        <v/>
      </c>
      <c r="BD79" s="254" t="str">
        <f t="shared" si="9"/>
        <v/>
      </c>
      <c r="BE79" s="254" t="str">
        <f>IFERROR(INDEX(D01_Races!$B$2:$B$101,MATCH(C_Input!BD79,D01_Races!$C$2:$C$101,0),1),"")</f>
        <v/>
      </c>
      <c r="BF79" s="252" t="str">
        <f t="shared" si="10"/>
        <v/>
      </c>
      <c r="BG79" s="252" t="str">
        <f>IFERROR(IF(BF79="","",INDEX(D01_Races!$E$2:$E$101,MATCH(C_Input!BF79,D01_Races!$D$2:$D$101,0),1)),"")</f>
        <v/>
      </c>
      <c r="BH79" s="252" t="str">
        <f>IFERROR(IF(BF79="","",INDEX(D01_Races!$A$2:$A$101,MATCH(C_Input!BF79,D01_Races!$D$2:$D$101,0),1)),"")</f>
        <v/>
      </c>
    </row>
    <row r="80" spans="1:152" ht="15.95" customHeight="1" thickBot="1" x14ac:dyDescent="0.35">
      <c r="A80" s="152"/>
      <c r="B80" s="763"/>
      <c r="C80" s="764"/>
      <c r="D80" s="764"/>
      <c r="E80" s="764"/>
      <c r="F80" s="764"/>
      <c r="G80" s="764"/>
      <c r="H80" s="764"/>
      <c r="I80" s="764"/>
      <c r="J80" s="764"/>
      <c r="K80" s="764"/>
      <c r="L80" s="764"/>
      <c r="M80" s="764"/>
      <c r="N80" s="764"/>
      <c r="O80" s="764"/>
      <c r="P80" s="764"/>
      <c r="Q80" s="764"/>
      <c r="R80" s="764"/>
      <c r="S80" s="764"/>
      <c r="T80" s="765"/>
      <c r="U80" s="152"/>
      <c r="V80" s="152"/>
      <c r="W80" s="152"/>
      <c r="X80" s="152"/>
      <c r="Y80" s="152"/>
      <c r="Z80" s="152"/>
      <c r="AA80" s="152"/>
      <c r="AB80" s="152"/>
      <c r="AC80" s="152"/>
      <c r="AD80" s="152"/>
      <c r="AE80" s="152"/>
      <c r="AF80" s="171"/>
      <c r="AH80" s="253" t="str">
        <f t="shared" ref="AH80:AH114" si="20">IFERROR(IF(AH79+1&lt;UniqueClassesNumber+1,AH79+1,""),"")</f>
        <v/>
      </c>
      <c r="AI80" s="253" t="str">
        <f>IFERROR(INDEX(D04_Classes!$B$3:$B$102,AH80,1),"")</f>
        <v/>
      </c>
      <c r="AJ80" s="253" t="str">
        <f t="shared" si="17"/>
        <v/>
      </c>
      <c r="AK80" s="253">
        <f t="shared" ref="AK80:AK114" si="21">IF(OR(AJ80=0,AJ80=""),0,1)</f>
        <v>0</v>
      </c>
      <c r="AL80" s="253">
        <f>IF(AK80=0,0,COUNTIF($AL$15:AL79,"&gt;0")+1)</f>
        <v>0</v>
      </c>
      <c r="AM80" s="253">
        <f>IF(IFERROR(SEARCH("and",INDEX(D04_Classes!$BW$3:$BW$102,MATCH(C_Input!AI80,D04_Classes!$B$3:$B$102,0),1)),0)&gt;1,1,0)</f>
        <v>0</v>
      </c>
      <c r="AN80" s="253">
        <f>IF(IFERROR(SEARCH("or",INDEX(D04_Classes!$BW$3:$BW$102,MATCH(C_Input!AI80,D04_Classes!$B$3:$B$102,0),1)),0)&gt;1,1,0)</f>
        <v>0</v>
      </c>
      <c r="AO80" s="253" t="str">
        <f>IF(OR(IFERROR(SEARCH("Strength",INDEX(D04_Classes!$BW$3:$BW$102,MATCH(C_Input!AI80,D04_Classes!$B$3:$B$102,0),1)),0)=0,AND(IFERROR(SEARCH("Strength",INDEX(D04_Classes!$BW$3:$BW$102,MATCH(C_Input!AI80,D04_Classes!$B$3:$B$102,0),1)),0)&gt;0,Strength&gt;12)),"yes","no")</f>
        <v>yes</v>
      </c>
      <c r="AP80" s="253" t="str">
        <f>IF(OR(IFERROR(SEARCH("Dexterity",INDEX(D04_Classes!$BW$3:$BW$102,MATCH(C_Input!AI80,D04_Classes!$B$3:$B$102,0),1)),0)=0,AND(IFERROR(SEARCH("Dexterity",INDEX(D04_Classes!$BW$3:$BW$102,MATCH(C_Input!AI80,D04_Classes!$B$3:$B$102,0),1)),0)&gt;0,Dexterity&gt;12)),"yes","no")</f>
        <v>yes</v>
      </c>
      <c r="AQ80" s="253" t="str">
        <f>IF(OR(IFERROR(SEARCH("Constitution",INDEX(D04_Classes!$BW$3:$BW$102,MATCH(C_Input!AI80,D04_Classes!$B$3:$B$102,0),1)),0)=0,AND(IFERROR(SEARCH("Constitution",INDEX(D04_Classes!$BW$3:$BW$102,MATCH(C_Input!AI80,D04_Classes!$B$3:$B$102,0),1)),0)&gt;0,Constitution&gt;12)),"yes","no")</f>
        <v>yes</v>
      </c>
      <c r="AR80" s="253" t="str">
        <f>IF(OR(IFERROR(SEARCH("Intelligence",INDEX(D04_Classes!$BW$3:$BW$102,MATCH(C_Input!AI80,D04_Classes!$B$3:$B$102,0),1)),0)=0,AND(IFERROR(SEARCH("Intelligence",INDEX(D04_Classes!$BW$3:$BW$102,MATCH(C_Input!AI80,D04_Classes!$B$3:$B$102,0),1)),0)&gt;0,Intelligence&gt;12)),"yes","no")</f>
        <v>yes</v>
      </c>
      <c r="AS80" s="253" t="str">
        <f>IF(OR(IFERROR(SEARCH("Wisdom",INDEX(D04_Classes!$BW$3:$BW$102,MATCH(C_Input!AI80,D04_Classes!$B$3:$B$102,0),1)),0)=0,AND(IFERROR(SEARCH("Wisdom",INDEX(D04_Classes!$BW$3:$BW$102,MATCH(C_Input!AI80,D04_Classes!$B$3:$B$102,0),1)),0)&gt;0,Wisdom&gt;12)),"yes","no")</f>
        <v>yes</v>
      </c>
      <c r="AT80" s="253" t="str">
        <f>IF(OR(IFERROR(SEARCH("Charisma",INDEX(D04_Classes!$BW$3:$BW$102,MATCH(C_Input!AI80,D04_Classes!$B$3:$B$102,0),1)),0)=0,AND(IFERROR(SEARCH("Charisma",INDEX(D04_Classes!$BW$3:$BW$102,MATCH(C_Input!AI80,D04_Classes!$B$3:$B$102,0),1)),0)&gt;0,Charisma&gt;12)),"yes","no")</f>
        <v>yes</v>
      </c>
      <c r="AU80" s="253">
        <f t="shared" si="18"/>
        <v>0</v>
      </c>
      <c r="AV80" s="253">
        <f>IF(AU80=0,0,COUNTIF($AV$15:AV79,"&gt;0")+1)</f>
        <v>0</v>
      </c>
      <c r="AX80" s="255" t="str">
        <f t="shared" ref="AX80:AX114" si="22">IFERROR(IF(AX79+1&lt;=MAX($AV$15:$AV$114),AX79+1,""),"")</f>
        <v/>
      </c>
      <c r="AY80" s="255" t="str">
        <f t="shared" si="19"/>
        <v/>
      </c>
      <c r="BD80" s="254" t="str">
        <f t="shared" ref="BD80:BD114" si="23">IFERROR(IF(BD79+1&lt;=UniqueRaceNumer,BD79+1,""),"")</f>
        <v/>
      </c>
      <c r="BE80" s="254" t="str">
        <f>IFERROR(INDEX(D01_Races!$B$2:$B$101,MATCH(C_Input!BD80,D01_Races!$C$2:$C$101,0),1),"")</f>
        <v/>
      </c>
      <c r="BF80" s="252" t="str">
        <f t="shared" ref="BF80:BF114" si="24">IFERROR(IF(BF79+1&lt;=UniqueSubraces,BF79+1,""),"")</f>
        <v/>
      </c>
      <c r="BG80" s="252" t="str">
        <f>IFERROR(IF(BF80="","",INDEX(D01_Races!$E$2:$E$101,MATCH(C_Input!BF80,D01_Races!$D$2:$D$101,0),1)),"")</f>
        <v/>
      </c>
      <c r="BH80" s="252" t="str">
        <f>IFERROR(IF(BF80="","",INDEX(D01_Races!$A$2:$A$101,MATCH(C_Input!BF80,D01_Races!$D$2:$D$101,0),1)),"")</f>
        <v/>
      </c>
    </row>
    <row r="81" spans="1:60" ht="15.95" customHeight="1" outlineLevel="1" x14ac:dyDescent="0.3">
      <c r="A81" s="152"/>
      <c r="B81" s="152"/>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c r="AA81" s="152"/>
      <c r="AB81" s="152"/>
      <c r="AC81" s="152"/>
      <c r="AD81" s="152"/>
      <c r="AE81" s="152"/>
      <c r="AF81" s="171"/>
      <c r="AH81" s="253" t="str">
        <f t="shared" si="20"/>
        <v/>
      </c>
      <c r="AI81" s="253" t="str">
        <f>IFERROR(INDEX(D04_Classes!$B$3:$B$102,AH81,1),"")</f>
        <v/>
      </c>
      <c r="AJ81" s="253" t="str">
        <f t="shared" si="17"/>
        <v/>
      </c>
      <c r="AK81" s="253">
        <f t="shared" si="21"/>
        <v>0</v>
      </c>
      <c r="AL81" s="253">
        <f>IF(AK81=0,0,COUNTIF($AL$15:AL80,"&gt;0")+1)</f>
        <v>0</v>
      </c>
      <c r="AM81" s="253">
        <f>IF(IFERROR(SEARCH("and",INDEX(D04_Classes!$BW$3:$BW$102,MATCH(C_Input!AI81,D04_Classes!$B$3:$B$102,0),1)),0)&gt;1,1,0)</f>
        <v>0</v>
      </c>
      <c r="AN81" s="253">
        <f>IF(IFERROR(SEARCH("or",INDEX(D04_Classes!$BW$3:$BW$102,MATCH(C_Input!AI81,D04_Classes!$B$3:$B$102,0),1)),0)&gt;1,1,0)</f>
        <v>0</v>
      </c>
      <c r="AO81" s="253" t="str">
        <f>IF(OR(IFERROR(SEARCH("Strength",INDEX(D04_Classes!$BW$3:$BW$102,MATCH(C_Input!AI81,D04_Classes!$B$3:$B$102,0),1)),0)=0,AND(IFERROR(SEARCH("Strength",INDEX(D04_Classes!$BW$3:$BW$102,MATCH(C_Input!AI81,D04_Classes!$B$3:$B$102,0),1)),0)&gt;0,Strength&gt;12)),"yes","no")</f>
        <v>yes</v>
      </c>
      <c r="AP81" s="253" t="str">
        <f>IF(OR(IFERROR(SEARCH("Dexterity",INDEX(D04_Classes!$BW$3:$BW$102,MATCH(C_Input!AI81,D04_Classes!$B$3:$B$102,0),1)),0)=0,AND(IFERROR(SEARCH("Dexterity",INDEX(D04_Classes!$BW$3:$BW$102,MATCH(C_Input!AI81,D04_Classes!$B$3:$B$102,0),1)),0)&gt;0,Dexterity&gt;12)),"yes","no")</f>
        <v>yes</v>
      </c>
      <c r="AQ81" s="253" t="str">
        <f>IF(OR(IFERROR(SEARCH("Constitution",INDEX(D04_Classes!$BW$3:$BW$102,MATCH(C_Input!AI81,D04_Classes!$B$3:$B$102,0),1)),0)=0,AND(IFERROR(SEARCH("Constitution",INDEX(D04_Classes!$BW$3:$BW$102,MATCH(C_Input!AI81,D04_Classes!$B$3:$B$102,0),1)),0)&gt;0,Constitution&gt;12)),"yes","no")</f>
        <v>yes</v>
      </c>
      <c r="AR81" s="253" t="str">
        <f>IF(OR(IFERROR(SEARCH("Intelligence",INDEX(D04_Classes!$BW$3:$BW$102,MATCH(C_Input!AI81,D04_Classes!$B$3:$B$102,0),1)),0)=0,AND(IFERROR(SEARCH("Intelligence",INDEX(D04_Classes!$BW$3:$BW$102,MATCH(C_Input!AI81,D04_Classes!$B$3:$B$102,0),1)),0)&gt;0,Intelligence&gt;12)),"yes","no")</f>
        <v>yes</v>
      </c>
      <c r="AS81" s="253" t="str">
        <f>IF(OR(IFERROR(SEARCH("Wisdom",INDEX(D04_Classes!$BW$3:$BW$102,MATCH(C_Input!AI81,D04_Classes!$B$3:$B$102,0),1)),0)=0,AND(IFERROR(SEARCH("Wisdom",INDEX(D04_Classes!$BW$3:$BW$102,MATCH(C_Input!AI81,D04_Classes!$B$3:$B$102,0),1)),0)&gt;0,Wisdom&gt;12)),"yes","no")</f>
        <v>yes</v>
      </c>
      <c r="AT81" s="253" t="str">
        <f>IF(OR(IFERROR(SEARCH("Charisma",INDEX(D04_Classes!$BW$3:$BW$102,MATCH(C_Input!AI81,D04_Classes!$B$3:$B$102,0),1)),0)=0,AND(IFERROR(SEARCH("Charisma",INDEX(D04_Classes!$BW$3:$BW$102,MATCH(C_Input!AI81,D04_Classes!$B$3:$B$102,0),1)),0)&gt;0,Charisma&gt;12)),"yes","no")</f>
        <v>yes</v>
      </c>
      <c r="AU81" s="253">
        <f t="shared" si="18"/>
        <v>0</v>
      </c>
      <c r="AV81" s="253">
        <f>IF(AU81=0,0,COUNTIF($AV$15:AV80,"&gt;0")+1)</f>
        <v>0</v>
      </c>
      <c r="AX81" s="255" t="str">
        <f t="shared" si="22"/>
        <v/>
      </c>
      <c r="AY81" s="255" t="str">
        <f t="shared" si="19"/>
        <v/>
      </c>
      <c r="BD81" s="254" t="str">
        <f t="shared" si="23"/>
        <v/>
      </c>
      <c r="BE81" s="254" t="str">
        <f>IFERROR(INDEX(D01_Races!$B$2:$B$101,MATCH(C_Input!BD81,D01_Races!$C$2:$C$101,0),1),"")</f>
        <v/>
      </c>
      <c r="BF81" s="252" t="str">
        <f t="shared" si="24"/>
        <v/>
      </c>
      <c r="BG81" s="252" t="str">
        <f>IFERROR(IF(BF81="","",INDEX(D01_Races!$E$2:$E$101,MATCH(C_Input!BF81,D01_Races!$D$2:$D$101,0),1)),"")</f>
        <v/>
      </c>
      <c r="BH81" s="252" t="str">
        <f>IFERROR(IF(BF81="","",INDEX(D01_Races!$A$2:$A$101,MATCH(C_Input!BF81,D01_Races!$D$2:$D$101,0),1)),"")</f>
        <v/>
      </c>
    </row>
    <row r="82" spans="1:60" ht="15.95" customHeight="1" outlineLevel="1" x14ac:dyDescent="0.3">
      <c r="A82" s="152"/>
      <c r="B82" s="717" t="s">
        <v>2224</v>
      </c>
      <c r="C82" s="717"/>
      <c r="D82" s="877" t="str">
        <f>IFERROR(INDEX(D02_Background!$E$2:$E$102,SelectedBackgroundId,1),"")</f>
        <v>Deception</v>
      </c>
      <c r="E82" s="877"/>
      <c r="F82" s="877"/>
      <c r="G82" s="283"/>
      <c r="H82" s="283"/>
      <c r="I82" s="283"/>
      <c r="J82" s="283"/>
      <c r="K82" s="283"/>
      <c r="L82" s="283"/>
      <c r="M82" s="717" t="str">
        <f>C_Variables!AQ192</f>
        <v>Skill1</v>
      </c>
      <c r="N82" s="717"/>
      <c r="O82" s="718"/>
      <c r="P82" s="718"/>
      <c r="Q82" s="718"/>
      <c r="R82" s="283"/>
      <c r="S82" s="715" t="s">
        <v>2279</v>
      </c>
      <c r="T82" s="715"/>
      <c r="U82" s="715"/>
      <c r="V82" s="715"/>
      <c r="W82" s="715"/>
      <c r="X82" s="152"/>
      <c r="AD82" s="152"/>
      <c r="AE82" s="152"/>
      <c r="AF82" s="171"/>
      <c r="AH82" s="253" t="str">
        <f t="shared" si="20"/>
        <v/>
      </c>
      <c r="AI82" s="253" t="str">
        <f>IFERROR(INDEX(D04_Classes!$B$3:$B$102,AH82,1),"")</f>
        <v/>
      </c>
      <c r="AJ82" s="253" t="str">
        <f t="shared" si="17"/>
        <v/>
      </c>
      <c r="AK82" s="253">
        <f t="shared" si="21"/>
        <v>0</v>
      </c>
      <c r="AL82" s="253">
        <f>IF(AK82=0,0,COUNTIF($AL$15:AL81,"&gt;0")+1)</f>
        <v>0</v>
      </c>
      <c r="AM82" s="253">
        <f>IF(IFERROR(SEARCH("and",INDEX(D04_Classes!$BW$3:$BW$102,MATCH(C_Input!AI82,D04_Classes!$B$3:$B$102,0),1)),0)&gt;1,1,0)</f>
        <v>0</v>
      </c>
      <c r="AN82" s="253">
        <f>IF(IFERROR(SEARCH("or",INDEX(D04_Classes!$BW$3:$BW$102,MATCH(C_Input!AI82,D04_Classes!$B$3:$B$102,0),1)),0)&gt;1,1,0)</f>
        <v>0</v>
      </c>
      <c r="AO82" s="253" t="str">
        <f>IF(OR(IFERROR(SEARCH("Strength",INDEX(D04_Classes!$BW$3:$BW$102,MATCH(C_Input!AI82,D04_Classes!$B$3:$B$102,0),1)),0)=0,AND(IFERROR(SEARCH("Strength",INDEX(D04_Classes!$BW$3:$BW$102,MATCH(C_Input!AI82,D04_Classes!$B$3:$B$102,0),1)),0)&gt;0,Strength&gt;12)),"yes","no")</f>
        <v>yes</v>
      </c>
      <c r="AP82" s="253" t="str">
        <f>IF(OR(IFERROR(SEARCH("Dexterity",INDEX(D04_Classes!$BW$3:$BW$102,MATCH(C_Input!AI82,D04_Classes!$B$3:$B$102,0),1)),0)=0,AND(IFERROR(SEARCH("Dexterity",INDEX(D04_Classes!$BW$3:$BW$102,MATCH(C_Input!AI82,D04_Classes!$B$3:$B$102,0),1)),0)&gt;0,Dexterity&gt;12)),"yes","no")</f>
        <v>yes</v>
      </c>
      <c r="AQ82" s="253" t="str">
        <f>IF(OR(IFERROR(SEARCH("Constitution",INDEX(D04_Classes!$BW$3:$BW$102,MATCH(C_Input!AI82,D04_Classes!$B$3:$B$102,0),1)),0)=0,AND(IFERROR(SEARCH("Constitution",INDEX(D04_Classes!$BW$3:$BW$102,MATCH(C_Input!AI82,D04_Classes!$B$3:$B$102,0),1)),0)&gt;0,Constitution&gt;12)),"yes","no")</f>
        <v>yes</v>
      </c>
      <c r="AR82" s="253" t="str">
        <f>IF(OR(IFERROR(SEARCH("Intelligence",INDEX(D04_Classes!$BW$3:$BW$102,MATCH(C_Input!AI82,D04_Classes!$B$3:$B$102,0),1)),0)=0,AND(IFERROR(SEARCH("Intelligence",INDEX(D04_Classes!$BW$3:$BW$102,MATCH(C_Input!AI82,D04_Classes!$B$3:$B$102,0),1)),0)&gt;0,Intelligence&gt;12)),"yes","no")</f>
        <v>yes</v>
      </c>
      <c r="AS82" s="253" t="str">
        <f>IF(OR(IFERROR(SEARCH("Wisdom",INDEX(D04_Classes!$BW$3:$BW$102,MATCH(C_Input!AI82,D04_Classes!$B$3:$B$102,0),1)),0)=0,AND(IFERROR(SEARCH("Wisdom",INDEX(D04_Classes!$BW$3:$BW$102,MATCH(C_Input!AI82,D04_Classes!$B$3:$B$102,0),1)),0)&gt;0,Wisdom&gt;12)),"yes","no")</f>
        <v>yes</v>
      </c>
      <c r="AT82" s="253" t="str">
        <f>IF(OR(IFERROR(SEARCH("Charisma",INDEX(D04_Classes!$BW$3:$BW$102,MATCH(C_Input!AI82,D04_Classes!$B$3:$B$102,0),1)),0)=0,AND(IFERROR(SEARCH("Charisma",INDEX(D04_Classes!$BW$3:$BW$102,MATCH(C_Input!AI82,D04_Classes!$B$3:$B$102,0),1)),0)&gt;0,Charisma&gt;12)),"yes","no")</f>
        <v>yes</v>
      </c>
      <c r="AU82" s="253">
        <f t="shared" si="18"/>
        <v>0</v>
      </c>
      <c r="AV82" s="253">
        <f>IF(AU82=0,0,COUNTIF($AV$15:AV81,"&gt;0")+1)</f>
        <v>0</v>
      </c>
      <c r="AX82" s="255" t="str">
        <f t="shared" si="22"/>
        <v/>
      </c>
      <c r="AY82" s="255" t="str">
        <f t="shared" si="19"/>
        <v/>
      </c>
      <c r="BD82" s="254" t="str">
        <f t="shared" si="23"/>
        <v/>
      </c>
      <c r="BE82" s="254" t="str">
        <f>IFERROR(INDEX(D01_Races!$B$2:$B$101,MATCH(C_Input!BD82,D01_Races!$C$2:$C$101,0),1),"")</f>
        <v/>
      </c>
      <c r="BF82" s="252" t="str">
        <f t="shared" si="24"/>
        <v/>
      </c>
      <c r="BG82" s="252" t="str">
        <f>IFERROR(IF(BF82="","",INDEX(D01_Races!$E$2:$E$101,MATCH(C_Input!BF82,D01_Races!$D$2:$D$101,0),1)),"")</f>
        <v/>
      </c>
      <c r="BH82" s="252" t="str">
        <f>IFERROR(IF(BF82="","",INDEX(D01_Races!$A$2:$A$101,MATCH(C_Input!BF82,D01_Races!$D$2:$D$101,0),1)),"")</f>
        <v/>
      </c>
    </row>
    <row r="83" spans="1:60" ht="15.95" customHeight="1" outlineLevel="1" x14ac:dyDescent="0.3">
      <c r="A83" s="152"/>
      <c r="B83" s="717"/>
      <c r="C83" s="717"/>
      <c r="D83" s="877"/>
      <c r="E83" s="877"/>
      <c r="F83" s="877"/>
      <c r="G83" s="283"/>
      <c r="H83" s="283"/>
      <c r="I83" s="283"/>
      <c r="J83" s="283"/>
      <c r="K83" s="283"/>
      <c r="L83" s="283"/>
      <c r="M83" s="717"/>
      <c r="N83" s="717"/>
      <c r="O83" s="718"/>
      <c r="P83" s="718"/>
      <c r="Q83" s="718"/>
      <c r="R83" s="283"/>
      <c r="S83" s="715"/>
      <c r="T83" s="715"/>
      <c r="U83" s="715"/>
      <c r="V83" s="715"/>
      <c r="W83" s="715"/>
      <c r="X83" s="152"/>
      <c r="AD83" s="152"/>
      <c r="AE83" s="152"/>
      <c r="AF83" s="171"/>
      <c r="AH83" s="253" t="str">
        <f t="shared" si="20"/>
        <v/>
      </c>
      <c r="AI83" s="253" t="str">
        <f>IFERROR(INDEX(D04_Classes!$B$3:$B$102,AH83,1),"")</f>
        <v/>
      </c>
      <c r="AJ83" s="253" t="str">
        <f t="shared" si="17"/>
        <v/>
      </c>
      <c r="AK83" s="253">
        <f t="shared" si="21"/>
        <v>0</v>
      </c>
      <c r="AL83" s="253">
        <f>IF(AK83=0,0,COUNTIF($AL$15:AL82,"&gt;0")+1)</f>
        <v>0</v>
      </c>
      <c r="AM83" s="253">
        <f>IF(IFERROR(SEARCH("and",INDEX(D04_Classes!$BW$3:$BW$102,MATCH(C_Input!AI83,D04_Classes!$B$3:$B$102,0),1)),0)&gt;1,1,0)</f>
        <v>0</v>
      </c>
      <c r="AN83" s="253">
        <f>IF(IFERROR(SEARCH("or",INDEX(D04_Classes!$BW$3:$BW$102,MATCH(C_Input!AI83,D04_Classes!$B$3:$B$102,0),1)),0)&gt;1,1,0)</f>
        <v>0</v>
      </c>
      <c r="AO83" s="253" t="str">
        <f>IF(OR(IFERROR(SEARCH("Strength",INDEX(D04_Classes!$BW$3:$BW$102,MATCH(C_Input!AI83,D04_Classes!$B$3:$B$102,0),1)),0)=0,AND(IFERROR(SEARCH("Strength",INDEX(D04_Classes!$BW$3:$BW$102,MATCH(C_Input!AI83,D04_Classes!$B$3:$B$102,0),1)),0)&gt;0,Strength&gt;12)),"yes","no")</f>
        <v>yes</v>
      </c>
      <c r="AP83" s="253" t="str">
        <f>IF(OR(IFERROR(SEARCH("Dexterity",INDEX(D04_Classes!$BW$3:$BW$102,MATCH(C_Input!AI83,D04_Classes!$B$3:$B$102,0),1)),0)=0,AND(IFERROR(SEARCH("Dexterity",INDEX(D04_Classes!$BW$3:$BW$102,MATCH(C_Input!AI83,D04_Classes!$B$3:$B$102,0),1)),0)&gt;0,Dexterity&gt;12)),"yes","no")</f>
        <v>yes</v>
      </c>
      <c r="AQ83" s="253" t="str">
        <f>IF(OR(IFERROR(SEARCH("Constitution",INDEX(D04_Classes!$BW$3:$BW$102,MATCH(C_Input!AI83,D04_Classes!$B$3:$B$102,0),1)),0)=0,AND(IFERROR(SEARCH("Constitution",INDEX(D04_Classes!$BW$3:$BW$102,MATCH(C_Input!AI83,D04_Classes!$B$3:$B$102,0),1)),0)&gt;0,Constitution&gt;12)),"yes","no")</f>
        <v>yes</v>
      </c>
      <c r="AR83" s="253" t="str">
        <f>IF(OR(IFERROR(SEARCH("Intelligence",INDEX(D04_Classes!$BW$3:$BW$102,MATCH(C_Input!AI83,D04_Classes!$B$3:$B$102,0),1)),0)=0,AND(IFERROR(SEARCH("Intelligence",INDEX(D04_Classes!$BW$3:$BW$102,MATCH(C_Input!AI83,D04_Classes!$B$3:$B$102,0),1)),0)&gt;0,Intelligence&gt;12)),"yes","no")</f>
        <v>yes</v>
      </c>
      <c r="AS83" s="253" t="str">
        <f>IF(OR(IFERROR(SEARCH("Wisdom",INDEX(D04_Classes!$BW$3:$BW$102,MATCH(C_Input!AI83,D04_Classes!$B$3:$B$102,0),1)),0)=0,AND(IFERROR(SEARCH("Wisdom",INDEX(D04_Classes!$BW$3:$BW$102,MATCH(C_Input!AI83,D04_Classes!$B$3:$B$102,0),1)),0)&gt;0,Wisdom&gt;12)),"yes","no")</f>
        <v>yes</v>
      </c>
      <c r="AT83" s="253" t="str">
        <f>IF(OR(IFERROR(SEARCH("Charisma",INDEX(D04_Classes!$BW$3:$BW$102,MATCH(C_Input!AI83,D04_Classes!$B$3:$B$102,0),1)),0)=0,AND(IFERROR(SEARCH("Charisma",INDEX(D04_Classes!$BW$3:$BW$102,MATCH(C_Input!AI83,D04_Classes!$B$3:$B$102,0),1)),0)&gt;0,Charisma&gt;12)),"yes","no")</f>
        <v>yes</v>
      </c>
      <c r="AU83" s="253">
        <f t="shared" si="18"/>
        <v>0</v>
      </c>
      <c r="AV83" s="253">
        <f>IF(AU83=0,0,COUNTIF($AV$15:AV82,"&gt;0")+1)</f>
        <v>0</v>
      </c>
      <c r="AX83" s="255" t="str">
        <f t="shared" si="22"/>
        <v/>
      </c>
      <c r="AY83" s="255" t="str">
        <f t="shared" si="19"/>
        <v/>
      </c>
      <c r="BD83" s="254" t="str">
        <f t="shared" si="23"/>
        <v/>
      </c>
      <c r="BE83" s="254" t="str">
        <f>IFERROR(INDEX(D01_Races!$B$2:$B$101,MATCH(C_Input!BD83,D01_Races!$C$2:$C$101,0),1),"")</f>
        <v/>
      </c>
      <c r="BF83" s="252" t="str">
        <f t="shared" si="24"/>
        <v/>
      </c>
      <c r="BG83" s="252" t="str">
        <f>IFERROR(IF(BF83="","",INDEX(D01_Races!$E$2:$E$101,MATCH(C_Input!BF83,D01_Races!$D$2:$D$101,0),1)),"")</f>
        <v/>
      </c>
      <c r="BH83" s="252" t="str">
        <f>IFERROR(IF(BF83="","",INDEX(D01_Races!$A$2:$A$101,MATCH(C_Input!BF83,D01_Races!$D$2:$D$101,0),1)),"")</f>
        <v/>
      </c>
    </row>
    <row r="84" spans="1:60" ht="15.95" customHeight="1" outlineLevel="1" x14ac:dyDescent="0.3">
      <c r="A84" s="152"/>
      <c r="B84" s="717" t="s">
        <v>2224</v>
      </c>
      <c r="C84" s="717"/>
      <c r="D84" s="877" t="str">
        <f>IFERROR(INDEX(D02_Background!$F$2:$F$102,SelectedBackgroundId,1),"")</f>
        <v>Stealth</v>
      </c>
      <c r="E84" s="877"/>
      <c r="F84" s="877"/>
      <c r="G84" s="283"/>
      <c r="H84" s="875" t="s">
        <v>2226</v>
      </c>
      <c r="I84" s="875"/>
      <c r="J84" s="874" t="str">
        <f>IFERROR(INDEX(D04_Classes!N3:N102,SelectedClassID,1),"")</f>
        <v/>
      </c>
      <c r="K84" s="874"/>
      <c r="L84" s="283"/>
      <c r="M84" s="717" t="str">
        <f>C_Variables!AW192</f>
        <v>Skill2</v>
      </c>
      <c r="N84" s="717"/>
      <c r="O84" s="718"/>
      <c r="P84" s="718"/>
      <c r="Q84" s="718"/>
      <c r="R84" s="283"/>
      <c r="S84" s="717" t="s">
        <v>4410</v>
      </c>
      <c r="T84" s="717"/>
      <c r="U84" s="820"/>
      <c r="V84" s="820"/>
      <c r="W84" s="820"/>
      <c r="X84" s="152"/>
      <c r="AD84" s="152"/>
      <c r="AE84" s="152"/>
      <c r="AF84" s="171"/>
      <c r="AH84" s="253" t="str">
        <f t="shared" si="20"/>
        <v/>
      </c>
      <c r="AI84" s="253" t="str">
        <f>IFERROR(INDEX(D04_Classes!$B$3:$B$102,AH84,1),"")</f>
        <v/>
      </c>
      <c r="AJ84" s="253" t="str">
        <f t="shared" si="17"/>
        <v/>
      </c>
      <c r="AK84" s="253">
        <f t="shared" si="21"/>
        <v>0</v>
      </c>
      <c r="AL84" s="253">
        <f>IF(AK84=0,0,COUNTIF($AL$15:AL83,"&gt;0")+1)</f>
        <v>0</v>
      </c>
      <c r="AM84" s="253">
        <f>IF(IFERROR(SEARCH("and",INDEX(D04_Classes!$BW$3:$BW$102,MATCH(C_Input!AI84,D04_Classes!$B$3:$B$102,0),1)),0)&gt;1,1,0)</f>
        <v>0</v>
      </c>
      <c r="AN84" s="253">
        <f>IF(IFERROR(SEARCH("or",INDEX(D04_Classes!$BW$3:$BW$102,MATCH(C_Input!AI84,D04_Classes!$B$3:$B$102,0),1)),0)&gt;1,1,0)</f>
        <v>0</v>
      </c>
      <c r="AO84" s="253" t="str">
        <f>IF(OR(IFERROR(SEARCH("Strength",INDEX(D04_Classes!$BW$3:$BW$102,MATCH(C_Input!AI84,D04_Classes!$B$3:$B$102,0),1)),0)=0,AND(IFERROR(SEARCH("Strength",INDEX(D04_Classes!$BW$3:$BW$102,MATCH(C_Input!AI84,D04_Classes!$B$3:$B$102,0),1)),0)&gt;0,Strength&gt;12)),"yes","no")</f>
        <v>yes</v>
      </c>
      <c r="AP84" s="253" t="str">
        <f>IF(OR(IFERROR(SEARCH("Dexterity",INDEX(D04_Classes!$BW$3:$BW$102,MATCH(C_Input!AI84,D04_Classes!$B$3:$B$102,0),1)),0)=0,AND(IFERROR(SEARCH("Dexterity",INDEX(D04_Classes!$BW$3:$BW$102,MATCH(C_Input!AI84,D04_Classes!$B$3:$B$102,0),1)),0)&gt;0,Dexterity&gt;12)),"yes","no")</f>
        <v>yes</v>
      </c>
      <c r="AQ84" s="253" t="str">
        <f>IF(OR(IFERROR(SEARCH("Constitution",INDEX(D04_Classes!$BW$3:$BW$102,MATCH(C_Input!AI84,D04_Classes!$B$3:$B$102,0),1)),0)=0,AND(IFERROR(SEARCH("Constitution",INDEX(D04_Classes!$BW$3:$BW$102,MATCH(C_Input!AI84,D04_Classes!$B$3:$B$102,0),1)),0)&gt;0,Constitution&gt;12)),"yes","no")</f>
        <v>yes</v>
      </c>
      <c r="AR84" s="253" t="str">
        <f>IF(OR(IFERROR(SEARCH("Intelligence",INDEX(D04_Classes!$BW$3:$BW$102,MATCH(C_Input!AI84,D04_Classes!$B$3:$B$102,0),1)),0)=0,AND(IFERROR(SEARCH("Intelligence",INDEX(D04_Classes!$BW$3:$BW$102,MATCH(C_Input!AI84,D04_Classes!$B$3:$B$102,0),1)),0)&gt;0,Intelligence&gt;12)),"yes","no")</f>
        <v>yes</v>
      </c>
      <c r="AS84" s="253" t="str">
        <f>IF(OR(IFERROR(SEARCH("Wisdom",INDEX(D04_Classes!$BW$3:$BW$102,MATCH(C_Input!AI84,D04_Classes!$B$3:$B$102,0),1)),0)=0,AND(IFERROR(SEARCH("Wisdom",INDEX(D04_Classes!$BW$3:$BW$102,MATCH(C_Input!AI84,D04_Classes!$B$3:$B$102,0),1)),0)&gt;0,Wisdom&gt;12)),"yes","no")</f>
        <v>yes</v>
      </c>
      <c r="AT84" s="253" t="str">
        <f>IF(OR(IFERROR(SEARCH("Charisma",INDEX(D04_Classes!$BW$3:$BW$102,MATCH(C_Input!AI84,D04_Classes!$B$3:$B$102,0),1)),0)=0,AND(IFERROR(SEARCH("Charisma",INDEX(D04_Classes!$BW$3:$BW$102,MATCH(C_Input!AI84,D04_Classes!$B$3:$B$102,0),1)),0)&gt;0,Charisma&gt;12)),"yes","no")</f>
        <v>yes</v>
      </c>
      <c r="AU84" s="253">
        <f t="shared" si="18"/>
        <v>0</v>
      </c>
      <c r="AV84" s="253">
        <f>IF(AU84=0,0,COUNTIF($AV$15:AV83,"&gt;0")+1)</f>
        <v>0</v>
      </c>
      <c r="AX84" s="255" t="str">
        <f t="shared" si="22"/>
        <v/>
      </c>
      <c r="AY84" s="255" t="str">
        <f t="shared" si="19"/>
        <v/>
      </c>
      <c r="BD84" s="254" t="str">
        <f t="shared" si="23"/>
        <v/>
      </c>
      <c r="BE84" s="254" t="str">
        <f>IFERROR(INDEX(D01_Races!$B$2:$B$101,MATCH(C_Input!BD84,D01_Races!$C$2:$C$101,0),1),"")</f>
        <v/>
      </c>
      <c r="BF84" s="252" t="str">
        <f t="shared" si="24"/>
        <v/>
      </c>
      <c r="BG84" s="252" t="str">
        <f>IFERROR(IF(BF84="","",INDEX(D01_Races!$E$2:$E$101,MATCH(C_Input!BF84,D01_Races!$D$2:$D$101,0),1)),"")</f>
        <v/>
      </c>
      <c r="BH84" s="252" t="str">
        <f>IFERROR(IF(BF84="","",INDEX(D01_Races!$A$2:$A$101,MATCH(C_Input!BF84,D01_Races!$D$2:$D$101,0),1)),"")</f>
        <v/>
      </c>
    </row>
    <row r="85" spans="1:60" ht="15.95" customHeight="1" outlineLevel="1" x14ac:dyDescent="0.3">
      <c r="A85" s="152"/>
      <c r="B85" s="717"/>
      <c r="C85" s="717"/>
      <c r="D85" s="877"/>
      <c r="E85" s="877"/>
      <c r="F85" s="877"/>
      <c r="G85" s="283"/>
      <c r="H85" s="875"/>
      <c r="I85" s="875"/>
      <c r="J85" s="874"/>
      <c r="K85" s="874"/>
      <c r="L85" s="283"/>
      <c r="M85" s="717"/>
      <c r="N85" s="717"/>
      <c r="O85" s="718"/>
      <c r="P85" s="718"/>
      <c r="Q85" s="718"/>
      <c r="R85" s="283"/>
      <c r="S85" s="717"/>
      <c r="T85" s="717"/>
      <c r="U85" s="820"/>
      <c r="V85" s="820"/>
      <c r="W85" s="820"/>
      <c r="X85" s="152"/>
      <c r="AD85" s="152"/>
      <c r="AE85" s="152"/>
      <c r="AF85" s="171"/>
      <c r="AH85" s="253" t="str">
        <f t="shared" si="20"/>
        <v/>
      </c>
      <c r="AI85" s="253" t="str">
        <f>IFERROR(INDEX(D04_Classes!$B$3:$B$102,AH85,1),"")</f>
        <v/>
      </c>
      <c r="AJ85" s="253" t="str">
        <f t="shared" si="17"/>
        <v/>
      </c>
      <c r="AK85" s="253">
        <f t="shared" si="21"/>
        <v>0</v>
      </c>
      <c r="AL85" s="253">
        <f>IF(AK85=0,0,COUNTIF($AL$15:AL84,"&gt;0")+1)</f>
        <v>0</v>
      </c>
      <c r="AM85" s="253">
        <f>IF(IFERROR(SEARCH("and",INDEX(D04_Classes!$BW$3:$BW$102,MATCH(C_Input!AI85,D04_Classes!$B$3:$B$102,0),1)),0)&gt;1,1,0)</f>
        <v>0</v>
      </c>
      <c r="AN85" s="253">
        <f>IF(IFERROR(SEARCH("or",INDEX(D04_Classes!$BW$3:$BW$102,MATCH(C_Input!AI85,D04_Classes!$B$3:$B$102,0),1)),0)&gt;1,1,0)</f>
        <v>0</v>
      </c>
      <c r="AO85" s="253" t="str">
        <f>IF(OR(IFERROR(SEARCH("Strength",INDEX(D04_Classes!$BW$3:$BW$102,MATCH(C_Input!AI85,D04_Classes!$B$3:$B$102,0),1)),0)=0,AND(IFERROR(SEARCH("Strength",INDEX(D04_Classes!$BW$3:$BW$102,MATCH(C_Input!AI85,D04_Classes!$B$3:$B$102,0),1)),0)&gt;0,Strength&gt;12)),"yes","no")</f>
        <v>yes</v>
      </c>
      <c r="AP85" s="253" t="str">
        <f>IF(OR(IFERROR(SEARCH("Dexterity",INDEX(D04_Classes!$BW$3:$BW$102,MATCH(C_Input!AI85,D04_Classes!$B$3:$B$102,0),1)),0)=0,AND(IFERROR(SEARCH("Dexterity",INDEX(D04_Classes!$BW$3:$BW$102,MATCH(C_Input!AI85,D04_Classes!$B$3:$B$102,0),1)),0)&gt;0,Dexterity&gt;12)),"yes","no")</f>
        <v>yes</v>
      </c>
      <c r="AQ85" s="253" t="str">
        <f>IF(OR(IFERROR(SEARCH("Constitution",INDEX(D04_Classes!$BW$3:$BW$102,MATCH(C_Input!AI85,D04_Classes!$B$3:$B$102,0),1)),0)=0,AND(IFERROR(SEARCH("Constitution",INDEX(D04_Classes!$BW$3:$BW$102,MATCH(C_Input!AI85,D04_Classes!$B$3:$B$102,0),1)),0)&gt;0,Constitution&gt;12)),"yes","no")</f>
        <v>yes</v>
      </c>
      <c r="AR85" s="253" t="str">
        <f>IF(OR(IFERROR(SEARCH("Intelligence",INDEX(D04_Classes!$BW$3:$BW$102,MATCH(C_Input!AI85,D04_Classes!$B$3:$B$102,0),1)),0)=0,AND(IFERROR(SEARCH("Intelligence",INDEX(D04_Classes!$BW$3:$BW$102,MATCH(C_Input!AI85,D04_Classes!$B$3:$B$102,0),1)),0)&gt;0,Intelligence&gt;12)),"yes","no")</f>
        <v>yes</v>
      </c>
      <c r="AS85" s="253" t="str">
        <f>IF(OR(IFERROR(SEARCH("Wisdom",INDEX(D04_Classes!$BW$3:$BW$102,MATCH(C_Input!AI85,D04_Classes!$B$3:$B$102,0),1)),0)=0,AND(IFERROR(SEARCH("Wisdom",INDEX(D04_Classes!$BW$3:$BW$102,MATCH(C_Input!AI85,D04_Classes!$B$3:$B$102,0),1)),0)&gt;0,Wisdom&gt;12)),"yes","no")</f>
        <v>yes</v>
      </c>
      <c r="AT85" s="253" t="str">
        <f>IF(OR(IFERROR(SEARCH("Charisma",INDEX(D04_Classes!$BW$3:$BW$102,MATCH(C_Input!AI85,D04_Classes!$B$3:$B$102,0),1)),0)=0,AND(IFERROR(SEARCH("Charisma",INDEX(D04_Classes!$BW$3:$BW$102,MATCH(C_Input!AI85,D04_Classes!$B$3:$B$102,0),1)),0)&gt;0,Charisma&gt;12)),"yes","no")</f>
        <v>yes</v>
      </c>
      <c r="AU85" s="253">
        <f t="shared" si="18"/>
        <v>0</v>
      </c>
      <c r="AV85" s="253">
        <f>IF(AU85=0,0,COUNTIF($AV$15:AV84,"&gt;0")+1)</f>
        <v>0</v>
      </c>
      <c r="AX85" s="255" t="str">
        <f t="shared" si="22"/>
        <v/>
      </c>
      <c r="AY85" s="255" t="str">
        <f t="shared" si="19"/>
        <v/>
      </c>
      <c r="BD85" s="254" t="str">
        <f t="shared" si="23"/>
        <v/>
      </c>
      <c r="BE85" s="254" t="str">
        <f>IFERROR(INDEX(D01_Races!$B$2:$B$101,MATCH(C_Input!BD85,D01_Races!$C$2:$C$101,0),1),"")</f>
        <v/>
      </c>
      <c r="BF85" s="252" t="str">
        <f t="shared" si="24"/>
        <v/>
      </c>
      <c r="BG85" s="252" t="str">
        <f>IFERROR(IF(BF85="","",INDEX(D01_Races!$E$2:$E$101,MATCH(C_Input!BF85,D01_Races!$D$2:$D$101,0),1)),"")</f>
        <v/>
      </c>
      <c r="BH85" s="252" t="str">
        <f>IFERROR(IF(BF85="","",INDEX(D01_Races!$A$2:$A$101,MATCH(C_Input!BF85,D01_Races!$D$2:$D$101,0),1)),"")</f>
        <v/>
      </c>
    </row>
    <row r="86" spans="1:60" ht="15.95" customHeight="1" outlineLevel="1" x14ac:dyDescent="0.3">
      <c r="A86" s="152"/>
      <c r="B86" s="717" t="s">
        <v>2223</v>
      </c>
      <c r="C86" s="717"/>
      <c r="D86" s="877" t="str">
        <f>IFERROR(IF(INDEX(D01_Races!$AP$2:$AP$101,SelectedRaceID,1)=0,"n/a",INDEX(D01_Races!$AP$2:$AP$101,SelectedRaceID,1)),"")</f>
        <v>Perception</v>
      </c>
      <c r="E86" s="877"/>
      <c r="F86" s="877"/>
      <c r="G86" s="283"/>
      <c r="H86" s="283"/>
      <c r="I86" s="283"/>
      <c r="J86" s="283"/>
      <c r="K86" s="283"/>
      <c r="L86" s="283"/>
      <c r="M86" s="717" t="str">
        <f>C_Variables!BC192</f>
        <v>Skill3</v>
      </c>
      <c r="N86" s="717"/>
      <c r="O86" s="718"/>
      <c r="P86" s="718"/>
      <c r="Q86" s="718"/>
      <c r="R86" s="283"/>
      <c r="S86" s="717" t="s">
        <v>4411</v>
      </c>
      <c r="T86" s="717"/>
      <c r="U86" s="820"/>
      <c r="V86" s="820"/>
      <c r="W86" s="820"/>
      <c r="X86" s="152"/>
      <c r="AD86" s="152"/>
      <c r="AE86" s="152"/>
      <c r="AF86" s="171"/>
      <c r="AH86" s="253" t="str">
        <f t="shared" si="20"/>
        <v/>
      </c>
      <c r="AI86" s="253" t="str">
        <f>IFERROR(INDEX(D04_Classes!$B$3:$B$102,AH86,1),"")</f>
        <v/>
      </c>
      <c r="AJ86" s="253" t="str">
        <f t="shared" si="17"/>
        <v/>
      </c>
      <c r="AK86" s="253">
        <f t="shared" si="21"/>
        <v>0</v>
      </c>
      <c r="AL86" s="253">
        <f>IF(AK86=0,0,COUNTIF($AL$15:AL85,"&gt;0")+1)</f>
        <v>0</v>
      </c>
      <c r="AM86" s="253">
        <f>IF(IFERROR(SEARCH("and",INDEX(D04_Classes!$BW$3:$BW$102,MATCH(C_Input!AI86,D04_Classes!$B$3:$B$102,0),1)),0)&gt;1,1,0)</f>
        <v>0</v>
      </c>
      <c r="AN86" s="253">
        <f>IF(IFERROR(SEARCH("or",INDEX(D04_Classes!$BW$3:$BW$102,MATCH(C_Input!AI86,D04_Classes!$B$3:$B$102,0),1)),0)&gt;1,1,0)</f>
        <v>0</v>
      </c>
      <c r="AO86" s="253" t="str">
        <f>IF(OR(IFERROR(SEARCH("Strength",INDEX(D04_Classes!$BW$3:$BW$102,MATCH(C_Input!AI86,D04_Classes!$B$3:$B$102,0),1)),0)=0,AND(IFERROR(SEARCH("Strength",INDEX(D04_Classes!$BW$3:$BW$102,MATCH(C_Input!AI86,D04_Classes!$B$3:$B$102,0),1)),0)&gt;0,Strength&gt;12)),"yes","no")</f>
        <v>yes</v>
      </c>
      <c r="AP86" s="253" t="str">
        <f>IF(OR(IFERROR(SEARCH("Dexterity",INDEX(D04_Classes!$BW$3:$BW$102,MATCH(C_Input!AI86,D04_Classes!$B$3:$B$102,0),1)),0)=0,AND(IFERROR(SEARCH("Dexterity",INDEX(D04_Classes!$BW$3:$BW$102,MATCH(C_Input!AI86,D04_Classes!$B$3:$B$102,0),1)),0)&gt;0,Dexterity&gt;12)),"yes","no")</f>
        <v>yes</v>
      </c>
      <c r="AQ86" s="253" t="str">
        <f>IF(OR(IFERROR(SEARCH("Constitution",INDEX(D04_Classes!$BW$3:$BW$102,MATCH(C_Input!AI86,D04_Classes!$B$3:$B$102,0),1)),0)=0,AND(IFERROR(SEARCH("Constitution",INDEX(D04_Classes!$BW$3:$BW$102,MATCH(C_Input!AI86,D04_Classes!$B$3:$B$102,0),1)),0)&gt;0,Constitution&gt;12)),"yes","no")</f>
        <v>yes</v>
      </c>
      <c r="AR86" s="253" t="str">
        <f>IF(OR(IFERROR(SEARCH("Intelligence",INDEX(D04_Classes!$BW$3:$BW$102,MATCH(C_Input!AI86,D04_Classes!$B$3:$B$102,0),1)),0)=0,AND(IFERROR(SEARCH("Intelligence",INDEX(D04_Classes!$BW$3:$BW$102,MATCH(C_Input!AI86,D04_Classes!$B$3:$B$102,0),1)),0)&gt;0,Intelligence&gt;12)),"yes","no")</f>
        <v>yes</v>
      </c>
      <c r="AS86" s="253" t="str">
        <f>IF(OR(IFERROR(SEARCH("Wisdom",INDEX(D04_Classes!$BW$3:$BW$102,MATCH(C_Input!AI86,D04_Classes!$B$3:$B$102,0),1)),0)=0,AND(IFERROR(SEARCH("Wisdom",INDEX(D04_Classes!$BW$3:$BW$102,MATCH(C_Input!AI86,D04_Classes!$B$3:$B$102,0),1)),0)&gt;0,Wisdom&gt;12)),"yes","no")</f>
        <v>yes</v>
      </c>
      <c r="AT86" s="253" t="str">
        <f>IF(OR(IFERROR(SEARCH("Charisma",INDEX(D04_Classes!$BW$3:$BW$102,MATCH(C_Input!AI86,D04_Classes!$B$3:$B$102,0),1)),0)=0,AND(IFERROR(SEARCH("Charisma",INDEX(D04_Classes!$BW$3:$BW$102,MATCH(C_Input!AI86,D04_Classes!$B$3:$B$102,0),1)),0)&gt;0,Charisma&gt;12)),"yes","no")</f>
        <v>yes</v>
      </c>
      <c r="AU86" s="253">
        <f t="shared" si="18"/>
        <v>0</v>
      </c>
      <c r="AV86" s="253">
        <f>IF(AU86=0,0,COUNTIF($AV$15:AV85,"&gt;0")+1)</f>
        <v>0</v>
      </c>
      <c r="AX86" s="255" t="str">
        <f t="shared" si="22"/>
        <v/>
      </c>
      <c r="AY86" s="255" t="str">
        <f t="shared" si="19"/>
        <v/>
      </c>
      <c r="BD86" s="254" t="str">
        <f t="shared" si="23"/>
        <v/>
      </c>
      <c r="BE86" s="254" t="str">
        <f>IFERROR(INDEX(D01_Races!$B$2:$B$101,MATCH(C_Input!BD86,D01_Races!$C$2:$C$101,0),1),"")</f>
        <v/>
      </c>
      <c r="BF86" s="252" t="str">
        <f t="shared" si="24"/>
        <v/>
      </c>
      <c r="BG86" s="252" t="str">
        <f>IFERROR(IF(BF86="","",INDEX(D01_Races!$E$2:$E$101,MATCH(C_Input!BF86,D01_Races!$D$2:$D$101,0),1)),"")</f>
        <v/>
      </c>
      <c r="BH86" s="252" t="str">
        <f>IFERROR(IF(BF86="","",INDEX(D01_Races!$A$2:$A$101,MATCH(C_Input!BF86,D01_Races!$D$2:$D$101,0),1)),"")</f>
        <v/>
      </c>
    </row>
    <row r="87" spans="1:60" ht="15.95" customHeight="1" outlineLevel="1" x14ac:dyDescent="0.3">
      <c r="A87" s="152"/>
      <c r="B87" s="717"/>
      <c r="C87" s="717"/>
      <c r="D87" s="877"/>
      <c r="E87" s="877"/>
      <c r="F87" s="877"/>
      <c r="G87" s="283"/>
      <c r="H87" s="875" t="s">
        <v>4148</v>
      </c>
      <c r="I87" s="875"/>
      <c r="J87" s="876" t="str">
        <f>IFERROR(J84-IF(D88="",0,1)-IF(D90="",0,1)-IF(OR(SelectedSkill8="n/a",SelectedSkill8=""),0,1)-IF(OR(SelectedSkill9="n/a",SelectedSkill9=""),0,1),"")</f>
        <v/>
      </c>
      <c r="K87" s="876"/>
      <c r="L87" s="283"/>
      <c r="M87" s="717"/>
      <c r="N87" s="717"/>
      <c r="O87" s="718"/>
      <c r="P87" s="718"/>
      <c r="Q87" s="718"/>
      <c r="R87" s="283"/>
      <c r="S87" s="717"/>
      <c r="T87" s="717"/>
      <c r="U87" s="820"/>
      <c r="V87" s="820"/>
      <c r="W87" s="820"/>
      <c r="X87" s="152"/>
      <c r="AD87" s="152"/>
      <c r="AE87" s="152"/>
      <c r="AF87" s="171"/>
      <c r="AH87" s="253" t="str">
        <f t="shared" si="20"/>
        <v/>
      </c>
      <c r="AI87" s="253" t="str">
        <f>IFERROR(INDEX(D04_Classes!$B$3:$B$102,AH87,1),"")</f>
        <v/>
      </c>
      <c r="AJ87" s="253" t="str">
        <f t="shared" si="17"/>
        <v/>
      </c>
      <c r="AK87" s="253">
        <f t="shared" si="21"/>
        <v>0</v>
      </c>
      <c r="AL87" s="253">
        <f>IF(AK87=0,0,COUNTIF($AL$15:AL86,"&gt;0")+1)</f>
        <v>0</v>
      </c>
      <c r="AM87" s="253">
        <f>IF(IFERROR(SEARCH("and",INDEX(D04_Classes!$BW$3:$BW$102,MATCH(C_Input!AI87,D04_Classes!$B$3:$B$102,0),1)),0)&gt;1,1,0)</f>
        <v>0</v>
      </c>
      <c r="AN87" s="253">
        <f>IF(IFERROR(SEARCH("or",INDEX(D04_Classes!$BW$3:$BW$102,MATCH(C_Input!AI87,D04_Classes!$B$3:$B$102,0),1)),0)&gt;1,1,0)</f>
        <v>0</v>
      </c>
      <c r="AO87" s="253" t="str">
        <f>IF(OR(IFERROR(SEARCH("Strength",INDEX(D04_Classes!$BW$3:$BW$102,MATCH(C_Input!AI87,D04_Classes!$B$3:$B$102,0),1)),0)=0,AND(IFERROR(SEARCH("Strength",INDEX(D04_Classes!$BW$3:$BW$102,MATCH(C_Input!AI87,D04_Classes!$B$3:$B$102,0),1)),0)&gt;0,Strength&gt;12)),"yes","no")</f>
        <v>yes</v>
      </c>
      <c r="AP87" s="253" t="str">
        <f>IF(OR(IFERROR(SEARCH("Dexterity",INDEX(D04_Classes!$BW$3:$BW$102,MATCH(C_Input!AI87,D04_Classes!$B$3:$B$102,0),1)),0)=0,AND(IFERROR(SEARCH("Dexterity",INDEX(D04_Classes!$BW$3:$BW$102,MATCH(C_Input!AI87,D04_Classes!$B$3:$B$102,0),1)),0)&gt;0,Dexterity&gt;12)),"yes","no")</f>
        <v>yes</v>
      </c>
      <c r="AQ87" s="253" t="str">
        <f>IF(OR(IFERROR(SEARCH("Constitution",INDEX(D04_Classes!$BW$3:$BW$102,MATCH(C_Input!AI87,D04_Classes!$B$3:$B$102,0),1)),0)=0,AND(IFERROR(SEARCH("Constitution",INDEX(D04_Classes!$BW$3:$BW$102,MATCH(C_Input!AI87,D04_Classes!$B$3:$B$102,0),1)),0)&gt;0,Constitution&gt;12)),"yes","no")</f>
        <v>yes</v>
      </c>
      <c r="AR87" s="253" t="str">
        <f>IF(OR(IFERROR(SEARCH("Intelligence",INDEX(D04_Classes!$BW$3:$BW$102,MATCH(C_Input!AI87,D04_Classes!$B$3:$B$102,0),1)),0)=0,AND(IFERROR(SEARCH("Intelligence",INDEX(D04_Classes!$BW$3:$BW$102,MATCH(C_Input!AI87,D04_Classes!$B$3:$B$102,0),1)),0)&gt;0,Intelligence&gt;12)),"yes","no")</f>
        <v>yes</v>
      </c>
      <c r="AS87" s="253" t="str">
        <f>IF(OR(IFERROR(SEARCH("Wisdom",INDEX(D04_Classes!$BW$3:$BW$102,MATCH(C_Input!AI87,D04_Classes!$B$3:$B$102,0),1)),0)=0,AND(IFERROR(SEARCH("Wisdom",INDEX(D04_Classes!$BW$3:$BW$102,MATCH(C_Input!AI87,D04_Classes!$B$3:$B$102,0),1)),0)&gt;0,Wisdom&gt;12)),"yes","no")</f>
        <v>yes</v>
      </c>
      <c r="AT87" s="253" t="str">
        <f>IF(OR(IFERROR(SEARCH("Charisma",INDEX(D04_Classes!$BW$3:$BW$102,MATCH(C_Input!AI87,D04_Classes!$B$3:$B$102,0),1)),0)=0,AND(IFERROR(SEARCH("Charisma",INDEX(D04_Classes!$BW$3:$BW$102,MATCH(C_Input!AI87,D04_Classes!$B$3:$B$102,0),1)),0)&gt;0,Charisma&gt;12)),"yes","no")</f>
        <v>yes</v>
      </c>
      <c r="AU87" s="253">
        <f t="shared" si="18"/>
        <v>0</v>
      </c>
      <c r="AV87" s="253">
        <f>IF(AU87=0,0,COUNTIF($AV$15:AV86,"&gt;0")+1)</f>
        <v>0</v>
      </c>
      <c r="AX87" s="255" t="str">
        <f t="shared" si="22"/>
        <v/>
      </c>
      <c r="AY87" s="255" t="str">
        <f t="shared" si="19"/>
        <v/>
      </c>
      <c r="BD87" s="254" t="str">
        <f t="shared" si="23"/>
        <v/>
      </c>
      <c r="BE87" s="254" t="str">
        <f>IFERROR(INDEX(D01_Races!$B$2:$B$101,MATCH(C_Input!BD87,D01_Races!$C$2:$C$101,0),1),"")</f>
        <v/>
      </c>
      <c r="BF87" s="252" t="str">
        <f t="shared" si="24"/>
        <v/>
      </c>
      <c r="BG87" s="252" t="str">
        <f>IFERROR(IF(BF87="","",INDEX(D01_Races!$E$2:$E$101,MATCH(C_Input!BF87,D01_Races!$D$2:$D$101,0),1)),"")</f>
        <v/>
      </c>
      <c r="BH87" s="252" t="str">
        <f>IFERROR(IF(BF87="","",INDEX(D01_Races!$A$2:$A$101,MATCH(C_Input!BF87,D01_Races!$D$2:$D$101,0),1)),"")</f>
        <v/>
      </c>
    </row>
    <row r="88" spans="1:60" ht="15.95" customHeight="1" outlineLevel="1" x14ac:dyDescent="0.3">
      <c r="A88" s="152"/>
      <c r="B88" s="717" t="s">
        <v>2222</v>
      </c>
      <c r="C88" s="717"/>
      <c r="D88" s="718"/>
      <c r="E88" s="718"/>
      <c r="F88" s="718"/>
      <c r="G88" s="283"/>
      <c r="H88" s="875"/>
      <c r="I88" s="875"/>
      <c r="J88" s="876"/>
      <c r="K88" s="876"/>
      <c r="L88" s="283"/>
      <c r="M88" s="717" t="str">
        <f>C_Variables!BI192</f>
        <v>Skill4</v>
      </c>
      <c r="N88" s="717"/>
      <c r="O88" s="718"/>
      <c r="P88" s="718"/>
      <c r="Q88" s="718"/>
      <c r="R88" s="283"/>
      <c r="S88" s="717" t="s">
        <v>4412</v>
      </c>
      <c r="T88" s="717"/>
      <c r="U88" s="820"/>
      <c r="V88" s="820"/>
      <c r="W88" s="820"/>
      <c r="X88" s="152"/>
      <c r="AD88" s="152"/>
      <c r="AE88" s="152"/>
      <c r="AF88" s="171"/>
      <c r="AH88" s="253" t="str">
        <f t="shared" si="20"/>
        <v/>
      </c>
      <c r="AI88" s="253" t="str">
        <f>IFERROR(INDEX(D04_Classes!$B$3:$B$102,AH88,1),"")</f>
        <v/>
      </c>
      <c r="AJ88" s="253" t="str">
        <f t="shared" si="17"/>
        <v/>
      </c>
      <c r="AK88" s="253">
        <f t="shared" si="21"/>
        <v>0</v>
      </c>
      <c r="AL88" s="253">
        <f>IF(AK88=0,0,COUNTIF($AL$15:AL87,"&gt;0")+1)</f>
        <v>0</v>
      </c>
      <c r="AM88" s="253">
        <f>IF(IFERROR(SEARCH("and",INDEX(D04_Classes!$BW$3:$BW$102,MATCH(C_Input!AI88,D04_Classes!$B$3:$B$102,0),1)),0)&gt;1,1,0)</f>
        <v>0</v>
      </c>
      <c r="AN88" s="253">
        <f>IF(IFERROR(SEARCH("or",INDEX(D04_Classes!$BW$3:$BW$102,MATCH(C_Input!AI88,D04_Classes!$B$3:$B$102,0),1)),0)&gt;1,1,0)</f>
        <v>0</v>
      </c>
      <c r="AO88" s="253" t="str">
        <f>IF(OR(IFERROR(SEARCH("Strength",INDEX(D04_Classes!$BW$3:$BW$102,MATCH(C_Input!AI88,D04_Classes!$B$3:$B$102,0),1)),0)=0,AND(IFERROR(SEARCH("Strength",INDEX(D04_Classes!$BW$3:$BW$102,MATCH(C_Input!AI88,D04_Classes!$B$3:$B$102,0),1)),0)&gt;0,Strength&gt;12)),"yes","no")</f>
        <v>yes</v>
      </c>
      <c r="AP88" s="253" t="str">
        <f>IF(OR(IFERROR(SEARCH("Dexterity",INDEX(D04_Classes!$BW$3:$BW$102,MATCH(C_Input!AI88,D04_Classes!$B$3:$B$102,0),1)),0)=0,AND(IFERROR(SEARCH("Dexterity",INDEX(D04_Classes!$BW$3:$BW$102,MATCH(C_Input!AI88,D04_Classes!$B$3:$B$102,0),1)),0)&gt;0,Dexterity&gt;12)),"yes","no")</f>
        <v>yes</v>
      </c>
      <c r="AQ88" s="253" t="str">
        <f>IF(OR(IFERROR(SEARCH("Constitution",INDEX(D04_Classes!$BW$3:$BW$102,MATCH(C_Input!AI88,D04_Classes!$B$3:$B$102,0),1)),0)=0,AND(IFERROR(SEARCH("Constitution",INDEX(D04_Classes!$BW$3:$BW$102,MATCH(C_Input!AI88,D04_Classes!$B$3:$B$102,0),1)),0)&gt;0,Constitution&gt;12)),"yes","no")</f>
        <v>yes</v>
      </c>
      <c r="AR88" s="253" t="str">
        <f>IF(OR(IFERROR(SEARCH("Intelligence",INDEX(D04_Classes!$BW$3:$BW$102,MATCH(C_Input!AI88,D04_Classes!$B$3:$B$102,0),1)),0)=0,AND(IFERROR(SEARCH("Intelligence",INDEX(D04_Classes!$BW$3:$BW$102,MATCH(C_Input!AI88,D04_Classes!$B$3:$B$102,0),1)),0)&gt;0,Intelligence&gt;12)),"yes","no")</f>
        <v>yes</v>
      </c>
      <c r="AS88" s="253" t="str">
        <f>IF(OR(IFERROR(SEARCH("Wisdom",INDEX(D04_Classes!$BW$3:$BW$102,MATCH(C_Input!AI88,D04_Classes!$B$3:$B$102,0),1)),0)=0,AND(IFERROR(SEARCH("Wisdom",INDEX(D04_Classes!$BW$3:$BW$102,MATCH(C_Input!AI88,D04_Classes!$B$3:$B$102,0),1)),0)&gt;0,Wisdom&gt;12)),"yes","no")</f>
        <v>yes</v>
      </c>
      <c r="AT88" s="253" t="str">
        <f>IF(OR(IFERROR(SEARCH("Charisma",INDEX(D04_Classes!$BW$3:$BW$102,MATCH(C_Input!AI88,D04_Classes!$B$3:$B$102,0),1)),0)=0,AND(IFERROR(SEARCH("Charisma",INDEX(D04_Classes!$BW$3:$BW$102,MATCH(C_Input!AI88,D04_Classes!$B$3:$B$102,0),1)),0)&gt;0,Charisma&gt;12)),"yes","no")</f>
        <v>yes</v>
      </c>
      <c r="AU88" s="253">
        <f t="shared" si="18"/>
        <v>0</v>
      </c>
      <c r="AV88" s="253">
        <f>IF(AU88=0,0,COUNTIF($AV$15:AV87,"&gt;0")+1)</f>
        <v>0</v>
      </c>
      <c r="AX88" s="255" t="str">
        <f t="shared" si="22"/>
        <v/>
      </c>
      <c r="AY88" s="255" t="str">
        <f t="shared" si="19"/>
        <v/>
      </c>
      <c r="BD88" s="254" t="str">
        <f t="shared" si="23"/>
        <v/>
      </c>
      <c r="BE88" s="254" t="str">
        <f>IFERROR(INDEX(D01_Races!$B$2:$B$101,MATCH(C_Input!BD88,D01_Races!$C$2:$C$101,0),1),"")</f>
        <v/>
      </c>
      <c r="BF88" s="252" t="str">
        <f t="shared" si="24"/>
        <v/>
      </c>
      <c r="BG88" s="252" t="str">
        <f>IFERROR(IF(BF88="","",INDEX(D01_Races!$E$2:$E$101,MATCH(C_Input!BF88,D01_Races!$D$2:$D$101,0),1)),"")</f>
        <v/>
      </c>
      <c r="BH88" s="252" t="str">
        <f>IFERROR(IF(BF88="","",INDEX(D01_Races!$A$2:$A$101,MATCH(C_Input!BF88,D01_Races!$D$2:$D$101,0),1)),"")</f>
        <v/>
      </c>
    </row>
    <row r="89" spans="1:60" ht="15.95" customHeight="1" outlineLevel="1" x14ac:dyDescent="0.3">
      <c r="A89" s="152"/>
      <c r="B89" s="717"/>
      <c r="C89" s="717"/>
      <c r="D89" s="718"/>
      <c r="E89" s="718"/>
      <c r="F89" s="718"/>
      <c r="G89" s="283"/>
      <c r="H89" s="283"/>
      <c r="I89" s="283"/>
      <c r="J89" s="283"/>
      <c r="K89" s="283"/>
      <c r="L89" s="283"/>
      <c r="M89" s="717"/>
      <c r="N89" s="717"/>
      <c r="O89" s="718"/>
      <c r="P89" s="718"/>
      <c r="Q89" s="718"/>
      <c r="R89" s="283"/>
      <c r="S89" s="717"/>
      <c r="T89" s="717"/>
      <c r="U89" s="820"/>
      <c r="V89" s="820"/>
      <c r="W89" s="820"/>
      <c r="X89" s="152"/>
      <c r="AD89" s="152"/>
      <c r="AE89" s="152"/>
      <c r="AF89" s="171"/>
      <c r="AH89" s="253" t="str">
        <f t="shared" si="20"/>
        <v/>
      </c>
      <c r="AI89" s="253" t="str">
        <f>IFERROR(INDEX(D04_Classes!$B$3:$B$102,AH89,1),"")</f>
        <v/>
      </c>
      <c r="AJ89" s="253" t="str">
        <f t="shared" si="17"/>
        <v/>
      </c>
      <c r="AK89" s="253">
        <f t="shared" si="21"/>
        <v>0</v>
      </c>
      <c r="AL89" s="253">
        <f>IF(AK89=0,0,COUNTIF($AL$15:AL88,"&gt;0")+1)</f>
        <v>0</v>
      </c>
      <c r="AM89" s="253">
        <f>IF(IFERROR(SEARCH("and",INDEX(D04_Classes!$BW$3:$BW$102,MATCH(C_Input!AI89,D04_Classes!$B$3:$B$102,0),1)),0)&gt;1,1,0)</f>
        <v>0</v>
      </c>
      <c r="AN89" s="253">
        <f>IF(IFERROR(SEARCH("or",INDEX(D04_Classes!$BW$3:$BW$102,MATCH(C_Input!AI89,D04_Classes!$B$3:$B$102,0),1)),0)&gt;1,1,0)</f>
        <v>0</v>
      </c>
      <c r="AO89" s="253" t="str">
        <f>IF(OR(IFERROR(SEARCH("Strength",INDEX(D04_Classes!$BW$3:$BW$102,MATCH(C_Input!AI89,D04_Classes!$B$3:$B$102,0),1)),0)=0,AND(IFERROR(SEARCH("Strength",INDEX(D04_Classes!$BW$3:$BW$102,MATCH(C_Input!AI89,D04_Classes!$B$3:$B$102,0),1)),0)&gt;0,Strength&gt;12)),"yes","no")</f>
        <v>yes</v>
      </c>
      <c r="AP89" s="253" t="str">
        <f>IF(OR(IFERROR(SEARCH("Dexterity",INDEX(D04_Classes!$BW$3:$BW$102,MATCH(C_Input!AI89,D04_Classes!$B$3:$B$102,0),1)),0)=0,AND(IFERROR(SEARCH("Dexterity",INDEX(D04_Classes!$BW$3:$BW$102,MATCH(C_Input!AI89,D04_Classes!$B$3:$B$102,0),1)),0)&gt;0,Dexterity&gt;12)),"yes","no")</f>
        <v>yes</v>
      </c>
      <c r="AQ89" s="253" t="str">
        <f>IF(OR(IFERROR(SEARCH("Constitution",INDEX(D04_Classes!$BW$3:$BW$102,MATCH(C_Input!AI89,D04_Classes!$B$3:$B$102,0),1)),0)=0,AND(IFERROR(SEARCH("Constitution",INDEX(D04_Classes!$BW$3:$BW$102,MATCH(C_Input!AI89,D04_Classes!$B$3:$B$102,0),1)),0)&gt;0,Constitution&gt;12)),"yes","no")</f>
        <v>yes</v>
      </c>
      <c r="AR89" s="253" t="str">
        <f>IF(OR(IFERROR(SEARCH("Intelligence",INDEX(D04_Classes!$BW$3:$BW$102,MATCH(C_Input!AI89,D04_Classes!$B$3:$B$102,0),1)),0)=0,AND(IFERROR(SEARCH("Intelligence",INDEX(D04_Classes!$BW$3:$BW$102,MATCH(C_Input!AI89,D04_Classes!$B$3:$B$102,0),1)),0)&gt;0,Intelligence&gt;12)),"yes","no")</f>
        <v>yes</v>
      </c>
      <c r="AS89" s="253" t="str">
        <f>IF(OR(IFERROR(SEARCH("Wisdom",INDEX(D04_Classes!$BW$3:$BW$102,MATCH(C_Input!AI89,D04_Classes!$B$3:$B$102,0),1)),0)=0,AND(IFERROR(SEARCH("Wisdom",INDEX(D04_Classes!$BW$3:$BW$102,MATCH(C_Input!AI89,D04_Classes!$B$3:$B$102,0),1)),0)&gt;0,Wisdom&gt;12)),"yes","no")</f>
        <v>yes</v>
      </c>
      <c r="AT89" s="253" t="str">
        <f>IF(OR(IFERROR(SEARCH("Charisma",INDEX(D04_Classes!$BW$3:$BW$102,MATCH(C_Input!AI89,D04_Classes!$B$3:$B$102,0),1)),0)=0,AND(IFERROR(SEARCH("Charisma",INDEX(D04_Classes!$BW$3:$BW$102,MATCH(C_Input!AI89,D04_Classes!$B$3:$B$102,0),1)),0)&gt;0,Charisma&gt;12)),"yes","no")</f>
        <v>yes</v>
      </c>
      <c r="AU89" s="253">
        <f t="shared" si="18"/>
        <v>0</v>
      </c>
      <c r="AV89" s="253">
        <f>IF(AU89=0,0,COUNTIF($AV$15:AV88,"&gt;0")+1)</f>
        <v>0</v>
      </c>
      <c r="AX89" s="255" t="str">
        <f t="shared" si="22"/>
        <v/>
      </c>
      <c r="AY89" s="255" t="str">
        <f t="shared" si="19"/>
        <v/>
      </c>
      <c r="BD89" s="254" t="str">
        <f t="shared" si="23"/>
        <v/>
      </c>
      <c r="BE89" s="254" t="str">
        <f>IFERROR(INDEX(D01_Races!$B$2:$B$101,MATCH(C_Input!BD89,D01_Races!$C$2:$C$101,0),1),"")</f>
        <v/>
      </c>
      <c r="BF89" s="252" t="str">
        <f t="shared" si="24"/>
        <v/>
      </c>
      <c r="BG89" s="252" t="str">
        <f>IFERROR(IF(BF89="","",INDEX(D01_Races!$E$2:$E$101,MATCH(C_Input!BF89,D01_Races!$D$2:$D$101,0),1)),"")</f>
        <v/>
      </c>
      <c r="BH89" s="252" t="str">
        <f>IFERROR(IF(BF89="","",INDEX(D01_Races!$A$2:$A$101,MATCH(C_Input!BF89,D01_Races!$D$2:$D$101,0),1)),"")</f>
        <v/>
      </c>
    </row>
    <row r="90" spans="1:60" ht="15.95" customHeight="1" outlineLevel="1" x14ac:dyDescent="0.3">
      <c r="A90" s="152"/>
      <c r="B90" s="717" t="s">
        <v>2222</v>
      </c>
      <c r="C90" s="717"/>
      <c r="D90" s="718"/>
      <c r="E90" s="718"/>
      <c r="F90" s="718"/>
      <c r="G90" s="283"/>
      <c r="H90" s="283"/>
      <c r="I90" s="283"/>
      <c r="J90" s="283"/>
      <c r="K90" s="283"/>
      <c r="L90" s="283"/>
      <c r="M90" s="717" t="str">
        <f>C_Variables!BO192</f>
        <v>Skill5</v>
      </c>
      <c r="N90" s="717"/>
      <c r="O90" s="718"/>
      <c r="P90" s="718"/>
      <c r="Q90" s="718"/>
      <c r="R90" s="283"/>
      <c r="S90" s="717" t="s">
        <v>4413</v>
      </c>
      <c r="T90" s="717"/>
      <c r="U90" s="820"/>
      <c r="V90" s="820"/>
      <c r="W90" s="820"/>
      <c r="X90" s="152"/>
      <c r="AD90" s="152"/>
      <c r="AE90" s="152"/>
      <c r="AF90" s="171"/>
      <c r="AH90" s="253" t="str">
        <f t="shared" si="20"/>
        <v/>
      </c>
      <c r="AI90" s="253" t="str">
        <f>IFERROR(INDEX(D04_Classes!$B$3:$B$102,AH90,1),"")</f>
        <v/>
      </c>
      <c r="AJ90" s="253" t="str">
        <f t="shared" si="17"/>
        <v/>
      </c>
      <c r="AK90" s="253">
        <f t="shared" si="21"/>
        <v>0</v>
      </c>
      <c r="AL90" s="253">
        <f>IF(AK90=0,0,COUNTIF($AL$15:AL89,"&gt;0")+1)</f>
        <v>0</v>
      </c>
      <c r="AM90" s="253">
        <f>IF(IFERROR(SEARCH("and",INDEX(D04_Classes!$BW$3:$BW$102,MATCH(C_Input!AI90,D04_Classes!$B$3:$B$102,0),1)),0)&gt;1,1,0)</f>
        <v>0</v>
      </c>
      <c r="AN90" s="253">
        <f>IF(IFERROR(SEARCH("or",INDEX(D04_Classes!$BW$3:$BW$102,MATCH(C_Input!AI90,D04_Classes!$B$3:$B$102,0),1)),0)&gt;1,1,0)</f>
        <v>0</v>
      </c>
      <c r="AO90" s="253" t="str">
        <f>IF(OR(IFERROR(SEARCH("Strength",INDEX(D04_Classes!$BW$3:$BW$102,MATCH(C_Input!AI90,D04_Classes!$B$3:$B$102,0),1)),0)=0,AND(IFERROR(SEARCH("Strength",INDEX(D04_Classes!$BW$3:$BW$102,MATCH(C_Input!AI90,D04_Classes!$B$3:$B$102,0),1)),0)&gt;0,Strength&gt;12)),"yes","no")</f>
        <v>yes</v>
      </c>
      <c r="AP90" s="253" t="str">
        <f>IF(OR(IFERROR(SEARCH("Dexterity",INDEX(D04_Classes!$BW$3:$BW$102,MATCH(C_Input!AI90,D04_Classes!$B$3:$B$102,0),1)),0)=0,AND(IFERROR(SEARCH("Dexterity",INDEX(D04_Classes!$BW$3:$BW$102,MATCH(C_Input!AI90,D04_Classes!$B$3:$B$102,0),1)),0)&gt;0,Dexterity&gt;12)),"yes","no")</f>
        <v>yes</v>
      </c>
      <c r="AQ90" s="253" t="str">
        <f>IF(OR(IFERROR(SEARCH("Constitution",INDEX(D04_Classes!$BW$3:$BW$102,MATCH(C_Input!AI90,D04_Classes!$B$3:$B$102,0),1)),0)=0,AND(IFERROR(SEARCH("Constitution",INDEX(D04_Classes!$BW$3:$BW$102,MATCH(C_Input!AI90,D04_Classes!$B$3:$B$102,0),1)),0)&gt;0,Constitution&gt;12)),"yes","no")</f>
        <v>yes</v>
      </c>
      <c r="AR90" s="253" t="str">
        <f>IF(OR(IFERROR(SEARCH("Intelligence",INDEX(D04_Classes!$BW$3:$BW$102,MATCH(C_Input!AI90,D04_Classes!$B$3:$B$102,0),1)),0)=0,AND(IFERROR(SEARCH("Intelligence",INDEX(D04_Classes!$BW$3:$BW$102,MATCH(C_Input!AI90,D04_Classes!$B$3:$B$102,0),1)),0)&gt;0,Intelligence&gt;12)),"yes","no")</f>
        <v>yes</v>
      </c>
      <c r="AS90" s="253" t="str">
        <f>IF(OR(IFERROR(SEARCH("Wisdom",INDEX(D04_Classes!$BW$3:$BW$102,MATCH(C_Input!AI90,D04_Classes!$B$3:$B$102,0),1)),0)=0,AND(IFERROR(SEARCH("Wisdom",INDEX(D04_Classes!$BW$3:$BW$102,MATCH(C_Input!AI90,D04_Classes!$B$3:$B$102,0),1)),0)&gt;0,Wisdom&gt;12)),"yes","no")</f>
        <v>yes</v>
      </c>
      <c r="AT90" s="253" t="str">
        <f>IF(OR(IFERROR(SEARCH("Charisma",INDEX(D04_Classes!$BW$3:$BW$102,MATCH(C_Input!AI90,D04_Classes!$B$3:$B$102,0),1)),0)=0,AND(IFERROR(SEARCH("Charisma",INDEX(D04_Classes!$BW$3:$BW$102,MATCH(C_Input!AI90,D04_Classes!$B$3:$B$102,0),1)),0)&gt;0,Charisma&gt;12)),"yes","no")</f>
        <v>yes</v>
      </c>
      <c r="AU90" s="253">
        <f t="shared" si="18"/>
        <v>0</v>
      </c>
      <c r="AV90" s="253">
        <f>IF(AU90=0,0,COUNTIF($AV$15:AV89,"&gt;0")+1)</f>
        <v>0</v>
      </c>
      <c r="AX90" s="255" t="str">
        <f t="shared" si="22"/>
        <v/>
      </c>
      <c r="AY90" s="255" t="str">
        <f t="shared" si="19"/>
        <v/>
      </c>
      <c r="BD90" s="254" t="str">
        <f t="shared" si="23"/>
        <v/>
      </c>
      <c r="BE90" s="254" t="str">
        <f>IFERROR(INDEX(D01_Races!$B$2:$B$101,MATCH(C_Input!BD90,D01_Races!$C$2:$C$101,0),1),"")</f>
        <v/>
      </c>
      <c r="BF90" s="252" t="str">
        <f t="shared" si="24"/>
        <v/>
      </c>
      <c r="BG90" s="252" t="str">
        <f>IFERROR(IF(BF90="","",INDEX(D01_Races!$E$2:$E$101,MATCH(C_Input!BF90,D01_Races!$D$2:$D$101,0),1)),"")</f>
        <v/>
      </c>
      <c r="BH90" s="252" t="str">
        <f>IFERROR(IF(BF90="","",INDEX(D01_Races!$A$2:$A$101,MATCH(C_Input!BF90,D01_Races!$D$2:$D$101,0),1)),"")</f>
        <v/>
      </c>
    </row>
    <row r="91" spans="1:60" ht="15.95" customHeight="1" outlineLevel="1" x14ac:dyDescent="0.3">
      <c r="A91" s="152"/>
      <c r="B91" s="717"/>
      <c r="C91" s="717"/>
      <c r="D91" s="718"/>
      <c r="E91" s="718"/>
      <c r="F91" s="718"/>
      <c r="G91" s="283"/>
      <c r="H91" s="283"/>
      <c r="I91" s="283"/>
      <c r="J91" s="283"/>
      <c r="K91" s="283"/>
      <c r="L91" s="283"/>
      <c r="M91" s="717"/>
      <c r="N91" s="717"/>
      <c r="O91" s="718"/>
      <c r="P91" s="718"/>
      <c r="Q91" s="718"/>
      <c r="R91" s="283"/>
      <c r="S91" s="717"/>
      <c r="T91" s="717"/>
      <c r="U91" s="820"/>
      <c r="V91" s="820"/>
      <c r="W91" s="820"/>
      <c r="X91" s="152"/>
      <c r="AD91" s="152"/>
      <c r="AE91" s="152"/>
      <c r="AF91" s="171"/>
      <c r="AH91" s="253" t="str">
        <f t="shared" si="20"/>
        <v/>
      </c>
      <c r="AI91" s="253" t="str">
        <f>IFERROR(INDEX(D04_Classes!$B$3:$B$102,AH91,1),"")</f>
        <v/>
      </c>
      <c r="AJ91" s="253" t="str">
        <f t="shared" si="17"/>
        <v/>
      </c>
      <c r="AK91" s="253">
        <f t="shared" si="21"/>
        <v>0</v>
      </c>
      <c r="AL91" s="253">
        <f>IF(AK91=0,0,COUNTIF($AL$15:AL90,"&gt;0")+1)</f>
        <v>0</v>
      </c>
      <c r="AM91" s="253">
        <f>IF(IFERROR(SEARCH("and",INDEX(D04_Classes!$BW$3:$BW$102,MATCH(C_Input!AI91,D04_Classes!$B$3:$B$102,0),1)),0)&gt;1,1,0)</f>
        <v>0</v>
      </c>
      <c r="AN91" s="253">
        <f>IF(IFERROR(SEARCH("or",INDEX(D04_Classes!$BW$3:$BW$102,MATCH(C_Input!AI91,D04_Classes!$B$3:$B$102,0),1)),0)&gt;1,1,0)</f>
        <v>0</v>
      </c>
      <c r="AO91" s="253" t="str">
        <f>IF(OR(IFERROR(SEARCH("Strength",INDEX(D04_Classes!$BW$3:$BW$102,MATCH(C_Input!AI91,D04_Classes!$B$3:$B$102,0),1)),0)=0,AND(IFERROR(SEARCH("Strength",INDEX(D04_Classes!$BW$3:$BW$102,MATCH(C_Input!AI91,D04_Classes!$B$3:$B$102,0),1)),0)&gt;0,Strength&gt;12)),"yes","no")</f>
        <v>yes</v>
      </c>
      <c r="AP91" s="253" t="str">
        <f>IF(OR(IFERROR(SEARCH("Dexterity",INDEX(D04_Classes!$BW$3:$BW$102,MATCH(C_Input!AI91,D04_Classes!$B$3:$B$102,0),1)),0)=0,AND(IFERROR(SEARCH("Dexterity",INDEX(D04_Classes!$BW$3:$BW$102,MATCH(C_Input!AI91,D04_Classes!$B$3:$B$102,0),1)),0)&gt;0,Dexterity&gt;12)),"yes","no")</f>
        <v>yes</v>
      </c>
      <c r="AQ91" s="253" t="str">
        <f>IF(OR(IFERROR(SEARCH("Constitution",INDEX(D04_Classes!$BW$3:$BW$102,MATCH(C_Input!AI91,D04_Classes!$B$3:$B$102,0),1)),0)=0,AND(IFERROR(SEARCH("Constitution",INDEX(D04_Classes!$BW$3:$BW$102,MATCH(C_Input!AI91,D04_Classes!$B$3:$B$102,0),1)),0)&gt;0,Constitution&gt;12)),"yes","no")</f>
        <v>yes</v>
      </c>
      <c r="AR91" s="253" t="str">
        <f>IF(OR(IFERROR(SEARCH("Intelligence",INDEX(D04_Classes!$BW$3:$BW$102,MATCH(C_Input!AI91,D04_Classes!$B$3:$B$102,0),1)),0)=0,AND(IFERROR(SEARCH("Intelligence",INDEX(D04_Classes!$BW$3:$BW$102,MATCH(C_Input!AI91,D04_Classes!$B$3:$B$102,0),1)),0)&gt;0,Intelligence&gt;12)),"yes","no")</f>
        <v>yes</v>
      </c>
      <c r="AS91" s="253" t="str">
        <f>IF(OR(IFERROR(SEARCH("Wisdom",INDEX(D04_Classes!$BW$3:$BW$102,MATCH(C_Input!AI91,D04_Classes!$B$3:$B$102,0),1)),0)=0,AND(IFERROR(SEARCH("Wisdom",INDEX(D04_Classes!$BW$3:$BW$102,MATCH(C_Input!AI91,D04_Classes!$B$3:$B$102,0),1)),0)&gt;0,Wisdom&gt;12)),"yes","no")</f>
        <v>yes</v>
      </c>
      <c r="AT91" s="253" t="str">
        <f>IF(OR(IFERROR(SEARCH("Charisma",INDEX(D04_Classes!$BW$3:$BW$102,MATCH(C_Input!AI91,D04_Classes!$B$3:$B$102,0),1)),0)=0,AND(IFERROR(SEARCH("Charisma",INDEX(D04_Classes!$BW$3:$BW$102,MATCH(C_Input!AI91,D04_Classes!$B$3:$B$102,0),1)),0)&gt;0,Charisma&gt;12)),"yes","no")</f>
        <v>yes</v>
      </c>
      <c r="AU91" s="253">
        <f t="shared" si="18"/>
        <v>0</v>
      </c>
      <c r="AV91" s="253">
        <f>IF(AU91=0,0,COUNTIF($AV$15:AV90,"&gt;0")+1)</f>
        <v>0</v>
      </c>
      <c r="AX91" s="255" t="str">
        <f t="shared" si="22"/>
        <v/>
      </c>
      <c r="AY91" s="255" t="str">
        <f t="shared" si="19"/>
        <v/>
      </c>
      <c r="BD91" s="254" t="str">
        <f t="shared" si="23"/>
        <v/>
      </c>
      <c r="BE91" s="254" t="str">
        <f>IFERROR(INDEX(D01_Races!$B$2:$B$101,MATCH(C_Input!BD91,D01_Races!$C$2:$C$101,0),1),"")</f>
        <v/>
      </c>
      <c r="BF91" s="252" t="str">
        <f t="shared" si="24"/>
        <v/>
      </c>
      <c r="BG91" s="252" t="str">
        <f>IFERROR(IF(BF91="","",INDEX(D01_Races!$E$2:$E$101,MATCH(C_Input!BF91,D01_Races!$D$2:$D$101,0),1)),"")</f>
        <v/>
      </c>
      <c r="BH91" s="252" t="str">
        <f>IFERROR(IF(BF91="","",INDEX(D01_Races!$A$2:$A$101,MATCH(C_Input!BF91,D01_Races!$D$2:$D$101,0),1)),"")</f>
        <v/>
      </c>
    </row>
    <row r="92" spans="1:60" ht="15.95" customHeight="1" outlineLevel="1" x14ac:dyDescent="0.3">
      <c r="A92" s="152"/>
      <c r="B92" s="717" t="s">
        <v>2222</v>
      </c>
      <c r="C92" s="717"/>
      <c r="D92" s="718"/>
      <c r="E92" s="718"/>
      <c r="F92" s="718"/>
      <c r="G92" s="283"/>
      <c r="H92" s="283"/>
      <c r="I92" s="283"/>
      <c r="J92" s="283"/>
      <c r="K92" s="283"/>
      <c r="L92" s="283"/>
      <c r="M92" s="717" t="str">
        <f>C_Variables!BU192</f>
        <v>Skill6</v>
      </c>
      <c r="N92" s="717"/>
      <c r="O92" s="718"/>
      <c r="P92" s="718"/>
      <c r="Q92" s="718"/>
      <c r="R92" s="283"/>
      <c r="S92" s="717" t="s">
        <v>4420</v>
      </c>
      <c r="T92" s="717"/>
      <c r="U92" s="820"/>
      <c r="V92" s="820"/>
      <c r="W92" s="820"/>
      <c r="X92" s="152"/>
      <c r="AD92" s="152"/>
      <c r="AE92" s="152"/>
      <c r="AF92" s="171"/>
      <c r="AH92" s="253" t="str">
        <f t="shared" si="20"/>
        <v/>
      </c>
      <c r="AI92" s="253" t="str">
        <f>IFERROR(INDEX(D04_Classes!$B$3:$B$102,AH92,1),"")</f>
        <v/>
      </c>
      <c r="AJ92" s="253" t="str">
        <f t="shared" si="17"/>
        <v/>
      </c>
      <c r="AK92" s="253">
        <f t="shared" si="21"/>
        <v>0</v>
      </c>
      <c r="AL92" s="253">
        <f>IF(AK92=0,0,COUNTIF($AL$15:AL91,"&gt;0")+1)</f>
        <v>0</v>
      </c>
      <c r="AM92" s="253">
        <f>IF(IFERROR(SEARCH("and",INDEX(D04_Classes!$BW$3:$BW$102,MATCH(C_Input!AI92,D04_Classes!$B$3:$B$102,0),1)),0)&gt;1,1,0)</f>
        <v>0</v>
      </c>
      <c r="AN92" s="253">
        <f>IF(IFERROR(SEARCH("or",INDEX(D04_Classes!$BW$3:$BW$102,MATCH(C_Input!AI92,D04_Classes!$B$3:$B$102,0),1)),0)&gt;1,1,0)</f>
        <v>0</v>
      </c>
      <c r="AO92" s="253" t="str">
        <f>IF(OR(IFERROR(SEARCH("Strength",INDEX(D04_Classes!$BW$3:$BW$102,MATCH(C_Input!AI92,D04_Classes!$B$3:$B$102,0),1)),0)=0,AND(IFERROR(SEARCH("Strength",INDEX(D04_Classes!$BW$3:$BW$102,MATCH(C_Input!AI92,D04_Classes!$B$3:$B$102,0),1)),0)&gt;0,Strength&gt;12)),"yes","no")</f>
        <v>yes</v>
      </c>
      <c r="AP92" s="253" t="str">
        <f>IF(OR(IFERROR(SEARCH("Dexterity",INDEX(D04_Classes!$BW$3:$BW$102,MATCH(C_Input!AI92,D04_Classes!$B$3:$B$102,0),1)),0)=0,AND(IFERROR(SEARCH("Dexterity",INDEX(D04_Classes!$BW$3:$BW$102,MATCH(C_Input!AI92,D04_Classes!$B$3:$B$102,0),1)),0)&gt;0,Dexterity&gt;12)),"yes","no")</f>
        <v>yes</v>
      </c>
      <c r="AQ92" s="253" t="str">
        <f>IF(OR(IFERROR(SEARCH("Constitution",INDEX(D04_Classes!$BW$3:$BW$102,MATCH(C_Input!AI92,D04_Classes!$B$3:$B$102,0),1)),0)=0,AND(IFERROR(SEARCH("Constitution",INDEX(D04_Classes!$BW$3:$BW$102,MATCH(C_Input!AI92,D04_Classes!$B$3:$B$102,0),1)),0)&gt;0,Constitution&gt;12)),"yes","no")</f>
        <v>yes</v>
      </c>
      <c r="AR92" s="253" t="str">
        <f>IF(OR(IFERROR(SEARCH("Intelligence",INDEX(D04_Classes!$BW$3:$BW$102,MATCH(C_Input!AI92,D04_Classes!$B$3:$B$102,0),1)),0)=0,AND(IFERROR(SEARCH("Intelligence",INDEX(D04_Classes!$BW$3:$BW$102,MATCH(C_Input!AI92,D04_Classes!$B$3:$B$102,0),1)),0)&gt;0,Intelligence&gt;12)),"yes","no")</f>
        <v>yes</v>
      </c>
      <c r="AS92" s="253" t="str">
        <f>IF(OR(IFERROR(SEARCH("Wisdom",INDEX(D04_Classes!$BW$3:$BW$102,MATCH(C_Input!AI92,D04_Classes!$B$3:$B$102,0),1)),0)=0,AND(IFERROR(SEARCH("Wisdom",INDEX(D04_Classes!$BW$3:$BW$102,MATCH(C_Input!AI92,D04_Classes!$B$3:$B$102,0),1)),0)&gt;0,Wisdom&gt;12)),"yes","no")</f>
        <v>yes</v>
      </c>
      <c r="AT92" s="253" t="str">
        <f>IF(OR(IFERROR(SEARCH("Charisma",INDEX(D04_Classes!$BW$3:$BW$102,MATCH(C_Input!AI92,D04_Classes!$B$3:$B$102,0),1)),0)=0,AND(IFERROR(SEARCH("Charisma",INDEX(D04_Classes!$BW$3:$BW$102,MATCH(C_Input!AI92,D04_Classes!$B$3:$B$102,0),1)),0)&gt;0,Charisma&gt;12)),"yes","no")</f>
        <v>yes</v>
      </c>
      <c r="AU92" s="253">
        <f t="shared" si="18"/>
        <v>0</v>
      </c>
      <c r="AV92" s="253">
        <f>IF(AU92=0,0,COUNTIF($AV$15:AV91,"&gt;0")+1)</f>
        <v>0</v>
      </c>
      <c r="AX92" s="255" t="str">
        <f t="shared" si="22"/>
        <v/>
      </c>
      <c r="AY92" s="255" t="str">
        <f t="shared" si="19"/>
        <v/>
      </c>
      <c r="BD92" s="254" t="str">
        <f t="shared" si="23"/>
        <v/>
      </c>
      <c r="BE92" s="254" t="str">
        <f>IFERROR(INDEX(D01_Races!$B$2:$B$101,MATCH(C_Input!BD92,D01_Races!$C$2:$C$101,0),1),"")</f>
        <v/>
      </c>
      <c r="BF92" s="252" t="str">
        <f t="shared" si="24"/>
        <v/>
      </c>
      <c r="BG92" s="252" t="str">
        <f>IFERROR(IF(BF92="","",INDEX(D01_Races!$E$2:$E$101,MATCH(C_Input!BF92,D01_Races!$D$2:$D$101,0),1)),"")</f>
        <v/>
      </c>
      <c r="BH92" s="252" t="str">
        <f>IFERROR(IF(BF92="","",INDEX(D01_Races!$A$2:$A$101,MATCH(C_Input!BF92,D01_Races!$D$2:$D$101,0),1)),"")</f>
        <v/>
      </c>
    </row>
    <row r="93" spans="1:60" ht="15.95" customHeight="1" outlineLevel="1" x14ac:dyDescent="0.3">
      <c r="A93" s="152"/>
      <c r="B93" s="717"/>
      <c r="C93" s="717"/>
      <c r="D93" s="718"/>
      <c r="E93" s="718"/>
      <c r="F93" s="718"/>
      <c r="G93" s="283"/>
      <c r="H93" s="283"/>
      <c r="I93" s="283"/>
      <c r="J93" s="283"/>
      <c r="K93" s="283"/>
      <c r="L93" s="283"/>
      <c r="M93" s="717"/>
      <c r="N93" s="717"/>
      <c r="O93" s="718"/>
      <c r="P93" s="718"/>
      <c r="Q93" s="718"/>
      <c r="R93" s="283"/>
      <c r="S93" s="717"/>
      <c r="T93" s="717"/>
      <c r="U93" s="820"/>
      <c r="V93" s="820"/>
      <c r="W93" s="820"/>
      <c r="X93" s="152"/>
      <c r="AD93" s="152"/>
      <c r="AE93" s="152"/>
      <c r="AF93" s="171"/>
      <c r="AH93" s="253" t="str">
        <f t="shared" si="20"/>
        <v/>
      </c>
      <c r="AI93" s="253" t="str">
        <f>IFERROR(INDEX(D04_Classes!$B$3:$B$102,AH93,1),"")</f>
        <v/>
      </c>
      <c r="AJ93" s="253" t="str">
        <f t="shared" si="17"/>
        <v/>
      </c>
      <c r="AK93" s="253">
        <f t="shared" si="21"/>
        <v>0</v>
      </c>
      <c r="AL93" s="253">
        <f>IF(AK93=0,0,COUNTIF($AL$15:AL92,"&gt;0")+1)</f>
        <v>0</v>
      </c>
      <c r="AM93" s="253">
        <f>IF(IFERROR(SEARCH("and",INDEX(D04_Classes!$BW$3:$BW$102,MATCH(C_Input!AI93,D04_Classes!$B$3:$B$102,0),1)),0)&gt;1,1,0)</f>
        <v>0</v>
      </c>
      <c r="AN93" s="253">
        <f>IF(IFERROR(SEARCH("or",INDEX(D04_Classes!$BW$3:$BW$102,MATCH(C_Input!AI93,D04_Classes!$B$3:$B$102,0),1)),0)&gt;1,1,0)</f>
        <v>0</v>
      </c>
      <c r="AO93" s="253" t="str">
        <f>IF(OR(IFERROR(SEARCH("Strength",INDEX(D04_Classes!$BW$3:$BW$102,MATCH(C_Input!AI93,D04_Classes!$B$3:$B$102,0),1)),0)=0,AND(IFERROR(SEARCH("Strength",INDEX(D04_Classes!$BW$3:$BW$102,MATCH(C_Input!AI93,D04_Classes!$B$3:$B$102,0),1)),0)&gt;0,Strength&gt;12)),"yes","no")</f>
        <v>yes</v>
      </c>
      <c r="AP93" s="253" t="str">
        <f>IF(OR(IFERROR(SEARCH("Dexterity",INDEX(D04_Classes!$BW$3:$BW$102,MATCH(C_Input!AI93,D04_Classes!$B$3:$B$102,0),1)),0)=0,AND(IFERROR(SEARCH("Dexterity",INDEX(D04_Classes!$BW$3:$BW$102,MATCH(C_Input!AI93,D04_Classes!$B$3:$B$102,0),1)),0)&gt;0,Dexterity&gt;12)),"yes","no")</f>
        <v>yes</v>
      </c>
      <c r="AQ93" s="253" t="str">
        <f>IF(OR(IFERROR(SEARCH("Constitution",INDEX(D04_Classes!$BW$3:$BW$102,MATCH(C_Input!AI93,D04_Classes!$B$3:$B$102,0),1)),0)=0,AND(IFERROR(SEARCH("Constitution",INDEX(D04_Classes!$BW$3:$BW$102,MATCH(C_Input!AI93,D04_Classes!$B$3:$B$102,0),1)),0)&gt;0,Constitution&gt;12)),"yes","no")</f>
        <v>yes</v>
      </c>
      <c r="AR93" s="253" t="str">
        <f>IF(OR(IFERROR(SEARCH("Intelligence",INDEX(D04_Classes!$BW$3:$BW$102,MATCH(C_Input!AI93,D04_Classes!$B$3:$B$102,0),1)),0)=0,AND(IFERROR(SEARCH("Intelligence",INDEX(D04_Classes!$BW$3:$BW$102,MATCH(C_Input!AI93,D04_Classes!$B$3:$B$102,0),1)),0)&gt;0,Intelligence&gt;12)),"yes","no")</f>
        <v>yes</v>
      </c>
      <c r="AS93" s="253" t="str">
        <f>IF(OR(IFERROR(SEARCH("Wisdom",INDEX(D04_Classes!$BW$3:$BW$102,MATCH(C_Input!AI93,D04_Classes!$B$3:$B$102,0),1)),0)=0,AND(IFERROR(SEARCH("Wisdom",INDEX(D04_Classes!$BW$3:$BW$102,MATCH(C_Input!AI93,D04_Classes!$B$3:$B$102,0),1)),0)&gt;0,Wisdom&gt;12)),"yes","no")</f>
        <v>yes</v>
      </c>
      <c r="AT93" s="253" t="str">
        <f>IF(OR(IFERROR(SEARCH("Charisma",INDEX(D04_Classes!$BW$3:$BW$102,MATCH(C_Input!AI93,D04_Classes!$B$3:$B$102,0),1)),0)=0,AND(IFERROR(SEARCH("Charisma",INDEX(D04_Classes!$BW$3:$BW$102,MATCH(C_Input!AI93,D04_Classes!$B$3:$B$102,0),1)),0)&gt;0,Charisma&gt;12)),"yes","no")</f>
        <v>yes</v>
      </c>
      <c r="AU93" s="253">
        <f t="shared" si="18"/>
        <v>0</v>
      </c>
      <c r="AV93" s="253">
        <f>IF(AU93=0,0,COUNTIF($AV$15:AV92,"&gt;0")+1)</f>
        <v>0</v>
      </c>
      <c r="AX93" s="255" t="str">
        <f t="shared" si="22"/>
        <v/>
      </c>
      <c r="AY93" s="255" t="str">
        <f t="shared" si="19"/>
        <v/>
      </c>
      <c r="BD93" s="254" t="str">
        <f t="shared" si="23"/>
        <v/>
      </c>
      <c r="BE93" s="254" t="str">
        <f>IFERROR(INDEX(D01_Races!$B$2:$B$101,MATCH(C_Input!BD93,D01_Races!$C$2:$C$101,0),1),"")</f>
        <v/>
      </c>
      <c r="BF93" s="252" t="str">
        <f t="shared" si="24"/>
        <v/>
      </c>
      <c r="BG93" s="252" t="str">
        <f>IFERROR(IF(BF93="","",INDEX(D01_Races!$E$2:$E$101,MATCH(C_Input!BF93,D01_Races!$D$2:$D$101,0),1)),"")</f>
        <v/>
      </c>
      <c r="BH93" s="252" t="str">
        <f>IFERROR(IF(BF93="","",INDEX(D01_Races!$A$2:$A$101,MATCH(C_Input!BF93,D01_Races!$D$2:$D$101,0),1)),"")</f>
        <v/>
      </c>
    </row>
    <row r="94" spans="1:60" ht="15.95" customHeight="1" outlineLevel="1" x14ac:dyDescent="0.3">
      <c r="A94" s="152"/>
      <c r="B94" s="717" t="s">
        <v>2222</v>
      </c>
      <c r="C94" s="717"/>
      <c r="D94" s="718"/>
      <c r="E94" s="718"/>
      <c r="F94" s="718"/>
      <c r="G94" s="283"/>
      <c r="H94" s="283"/>
      <c r="I94" s="283"/>
      <c r="J94" s="283"/>
      <c r="K94" s="283"/>
      <c r="L94" s="283"/>
      <c r="M94" s="717" t="str">
        <f>C_Variables!CA192</f>
        <v>Skill7</v>
      </c>
      <c r="N94" s="717"/>
      <c r="O94" s="718"/>
      <c r="P94" s="718"/>
      <c r="Q94" s="718"/>
      <c r="R94" s="283"/>
      <c r="S94" s="717" t="s">
        <v>4421</v>
      </c>
      <c r="T94" s="717"/>
      <c r="U94" s="820"/>
      <c r="V94" s="820"/>
      <c r="W94" s="820"/>
      <c r="X94" s="152"/>
      <c r="AD94" s="152"/>
      <c r="AE94" s="152"/>
      <c r="AF94" s="171"/>
      <c r="AH94" s="253" t="str">
        <f t="shared" si="20"/>
        <v/>
      </c>
      <c r="AI94" s="253" t="str">
        <f>IFERROR(INDEX(D04_Classes!$B$3:$B$102,AH94,1),"")</f>
        <v/>
      </c>
      <c r="AJ94" s="253" t="str">
        <f t="shared" si="17"/>
        <v/>
      </c>
      <c r="AK94" s="253">
        <f t="shared" si="21"/>
        <v>0</v>
      </c>
      <c r="AL94" s="253">
        <f>IF(AK94=0,0,COUNTIF($AL$15:AL93,"&gt;0")+1)</f>
        <v>0</v>
      </c>
      <c r="AM94" s="253">
        <f>IF(IFERROR(SEARCH("and",INDEX(D04_Classes!$BW$3:$BW$102,MATCH(C_Input!AI94,D04_Classes!$B$3:$B$102,0),1)),0)&gt;1,1,0)</f>
        <v>0</v>
      </c>
      <c r="AN94" s="253">
        <f>IF(IFERROR(SEARCH("or",INDEX(D04_Classes!$BW$3:$BW$102,MATCH(C_Input!AI94,D04_Classes!$B$3:$B$102,0),1)),0)&gt;1,1,0)</f>
        <v>0</v>
      </c>
      <c r="AO94" s="253" t="str">
        <f>IF(OR(IFERROR(SEARCH("Strength",INDEX(D04_Classes!$BW$3:$BW$102,MATCH(C_Input!AI94,D04_Classes!$B$3:$B$102,0),1)),0)=0,AND(IFERROR(SEARCH("Strength",INDEX(D04_Classes!$BW$3:$BW$102,MATCH(C_Input!AI94,D04_Classes!$B$3:$B$102,0),1)),0)&gt;0,Strength&gt;12)),"yes","no")</f>
        <v>yes</v>
      </c>
      <c r="AP94" s="253" t="str">
        <f>IF(OR(IFERROR(SEARCH("Dexterity",INDEX(D04_Classes!$BW$3:$BW$102,MATCH(C_Input!AI94,D04_Classes!$B$3:$B$102,0),1)),0)=0,AND(IFERROR(SEARCH("Dexterity",INDEX(D04_Classes!$BW$3:$BW$102,MATCH(C_Input!AI94,D04_Classes!$B$3:$B$102,0),1)),0)&gt;0,Dexterity&gt;12)),"yes","no")</f>
        <v>yes</v>
      </c>
      <c r="AQ94" s="253" t="str">
        <f>IF(OR(IFERROR(SEARCH("Constitution",INDEX(D04_Classes!$BW$3:$BW$102,MATCH(C_Input!AI94,D04_Classes!$B$3:$B$102,0),1)),0)=0,AND(IFERROR(SEARCH("Constitution",INDEX(D04_Classes!$BW$3:$BW$102,MATCH(C_Input!AI94,D04_Classes!$B$3:$B$102,0),1)),0)&gt;0,Constitution&gt;12)),"yes","no")</f>
        <v>yes</v>
      </c>
      <c r="AR94" s="253" t="str">
        <f>IF(OR(IFERROR(SEARCH("Intelligence",INDEX(D04_Classes!$BW$3:$BW$102,MATCH(C_Input!AI94,D04_Classes!$B$3:$B$102,0),1)),0)=0,AND(IFERROR(SEARCH("Intelligence",INDEX(D04_Classes!$BW$3:$BW$102,MATCH(C_Input!AI94,D04_Classes!$B$3:$B$102,0),1)),0)&gt;0,Intelligence&gt;12)),"yes","no")</f>
        <v>yes</v>
      </c>
      <c r="AS94" s="253" t="str">
        <f>IF(OR(IFERROR(SEARCH("Wisdom",INDEX(D04_Classes!$BW$3:$BW$102,MATCH(C_Input!AI94,D04_Classes!$B$3:$B$102,0),1)),0)=0,AND(IFERROR(SEARCH("Wisdom",INDEX(D04_Classes!$BW$3:$BW$102,MATCH(C_Input!AI94,D04_Classes!$B$3:$B$102,0),1)),0)&gt;0,Wisdom&gt;12)),"yes","no")</f>
        <v>yes</v>
      </c>
      <c r="AT94" s="253" t="str">
        <f>IF(OR(IFERROR(SEARCH("Charisma",INDEX(D04_Classes!$BW$3:$BW$102,MATCH(C_Input!AI94,D04_Classes!$B$3:$B$102,0),1)),0)=0,AND(IFERROR(SEARCH("Charisma",INDEX(D04_Classes!$BW$3:$BW$102,MATCH(C_Input!AI94,D04_Classes!$B$3:$B$102,0),1)),0)&gt;0,Charisma&gt;12)),"yes","no")</f>
        <v>yes</v>
      </c>
      <c r="AU94" s="253">
        <f t="shared" si="18"/>
        <v>0</v>
      </c>
      <c r="AV94" s="253">
        <f>IF(AU94=0,0,COUNTIF($AV$15:AV93,"&gt;0")+1)</f>
        <v>0</v>
      </c>
      <c r="AX94" s="255" t="str">
        <f t="shared" si="22"/>
        <v/>
      </c>
      <c r="AY94" s="255" t="str">
        <f t="shared" si="19"/>
        <v/>
      </c>
      <c r="BD94" s="254" t="str">
        <f t="shared" si="23"/>
        <v/>
      </c>
      <c r="BE94" s="254" t="str">
        <f>IFERROR(INDEX(D01_Races!$B$2:$B$101,MATCH(C_Input!BD94,D01_Races!$C$2:$C$101,0),1),"")</f>
        <v/>
      </c>
      <c r="BF94" s="252" t="str">
        <f t="shared" si="24"/>
        <v/>
      </c>
      <c r="BG94" s="252" t="str">
        <f>IFERROR(IF(BF94="","",INDEX(D01_Races!$E$2:$E$101,MATCH(C_Input!BF94,D01_Races!$D$2:$D$101,0),1)),"")</f>
        <v/>
      </c>
      <c r="BH94" s="252" t="str">
        <f>IFERROR(IF(BF94="","",INDEX(D01_Races!$A$2:$A$101,MATCH(C_Input!BF94,D01_Races!$D$2:$D$101,0),1)),"")</f>
        <v/>
      </c>
    </row>
    <row r="95" spans="1:60" ht="15.95" customHeight="1" outlineLevel="1" x14ac:dyDescent="0.3">
      <c r="A95" s="152"/>
      <c r="B95" s="717"/>
      <c r="C95" s="717"/>
      <c r="D95" s="718"/>
      <c r="E95" s="718"/>
      <c r="F95" s="718"/>
      <c r="G95" s="283"/>
      <c r="H95" s="875" t="s">
        <v>609</v>
      </c>
      <c r="I95" s="875"/>
      <c r="J95" s="874">
        <f>IFERROR(INDEX(D01_Races!$AR$2:$AR$101,SelectedRaceID,1),"")</f>
        <v>0</v>
      </c>
      <c r="K95" s="874"/>
      <c r="L95" s="283"/>
      <c r="M95" s="717"/>
      <c r="N95" s="717"/>
      <c r="O95" s="718"/>
      <c r="P95" s="718"/>
      <c r="Q95" s="718"/>
      <c r="R95" s="283"/>
      <c r="S95" s="717"/>
      <c r="T95" s="717"/>
      <c r="U95" s="820"/>
      <c r="V95" s="820"/>
      <c r="W95" s="820"/>
      <c r="X95" s="152"/>
      <c r="AD95" s="152"/>
      <c r="AE95" s="152"/>
      <c r="AF95" s="171"/>
      <c r="AH95" s="253" t="str">
        <f t="shared" si="20"/>
        <v/>
      </c>
      <c r="AI95" s="253" t="str">
        <f>IFERROR(INDEX(D04_Classes!$B$3:$B$102,AH95,1),"")</f>
        <v/>
      </c>
      <c r="AJ95" s="253" t="str">
        <f t="shared" si="17"/>
        <v/>
      </c>
      <c r="AK95" s="253">
        <f t="shared" si="21"/>
        <v>0</v>
      </c>
      <c r="AL95" s="253">
        <f>IF(AK95=0,0,COUNTIF($AL$15:AL94,"&gt;0")+1)</f>
        <v>0</v>
      </c>
      <c r="AM95" s="253">
        <f>IF(IFERROR(SEARCH("and",INDEX(D04_Classes!$BW$3:$BW$102,MATCH(C_Input!AI95,D04_Classes!$B$3:$B$102,0),1)),0)&gt;1,1,0)</f>
        <v>0</v>
      </c>
      <c r="AN95" s="253">
        <f>IF(IFERROR(SEARCH("or",INDEX(D04_Classes!$BW$3:$BW$102,MATCH(C_Input!AI95,D04_Classes!$B$3:$B$102,0),1)),0)&gt;1,1,0)</f>
        <v>0</v>
      </c>
      <c r="AO95" s="253" t="str">
        <f>IF(OR(IFERROR(SEARCH("Strength",INDEX(D04_Classes!$BW$3:$BW$102,MATCH(C_Input!AI95,D04_Classes!$B$3:$B$102,0),1)),0)=0,AND(IFERROR(SEARCH("Strength",INDEX(D04_Classes!$BW$3:$BW$102,MATCH(C_Input!AI95,D04_Classes!$B$3:$B$102,0),1)),0)&gt;0,Strength&gt;12)),"yes","no")</f>
        <v>yes</v>
      </c>
      <c r="AP95" s="253" t="str">
        <f>IF(OR(IFERROR(SEARCH("Dexterity",INDEX(D04_Classes!$BW$3:$BW$102,MATCH(C_Input!AI95,D04_Classes!$B$3:$B$102,0),1)),0)=0,AND(IFERROR(SEARCH("Dexterity",INDEX(D04_Classes!$BW$3:$BW$102,MATCH(C_Input!AI95,D04_Classes!$B$3:$B$102,0),1)),0)&gt;0,Dexterity&gt;12)),"yes","no")</f>
        <v>yes</v>
      </c>
      <c r="AQ95" s="253" t="str">
        <f>IF(OR(IFERROR(SEARCH("Constitution",INDEX(D04_Classes!$BW$3:$BW$102,MATCH(C_Input!AI95,D04_Classes!$B$3:$B$102,0),1)),0)=0,AND(IFERROR(SEARCH("Constitution",INDEX(D04_Classes!$BW$3:$BW$102,MATCH(C_Input!AI95,D04_Classes!$B$3:$B$102,0),1)),0)&gt;0,Constitution&gt;12)),"yes","no")</f>
        <v>yes</v>
      </c>
      <c r="AR95" s="253" t="str">
        <f>IF(OR(IFERROR(SEARCH("Intelligence",INDEX(D04_Classes!$BW$3:$BW$102,MATCH(C_Input!AI95,D04_Classes!$B$3:$B$102,0),1)),0)=0,AND(IFERROR(SEARCH("Intelligence",INDEX(D04_Classes!$BW$3:$BW$102,MATCH(C_Input!AI95,D04_Classes!$B$3:$B$102,0),1)),0)&gt;0,Intelligence&gt;12)),"yes","no")</f>
        <v>yes</v>
      </c>
      <c r="AS95" s="253" t="str">
        <f>IF(OR(IFERROR(SEARCH("Wisdom",INDEX(D04_Classes!$BW$3:$BW$102,MATCH(C_Input!AI95,D04_Classes!$B$3:$B$102,0),1)),0)=0,AND(IFERROR(SEARCH("Wisdom",INDEX(D04_Classes!$BW$3:$BW$102,MATCH(C_Input!AI95,D04_Classes!$B$3:$B$102,0),1)),0)&gt;0,Wisdom&gt;12)),"yes","no")</f>
        <v>yes</v>
      </c>
      <c r="AT95" s="253" t="str">
        <f>IF(OR(IFERROR(SEARCH("Charisma",INDEX(D04_Classes!$BW$3:$BW$102,MATCH(C_Input!AI95,D04_Classes!$B$3:$B$102,0),1)),0)=0,AND(IFERROR(SEARCH("Charisma",INDEX(D04_Classes!$BW$3:$BW$102,MATCH(C_Input!AI95,D04_Classes!$B$3:$B$102,0),1)),0)&gt;0,Charisma&gt;12)),"yes","no")</f>
        <v>yes</v>
      </c>
      <c r="AU95" s="253">
        <f t="shared" si="18"/>
        <v>0</v>
      </c>
      <c r="AV95" s="253">
        <f>IF(AU95=0,0,COUNTIF($AV$15:AV94,"&gt;0")+1)</f>
        <v>0</v>
      </c>
      <c r="AX95" s="255" t="str">
        <f t="shared" si="22"/>
        <v/>
      </c>
      <c r="AY95" s="255" t="str">
        <f t="shared" si="19"/>
        <v/>
      </c>
      <c r="BD95" s="254" t="str">
        <f t="shared" si="23"/>
        <v/>
      </c>
      <c r="BE95" s="254" t="str">
        <f>IFERROR(INDEX(D01_Races!$B$2:$B$101,MATCH(C_Input!BD95,D01_Races!$C$2:$C$101,0),1),"")</f>
        <v/>
      </c>
      <c r="BF95" s="252" t="str">
        <f t="shared" si="24"/>
        <v/>
      </c>
      <c r="BG95" s="252" t="str">
        <f>IFERROR(IF(BF95="","",INDEX(D01_Races!$E$2:$E$101,MATCH(C_Input!BF95,D01_Races!$D$2:$D$101,0),1)),"")</f>
        <v/>
      </c>
      <c r="BH95" s="252" t="str">
        <f>IFERROR(IF(BF95="","",INDEX(D01_Races!$A$2:$A$101,MATCH(C_Input!BF95,D01_Races!$D$2:$D$101,0),1)),"")</f>
        <v/>
      </c>
    </row>
    <row r="96" spans="1:60" ht="15.95" customHeight="1" outlineLevel="1" x14ac:dyDescent="0.3">
      <c r="A96" s="152"/>
      <c r="B96" s="717" t="s">
        <v>2225</v>
      </c>
      <c r="C96" s="717"/>
      <c r="D96" s="718"/>
      <c r="E96" s="718"/>
      <c r="F96" s="718"/>
      <c r="G96" s="283"/>
      <c r="H96" s="875"/>
      <c r="I96" s="875"/>
      <c r="J96" s="874"/>
      <c r="K96" s="874"/>
      <c r="L96" s="283"/>
      <c r="M96" s="717" t="str">
        <f>C_Variables!CG192</f>
        <v>Skill8</v>
      </c>
      <c r="N96" s="717"/>
      <c r="O96" s="718"/>
      <c r="P96" s="718"/>
      <c r="Q96" s="718"/>
      <c r="R96" s="283"/>
      <c r="S96" s="717" t="s">
        <v>4422</v>
      </c>
      <c r="T96" s="717"/>
      <c r="U96" s="820"/>
      <c r="V96" s="820"/>
      <c r="W96" s="820"/>
      <c r="X96" s="152"/>
      <c r="AD96" s="152"/>
      <c r="AE96" s="152"/>
      <c r="AF96" s="171"/>
      <c r="AH96" s="253" t="str">
        <f>IFERROR(IF(AH95+1&lt;UniqueClassesNumber+1,AH95+1,""),"")</f>
        <v/>
      </c>
      <c r="AI96" s="253" t="str">
        <f>IFERROR(INDEX(D04_Classes!$B$3:$B$102,AH96,1),"")</f>
        <v/>
      </c>
      <c r="AJ96" s="253" t="str">
        <f t="shared" si="17"/>
        <v/>
      </c>
      <c r="AK96" s="253">
        <f t="shared" si="21"/>
        <v>0</v>
      </c>
      <c r="AL96" s="253">
        <f>IF(AK96=0,0,COUNTIF($AL$15:AL95,"&gt;0")+1)</f>
        <v>0</v>
      </c>
      <c r="AM96" s="253">
        <f>IF(IFERROR(SEARCH("and",INDEX(D04_Classes!$BW$3:$BW$102,MATCH(C_Input!AI96,D04_Classes!$B$3:$B$102,0),1)),0)&gt;1,1,0)</f>
        <v>0</v>
      </c>
      <c r="AN96" s="253">
        <f>IF(IFERROR(SEARCH("or",INDEX(D04_Classes!$BW$3:$BW$102,MATCH(C_Input!AI96,D04_Classes!$B$3:$B$102,0),1)),0)&gt;1,1,0)</f>
        <v>0</v>
      </c>
      <c r="AO96" s="253" t="str">
        <f>IF(OR(IFERROR(SEARCH("Strength",INDEX(D04_Classes!$BW$3:$BW$102,MATCH(C_Input!AI96,D04_Classes!$B$3:$B$102,0),1)),0)=0,AND(IFERROR(SEARCH("Strength",INDEX(D04_Classes!$BW$3:$BW$102,MATCH(C_Input!AI96,D04_Classes!$B$3:$B$102,0),1)),0)&gt;0,Strength&gt;12)),"yes","no")</f>
        <v>yes</v>
      </c>
      <c r="AP96" s="253" t="str">
        <f>IF(OR(IFERROR(SEARCH("Dexterity",INDEX(D04_Classes!$BW$3:$BW$102,MATCH(C_Input!AI96,D04_Classes!$B$3:$B$102,0),1)),0)=0,AND(IFERROR(SEARCH("Dexterity",INDEX(D04_Classes!$BW$3:$BW$102,MATCH(C_Input!AI96,D04_Classes!$B$3:$B$102,0),1)),0)&gt;0,Dexterity&gt;12)),"yes","no")</f>
        <v>yes</v>
      </c>
      <c r="AQ96" s="253" t="str">
        <f>IF(OR(IFERROR(SEARCH("Constitution",INDEX(D04_Classes!$BW$3:$BW$102,MATCH(C_Input!AI96,D04_Classes!$B$3:$B$102,0),1)),0)=0,AND(IFERROR(SEARCH("Constitution",INDEX(D04_Classes!$BW$3:$BW$102,MATCH(C_Input!AI96,D04_Classes!$B$3:$B$102,0),1)),0)&gt;0,Constitution&gt;12)),"yes","no")</f>
        <v>yes</v>
      </c>
      <c r="AR96" s="253" t="str">
        <f>IF(OR(IFERROR(SEARCH("Intelligence",INDEX(D04_Classes!$BW$3:$BW$102,MATCH(C_Input!AI96,D04_Classes!$B$3:$B$102,0),1)),0)=0,AND(IFERROR(SEARCH("Intelligence",INDEX(D04_Classes!$BW$3:$BW$102,MATCH(C_Input!AI96,D04_Classes!$B$3:$B$102,0),1)),0)&gt;0,Intelligence&gt;12)),"yes","no")</f>
        <v>yes</v>
      </c>
      <c r="AS96" s="253" t="str">
        <f>IF(OR(IFERROR(SEARCH("Wisdom",INDEX(D04_Classes!$BW$3:$BW$102,MATCH(C_Input!AI96,D04_Classes!$B$3:$B$102,0),1)),0)=0,AND(IFERROR(SEARCH("Wisdom",INDEX(D04_Classes!$BW$3:$BW$102,MATCH(C_Input!AI96,D04_Classes!$B$3:$B$102,0),1)),0)&gt;0,Wisdom&gt;12)),"yes","no")</f>
        <v>yes</v>
      </c>
      <c r="AT96" s="253" t="str">
        <f>IF(OR(IFERROR(SEARCH("Charisma",INDEX(D04_Classes!$BW$3:$BW$102,MATCH(C_Input!AI96,D04_Classes!$B$3:$B$102,0),1)),0)=0,AND(IFERROR(SEARCH("Charisma",INDEX(D04_Classes!$BW$3:$BW$102,MATCH(C_Input!AI96,D04_Classes!$B$3:$B$102,0),1)),0)&gt;0,Charisma&gt;12)),"yes","no")</f>
        <v>yes</v>
      </c>
      <c r="AU96" s="253">
        <f t="shared" si="18"/>
        <v>0</v>
      </c>
      <c r="AV96" s="253">
        <f>IF(AU96=0,0,COUNTIF($AV$15:AV95,"&gt;0")+1)</f>
        <v>0</v>
      </c>
      <c r="AX96" s="255" t="str">
        <f t="shared" si="22"/>
        <v/>
      </c>
      <c r="AY96" s="255" t="str">
        <f t="shared" si="19"/>
        <v/>
      </c>
      <c r="BD96" s="254" t="str">
        <f>IFERROR(IF(BD95+1&lt;=UniqueRaceNumer,BD95+1,""),"")</f>
        <v/>
      </c>
      <c r="BE96" s="254" t="str">
        <f>IFERROR(INDEX(D01_Races!$B$2:$B$101,MATCH(C_Input!BD96,D01_Races!$C$2:$C$101,0),1),"")</f>
        <v/>
      </c>
      <c r="BF96" s="252" t="str">
        <f>IFERROR(IF(BF95+1&lt;=UniqueSubraces,BF95+1,""),"")</f>
        <v/>
      </c>
      <c r="BG96" s="252" t="str">
        <f>IFERROR(IF(BF96="","",INDEX(D01_Races!$E$2:$E$101,MATCH(C_Input!BF96,D01_Races!$D$2:$D$101,0),1)),"")</f>
        <v/>
      </c>
      <c r="BH96" s="252" t="str">
        <f>IFERROR(IF(BF96="","",INDEX(D01_Races!$A$2:$A$101,MATCH(C_Input!BF96,D01_Races!$D$2:$D$101,0),1)),"")</f>
        <v/>
      </c>
    </row>
    <row r="97" spans="1:162" ht="15.95" customHeight="1" outlineLevel="1" x14ac:dyDescent="0.3">
      <c r="A97" s="152"/>
      <c r="B97" s="717"/>
      <c r="C97" s="717"/>
      <c r="D97" s="718"/>
      <c r="E97" s="718"/>
      <c r="F97" s="718"/>
      <c r="G97" s="283"/>
      <c r="H97" s="283"/>
      <c r="I97" s="283"/>
      <c r="J97" s="283"/>
      <c r="K97" s="283"/>
      <c r="L97" s="283"/>
      <c r="M97" s="717"/>
      <c r="N97" s="717"/>
      <c r="O97" s="718"/>
      <c r="P97" s="718"/>
      <c r="Q97" s="718"/>
      <c r="R97" s="283"/>
      <c r="S97" s="717"/>
      <c r="T97" s="717"/>
      <c r="U97" s="820"/>
      <c r="V97" s="820"/>
      <c r="W97" s="820"/>
      <c r="X97" s="152"/>
      <c r="AD97" s="152"/>
      <c r="AE97" s="152"/>
      <c r="AF97" s="171"/>
      <c r="AH97" s="253" t="str">
        <f t="shared" si="20"/>
        <v/>
      </c>
      <c r="AI97" s="253" t="str">
        <f>IFERROR(INDEX(D04_Classes!$B$3:$B$102,AH97,1),"")</f>
        <v/>
      </c>
      <c r="AJ97" s="253" t="str">
        <f t="shared" si="17"/>
        <v/>
      </c>
      <c r="AK97" s="253">
        <f t="shared" si="21"/>
        <v>0</v>
      </c>
      <c r="AL97" s="253">
        <f>IF(AK97=0,0,COUNTIF($AL$15:AL96,"&gt;0")+1)</f>
        <v>0</v>
      </c>
      <c r="AM97" s="253">
        <f>IF(IFERROR(SEARCH("and",INDEX(D04_Classes!$BW$3:$BW$102,MATCH(C_Input!AI97,D04_Classes!$B$3:$B$102,0),1)),0)&gt;1,1,0)</f>
        <v>0</v>
      </c>
      <c r="AN97" s="253">
        <f>IF(IFERROR(SEARCH("or",INDEX(D04_Classes!$BW$3:$BW$102,MATCH(C_Input!AI97,D04_Classes!$B$3:$B$102,0),1)),0)&gt;1,1,0)</f>
        <v>0</v>
      </c>
      <c r="AO97" s="253" t="str">
        <f>IF(OR(IFERROR(SEARCH("Strength",INDEX(D04_Classes!$BW$3:$BW$102,MATCH(C_Input!AI97,D04_Classes!$B$3:$B$102,0),1)),0)=0,AND(IFERROR(SEARCH("Strength",INDEX(D04_Classes!$BW$3:$BW$102,MATCH(C_Input!AI97,D04_Classes!$B$3:$B$102,0),1)),0)&gt;0,Strength&gt;12)),"yes","no")</f>
        <v>yes</v>
      </c>
      <c r="AP97" s="253" t="str">
        <f>IF(OR(IFERROR(SEARCH("Dexterity",INDEX(D04_Classes!$BW$3:$BW$102,MATCH(C_Input!AI97,D04_Classes!$B$3:$B$102,0),1)),0)=0,AND(IFERROR(SEARCH("Dexterity",INDEX(D04_Classes!$BW$3:$BW$102,MATCH(C_Input!AI97,D04_Classes!$B$3:$B$102,0),1)),0)&gt;0,Dexterity&gt;12)),"yes","no")</f>
        <v>yes</v>
      </c>
      <c r="AQ97" s="253" t="str">
        <f>IF(OR(IFERROR(SEARCH("Constitution",INDEX(D04_Classes!$BW$3:$BW$102,MATCH(C_Input!AI97,D04_Classes!$B$3:$B$102,0),1)),0)=0,AND(IFERROR(SEARCH("Constitution",INDEX(D04_Classes!$BW$3:$BW$102,MATCH(C_Input!AI97,D04_Classes!$B$3:$B$102,0),1)),0)&gt;0,Constitution&gt;12)),"yes","no")</f>
        <v>yes</v>
      </c>
      <c r="AR97" s="253" t="str">
        <f>IF(OR(IFERROR(SEARCH("Intelligence",INDEX(D04_Classes!$BW$3:$BW$102,MATCH(C_Input!AI97,D04_Classes!$B$3:$B$102,0),1)),0)=0,AND(IFERROR(SEARCH("Intelligence",INDEX(D04_Classes!$BW$3:$BW$102,MATCH(C_Input!AI97,D04_Classes!$B$3:$B$102,0),1)),0)&gt;0,Intelligence&gt;12)),"yes","no")</f>
        <v>yes</v>
      </c>
      <c r="AS97" s="253" t="str">
        <f>IF(OR(IFERROR(SEARCH("Wisdom",INDEX(D04_Classes!$BW$3:$BW$102,MATCH(C_Input!AI97,D04_Classes!$B$3:$B$102,0),1)),0)=0,AND(IFERROR(SEARCH("Wisdom",INDEX(D04_Classes!$BW$3:$BW$102,MATCH(C_Input!AI97,D04_Classes!$B$3:$B$102,0),1)),0)&gt;0,Wisdom&gt;12)),"yes","no")</f>
        <v>yes</v>
      </c>
      <c r="AT97" s="253" t="str">
        <f>IF(OR(IFERROR(SEARCH("Charisma",INDEX(D04_Classes!$BW$3:$BW$102,MATCH(C_Input!AI97,D04_Classes!$B$3:$B$102,0),1)),0)=0,AND(IFERROR(SEARCH("Charisma",INDEX(D04_Classes!$BW$3:$BW$102,MATCH(C_Input!AI97,D04_Classes!$B$3:$B$102,0),1)),0)&gt;0,Charisma&gt;12)),"yes","no")</f>
        <v>yes</v>
      </c>
      <c r="AU97" s="253">
        <f t="shared" si="18"/>
        <v>0</v>
      </c>
      <c r="AV97" s="253">
        <f>IF(AU97=0,0,COUNTIF($AV$15:AV96,"&gt;0")+1)</f>
        <v>0</v>
      </c>
      <c r="AX97" s="255" t="str">
        <f t="shared" si="22"/>
        <v/>
      </c>
      <c r="AY97" s="255" t="str">
        <f t="shared" si="19"/>
        <v/>
      </c>
      <c r="BD97" s="254" t="str">
        <f t="shared" si="23"/>
        <v/>
      </c>
      <c r="BE97" s="254" t="str">
        <f>IFERROR(INDEX(D01_Races!$B$2:$B$101,MATCH(C_Input!BD97,D01_Races!$C$2:$C$101,0),1),"")</f>
        <v/>
      </c>
      <c r="BF97" s="252" t="str">
        <f t="shared" si="24"/>
        <v/>
      </c>
      <c r="BG97" s="252" t="str">
        <f>IFERROR(IF(BF97="","",INDEX(D01_Races!$E$2:$E$101,MATCH(C_Input!BF97,D01_Races!$D$2:$D$101,0),1)),"")</f>
        <v/>
      </c>
      <c r="BH97" s="252" t="str">
        <f>IFERROR(IF(BF97="","",INDEX(D01_Races!$A$2:$A$101,MATCH(C_Input!BF97,D01_Races!$D$2:$D$101,0),1)),"")</f>
        <v/>
      </c>
    </row>
    <row r="98" spans="1:162" ht="15.95" customHeight="1" outlineLevel="1" x14ac:dyDescent="0.3">
      <c r="A98" s="152"/>
      <c r="B98" s="717" t="s">
        <v>2225</v>
      </c>
      <c r="C98" s="717"/>
      <c r="D98" s="718"/>
      <c r="E98" s="718"/>
      <c r="F98" s="718"/>
      <c r="G98" s="283"/>
      <c r="H98" s="875" t="s">
        <v>4148</v>
      </c>
      <c r="I98" s="875"/>
      <c r="J98" s="876">
        <f>IFERROR($J$95-IF(OR(SelectedSkill4="n/a",SelectedSkill4=""),0,1)-IF(OR(SelectedSkill5="n/a",SelectedSkill5=""),0,1),"")</f>
        <v>0</v>
      </c>
      <c r="K98" s="876"/>
      <c r="L98" s="283"/>
      <c r="M98" s="717" t="str">
        <f>C_Variables!CM192</f>
        <v>Skill9</v>
      </c>
      <c r="N98" s="717"/>
      <c r="O98" s="889"/>
      <c r="P98" s="889"/>
      <c r="Q98" s="889"/>
      <c r="R98" s="283"/>
      <c r="S98" s="717" t="s">
        <v>4423</v>
      </c>
      <c r="T98" s="717"/>
      <c r="U98" s="820"/>
      <c r="V98" s="820"/>
      <c r="W98" s="820"/>
      <c r="X98" s="152"/>
      <c r="AD98" s="152"/>
      <c r="AE98" s="152"/>
      <c r="AF98" s="171"/>
      <c r="AH98" s="253" t="str">
        <f t="shared" si="20"/>
        <v/>
      </c>
      <c r="AI98" s="253" t="str">
        <f>IFERROR(INDEX(D04_Classes!$B$3:$B$102,AH98,1),"")</f>
        <v/>
      </c>
      <c r="AJ98" s="253" t="str">
        <f t="shared" si="17"/>
        <v/>
      </c>
      <c r="AK98" s="253">
        <f t="shared" si="21"/>
        <v>0</v>
      </c>
      <c r="AL98" s="253">
        <f>IF(AK98=0,0,COUNTIF($AL$15:AL97,"&gt;0")+1)</f>
        <v>0</v>
      </c>
      <c r="AM98" s="253">
        <f>IF(IFERROR(SEARCH("and",INDEX(D04_Classes!$BW$3:$BW$102,MATCH(C_Input!AI98,D04_Classes!$B$3:$B$102,0),1)),0)&gt;1,1,0)</f>
        <v>0</v>
      </c>
      <c r="AN98" s="253">
        <f>IF(IFERROR(SEARCH("or",INDEX(D04_Classes!$BW$3:$BW$102,MATCH(C_Input!AI98,D04_Classes!$B$3:$B$102,0),1)),0)&gt;1,1,0)</f>
        <v>0</v>
      </c>
      <c r="AO98" s="253" t="str">
        <f>IF(OR(IFERROR(SEARCH("Strength",INDEX(D04_Classes!$BW$3:$BW$102,MATCH(C_Input!AI98,D04_Classes!$B$3:$B$102,0),1)),0)=0,AND(IFERROR(SEARCH("Strength",INDEX(D04_Classes!$BW$3:$BW$102,MATCH(C_Input!AI98,D04_Classes!$B$3:$B$102,0),1)),0)&gt;0,Strength&gt;12)),"yes","no")</f>
        <v>yes</v>
      </c>
      <c r="AP98" s="253" t="str">
        <f>IF(OR(IFERROR(SEARCH("Dexterity",INDEX(D04_Classes!$BW$3:$BW$102,MATCH(C_Input!AI98,D04_Classes!$B$3:$B$102,0),1)),0)=0,AND(IFERROR(SEARCH("Dexterity",INDEX(D04_Classes!$BW$3:$BW$102,MATCH(C_Input!AI98,D04_Classes!$B$3:$B$102,0),1)),0)&gt;0,Dexterity&gt;12)),"yes","no")</f>
        <v>yes</v>
      </c>
      <c r="AQ98" s="253" t="str">
        <f>IF(OR(IFERROR(SEARCH("Constitution",INDEX(D04_Classes!$BW$3:$BW$102,MATCH(C_Input!AI98,D04_Classes!$B$3:$B$102,0),1)),0)=0,AND(IFERROR(SEARCH("Constitution",INDEX(D04_Classes!$BW$3:$BW$102,MATCH(C_Input!AI98,D04_Classes!$B$3:$B$102,0),1)),0)&gt;0,Constitution&gt;12)),"yes","no")</f>
        <v>yes</v>
      </c>
      <c r="AR98" s="253" t="str">
        <f>IF(OR(IFERROR(SEARCH("Intelligence",INDEX(D04_Classes!$BW$3:$BW$102,MATCH(C_Input!AI98,D04_Classes!$B$3:$B$102,0),1)),0)=0,AND(IFERROR(SEARCH("Intelligence",INDEX(D04_Classes!$BW$3:$BW$102,MATCH(C_Input!AI98,D04_Classes!$B$3:$B$102,0),1)),0)&gt;0,Intelligence&gt;12)),"yes","no")</f>
        <v>yes</v>
      </c>
      <c r="AS98" s="253" t="str">
        <f>IF(OR(IFERROR(SEARCH("Wisdom",INDEX(D04_Classes!$BW$3:$BW$102,MATCH(C_Input!AI98,D04_Classes!$B$3:$B$102,0),1)),0)=0,AND(IFERROR(SEARCH("Wisdom",INDEX(D04_Classes!$BW$3:$BW$102,MATCH(C_Input!AI98,D04_Classes!$B$3:$B$102,0),1)),0)&gt;0,Wisdom&gt;12)),"yes","no")</f>
        <v>yes</v>
      </c>
      <c r="AT98" s="253" t="str">
        <f>IF(OR(IFERROR(SEARCH("Charisma",INDEX(D04_Classes!$BW$3:$BW$102,MATCH(C_Input!AI98,D04_Classes!$B$3:$B$102,0),1)),0)=0,AND(IFERROR(SEARCH("Charisma",INDEX(D04_Classes!$BW$3:$BW$102,MATCH(C_Input!AI98,D04_Classes!$B$3:$B$102,0),1)),0)&gt;0,Charisma&gt;12)),"yes","no")</f>
        <v>yes</v>
      </c>
      <c r="AU98" s="253">
        <f t="shared" si="18"/>
        <v>0</v>
      </c>
      <c r="AV98" s="253">
        <f>IF(AU98=0,0,COUNTIF($AV$15:AV97,"&gt;0")+1)</f>
        <v>0</v>
      </c>
      <c r="AX98" s="255" t="str">
        <f t="shared" si="22"/>
        <v/>
      </c>
      <c r="AY98" s="255" t="str">
        <f t="shared" si="19"/>
        <v/>
      </c>
      <c r="BD98" s="254" t="str">
        <f t="shared" si="23"/>
        <v/>
      </c>
      <c r="BE98" s="254" t="str">
        <f>IFERROR(INDEX(D01_Races!$B$2:$B$101,MATCH(C_Input!BD98,D01_Races!$C$2:$C$101,0),1),"")</f>
        <v/>
      </c>
      <c r="BF98" s="252" t="str">
        <f t="shared" si="24"/>
        <v/>
      </c>
      <c r="BG98" s="252" t="str">
        <f>IFERROR(IF(BF98="","",INDEX(D01_Races!$E$2:$E$101,MATCH(C_Input!BF98,D01_Races!$D$2:$D$101,0),1)),"")</f>
        <v/>
      </c>
      <c r="BH98" s="252" t="str">
        <f>IFERROR(IF(BF98="","",INDEX(D01_Races!$A$2:$A$101,MATCH(C_Input!BF98,D01_Races!$D$2:$D$101,0),1)),"")</f>
        <v/>
      </c>
    </row>
    <row r="99" spans="1:162" ht="15.95" customHeight="1" outlineLevel="1" x14ac:dyDescent="0.3">
      <c r="A99" s="152"/>
      <c r="B99" s="717"/>
      <c r="C99" s="717"/>
      <c r="D99" s="718"/>
      <c r="E99" s="718"/>
      <c r="F99" s="718"/>
      <c r="G99" s="283"/>
      <c r="H99" s="875"/>
      <c r="I99" s="875"/>
      <c r="J99" s="876"/>
      <c r="K99" s="876"/>
      <c r="L99" s="283"/>
      <c r="M99" s="717"/>
      <c r="N99" s="717"/>
      <c r="O99" s="889"/>
      <c r="P99" s="889"/>
      <c r="Q99" s="889"/>
      <c r="R99" s="283"/>
      <c r="S99" s="717"/>
      <c r="T99" s="717"/>
      <c r="U99" s="820"/>
      <c r="V99" s="820"/>
      <c r="W99" s="820"/>
      <c r="X99" s="152"/>
      <c r="AD99" s="152"/>
      <c r="AE99" s="152"/>
      <c r="AF99" s="171"/>
      <c r="AH99" s="253" t="str">
        <f t="shared" si="20"/>
        <v/>
      </c>
      <c r="AI99" s="253" t="str">
        <f>IFERROR(INDEX(D04_Classes!$B$3:$B$102,AH99,1),"")</f>
        <v/>
      </c>
      <c r="AJ99" s="253" t="str">
        <f t="shared" si="17"/>
        <v/>
      </c>
      <c r="AK99" s="253">
        <f t="shared" si="21"/>
        <v>0</v>
      </c>
      <c r="AL99" s="253">
        <f>IF(AK99=0,0,COUNTIF($AL$15:AL98,"&gt;0")+1)</f>
        <v>0</v>
      </c>
      <c r="AM99" s="253">
        <f>IF(IFERROR(SEARCH("and",INDEX(D04_Classes!$BW$3:$BW$102,MATCH(C_Input!AI99,D04_Classes!$B$3:$B$102,0),1)),0)&gt;1,1,0)</f>
        <v>0</v>
      </c>
      <c r="AN99" s="253">
        <f>IF(IFERROR(SEARCH("or",INDEX(D04_Classes!$BW$3:$BW$102,MATCH(C_Input!AI99,D04_Classes!$B$3:$B$102,0),1)),0)&gt;1,1,0)</f>
        <v>0</v>
      </c>
      <c r="AO99" s="253" t="str">
        <f>IF(OR(IFERROR(SEARCH("Strength",INDEX(D04_Classes!$BW$3:$BW$102,MATCH(C_Input!AI99,D04_Classes!$B$3:$B$102,0),1)),0)=0,AND(IFERROR(SEARCH("Strength",INDEX(D04_Classes!$BW$3:$BW$102,MATCH(C_Input!AI99,D04_Classes!$B$3:$B$102,0),1)),0)&gt;0,Strength&gt;12)),"yes","no")</f>
        <v>yes</v>
      </c>
      <c r="AP99" s="253" t="str">
        <f>IF(OR(IFERROR(SEARCH("Dexterity",INDEX(D04_Classes!$BW$3:$BW$102,MATCH(C_Input!AI99,D04_Classes!$B$3:$B$102,0),1)),0)=0,AND(IFERROR(SEARCH("Dexterity",INDEX(D04_Classes!$BW$3:$BW$102,MATCH(C_Input!AI99,D04_Classes!$B$3:$B$102,0),1)),0)&gt;0,Dexterity&gt;12)),"yes","no")</f>
        <v>yes</v>
      </c>
      <c r="AQ99" s="253" t="str">
        <f>IF(OR(IFERROR(SEARCH("Constitution",INDEX(D04_Classes!$BW$3:$BW$102,MATCH(C_Input!AI99,D04_Classes!$B$3:$B$102,0),1)),0)=0,AND(IFERROR(SEARCH("Constitution",INDEX(D04_Classes!$BW$3:$BW$102,MATCH(C_Input!AI99,D04_Classes!$B$3:$B$102,0),1)),0)&gt;0,Constitution&gt;12)),"yes","no")</f>
        <v>yes</v>
      </c>
      <c r="AR99" s="253" t="str">
        <f>IF(OR(IFERROR(SEARCH("Intelligence",INDEX(D04_Classes!$BW$3:$BW$102,MATCH(C_Input!AI99,D04_Classes!$B$3:$B$102,0),1)),0)=0,AND(IFERROR(SEARCH("Intelligence",INDEX(D04_Classes!$BW$3:$BW$102,MATCH(C_Input!AI99,D04_Classes!$B$3:$B$102,0),1)),0)&gt;0,Intelligence&gt;12)),"yes","no")</f>
        <v>yes</v>
      </c>
      <c r="AS99" s="253" t="str">
        <f>IF(OR(IFERROR(SEARCH("Wisdom",INDEX(D04_Classes!$BW$3:$BW$102,MATCH(C_Input!AI99,D04_Classes!$B$3:$B$102,0),1)),0)=0,AND(IFERROR(SEARCH("Wisdom",INDEX(D04_Classes!$BW$3:$BW$102,MATCH(C_Input!AI99,D04_Classes!$B$3:$B$102,0),1)),0)&gt;0,Wisdom&gt;12)),"yes","no")</f>
        <v>yes</v>
      </c>
      <c r="AT99" s="253" t="str">
        <f>IF(OR(IFERROR(SEARCH("Charisma",INDEX(D04_Classes!$BW$3:$BW$102,MATCH(C_Input!AI99,D04_Classes!$B$3:$B$102,0),1)),0)=0,AND(IFERROR(SEARCH("Charisma",INDEX(D04_Classes!$BW$3:$BW$102,MATCH(C_Input!AI99,D04_Classes!$B$3:$B$102,0),1)),0)&gt;0,Charisma&gt;12)),"yes","no")</f>
        <v>yes</v>
      </c>
      <c r="AU99" s="253">
        <f t="shared" si="18"/>
        <v>0</v>
      </c>
      <c r="AV99" s="253">
        <f>IF(AU99=0,0,COUNTIF($AV$15:AV98,"&gt;0")+1)</f>
        <v>0</v>
      </c>
      <c r="AX99" s="255" t="str">
        <f t="shared" si="22"/>
        <v/>
      </c>
      <c r="AY99" s="255" t="str">
        <f t="shared" si="19"/>
        <v/>
      </c>
      <c r="BD99" s="254" t="str">
        <f t="shared" si="23"/>
        <v/>
      </c>
      <c r="BE99" s="254" t="str">
        <f>IFERROR(INDEX(D01_Races!$B$2:$B$101,MATCH(C_Input!BD99,D01_Races!$C$2:$C$101,0),1),"")</f>
        <v/>
      </c>
      <c r="BF99" s="252" t="str">
        <f t="shared" si="24"/>
        <v/>
      </c>
      <c r="BG99" s="252" t="str">
        <f>IFERROR(IF(BF99="","",INDEX(D01_Races!$E$2:$E$101,MATCH(C_Input!BF99,D01_Races!$D$2:$D$101,0),1)),"")</f>
        <v/>
      </c>
      <c r="BH99" s="252" t="str">
        <f>IFERROR(IF(BF99="","",INDEX(D01_Races!$A$2:$A$101,MATCH(C_Input!BF99,D01_Races!$D$2:$D$101,0),1)),"")</f>
        <v/>
      </c>
    </row>
    <row r="100" spans="1:162" ht="15.95" customHeight="1" outlineLevel="1" x14ac:dyDescent="0.3">
      <c r="A100" s="152"/>
      <c r="B100" s="152"/>
      <c r="C100" s="152"/>
      <c r="D100" s="152"/>
      <c r="E100" s="152"/>
      <c r="F100" s="152"/>
      <c r="G100" s="152"/>
      <c r="H100" s="152"/>
      <c r="I100" s="152"/>
      <c r="J100" s="152"/>
      <c r="K100" s="152"/>
      <c r="L100" s="152"/>
      <c r="M100" s="717"/>
      <c r="N100" s="717"/>
      <c r="O100" s="718"/>
      <c r="P100" s="718"/>
      <c r="Q100" s="718"/>
      <c r="R100" s="152"/>
      <c r="S100" s="152"/>
      <c r="T100" s="152"/>
      <c r="U100" s="152"/>
      <c r="V100" s="152"/>
      <c r="W100" s="152"/>
      <c r="X100" s="152"/>
      <c r="AF100" s="171"/>
      <c r="AH100" s="253" t="str">
        <f t="shared" si="20"/>
        <v/>
      </c>
      <c r="AI100" s="253" t="str">
        <f>IFERROR(INDEX(D04_Classes!$B$3:$B$102,AH100,1),"")</f>
        <v/>
      </c>
      <c r="AJ100" s="253" t="str">
        <f t="shared" si="17"/>
        <v/>
      </c>
      <c r="AK100" s="253">
        <f t="shared" si="21"/>
        <v>0</v>
      </c>
      <c r="AL100" s="253">
        <f>IF(AK100=0,0,COUNTIF($AL$15:AL99,"&gt;0")+1)</f>
        <v>0</v>
      </c>
      <c r="AM100" s="253">
        <f>IF(IFERROR(SEARCH("and",INDEX(D04_Classes!$BW$3:$BW$102,MATCH(C_Input!AI100,D04_Classes!$B$3:$B$102,0),1)),0)&gt;1,1,0)</f>
        <v>0</v>
      </c>
      <c r="AN100" s="253">
        <f>IF(IFERROR(SEARCH("or",INDEX(D04_Classes!$BW$3:$BW$102,MATCH(C_Input!AI100,D04_Classes!$B$3:$B$102,0),1)),0)&gt;1,1,0)</f>
        <v>0</v>
      </c>
      <c r="AO100" s="253" t="str">
        <f>IF(OR(IFERROR(SEARCH("Strength",INDEX(D04_Classes!$BW$3:$BW$102,MATCH(C_Input!AI100,D04_Classes!$B$3:$B$102,0),1)),0)=0,AND(IFERROR(SEARCH("Strength",INDEX(D04_Classes!$BW$3:$BW$102,MATCH(C_Input!AI100,D04_Classes!$B$3:$B$102,0),1)),0)&gt;0,Strength&gt;12)),"yes","no")</f>
        <v>yes</v>
      </c>
      <c r="AP100" s="253" t="str">
        <f>IF(OR(IFERROR(SEARCH("Dexterity",INDEX(D04_Classes!$BW$3:$BW$102,MATCH(C_Input!AI100,D04_Classes!$B$3:$B$102,0),1)),0)=0,AND(IFERROR(SEARCH("Dexterity",INDEX(D04_Classes!$BW$3:$BW$102,MATCH(C_Input!AI100,D04_Classes!$B$3:$B$102,0),1)),0)&gt;0,Dexterity&gt;12)),"yes","no")</f>
        <v>yes</v>
      </c>
      <c r="AQ100" s="253" t="str">
        <f>IF(OR(IFERROR(SEARCH("Constitution",INDEX(D04_Classes!$BW$3:$BW$102,MATCH(C_Input!AI100,D04_Classes!$B$3:$B$102,0),1)),0)=0,AND(IFERROR(SEARCH("Constitution",INDEX(D04_Classes!$BW$3:$BW$102,MATCH(C_Input!AI100,D04_Classes!$B$3:$B$102,0),1)),0)&gt;0,Constitution&gt;12)),"yes","no")</f>
        <v>yes</v>
      </c>
      <c r="AR100" s="253" t="str">
        <f>IF(OR(IFERROR(SEARCH("Intelligence",INDEX(D04_Classes!$BW$3:$BW$102,MATCH(C_Input!AI100,D04_Classes!$B$3:$B$102,0),1)),0)=0,AND(IFERROR(SEARCH("Intelligence",INDEX(D04_Classes!$BW$3:$BW$102,MATCH(C_Input!AI100,D04_Classes!$B$3:$B$102,0),1)),0)&gt;0,Intelligence&gt;12)),"yes","no")</f>
        <v>yes</v>
      </c>
      <c r="AS100" s="253" t="str">
        <f>IF(OR(IFERROR(SEARCH("Wisdom",INDEX(D04_Classes!$BW$3:$BW$102,MATCH(C_Input!AI100,D04_Classes!$B$3:$B$102,0),1)),0)=0,AND(IFERROR(SEARCH("Wisdom",INDEX(D04_Classes!$BW$3:$BW$102,MATCH(C_Input!AI100,D04_Classes!$B$3:$B$102,0),1)),0)&gt;0,Wisdom&gt;12)),"yes","no")</f>
        <v>yes</v>
      </c>
      <c r="AT100" s="253" t="str">
        <f>IF(OR(IFERROR(SEARCH("Charisma",INDEX(D04_Classes!$BW$3:$BW$102,MATCH(C_Input!AI100,D04_Classes!$B$3:$B$102,0),1)),0)=0,AND(IFERROR(SEARCH("Charisma",INDEX(D04_Classes!$BW$3:$BW$102,MATCH(C_Input!AI100,D04_Classes!$B$3:$B$102,0),1)),0)&gt;0,Charisma&gt;12)),"yes","no")</f>
        <v>yes</v>
      </c>
      <c r="AU100" s="253">
        <f t="shared" si="18"/>
        <v>0</v>
      </c>
      <c r="AV100" s="253">
        <f>IF(AU100=0,0,COUNTIF($AV$15:AV99,"&gt;0")+1)</f>
        <v>0</v>
      </c>
      <c r="AX100" s="255" t="str">
        <f t="shared" si="22"/>
        <v/>
      </c>
      <c r="AY100" s="255" t="str">
        <f t="shared" si="19"/>
        <v/>
      </c>
      <c r="BD100" s="254" t="str">
        <f t="shared" si="23"/>
        <v/>
      </c>
      <c r="BE100" s="254" t="str">
        <f>IFERROR(INDEX(D01_Races!$B$2:$B$101,MATCH(C_Input!BD100,D01_Races!$C$2:$C$101,0),1),"")</f>
        <v/>
      </c>
      <c r="BF100" s="252" t="str">
        <f t="shared" si="24"/>
        <v/>
      </c>
      <c r="BG100" s="252" t="str">
        <f>IFERROR(IF(BF100="","",INDEX(D01_Races!$E$2:$E$101,MATCH(C_Input!BF100,D01_Races!$D$2:$D$101,0),1)),"")</f>
        <v/>
      </c>
      <c r="BH100" s="252" t="str">
        <f>IFERROR(IF(BF100="","",INDEX(D01_Races!$A$2:$A$101,MATCH(C_Input!BF100,D01_Races!$D$2:$D$101,0),1)),"")</f>
        <v/>
      </c>
    </row>
    <row r="101" spans="1:162" ht="15.95" customHeight="1" x14ac:dyDescent="0.3">
      <c r="A101" s="152"/>
      <c r="B101" s="152"/>
      <c r="C101" s="152"/>
      <c r="D101" s="152"/>
      <c r="E101" s="152"/>
      <c r="F101" s="152"/>
      <c r="G101" s="152"/>
      <c r="H101" s="152"/>
      <c r="I101" s="152"/>
      <c r="J101" s="152"/>
      <c r="K101" s="152"/>
      <c r="L101" s="152"/>
      <c r="M101" s="717"/>
      <c r="N101" s="717"/>
      <c r="O101" s="718"/>
      <c r="P101" s="718"/>
      <c r="Q101" s="718"/>
      <c r="R101" s="152"/>
      <c r="S101" s="152"/>
      <c r="T101" s="152"/>
      <c r="U101" s="152"/>
      <c r="V101" s="152"/>
      <c r="W101" s="152"/>
      <c r="X101" s="152"/>
      <c r="AF101" s="201"/>
      <c r="AG101" s="202"/>
      <c r="AH101" s="253" t="str">
        <f t="shared" si="20"/>
        <v/>
      </c>
      <c r="AI101" s="253" t="str">
        <f>IFERROR(INDEX(D04_Classes!$B$3:$B$102,AH101,1),"")</f>
        <v/>
      </c>
      <c r="AJ101" s="253" t="str">
        <f t="shared" si="17"/>
        <v/>
      </c>
      <c r="AK101" s="253">
        <f t="shared" si="21"/>
        <v>0</v>
      </c>
      <c r="AL101" s="253">
        <f>IF(AK101=0,0,COUNTIF($AL$15:AL100,"&gt;0")+1)</f>
        <v>0</v>
      </c>
      <c r="AM101" s="253">
        <f>IF(IFERROR(SEARCH("and",INDEX(D04_Classes!$BW$3:$BW$102,MATCH(C_Input!AI101,D04_Classes!$B$3:$B$102,0),1)),0)&gt;1,1,0)</f>
        <v>0</v>
      </c>
      <c r="AN101" s="253">
        <f>IF(IFERROR(SEARCH("or",INDEX(D04_Classes!$BW$3:$BW$102,MATCH(C_Input!AI101,D04_Classes!$B$3:$B$102,0),1)),0)&gt;1,1,0)</f>
        <v>0</v>
      </c>
      <c r="AO101" s="253" t="str">
        <f>IF(OR(IFERROR(SEARCH("Strength",INDEX(D04_Classes!$BW$3:$BW$102,MATCH(C_Input!AI101,D04_Classes!$B$3:$B$102,0),1)),0)=0,AND(IFERROR(SEARCH("Strength",INDEX(D04_Classes!$BW$3:$BW$102,MATCH(C_Input!AI101,D04_Classes!$B$3:$B$102,0),1)),0)&gt;0,Strength&gt;12)),"yes","no")</f>
        <v>yes</v>
      </c>
      <c r="AP101" s="253" t="str">
        <f>IF(OR(IFERROR(SEARCH("Dexterity",INDEX(D04_Classes!$BW$3:$BW$102,MATCH(C_Input!AI101,D04_Classes!$B$3:$B$102,0),1)),0)=0,AND(IFERROR(SEARCH("Dexterity",INDEX(D04_Classes!$BW$3:$BW$102,MATCH(C_Input!AI101,D04_Classes!$B$3:$B$102,0),1)),0)&gt;0,Dexterity&gt;12)),"yes","no")</f>
        <v>yes</v>
      </c>
      <c r="AQ101" s="253" t="str">
        <f>IF(OR(IFERROR(SEARCH("Constitution",INDEX(D04_Classes!$BW$3:$BW$102,MATCH(C_Input!AI101,D04_Classes!$B$3:$B$102,0),1)),0)=0,AND(IFERROR(SEARCH("Constitution",INDEX(D04_Classes!$BW$3:$BW$102,MATCH(C_Input!AI101,D04_Classes!$B$3:$B$102,0),1)),0)&gt;0,Constitution&gt;12)),"yes","no")</f>
        <v>yes</v>
      </c>
      <c r="AR101" s="253" t="str">
        <f>IF(OR(IFERROR(SEARCH("Intelligence",INDEX(D04_Classes!$BW$3:$BW$102,MATCH(C_Input!AI101,D04_Classes!$B$3:$B$102,0),1)),0)=0,AND(IFERROR(SEARCH("Intelligence",INDEX(D04_Classes!$BW$3:$BW$102,MATCH(C_Input!AI101,D04_Classes!$B$3:$B$102,0),1)),0)&gt;0,Intelligence&gt;12)),"yes","no")</f>
        <v>yes</v>
      </c>
      <c r="AS101" s="253" t="str">
        <f>IF(OR(IFERROR(SEARCH("Wisdom",INDEX(D04_Classes!$BW$3:$BW$102,MATCH(C_Input!AI101,D04_Classes!$B$3:$B$102,0),1)),0)=0,AND(IFERROR(SEARCH("Wisdom",INDEX(D04_Classes!$BW$3:$BW$102,MATCH(C_Input!AI101,D04_Classes!$B$3:$B$102,0),1)),0)&gt;0,Wisdom&gt;12)),"yes","no")</f>
        <v>yes</v>
      </c>
      <c r="AT101" s="253" t="str">
        <f>IF(OR(IFERROR(SEARCH("Charisma",INDEX(D04_Classes!$BW$3:$BW$102,MATCH(C_Input!AI101,D04_Classes!$B$3:$B$102,0),1)),0)=0,AND(IFERROR(SEARCH("Charisma",INDEX(D04_Classes!$BW$3:$BW$102,MATCH(C_Input!AI101,D04_Classes!$B$3:$B$102,0),1)),0)&gt;0,Charisma&gt;12)),"yes","no")</f>
        <v>yes</v>
      </c>
      <c r="AU101" s="253">
        <f t="shared" si="18"/>
        <v>0</v>
      </c>
      <c r="AV101" s="253">
        <f>IF(AU101=0,0,COUNTIF($AV$15:AV100,"&gt;0")+1)</f>
        <v>0</v>
      </c>
      <c r="AX101" s="255" t="str">
        <f t="shared" si="22"/>
        <v/>
      </c>
      <c r="AY101" s="255" t="str">
        <f t="shared" si="19"/>
        <v/>
      </c>
      <c r="BD101" s="254" t="str">
        <f t="shared" si="23"/>
        <v/>
      </c>
      <c r="BE101" s="254" t="str">
        <f>IFERROR(INDEX(D01_Races!$B$2:$B$101,MATCH(C_Input!BD101,D01_Races!$C$2:$C$101,0),1),"")</f>
        <v/>
      </c>
      <c r="BF101" s="252" t="str">
        <f t="shared" si="24"/>
        <v/>
      </c>
      <c r="BG101" s="252" t="str">
        <f>IFERROR(IF(BF101="","",INDEX(D01_Races!$E$2:$E$101,MATCH(C_Input!BF101,D01_Races!$D$2:$D$101,0),1)),"")</f>
        <v/>
      </c>
      <c r="BH101" s="252" t="str">
        <f>IFERROR(IF(BF101="","",INDEX(D01_Races!$A$2:$A$101,MATCH(C_Input!BF101,D01_Races!$D$2:$D$101,0),1)),"")</f>
        <v/>
      </c>
    </row>
    <row r="102" spans="1:162" ht="15.95" customHeight="1" x14ac:dyDescent="0.3">
      <c r="A102" s="152"/>
      <c r="B102" s="152"/>
      <c r="C102" s="152"/>
      <c r="D102" s="152"/>
      <c r="E102" s="152"/>
      <c r="F102" s="152"/>
      <c r="G102" s="152"/>
      <c r="H102" s="152"/>
      <c r="I102" s="152"/>
      <c r="J102" s="152"/>
      <c r="K102" s="152"/>
      <c r="L102" s="152"/>
      <c r="M102" s="717"/>
      <c r="N102" s="717"/>
      <c r="O102" s="718"/>
      <c r="P102" s="718"/>
      <c r="Q102" s="718"/>
      <c r="R102" s="152"/>
      <c r="S102" s="152"/>
      <c r="T102" s="152"/>
      <c r="U102" s="152"/>
      <c r="V102" s="152"/>
      <c r="W102" s="152"/>
      <c r="X102" s="152"/>
      <c r="AF102" s="201"/>
      <c r="AG102" s="202"/>
      <c r="AH102" s="253" t="str">
        <f t="shared" si="20"/>
        <v/>
      </c>
      <c r="AI102" s="253" t="str">
        <f>IFERROR(INDEX(D04_Classes!$B$3:$B$102,AH102,1),"")</f>
        <v/>
      </c>
      <c r="AJ102" s="253" t="str">
        <f t="shared" si="17"/>
        <v/>
      </c>
      <c r="AK102" s="253">
        <f t="shared" si="21"/>
        <v>0</v>
      </c>
      <c r="AL102" s="253">
        <f>IF(AK102=0,0,COUNTIF($AL$15:AL101,"&gt;0")+1)</f>
        <v>0</v>
      </c>
      <c r="AM102" s="253">
        <f>IF(IFERROR(SEARCH("and",INDEX(D04_Classes!$BW$3:$BW$102,MATCH(C_Input!AI102,D04_Classes!$B$3:$B$102,0),1)),0)&gt;1,1,0)</f>
        <v>0</v>
      </c>
      <c r="AN102" s="253">
        <f>IF(IFERROR(SEARCH("or",INDEX(D04_Classes!$BW$3:$BW$102,MATCH(C_Input!AI102,D04_Classes!$B$3:$B$102,0),1)),0)&gt;1,1,0)</f>
        <v>0</v>
      </c>
      <c r="AO102" s="253" t="str">
        <f>IF(OR(IFERROR(SEARCH("Strength",INDEX(D04_Classes!$BW$3:$BW$102,MATCH(C_Input!AI102,D04_Classes!$B$3:$B$102,0),1)),0)=0,AND(IFERROR(SEARCH("Strength",INDEX(D04_Classes!$BW$3:$BW$102,MATCH(C_Input!AI102,D04_Classes!$B$3:$B$102,0),1)),0)&gt;0,Strength&gt;12)),"yes","no")</f>
        <v>yes</v>
      </c>
      <c r="AP102" s="253" t="str">
        <f>IF(OR(IFERROR(SEARCH("Dexterity",INDEX(D04_Classes!$BW$3:$BW$102,MATCH(C_Input!AI102,D04_Classes!$B$3:$B$102,0),1)),0)=0,AND(IFERROR(SEARCH("Dexterity",INDEX(D04_Classes!$BW$3:$BW$102,MATCH(C_Input!AI102,D04_Classes!$B$3:$B$102,0),1)),0)&gt;0,Dexterity&gt;12)),"yes","no")</f>
        <v>yes</v>
      </c>
      <c r="AQ102" s="253" t="str">
        <f>IF(OR(IFERROR(SEARCH("Constitution",INDEX(D04_Classes!$BW$3:$BW$102,MATCH(C_Input!AI102,D04_Classes!$B$3:$B$102,0),1)),0)=0,AND(IFERROR(SEARCH("Constitution",INDEX(D04_Classes!$BW$3:$BW$102,MATCH(C_Input!AI102,D04_Classes!$B$3:$B$102,0),1)),0)&gt;0,Constitution&gt;12)),"yes","no")</f>
        <v>yes</v>
      </c>
      <c r="AR102" s="253" t="str">
        <f>IF(OR(IFERROR(SEARCH("Intelligence",INDEX(D04_Classes!$BW$3:$BW$102,MATCH(C_Input!AI102,D04_Classes!$B$3:$B$102,0),1)),0)=0,AND(IFERROR(SEARCH("Intelligence",INDEX(D04_Classes!$BW$3:$BW$102,MATCH(C_Input!AI102,D04_Classes!$B$3:$B$102,0),1)),0)&gt;0,Intelligence&gt;12)),"yes","no")</f>
        <v>yes</v>
      </c>
      <c r="AS102" s="253" t="str">
        <f>IF(OR(IFERROR(SEARCH("Wisdom",INDEX(D04_Classes!$BW$3:$BW$102,MATCH(C_Input!AI102,D04_Classes!$B$3:$B$102,0),1)),0)=0,AND(IFERROR(SEARCH("Wisdom",INDEX(D04_Classes!$BW$3:$BW$102,MATCH(C_Input!AI102,D04_Classes!$B$3:$B$102,0),1)),0)&gt;0,Wisdom&gt;12)),"yes","no")</f>
        <v>yes</v>
      </c>
      <c r="AT102" s="253" t="str">
        <f>IF(OR(IFERROR(SEARCH("Charisma",INDEX(D04_Classes!$BW$3:$BW$102,MATCH(C_Input!AI102,D04_Classes!$B$3:$B$102,0),1)),0)=0,AND(IFERROR(SEARCH("Charisma",INDEX(D04_Classes!$BW$3:$BW$102,MATCH(C_Input!AI102,D04_Classes!$B$3:$B$102,0),1)),0)&gt;0,Charisma&gt;12)),"yes","no")</f>
        <v>yes</v>
      </c>
      <c r="AU102" s="253">
        <f t="shared" si="18"/>
        <v>0</v>
      </c>
      <c r="AV102" s="253">
        <f>IF(AU102=0,0,COUNTIF($AV$15:AV101,"&gt;0")+1)</f>
        <v>0</v>
      </c>
      <c r="AX102" s="255" t="str">
        <f t="shared" si="22"/>
        <v/>
      </c>
      <c r="AY102" s="255" t="str">
        <f t="shared" si="19"/>
        <v/>
      </c>
      <c r="BD102" s="254" t="str">
        <f t="shared" si="23"/>
        <v/>
      </c>
      <c r="BE102" s="254" t="str">
        <f>IFERROR(INDEX(D01_Races!$B$2:$B$101,MATCH(C_Input!BD102,D01_Races!$C$2:$C$101,0),1),"")</f>
        <v/>
      </c>
      <c r="BF102" s="252" t="str">
        <f t="shared" si="24"/>
        <v/>
      </c>
      <c r="BG102" s="252" t="str">
        <f>IFERROR(IF(BF102="","",INDEX(D01_Races!$E$2:$E$101,MATCH(C_Input!BF102,D01_Races!$D$2:$D$101,0),1)),"")</f>
        <v/>
      </c>
      <c r="BH102" s="252" t="str">
        <f>IFERROR(IF(BF102="","",INDEX(D01_Races!$A$2:$A$101,MATCH(C_Input!BF102,D01_Races!$D$2:$D$101,0),1)),"")</f>
        <v/>
      </c>
    </row>
    <row r="103" spans="1:162" ht="15.95" customHeight="1" outlineLevel="1" x14ac:dyDescent="0.3">
      <c r="A103" s="152"/>
      <c r="B103" s="152"/>
      <c r="C103" s="152"/>
      <c r="D103" s="152"/>
      <c r="E103" s="152"/>
      <c r="F103" s="152"/>
      <c r="G103" s="152"/>
      <c r="H103" s="152"/>
      <c r="I103" s="152"/>
      <c r="J103" s="152"/>
      <c r="K103" s="152"/>
      <c r="L103" s="152"/>
      <c r="M103" s="717"/>
      <c r="N103" s="717"/>
      <c r="O103" s="718"/>
      <c r="P103" s="718"/>
      <c r="Q103" s="718"/>
      <c r="R103" s="152"/>
      <c r="S103" s="152"/>
      <c r="T103" s="152"/>
      <c r="U103" s="152"/>
      <c r="V103" s="152"/>
      <c r="W103" s="152"/>
      <c r="X103" s="152"/>
      <c r="AF103" s="201"/>
      <c r="AG103" s="202"/>
      <c r="AH103" s="253" t="str">
        <f t="shared" si="20"/>
        <v/>
      </c>
      <c r="AI103" s="253" t="str">
        <f>IFERROR(INDEX(D04_Classes!$B$3:$B$102,AH103,1),"")</f>
        <v/>
      </c>
      <c r="AJ103" s="253" t="str">
        <f t="shared" si="17"/>
        <v/>
      </c>
      <c r="AK103" s="253">
        <f t="shared" si="21"/>
        <v>0</v>
      </c>
      <c r="AL103" s="253">
        <f>IF(AK103=0,0,COUNTIF($AL$15:AL102,"&gt;0")+1)</f>
        <v>0</v>
      </c>
      <c r="AM103" s="253">
        <f>IF(IFERROR(SEARCH("and",INDEX(D04_Classes!$BW$3:$BW$102,MATCH(C_Input!AI103,D04_Classes!$B$3:$B$102,0),1)),0)&gt;1,1,0)</f>
        <v>0</v>
      </c>
      <c r="AN103" s="253">
        <f>IF(IFERROR(SEARCH("or",INDEX(D04_Classes!$BW$3:$BW$102,MATCH(C_Input!AI103,D04_Classes!$B$3:$B$102,0),1)),0)&gt;1,1,0)</f>
        <v>0</v>
      </c>
      <c r="AO103" s="253" t="str">
        <f>IF(OR(IFERROR(SEARCH("Strength",INDEX(D04_Classes!$BW$3:$BW$102,MATCH(C_Input!AI103,D04_Classes!$B$3:$B$102,0),1)),0)=0,AND(IFERROR(SEARCH("Strength",INDEX(D04_Classes!$BW$3:$BW$102,MATCH(C_Input!AI103,D04_Classes!$B$3:$B$102,0),1)),0)&gt;0,Strength&gt;12)),"yes","no")</f>
        <v>yes</v>
      </c>
      <c r="AP103" s="253" t="str">
        <f>IF(OR(IFERROR(SEARCH("Dexterity",INDEX(D04_Classes!$BW$3:$BW$102,MATCH(C_Input!AI103,D04_Classes!$B$3:$B$102,0),1)),0)=0,AND(IFERROR(SEARCH("Dexterity",INDEX(D04_Classes!$BW$3:$BW$102,MATCH(C_Input!AI103,D04_Classes!$B$3:$B$102,0),1)),0)&gt;0,Dexterity&gt;12)),"yes","no")</f>
        <v>yes</v>
      </c>
      <c r="AQ103" s="253" t="str">
        <f>IF(OR(IFERROR(SEARCH("Constitution",INDEX(D04_Classes!$BW$3:$BW$102,MATCH(C_Input!AI103,D04_Classes!$B$3:$B$102,0),1)),0)=0,AND(IFERROR(SEARCH("Constitution",INDEX(D04_Classes!$BW$3:$BW$102,MATCH(C_Input!AI103,D04_Classes!$B$3:$B$102,0),1)),0)&gt;0,Constitution&gt;12)),"yes","no")</f>
        <v>yes</v>
      </c>
      <c r="AR103" s="253" t="str">
        <f>IF(OR(IFERROR(SEARCH("Intelligence",INDEX(D04_Classes!$BW$3:$BW$102,MATCH(C_Input!AI103,D04_Classes!$B$3:$B$102,0),1)),0)=0,AND(IFERROR(SEARCH("Intelligence",INDEX(D04_Classes!$BW$3:$BW$102,MATCH(C_Input!AI103,D04_Classes!$B$3:$B$102,0),1)),0)&gt;0,Intelligence&gt;12)),"yes","no")</f>
        <v>yes</v>
      </c>
      <c r="AS103" s="253" t="str">
        <f>IF(OR(IFERROR(SEARCH("Wisdom",INDEX(D04_Classes!$BW$3:$BW$102,MATCH(C_Input!AI103,D04_Classes!$B$3:$B$102,0),1)),0)=0,AND(IFERROR(SEARCH("Wisdom",INDEX(D04_Classes!$BW$3:$BW$102,MATCH(C_Input!AI103,D04_Classes!$B$3:$B$102,0),1)),0)&gt;0,Wisdom&gt;12)),"yes","no")</f>
        <v>yes</v>
      </c>
      <c r="AT103" s="253" t="str">
        <f>IF(OR(IFERROR(SEARCH("Charisma",INDEX(D04_Classes!$BW$3:$BW$102,MATCH(C_Input!AI103,D04_Classes!$B$3:$B$102,0),1)),0)=0,AND(IFERROR(SEARCH("Charisma",INDEX(D04_Classes!$BW$3:$BW$102,MATCH(C_Input!AI103,D04_Classes!$B$3:$B$102,0),1)),0)&gt;0,Charisma&gt;12)),"yes","no")</f>
        <v>yes</v>
      </c>
      <c r="AU103" s="253">
        <f t="shared" si="18"/>
        <v>0</v>
      </c>
      <c r="AV103" s="253">
        <f>IF(AU103=0,0,COUNTIF($AV$15:AV102,"&gt;0")+1)</f>
        <v>0</v>
      </c>
      <c r="AX103" s="255" t="str">
        <f t="shared" si="22"/>
        <v/>
      </c>
      <c r="AY103" s="255" t="str">
        <f t="shared" si="19"/>
        <v/>
      </c>
      <c r="BD103" s="254" t="str">
        <f t="shared" si="23"/>
        <v/>
      </c>
      <c r="BE103" s="254" t="str">
        <f>IFERROR(INDEX(D01_Races!$B$2:$B$101,MATCH(C_Input!BD103,D01_Races!$C$2:$C$101,0),1),"")</f>
        <v/>
      </c>
      <c r="BF103" s="252" t="str">
        <f t="shared" si="24"/>
        <v/>
      </c>
      <c r="BG103" s="252" t="str">
        <f>IFERROR(IF(BF103="","",INDEX(D01_Races!$E$2:$E$101,MATCH(C_Input!BF103,D01_Races!$D$2:$D$101,0),1)),"")</f>
        <v/>
      </c>
      <c r="BH103" s="252" t="str">
        <f>IFERROR(IF(BF103="","",INDEX(D01_Races!$A$2:$A$101,MATCH(C_Input!BF103,D01_Races!$D$2:$D$101,0),1)),"")</f>
        <v/>
      </c>
    </row>
    <row r="104" spans="1:162" ht="15.95" customHeight="1" outlineLevel="1" x14ac:dyDescent="0.3">
      <c r="A104" s="152"/>
      <c r="B104" s="152"/>
      <c r="C104" s="152"/>
      <c r="D104" s="152"/>
      <c r="E104" s="152"/>
      <c r="F104" s="152"/>
      <c r="G104" s="152"/>
      <c r="H104" s="152"/>
      <c r="I104" s="152"/>
      <c r="J104" s="152"/>
      <c r="K104" s="152"/>
      <c r="L104" s="152"/>
      <c r="M104" s="717"/>
      <c r="N104" s="717"/>
      <c r="O104" s="889"/>
      <c r="P104" s="889"/>
      <c r="Q104" s="889"/>
      <c r="R104" s="152"/>
      <c r="S104" s="152"/>
      <c r="T104" s="152"/>
      <c r="U104" s="152"/>
      <c r="V104" s="152"/>
      <c r="W104" s="152"/>
      <c r="X104" s="152"/>
      <c r="AF104" s="201"/>
      <c r="AG104" s="202"/>
      <c r="AH104" s="253" t="str">
        <f t="shared" si="20"/>
        <v/>
      </c>
      <c r="AI104" s="253" t="str">
        <f>IFERROR(INDEX(D04_Classes!$B$3:$B$102,AH104,1),"")</f>
        <v/>
      </c>
      <c r="AJ104" s="253" t="str">
        <f t="shared" si="17"/>
        <v/>
      </c>
      <c r="AK104" s="253">
        <f t="shared" si="21"/>
        <v>0</v>
      </c>
      <c r="AL104" s="253">
        <f>IF(AK104=0,0,COUNTIF($AL$15:AL103,"&gt;0")+1)</f>
        <v>0</v>
      </c>
      <c r="AM104" s="253">
        <f>IF(IFERROR(SEARCH("and",INDEX(D04_Classes!$BW$3:$BW$102,MATCH(C_Input!AI104,D04_Classes!$B$3:$B$102,0),1)),0)&gt;1,1,0)</f>
        <v>0</v>
      </c>
      <c r="AN104" s="253">
        <f>IF(IFERROR(SEARCH("or",INDEX(D04_Classes!$BW$3:$BW$102,MATCH(C_Input!AI104,D04_Classes!$B$3:$B$102,0),1)),0)&gt;1,1,0)</f>
        <v>0</v>
      </c>
      <c r="AO104" s="253" t="str">
        <f>IF(OR(IFERROR(SEARCH("Strength",INDEX(D04_Classes!$BW$3:$BW$102,MATCH(C_Input!AI104,D04_Classes!$B$3:$B$102,0),1)),0)=0,AND(IFERROR(SEARCH("Strength",INDEX(D04_Classes!$BW$3:$BW$102,MATCH(C_Input!AI104,D04_Classes!$B$3:$B$102,0),1)),0)&gt;0,Strength&gt;12)),"yes","no")</f>
        <v>yes</v>
      </c>
      <c r="AP104" s="253" t="str">
        <f>IF(OR(IFERROR(SEARCH("Dexterity",INDEX(D04_Classes!$BW$3:$BW$102,MATCH(C_Input!AI104,D04_Classes!$B$3:$B$102,0),1)),0)=0,AND(IFERROR(SEARCH("Dexterity",INDEX(D04_Classes!$BW$3:$BW$102,MATCH(C_Input!AI104,D04_Classes!$B$3:$B$102,0),1)),0)&gt;0,Dexterity&gt;12)),"yes","no")</f>
        <v>yes</v>
      </c>
      <c r="AQ104" s="253" t="str">
        <f>IF(OR(IFERROR(SEARCH("Constitution",INDEX(D04_Classes!$BW$3:$BW$102,MATCH(C_Input!AI104,D04_Classes!$B$3:$B$102,0),1)),0)=0,AND(IFERROR(SEARCH("Constitution",INDEX(D04_Classes!$BW$3:$BW$102,MATCH(C_Input!AI104,D04_Classes!$B$3:$B$102,0),1)),0)&gt;0,Constitution&gt;12)),"yes","no")</f>
        <v>yes</v>
      </c>
      <c r="AR104" s="253" t="str">
        <f>IF(OR(IFERROR(SEARCH("Intelligence",INDEX(D04_Classes!$BW$3:$BW$102,MATCH(C_Input!AI104,D04_Classes!$B$3:$B$102,0),1)),0)=0,AND(IFERROR(SEARCH("Intelligence",INDEX(D04_Classes!$BW$3:$BW$102,MATCH(C_Input!AI104,D04_Classes!$B$3:$B$102,0),1)),0)&gt;0,Intelligence&gt;12)),"yes","no")</f>
        <v>yes</v>
      </c>
      <c r="AS104" s="253" t="str">
        <f>IF(OR(IFERROR(SEARCH("Wisdom",INDEX(D04_Classes!$BW$3:$BW$102,MATCH(C_Input!AI104,D04_Classes!$B$3:$B$102,0),1)),0)=0,AND(IFERROR(SEARCH("Wisdom",INDEX(D04_Classes!$BW$3:$BW$102,MATCH(C_Input!AI104,D04_Classes!$B$3:$B$102,0),1)),0)&gt;0,Wisdom&gt;12)),"yes","no")</f>
        <v>yes</v>
      </c>
      <c r="AT104" s="253" t="str">
        <f>IF(OR(IFERROR(SEARCH("Charisma",INDEX(D04_Classes!$BW$3:$BW$102,MATCH(C_Input!AI104,D04_Classes!$B$3:$B$102,0),1)),0)=0,AND(IFERROR(SEARCH("Charisma",INDEX(D04_Classes!$BW$3:$BW$102,MATCH(C_Input!AI104,D04_Classes!$B$3:$B$102,0),1)),0)&gt;0,Charisma&gt;12)),"yes","no")</f>
        <v>yes</v>
      </c>
      <c r="AU104" s="253">
        <f t="shared" si="18"/>
        <v>0</v>
      </c>
      <c r="AV104" s="253">
        <f>IF(AU104=0,0,COUNTIF($AV$15:AV103,"&gt;0")+1)</f>
        <v>0</v>
      </c>
      <c r="AX104" s="255" t="str">
        <f t="shared" si="22"/>
        <v/>
      </c>
      <c r="AY104" s="255" t="str">
        <f t="shared" si="19"/>
        <v/>
      </c>
      <c r="BD104" s="254" t="str">
        <f t="shared" si="23"/>
        <v/>
      </c>
      <c r="BE104" s="254" t="str">
        <f>IFERROR(INDEX(D01_Races!$B$2:$B$101,MATCH(C_Input!BD104,D01_Races!$C$2:$C$101,0),1),"")</f>
        <v/>
      </c>
      <c r="BF104" s="252" t="str">
        <f t="shared" si="24"/>
        <v/>
      </c>
      <c r="BG104" s="252" t="str">
        <f>IFERROR(IF(BF104="","",INDEX(D01_Races!$E$2:$E$101,MATCH(C_Input!BF104,D01_Races!$D$2:$D$101,0),1)),"")</f>
        <v/>
      </c>
      <c r="BH104" s="252" t="str">
        <f>IFERROR(IF(BF104="","",INDEX(D01_Races!$A$2:$A$101,MATCH(C_Input!BF104,D01_Races!$D$2:$D$101,0),1)),"")</f>
        <v/>
      </c>
      <c r="EK104" s="281"/>
      <c r="EN104" s="281"/>
      <c r="EQ104" s="281"/>
      <c r="ET104" s="281"/>
      <c r="EW104" s="281"/>
      <c r="EZ104" s="281"/>
      <c r="FC104" s="281"/>
      <c r="FF104" s="281"/>
    </row>
    <row r="105" spans="1:162" ht="15.95" customHeight="1" outlineLevel="1" x14ac:dyDescent="0.3">
      <c r="A105" s="152"/>
      <c r="B105" s="152"/>
      <c r="C105" s="152"/>
      <c r="D105" s="152"/>
      <c r="E105" s="152"/>
      <c r="F105" s="152"/>
      <c r="G105" s="152"/>
      <c r="H105" s="152"/>
      <c r="I105" s="152"/>
      <c r="J105" s="152"/>
      <c r="K105" s="152"/>
      <c r="L105" s="152"/>
      <c r="M105" s="717"/>
      <c r="N105" s="717"/>
      <c r="O105" s="889"/>
      <c r="P105" s="889"/>
      <c r="Q105" s="889"/>
      <c r="R105" s="152"/>
      <c r="S105" s="152"/>
      <c r="T105" s="152"/>
      <c r="U105" s="152"/>
      <c r="V105" s="152"/>
      <c r="W105" s="152"/>
      <c r="X105" s="152"/>
      <c r="AF105" s="201"/>
      <c r="AG105" s="202"/>
      <c r="AH105" s="253" t="str">
        <f t="shared" si="20"/>
        <v/>
      </c>
      <c r="AI105" s="253" t="str">
        <f>IFERROR(INDEX(D04_Classes!$B$3:$B$102,AH105,1),"")</f>
        <v/>
      </c>
      <c r="AJ105" s="253" t="str">
        <f t="shared" si="17"/>
        <v/>
      </c>
      <c r="AK105" s="253">
        <f t="shared" si="21"/>
        <v>0</v>
      </c>
      <c r="AL105" s="253">
        <f>IF(AK105=0,0,COUNTIF($AL$15:AL104,"&gt;0")+1)</f>
        <v>0</v>
      </c>
      <c r="AM105" s="253">
        <f>IF(IFERROR(SEARCH("and",INDEX(D04_Classes!$BW$3:$BW$102,MATCH(C_Input!AI105,D04_Classes!$B$3:$B$102,0),1)),0)&gt;1,1,0)</f>
        <v>0</v>
      </c>
      <c r="AN105" s="253">
        <f>IF(IFERROR(SEARCH("or",INDEX(D04_Classes!$BW$3:$BW$102,MATCH(C_Input!AI105,D04_Classes!$B$3:$B$102,0),1)),0)&gt;1,1,0)</f>
        <v>0</v>
      </c>
      <c r="AO105" s="253" t="str">
        <f>IF(OR(IFERROR(SEARCH("Strength",INDEX(D04_Classes!$BW$3:$BW$102,MATCH(C_Input!AI105,D04_Classes!$B$3:$B$102,0),1)),0)=0,AND(IFERROR(SEARCH("Strength",INDEX(D04_Classes!$BW$3:$BW$102,MATCH(C_Input!AI105,D04_Classes!$B$3:$B$102,0),1)),0)&gt;0,Strength&gt;12)),"yes","no")</f>
        <v>yes</v>
      </c>
      <c r="AP105" s="253" t="str">
        <f>IF(OR(IFERROR(SEARCH("Dexterity",INDEX(D04_Classes!$BW$3:$BW$102,MATCH(C_Input!AI105,D04_Classes!$B$3:$B$102,0),1)),0)=0,AND(IFERROR(SEARCH("Dexterity",INDEX(D04_Classes!$BW$3:$BW$102,MATCH(C_Input!AI105,D04_Classes!$B$3:$B$102,0),1)),0)&gt;0,Dexterity&gt;12)),"yes","no")</f>
        <v>yes</v>
      </c>
      <c r="AQ105" s="253" t="str">
        <f>IF(OR(IFERROR(SEARCH("Constitution",INDEX(D04_Classes!$BW$3:$BW$102,MATCH(C_Input!AI105,D04_Classes!$B$3:$B$102,0),1)),0)=0,AND(IFERROR(SEARCH("Constitution",INDEX(D04_Classes!$BW$3:$BW$102,MATCH(C_Input!AI105,D04_Classes!$B$3:$B$102,0),1)),0)&gt;0,Constitution&gt;12)),"yes","no")</f>
        <v>yes</v>
      </c>
      <c r="AR105" s="253" t="str">
        <f>IF(OR(IFERROR(SEARCH("Intelligence",INDEX(D04_Classes!$BW$3:$BW$102,MATCH(C_Input!AI105,D04_Classes!$B$3:$B$102,0),1)),0)=0,AND(IFERROR(SEARCH("Intelligence",INDEX(D04_Classes!$BW$3:$BW$102,MATCH(C_Input!AI105,D04_Classes!$B$3:$B$102,0),1)),0)&gt;0,Intelligence&gt;12)),"yes","no")</f>
        <v>yes</v>
      </c>
      <c r="AS105" s="253" t="str">
        <f>IF(OR(IFERROR(SEARCH("Wisdom",INDEX(D04_Classes!$BW$3:$BW$102,MATCH(C_Input!AI105,D04_Classes!$B$3:$B$102,0),1)),0)=0,AND(IFERROR(SEARCH("Wisdom",INDEX(D04_Classes!$BW$3:$BW$102,MATCH(C_Input!AI105,D04_Classes!$B$3:$B$102,0),1)),0)&gt;0,Wisdom&gt;12)),"yes","no")</f>
        <v>yes</v>
      </c>
      <c r="AT105" s="253" t="str">
        <f>IF(OR(IFERROR(SEARCH("Charisma",INDEX(D04_Classes!$BW$3:$BW$102,MATCH(C_Input!AI105,D04_Classes!$B$3:$B$102,0),1)),0)=0,AND(IFERROR(SEARCH("Charisma",INDEX(D04_Classes!$BW$3:$BW$102,MATCH(C_Input!AI105,D04_Classes!$B$3:$B$102,0),1)),0)&gt;0,Charisma&gt;12)),"yes","no")</f>
        <v>yes</v>
      </c>
      <c r="AU105" s="253">
        <f t="shared" si="18"/>
        <v>0</v>
      </c>
      <c r="AV105" s="253">
        <f>IF(AU105=0,0,COUNTIF($AV$15:AV104,"&gt;0")+1)</f>
        <v>0</v>
      </c>
      <c r="AX105" s="255" t="str">
        <f t="shared" si="22"/>
        <v/>
      </c>
      <c r="AY105" s="255" t="str">
        <f t="shared" si="19"/>
        <v/>
      </c>
      <c r="BD105" s="254" t="str">
        <f t="shared" si="23"/>
        <v/>
      </c>
      <c r="BE105" s="254" t="str">
        <f>IFERROR(INDEX(D01_Races!$B$2:$B$101,MATCH(C_Input!BD105,D01_Races!$C$2:$C$101,0),1),"")</f>
        <v/>
      </c>
      <c r="BF105" s="252" t="str">
        <f t="shared" si="24"/>
        <v/>
      </c>
      <c r="BG105" s="252" t="str">
        <f>IFERROR(IF(BF105="","",INDEX(D01_Races!$E$2:$E$101,MATCH(C_Input!BF105,D01_Races!$D$2:$D$101,0),1)),"")</f>
        <v/>
      </c>
      <c r="BH105" s="252" t="str">
        <f>IFERROR(IF(BF105="","",INDEX(D01_Races!$A$2:$A$101,MATCH(C_Input!BF105,D01_Races!$D$2:$D$101,0),1)),"")</f>
        <v/>
      </c>
      <c r="EK105" s="281"/>
      <c r="EN105" s="281"/>
      <c r="EQ105" s="281"/>
      <c r="ET105" s="281"/>
      <c r="EW105" s="281"/>
      <c r="EZ105" s="281"/>
      <c r="FC105" s="281"/>
      <c r="FF105" s="281"/>
    </row>
    <row r="106" spans="1:162" ht="15.95" customHeight="1" outlineLevel="1" thickBot="1" x14ac:dyDescent="0.35">
      <c r="A106" s="152"/>
      <c r="B106" s="152"/>
      <c r="C106" s="152"/>
      <c r="D106" s="152"/>
      <c r="E106" s="152"/>
      <c r="F106" s="152"/>
      <c r="G106" s="152"/>
      <c r="H106" s="152"/>
      <c r="I106" s="152"/>
      <c r="J106" s="152"/>
      <c r="K106" s="152"/>
      <c r="L106" s="152"/>
      <c r="M106" s="283"/>
      <c r="N106" s="283"/>
      <c r="O106" s="283"/>
      <c r="P106" s="283"/>
      <c r="Q106" s="283"/>
      <c r="R106" s="152"/>
      <c r="S106" s="152"/>
      <c r="T106" s="152"/>
      <c r="U106" s="152"/>
      <c r="V106" s="152"/>
      <c r="W106" s="152"/>
      <c r="X106" s="152"/>
      <c r="Y106" s="152"/>
      <c r="Z106" s="152"/>
      <c r="AA106" s="152"/>
      <c r="AB106" s="152"/>
      <c r="AC106" s="152"/>
      <c r="AD106" s="152"/>
      <c r="AF106" s="201"/>
      <c r="AG106" s="202"/>
      <c r="AH106" s="253" t="str">
        <f t="shared" si="20"/>
        <v/>
      </c>
      <c r="AI106" s="253" t="str">
        <f>IFERROR(INDEX(D04_Classes!$B$3:$B$102,AH106,1),"")</f>
        <v/>
      </c>
      <c r="AJ106" s="253" t="str">
        <f t="shared" si="17"/>
        <v/>
      </c>
      <c r="AK106" s="253">
        <f t="shared" si="21"/>
        <v>0</v>
      </c>
      <c r="AL106" s="253">
        <f>IF(AK106=0,0,COUNTIF($AL$15:AL105,"&gt;0")+1)</f>
        <v>0</v>
      </c>
      <c r="AM106" s="253">
        <f>IF(IFERROR(SEARCH("and",INDEX(D04_Classes!$BW$3:$BW$102,MATCH(C_Input!AI106,D04_Classes!$B$3:$B$102,0),1)),0)&gt;1,1,0)</f>
        <v>0</v>
      </c>
      <c r="AN106" s="253">
        <f>IF(IFERROR(SEARCH("or",INDEX(D04_Classes!$BW$3:$BW$102,MATCH(C_Input!AI106,D04_Classes!$B$3:$B$102,0),1)),0)&gt;1,1,0)</f>
        <v>0</v>
      </c>
      <c r="AO106" s="253" t="str">
        <f>IF(OR(IFERROR(SEARCH("Strength",INDEX(D04_Classes!$BW$3:$BW$102,MATCH(C_Input!AI106,D04_Classes!$B$3:$B$102,0),1)),0)=0,AND(IFERROR(SEARCH("Strength",INDEX(D04_Classes!$BW$3:$BW$102,MATCH(C_Input!AI106,D04_Classes!$B$3:$B$102,0),1)),0)&gt;0,Strength&gt;12)),"yes","no")</f>
        <v>yes</v>
      </c>
      <c r="AP106" s="253" t="str">
        <f>IF(OR(IFERROR(SEARCH("Dexterity",INDEX(D04_Classes!$BW$3:$BW$102,MATCH(C_Input!AI106,D04_Classes!$B$3:$B$102,0),1)),0)=0,AND(IFERROR(SEARCH("Dexterity",INDEX(D04_Classes!$BW$3:$BW$102,MATCH(C_Input!AI106,D04_Classes!$B$3:$B$102,0),1)),0)&gt;0,Dexterity&gt;12)),"yes","no")</f>
        <v>yes</v>
      </c>
      <c r="AQ106" s="253" t="str">
        <f>IF(OR(IFERROR(SEARCH("Constitution",INDEX(D04_Classes!$BW$3:$BW$102,MATCH(C_Input!AI106,D04_Classes!$B$3:$B$102,0),1)),0)=0,AND(IFERROR(SEARCH("Constitution",INDEX(D04_Classes!$BW$3:$BW$102,MATCH(C_Input!AI106,D04_Classes!$B$3:$B$102,0),1)),0)&gt;0,Constitution&gt;12)),"yes","no")</f>
        <v>yes</v>
      </c>
      <c r="AR106" s="253" t="str">
        <f>IF(OR(IFERROR(SEARCH("Intelligence",INDEX(D04_Classes!$BW$3:$BW$102,MATCH(C_Input!AI106,D04_Classes!$B$3:$B$102,0),1)),0)=0,AND(IFERROR(SEARCH("Intelligence",INDEX(D04_Classes!$BW$3:$BW$102,MATCH(C_Input!AI106,D04_Classes!$B$3:$B$102,0),1)),0)&gt;0,Intelligence&gt;12)),"yes","no")</f>
        <v>yes</v>
      </c>
      <c r="AS106" s="253" t="str">
        <f>IF(OR(IFERROR(SEARCH("Wisdom",INDEX(D04_Classes!$BW$3:$BW$102,MATCH(C_Input!AI106,D04_Classes!$B$3:$B$102,0),1)),0)=0,AND(IFERROR(SEARCH("Wisdom",INDEX(D04_Classes!$BW$3:$BW$102,MATCH(C_Input!AI106,D04_Classes!$B$3:$B$102,0),1)),0)&gt;0,Wisdom&gt;12)),"yes","no")</f>
        <v>yes</v>
      </c>
      <c r="AT106" s="253" t="str">
        <f>IF(OR(IFERROR(SEARCH("Charisma",INDEX(D04_Classes!$BW$3:$BW$102,MATCH(C_Input!AI106,D04_Classes!$B$3:$B$102,0),1)),0)=0,AND(IFERROR(SEARCH("Charisma",INDEX(D04_Classes!$BW$3:$BW$102,MATCH(C_Input!AI106,D04_Classes!$B$3:$B$102,0),1)),0)&gt;0,Charisma&gt;12)),"yes","no")</f>
        <v>yes</v>
      </c>
      <c r="AU106" s="253">
        <f t="shared" si="18"/>
        <v>0</v>
      </c>
      <c r="AV106" s="253">
        <f>IF(AU106=0,0,COUNTIF($AV$15:AV105,"&gt;0")+1)</f>
        <v>0</v>
      </c>
      <c r="AX106" s="255" t="str">
        <f t="shared" si="22"/>
        <v/>
      </c>
      <c r="AY106" s="255" t="str">
        <f t="shared" si="19"/>
        <v/>
      </c>
      <c r="BD106" s="254" t="str">
        <f t="shared" si="23"/>
        <v/>
      </c>
      <c r="BE106" s="254" t="str">
        <f>IFERROR(INDEX(D01_Races!$B$2:$B$101,MATCH(C_Input!BD106,D01_Races!$C$2:$C$101,0),1),"")</f>
        <v/>
      </c>
      <c r="BF106" s="252" t="str">
        <f t="shared" si="24"/>
        <v/>
      </c>
      <c r="BG106" s="252" t="str">
        <f>IFERROR(IF(BF106="","",INDEX(D01_Races!$E$2:$E$101,MATCH(C_Input!BF106,D01_Races!$D$2:$D$101,0),1)),"")</f>
        <v/>
      </c>
      <c r="BH106" s="252" t="str">
        <f>IFERROR(IF(BF106="","",INDEX(D01_Races!$A$2:$A$101,MATCH(C_Input!BF106,D01_Races!$D$2:$D$101,0),1)),"")</f>
        <v/>
      </c>
      <c r="EK106" s="281"/>
      <c r="EN106" s="281"/>
      <c r="EQ106" s="281"/>
      <c r="ET106" s="281"/>
      <c r="EW106" s="281"/>
      <c r="EZ106" s="281"/>
      <c r="FC106" s="281"/>
      <c r="FF106" s="281"/>
    </row>
    <row r="107" spans="1:162" ht="15.95" customHeight="1" outlineLevel="1" x14ac:dyDescent="0.3">
      <c r="A107" s="879" t="s">
        <v>4436</v>
      </c>
      <c r="B107" s="880"/>
      <c r="C107" s="880"/>
      <c r="D107" s="880"/>
      <c r="E107" s="880"/>
      <c r="F107" s="880"/>
      <c r="G107" s="880"/>
      <c r="H107" s="880"/>
      <c r="I107" s="880"/>
      <c r="J107" s="880"/>
      <c r="K107" s="880"/>
      <c r="L107" s="880"/>
      <c r="M107" s="880"/>
      <c r="N107" s="880"/>
      <c r="O107" s="880"/>
      <c r="P107" s="880"/>
      <c r="Q107" s="880"/>
      <c r="R107" s="880"/>
      <c r="S107" s="881"/>
      <c r="T107" s="152"/>
      <c r="U107" s="152"/>
      <c r="V107" s="152"/>
      <c r="W107" s="152"/>
      <c r="X107" s="152"/>
      <c r="Y107" s="152"/>
      <c r="Z107" s="152"/>
      <c r="AA107" s="152"/>
      <c r="AB107" s="152"/>
      <c r="AC107" s="152"/>
      <c r="AD107" s="152"/>
      <c r="AF107" s="201"/>
      <c r="AG107" s="202"/>
      <c r="AH107" s="253" t="str">
        <f t="shared" si="20"/>
        <v/>
      </c>
      <c r="AI107" s="253" t="str">
        <f>IFERROR(INDEX(D04_Classes!$B$3:$B$102,AH107,1),"")</f>
        <v/>
      </c>
      <c r="AJ107" s="253" t="str">
        <f t="shared" si="17"/>
        <v/>
      </c>
      <c r="AK107" s="253">
        <f t="shared" si="21"/>
        <v>0</v>
      </c>
      <c r="AL107" s="253">
        <f>IF(AK107=0,0,COUNTIF($AL$15:AL106,"&gt;0")+1)</f>
        <v>0</v>
      </c>
      <c r="AM107" s="253">
        <f>IF(IFERROR(SEARCH("and",INDEX(D04_Classes!$BW$3:$BW$102,MATCH(C_Input!AI107,D04_Classes!$B$3:$B$102,0),1)),0)&gt;1,1,0)</f>
        <v>0</v>
      </c>
      <c r="AN107" s="253">
        <f>IF(IFERROR(SEARCH("or",INDEX(D04_Classes!$BW$3:$BW$102,MATCH(C_Input!AI107,D04_Classes!$B$3:$B$102,0),1)),0)&gt;1,1,0)</f>
        <v>0</v>
      </c>
      <c r="AO107" s="253" t="str">
        <f>IF(OR(IFERROR(SEARCH("Strength",INDEX(D04_Classes!$BW$3:$BW$102,MATCH(C_Input!AI107,D04_Classes!$B$3:$B$102,0),1)),0)=0,AND(IFERROR(SEARCH("Strength",INDEX(D04_Classes!$BW$3:$BW$102,MATCH(C_Input!AI107,D04_Classes!$B$3:$B$102,0),1)),0)&gt;0,Strength&gt;12)),"yes","no")</f>
        <v>yes</v>
      </c>
      <c r="AP107" s="253" t="str">
        <f>IF(OR(IFERROR(SEARCH("Dexterity",INDEX(D04_Classes!$BW$3:$BW$102,MATCH(C_Input!AI107,D04_Classes!$B$3:$B$102,0),1)),0)=0,AND(IFERROR(SEARCH("Dexterity",INDEX(D04_Classes!$BW$3:$BW$102,MATCH(C_Input!AI107,D04_Classes!$B$3:$B$102,0),1)),0)&gt;0,Dexterity&gt;12)),"yes","no")</f>
        <v>yes</v>
      </c>
      <c r="AQ107" s="253" t="str">
        <f>IF(OR(IFERROR(SEARCH("Constitution",INDEX(D04_Classes!$BW$3:$BW$102,MATCH(C_Input!AI107,D04_Classes!$B$3:$B$102,0),1)),0)=0,AND(IFERROR(SEARCH("Constitution",INDEX(D04_Classes!$BW$3:$BW$102,MATCH(C_Input!AI107,D04_Classes!$B$3:$B$102,0),1)),0)&gt;0,Constitution&gt;12)),"yes","no")</f>
        <v>yes</v>
      </c>
      <c r="AR107" s="253" t="str">
        <f>IF(OR(IFERROR(SEARCH("Intelligence",INDEX(D04_Classes!$BW$3:$BW$102,MATCH(C_Input!AI107,D04_Classes!$B$3:$B$102,0),1)),0)=0,AND(IFERROR(SEARCH("Intelligence",INDEX(D04_Classes!$BW$3:$BW$102,MATCH(C_Input!AI107,D04_Classes!$B$3:$B$102,0),1)),0)&gt;0,Intelligence&gt;12)),"yes","no")</f>
        <v>yes</v>
      </c>
      <c r="AS107" s="253" t="str">
        <f>IF(OR(IFERROR(SEARCH("Wisdom",INDEX(D04_Classes!$BW$3:$BW$102,MATCH(C_Input!AI107,D04_Classes!$B$3:$B$102,0),1)),0)=0,AND(IFERROR(SEARCH("Wisdom",INDEX(D04_Classes!$BW$3:$BW$102,MATCH(C_Input!AI107,D04_Classes!$B$3:$B$102,0),1)),0)&gt;0,Wisdom&gt;12)),"yes","no")</f>
        <v>yes</v>
      </c>
      <c r="AT107" s="253" t="str">
        <f>IF(OR(IFERROR(SEARCH("Charisma",INDEX(D04_Classes!$BW$3:$BW$102,MATCH(C_Input!AI107,D04_Classes!$B$3:$B$102,0),1)),0)=0,AND(IFERROR(SEARCH("Charisma",INDEX(D04_Classes!$BW$3:$BW$102,MATCH(C_Input!AI107,D04_Classes!$B$3:$B$102,0),1)),0)&gt;0,Charisma&gt;12)),"yes","no")</f>
        <v>yes</v>
      </c>
      <c r="AU107" s="253">
        <f t="shared" si="18"/>
        <v>0</v>
      </c>
      <c r="AV107" s="253">
        <f>IF(AU107=0,0,COUNTIF($AV$15:AV106,"&gt;0")+1)</f>
        <v>0</v>
      </c>
      <c r="AX107" s="255" t="str">
        <f t="shared" si="22"/>
        <v/>
      </c>
      <c r="AY107" s="255" t="str">
        <f t="shared" si="19"/>
        <v/>
      </c>
      <c r="BD107" s="254" t="str">
        <f t="shared" si="23"/>
        <v/>
      </c>
      <c r="BE107" s="254" t="str">
        <f>IFERROR(INDEX(D01_Races!$B$2:$B$101,MATCH(C_Input!BD107,D01_Races!$C$2:$C$101,0),1),"")</f>
        <v/>
      </c>
      <c r="BF107" s="252" t="str">
        <f t="shared" si="24"/>
        <v/>
      </c>
      <c r="BG107" s="252" t="str">
        <f>IFERROR(IF(BF107="","",INDEX(D01_Races!$E$2:$E$101,MATCH(C_Input!BF107,D01_Races!$D$2:$D$101,0),1)),"")</f>
        <v/>
      </c>
      <c r="BH107" s="252" t="str">
        <f>IFERROR(IF(BF107="","",INDEX(D01_Races!$A$2:$A$101,MATCH(C_Input!BF107,D01_Races!$D$2:$D$101,0),1)),"")</f>
        <v/>
      </c>
      <c r="EK107" s="281"/>
      <c r="EN107" s="281"/>
      <c r="EQ107" s="281"/>
      <c r="ET107" s="281"/>
      <c r="EW107" s="281"/>
      <c r="EZ107" s="281"/>
      <c r="FC107" s="281"/>
      <c r="FF107" s="281"/>
    </row>
    <row r="108" spans="1:162" ht="15.95" customHeight="1" outlineLevel="1" thickBot="1" x14ac:dyDescent="0.35">
      <c r="A108" s="882"/>
      <c r="B108" s="883"/>
      <c r="C108" s="883"/>
      <c r="D108" s="883"/>
      <c r="E108" s="883"/>
      <c r="F108" s="883"/>
      <c r="G108" s="883"/>
      <c r="H108" s="883"/>
      <c r="I108" s="883"/>
      <c r="J108" s="883"/>
      <c r="K108" s="883"/>
      <c r="L108" s="883"/>
      <c r="M108" s="883"/>
      <c r="N108" s="883"/>
      <c r="O108" s="883"/>
      <c r="P108" s="883"/>
      <c r="Q108" s="883"/>
      <c r="R108" s="883"/>
      <c r="S108" s="884"/>
      <c r="T108" s="152"/>
      <c r="U108" s="152"/>
      <c r="V108" s="152"/>
      <c r="W108" s="152"/>
      <c r="X108" s="152"/>
      <c r="Y108" s="152"/>
      <c r="Z108" s="152"/>
      <c r="AA108" s="152"/>
      <c r="AB108" s="152"/>
      <c r="AC108" s="152"/>
      <c r="AD108" s="152"/>
      <c r="AF108" s="201"/>
      <c r="AG108" s="202"/>
      <c r="AH108" s="253" t="str">
        <f t="shared" si="20"/>
        <v/>
      </c>
      <c r="AI108" s="253" t="str">
        <f>IFERROR(INDEX(D04_Classes!$B$3:$B$102,AH108,1),"")</f>
        <v/>
      </c>
      <c r="AJ108" s="253" t="str">
        <f t="shared" si="17"/>
        <v/>
      </c>
      <c r="AK108" s="253">
        <f t="shared" si="21"/>
        <v>0</v>
      </c>
      <c r="AL108" s="253">
        <f>IF(AK108=0,0,COUNTIF($AL$15:AL107,"&gt;0")+1)</f>
        <v>0</v>
      </c>
      <c r="AM108" s="253">
        <f>IF(IFERROR(SEARCH("and",INDEX(D04_Classes!$BW$3:$BW$102,MATCH(C_Input!AI108,D04_Classes!$B$3:$B$102,0),1)),0)&gt;1,1,0)</f>
        <v>0</v>
      </c>
      <c r="AN108" s="253">
        <f>IF(IFERROR(SEARCH("or",INDEX(D04_Classes!$BW$3:$BW$102,MATCH(C_Input!AI108,D04_Classes!$B$3:$B$102,0),1)),0)&gt;1,1,0)</f>
        <v>0</v>
      </c>
      <c r="AO108" s="253" t="str">
        <f>IF(OR(IFERROR(SEARCH("Strength",INDEX(D04_Classes!$BW$3:$BW$102,MATCH(C_Input!AI108,D04_Classes!$B$3:$B$102,0),1)),0)=0,AND(IFERROR(SEARCH("Strength",INDEX(D04_Classes!$BW$3:$BW$102,MATCH(C_Input!AI108,D04_Classes!$B$3:$B$102,0),1)),0)&gt;0,Strength&gt;12)),"yes","no")</f>
        <v>yes</v>
      </c>
      <c r="AP108" s="253" t="str">
        <f>IF(OR(IFERROR(SEARCH("Dexterity",INDEX(D04_Classes!$BW$3:$BW$102,MATCH(C_Input!AI108,D04_Classes!$B$3:$B$102,0),1)),0)=0,AND(IFERROR(SEARCH("Dexterity",INDEX(D04_Classes!$BW$3:$BW$102,MATCH(C_Input!AI108,D04_Classes!$B$3:$B$102,0),1)),0)&gt;0,Dexterity&gt;12)),"yes","no")</f>
        <v>yes</v>
      </c>
      <c r="AQ108" s="253" t="str">
        <f>IF(OR(IFERROR(SEARCH("Constitution",INDEX(D04_Classes!$BW$3:$BW$102,MATCH(C_Input!AI108,D04_Classes!$B$3:$B$102,0),1)),0)=0,AND(IFERROR(SEARCH("Constitution",INDEX(D04_Classes!$BW$3:$BW$102,MATCH(C_Input!AI108,D04_Classes!$B$3:$B$102,0),1)),0)&gt;0,Constitution&gt;12)),"yes","no")</f>
        <v>yes</v>
      </c>
      <c r="AR108" s="253" t="str">
        <f>IF(OR(IFERROR(SEARCH("Intelligence",INDEX(D04_Classes!$BW$3:$BW$102,MATCH(C_Input!AI108,D04_Classes!$B$3:$B$102,0),1)),0)=0,AND(IFERROR(SEARCH("Intelligence",INDEX(D04_Classes!$BW$3:$BW$102,MATCH(C_Input!AI108,D04_Classes!$B$3:$B$102,0),1)),0)&gt;0,Intelligence&gt;12)),"yes","no")</f>
        <v>yes</v>
      </c>
      <c r="AS108" s="253" t="str">
        <f>IF(OR(IFERROR(SEARCH("Wisdom",INDEX(D04_Classes!$BW$3:$BW$102,MATCH(C_Input!AI108,D04_Classes!$B$3:$B$102,0),1)),0)=0,AND(IFERROR(SEARCH("Wisdom",INDEX(D04_Classes!$BW$3:$BW$102,MATCH(C_Input!AI108,D04_Classes!$B$3:$B$102,0),1)),0)&gt;0,Wisdom&gt;12)),"yes","no")</f>
        <v>yes</v>
      </c>
      <c r="AT108" s="253" t="str">
        <f>IF(OR(IFERROR(SEARCH("Charisma",INDEX(D04_Classes!$BW$3:$BW$102,MATCH(C_Input!AI108,D04_Classes!$B$3:$B$102,0),1)),0)=0,AND(IFERROR(SEARCH("Charisma",INDEX(D04_Classes!$BW$3:$BW$102,MATCH(C_Input!AI108,D04_Classes!$B$3:$B$102,0),1)),0)&gt;0,Charisma&gt;12)),"yes","no")</f>
        <v>yes</v>
      </c>
      <c r="AU108" s="253">
        <f t="shared" si="18"/>
        <v>0</v>
      </c>
      <c r="AV108" s="253">
        <f>IF(AU108=0,0,COUNTIF($AV$15:AV107,"&gt;0")+1)</f>
        <v>0</v>
      </c>
      <c r="AX108" s="255" t="str">
        <f t="shared" si="22"/>
        <v/>
      </c>
      <c r="AY108" s="255" t="str">
        <f t="shared" si="19"/>
        <v/>
      </c>
      <c r="BD108" s="254" t="str">
        <f t="shared" si="23"/>
        <v/>
      </c>
      <c r="BE108" s="254" t="str">
        <f>IFERROR(INDEX(D01_Races!$B$2:$B$101,MATCH(C_Input!BD108,D01_Races!$C$2:$C$101,0),1),"")</f>
        <v/>
      </c>
      <c r="BF108" s="252" t="str">
        <f t="shared" si="24"/>
        <v/>
      </c>
      <c r="BG108" s="252" t="str">
        <f>IFERROR(IF(BF108="","",INDEX(D01_Races!$E$2:$E$101,MATCH(C_Input!BF108,D01_Races!$D$2:$D$101,0),1)),"")</f>
        <v/>
      </c>
      <c r="BH108" s="252" t="str">
        <f>IFERROR(IF(BF108="","",INDEX(D01_Races!$A$2:$A$101,MATCH(C_Input!BF108,D01_Races!$D$2:$D$101,0),1)),"")</f>
        <v/>
      </c>
      <c r="EK108" s="281"/>
      <c r="EN108" s="281"/>
      <c r="EQ108" s="281"/>
      <c r="ET108" s="281"/>
      <c r="EW108" s="281"/>
      <c r="EZ108" s="281"/>
      <c r="FC108" s="281"/>
      <c r="FF108" s="281"/>
    </row>
    <row r="109" spans="1:162" ht="15.95" customHeight="1" outlineLevel="1" x14ac:dyDescent="0.3">
      <c r="A109" s="283"/>
      <c r="B109" s="283"/>
      <c r="C109" s="283"/>
      <c r="D109" s="283"/>
      <c r="E109" s="283"/>
      <c r="F109" s="283"/>
      <c r="G109" s="283"/>
      <c r="H109" s="283"/>
      <c r="I109" s="283"/>
      <c r="J109" s="283"/>
      <c r="K109" s="283"/>
      <c r="L109" s="283"/>
      <c r="M109" s="283"/>
      <c r="N109" s="283"/>
      <c r="O109" s="283"/>
      <c r="P109" s="283"/>
      <c r="Q109" s="283"/>
      <c r="R109" s="283"/>
      <c r="S109" s="152"/>
      <c r="T109" s="152"/>
      <c r="U109" s="152"/>
      <c r="V109" s="152"/>
      <c r="W109" s="152"/>
      <c r="X109" s="152"/>
      <c r="Y109" s="152"/>
      <c r="Z109" s="152"/>
      <c r="AA109" s="152"/>
      <c r="AB109" s="152"/>
      <c r="AC109" s="152"/>
      <c r="AD109" s="152"/>
      <c r="AF109" s="201"/>
      <c r="AG109" s="202"/>
      <c r="AH109" s="253" t="str">
        <f t="shared" si="20"/>
        <v/>
      </c>
      <c r="AI109" s="253" t="str">
        <f>IFERROR(INDEX(D04_Classes!$B$3:$B$102,AH109,1),"")</f>
        <v/>
      </c>
      <c r="AJ109" s="253" t="str">
        <f t="shared" si="17"/>
        <v/>
      </c>
      <c r="AK109" s="253">
        <f t="shared" si="21"/>
        <v>0</v>
      </c>
      <c r="AL109" s="253">
        <f>IF(AK109=0,0,COUNTIF($AL$15:AL108,"&gt;0")+1)</f>
        <v>0</v>
      </c>
      <c r="AM109" s="253">
        <f>IF(IFERROR(SEARCH("and",INDEX(D04_Classes!$BW$3:$BW$102,MATCH(C_Input!AI109,D04_Classes!$B$3:$B$102,0),1)),0)&gt;1,1,0)</f>
        <v>0</v>
      </c>
      <c r="AN109" s="253">
        <f>IF(IFERROR(SEARCH("or",INDEX(D04_Classes!$BW$3:$BW$102,MATCH(C_Input!AI109,D04_Classes!$B$3:$B$102,0),1)),0)&gt;1,1,0)</f>
        <v>0</v>
      </c>
      <c r="AO109" s="253" t="str">
        <f>IF(OR(IFERROR(SEARCH("Strength",INDEX(D04_Classes!$BW$3:$BW$102,MATCH(C_Input!AI109,D04_Classes!$B$3:$B$102,0),1)),0)=0,AND(IFERROR(SEARCH("Strength",INDEX(D04_Classes!$BW$3:$BW$102,MATCH(C_Input!AI109,D04_Classes!$B$3:$B$102,0),1)),0)&gt;0,Strength&gt;12)),"yes","no")</f>
        <v>yes</v>
      </c>
      <c r="AP109" s="253" t="str">
        <f>IF(OR(IFERROR(SEARCH("Dexterity",INDEX(D04_Classes!$BW$3:$BW$102,MATCH(C_Input!AI109,D04_Classes!$B$3:$B$102,0),1)),0)=0,AND(IFERROR(SEARCH("Dexterity",INDEX(D04_Classes!$BW$3:$BW$102,MATCH(C_Input!AI109,D04_Classes!$B$3:$B$102,0),1)),0)&gt;0,Dexterity&gt;12)),"yes","no")</f>
        <v>yes</v>
      </c>
      <c r="AQ109" s="253" t="str">
        <f>IF(OR(IFERROR(SEARCH("Constitution",INDEX(D04_Classes!$BW$3:$BW$102,MATCH(C_Input!AI109,D04_Classes!$B$3:$B$102,0),1)),0)=0,AND(IFERROR(SEARCH("Constitution",INDEX(D04_Classes!$BW$3:$BW$102,MATCH(C_Input!AI109,D04_Classes!$B$3:$B$102,0),1)),0)&gt;0,Constitution&gt;12)),"yes","no")</f>
        <v>yes</v>
      </c>
      <c r="AR109" s="253" t="str">
        <f>IF(OR(IFERROR(SEARCH("Intelligence",INDEX(D04_Classes!$BW$3:$BW$102,MATCH(C_Input!AI109,D04_Classes!$B$3:$B$102,0),1)),0)=0,AND(IFERROR(SEARCH("Intelligence",INDEX(D04_Classes!$BW$3:$BW$102,MATCH(C_Input!AI109,D04_Classes!$B$3:$B$102,0),1)),0)&gt;0,Intelligence&gt;12)),"yes","no")</f>
        <v>yes</v>
      </c>
      <c r="AS109" s="253" t="str">
        <f>IF(OR(IFERROR(SEARCH("Wisdom",INDEX(D04_Classes!$BW$3:$BW$102,MATCH(C_Input!AI109,D04_Classes!$B$3:$B$102,0),1)),0)=0,AND(IFERROR(SEARCH("Wisdom",INDEX(D04_Classes!$BW$3:$BW$102,MATCH(C_Input!AI109,D04_Classes!$B$3:$B$102,0),1)),0)&gt;0,Wisdom&gt;12)),"yes","no")</f>
        <v>yes</v>
      </c>
      <c r="AT109" s="253" t="str">
        <f>IF(OR(IFERROR(SEARCH("Charisma",INDEX(D04_Classes!$BW$3:$BW$102,MATCH(C_Input!AI109,D04_Classes!$B$3:$B$102,0),1)),0)=0,AND(IFERROR(SEARCH("Charisma",INDEX(D04_Classes!$BW$3:$BW$102,MATCH(C_Input!AI109,D04_Classes!$B$3:$B$102,0),1)),0)&gt;0,Charisma&gt;12)),"yes","no")</f>
        <v>yes</v>
      </c>
      <c r="AU109" s="253">
        <f t="shared" si="18"/>
        <v>0</v>
      </c>
      <c r="AV109" s="253">
        <f>IF(AU109=0,0,COUNTIF($AV$15:AV108,"&gt;0")+1)</f>
        <v>0</v>
      </c>
      <c r="AX109" s="255" t="str">
        <f t="shared" si="22"/>
        <v/>
      </c>
      <c r="AY109" s="255" t="str">
        <f t="shared" si="19"/>
        <v/>
      </c>
      <c r="BD109" s="254" t="str">
        <f t="shared" si="23"/>
        <v/>
      </c>
      <c r="BE109" s="254" t="str">
        <f>IFERROR(INDEX(D01_Races!$B$2:$B$101,MATCH(C_Input!BD109,D01_Races!$C$2:$C$101,0),1),"")</f>
        <v/>
      </c>
      <c r="BF109" s="252" t="str">
        <f t="shared" si="24"/>
        <v/>
      </c>
      <c r="BG109" s="252" t="str">
        <f>IFERROR(IF(BF109="","",INDEX(D01_Races!$E$2:$E$101,MATCH(C_Input!BF109,D01_Races!$D$2:$D$101,0),1)),"")</f>
        <v/>
      </c>
      <c r="BH109" s="252" t="str">
        <f>IFERROR(IF(BF109="","",INDEX(D01_Races!$A$2:$A$101,MATCH(C_Input!BF109,D01_Races!$D$2:$D$101,0),1)),"")</f>
        <v/>
      </c>
      <c r="EK109" s="281"/>
      <c r="EN109" s="281"/>
      <c r="EQ109" s="281"/>
      <c r="ET109" s="281"/>
      <c r="EW109" s="281"/>
      <c r="EZ109" s="281"/>
      <c r="FC109" s="281"/>
      <c r="FF109" s="281"/>
    </row>
    <row r="110" spans="1:162" ht="15.95" customHeight="1" outlineLevel="1" x14ac:dyDescent="0.3">
      <c r="A110" s="717" t="s">
        <v>4969</v>
      </c>
      <c r="B110" s="717"/>
      <c r="C110" s="878" t="str">
        <f>IF(IFERROR(INDEX(D01_Races!BG2:BG101,SelectedRaceID,1),"")=0,"",IFERROR(INDEX(D01_Races!BG2:BG101,SelectedRaceID,1),""))</f>
        <v>Common</v>
      </c>
      <c r="D110" s="878"/>
      <c r="E110" s="878"/>
      <c r="F110" s="283"/>
      <c r="G110" s="875" t="s">
        <v>4438</v>
      </c>
      <c r="H110" s="875"/>
      <c r="I110" s="874">
        <f>INDEX(D01_Races!$BE$2:$BE$101,SelectedRaceID,1)+INDEX(D02_Background!N2:N101,SelectedBackgroundId,1)+I113</f>
        <v>0</v>
      </c>
      <c r="J110" s="874"/>
      <c r="K110" s="283"/>
      <c r="L110" s="717" t="s">
        <v>6916</v>
      </c>
      <c r="M110" s="717"/>
      <c r="N110" s="889"/>
      <c r="O110" s="889"/>
      <c r="P110" s="889"/>
      <c r="Q110" s="283"/>
      <c r="R110" s="283"/>
      <c r="S110" s="152"/>
      <c r="T110" s="152"/>
      <c r="U110" s="152"/>
      <c r="V110" s="152"/>
      <c r="W110" s="152"/>
      <c r="X110" s="152"/>
      <c r="Y110" s="152"/>
      <c r="Z110" s="152"/>
      <c r="AA110" s="152"/>
      <c r="AB110" s="152"/>
      <c r="AC110" s="152"/>
      <c r="AD110" s="152"/>
      <c r="AF110" s="201"/>
      <c r="AG110" s="202"/>
      <c r="AH110" s="253" t="str">
        <f t="shared" si="20"/>
        <v/>
      </c>
      <c r="AI110" s="253" t="str">
        <f>IFERROR(INDEX(D04_Classes!$B$3:$B$102,AH110,1),"")</f>
        <v/>
      </c>
      <c r="AJ110" s="253" t="str">
        <f t="shared" si="17"/>
        <v/>
      </c>
      <c r="AK110" s="253">
        <f t="shared" si="21"/>
        <v>0</v>
      </c>
      <c r="AL110" s="253">
        <f>IF(AK110=0,0,COUNTIF($AL$15:AL109,"&gt;0")+1)</f>
        <v>0</v>
      </c>
      <c r="AM110" s="253">
        <f>IF(IFERROR(SEARCH("and",INDEX(D04_Classes!$BW$3:$BW$102,MATCH(C_Input!AI110,D04_Classes!$B$3:$B$102,0),1)),0)&gt;1,1,0)</f>
        <v>0</v>
      </c>
      <c r="AN110" s="253">
        <f>IF(IFERROR(SEARCH("or",INDEX(D04_Classes!$BW$3:$BW$102,MATCH(C_Input!AI110,D04_Classes!$B$3:$B$102,0),1)),0)&gt;1,1,0)</f>
        <v>0</v>
      </c>
      <c r="AO110" s="253" t="str">
        <f>IF(OR(IFERROR(SEARCH("Strength",INDEX(D04_Classes!$BW$3:$BW$102,MATCH(C_Input!AI110,D04_Classes!$B$3:$B$102,0),1)),0)=0,AND(IFERROR(SEARCH("Strength",INDEX(D04_Classes!$BW$3:$BW$102,MATCH(C_Input!AI110,D04_Classes!$B$3:$B$102,0),1)),0)&gt;0,Strength&gt;12)),"yes","no")</f>
        <v>yes</v>
      </c>
      <c r="AP110" s="253" t="str">
        <f>IF(OR(IFERROR(SEARCH("Dexterity",INDEX(D04_Classes!$BW$3:$BW$102,MATCH(C_Input!AI110,D04_Classes!$B$3:$B$102,0),1)),0)=0,AND(IFERROR(SEARCH("Dexterity",INDEX(D04_Classes!$BW$3:$BW$102,MATCH(C_Input!AI110,D04_Classes!$B$3:$B$102,0),1)),0)&gt;0,Dexterity&gt;12)),"yes","no")</f>
        <v>yes</v>
      </c>
      <c r="AQ110" s="253" t="str">
        <f>IF(OR(IFERROR(SEARCH("Constitution",INDEX(D04_Classes!$BW$3:$BW$102,MATCH(C_Input!AI110,D04_Classes!$B$3:$B$102,0),1)),0)=0,AND(IFERROR(SEARCH("Constitution",INDEX(D04_Classes!$BW$3:$BW$102,MATCH(C_Input!AI110,D04_Classes!$B$3:$B$102,0),1)),0)&gt;0,Constitution&gt;12)),"yes","no")</f>
        <v>yes</v>
      </c>
      <c r="AR110" s="253" t="str">
        <f>IF(OR(IFERROR(SEARCH("Intelligence",INDEX(D04_Classes!$BW$3:$BW$102,MATCH(C_Input!AI110,D04_Classes!$B$3:$B$102,0),1)),0)=0,AND(IFERROR(SEARCH("Intelligence",INDEX(D04_Classes!$BW$3:$BW$102,MATCH(C_Input!AI110,D04_Classes!$B$3:$B$102,0),1)),0)&gt;0,Intelligence&gt;12)),"yes","no")</f>
        <v>yes</v>
      </c>
      <c r="AS110" s="253" t="str">
        <f>IF(OR(IFERROR(SEARCH("Wisdom",INDEX(D04_Classes!$BW$3:$BW$102,MATCH(C_Input!AI110,D04_Classes!$B$3:$B$102,0),1)),0)=0,AND(IFERROR(SEARCH("Wisdom",INDEX(D04_Classes!$BW$3:$BW$102,MATCH(C_Input!AI110,D04_Classes!$B$3:$B$102,0),1)),0)&gt;0,Wisdom&gt;12)),"yes","no")</f>
        <v>yes</v>
      </c>
      <c r="AT110" s="253" t="str">
        <f>IF(OR(IFERROR(SEARCH("Charisma",INDEX(D04_Classes!$BW$3:$BW$102,MATCH(C_Input!AI110,D04_Classes!$B$3:$B$102,0),1)),0)=0,AND(IFERROR(SEARCH("Charisma",INDEX(D04_Classes!$BW$3:$BW$102,MATCH(C_Input!AI110,D04_Classes!$B$3:$B$102,0),1)),0)&gt;0,Charisma&gt;12)),"yes","no")</f>
        <v>yes</v>
      </c>
      <c r="AU110" s="253">
        <f t="shared" si="18"/>
        <v>0</v>
      </c>
      <c r="AV110" s="253">
        <f>IF(AU110=0,0,COUNTIF($AV$15:AV109,"&gt;0")+1)</f>
        <v>0</v>
      </c>
      <c r="AX110" s="255" t="str">
        <f t="shared" si="22"/>
        <v/>
      </c>
      <c r="AY110" s="255" t="str">
        <f t="shared" si="19"/>
        <v/>
      </c>
      <c r="BD110" s="254" t="str">
        <f t="shared" si="23"/>
        <v/>
      </c>
      <c r="BE110" s="254" t="str">
        <f>IFERROR(INDEX(D01_Races!$B$2:$B$101,MATCH(C_Input!BD110,D01_Races!$C$2:$C$101,0),1),"")</f>
        <v/>
      </c>
      <c r="BF110" s="252" t="str">
        <f t="shared" si="24"/>
        <v/>
      </c>
      <c r="BG110" s="252" t="str">
        <f>IFERROR(IF(BF110="","",INDEX(D01_Races!$E$2:$E$101,MATCH(C_Input!BF110,D01_Races!$D$2:$D$101,0),1)),"")</f>
        <v/>
      </c>
      <c r="BH110" s="252" t="str">
        <f>IFERROR(IF(BF110="","",INDEX(D01_Races!$A$2:$A$101,MATCH(C_Input!BF110,D01_Races!$D$2:$D$101,0),1)),"")</f>
        <v/>
      </c>
      <c r="EK110" s="281"/>
      <c r="EN110" s="281"/>
      <c r="EQ110" s="281"/>
      <c r="ET110" s="281"/>
      <c r="EW110" s="281"/>
      <c r="EZ110" s="281"/>
      <c r="FC110" s="281"/>
      <c r="FF110" s="281"/>
    </row>
    <row r="111" spans="1:162" ht="15.95" customHeight="1" outlineLevel="1" x14ac:dyDescent="0.3">
      <c r="A111" s="717"/>
      <c r="B111" s="717"/>
      <c r="C111" s="878"/>
      <c r="D111" s="878"/>
      <c r="E111" s="878"/>
      <c r="F111" s="283"/>
      <c r="G111" s="875"/>
      <c r="H111" s="875"/>
      <c r="I111" s="874"/>
      <c r="J111" s="874"/>
      <c r="K111" s="283"/>
      <c r="L111" s="717"/>
      <c r="M111" s="717"/>
      <c r="N111" s="889"/>
      <c r="O111" s="889"/>
      <c r="P111" s="889"/>
      <c r="Q111" s="283"/>
      <c r="R111" s="283"/>
      <c r="S111" s="152"/>
      <c r="T111" s="152"/>
      <c r="U111" s="152"/>
      <c r="V111" s="152"/>
      <c r="W111" s="152"/>
      <c r="X111" s="152"/>
      <c r="Y111" s="152"/>
      <c r="Z111" s="152"/>
      <c r="AA111" s="152"/>
      <c r="AB111" s="152"/>
      <c r="AC111" s="152"/>
      <c r="AD111" s="152"/>
      <c r="AF111" s="201"/>
      <c r="AG111" s="202"/>
      <c r="AH111" s="253" t="str">
        <f t="shared" si="20"/>
        <v/>
      </c>
      <c r="AI111" s="253" t="str">
        <f>IFERROR(INDEX(D04_Classes!$B$3:$B$102,AH111,1),"")</f>
        <v/>
      </c>
      <c r="AJ111" s="253" t="str">
        <f t="shared" ref="AJ111:AJ114" si="25">IF(AI111="","",COUNTIF($R$58:$T$67,AI111)+COUNTIF($R$68:$T$77,AI111))</f>
        <v/>
      </c>
      <c r="AK111" s="253">
        <f t="shared" si="21"/>
        <v>0</v>
      </c>
      <c r="AL111" s="253">
        <f>IF(AK111=0,0,COUNTIF($AL$15:AL110,"&gt;0")+1)</f>
        <v>0</v>
      </c>
      <c r="AM111" s="253">
        <f>IF(IFERROR(SEARCH("and",INDEX(D04_Classes!$BW$3:$BW$102,MATCH(C_Input!AI111,D04_Classes!$B$3:$B$102,0),1)),0)&gt;1,1,0)</f>
        <v>0</v>
      </c>
      <c r="AN111" s="253">
        <f>IF(IFERROR(SEARCH("or",INDEX(D04_Classes!$BW$3:$BW$102,MATCH(C_Input!AI111,D04_Classes!$B$3:$B$102,0),1)),0)&gt;1,1,0)</f>
        <v>0</v>
      </c>
      <c r="AO111" s="253" t="str">
        <f>IF(OR(IFERROR(SEARCH("Strength",INDEX(D04_Classes!$BW$3:$BW$102,MATCH(C_Input!AI111,D04_Classes!$B$3:$B$102,0),1)),0)=0,AND(IFERROR(SEARCH("Strength",INDEX(D04_Classes!$BW$3:$BW$102,MATCH(C_Input!AI111,D04_Classes!$B$3:$B$102,0),1)),0)&gt;0,Strength&gt;12)),"yes","no")</f>
        <v>yes</v>
      </c>
      <c r="AP111" s="253" t="str">
        <f>IF(OR(IFERROR(SEARCH("Dexterity",INDEX(D04_Classes!$BW$3:$BW$102,MATCH(C_Input!AI111,D04_Classes!$B$3:$B$102,0),1)),0)=0,AND(IFERROR(SEARCH("Dexterity",INDEX(D04_Classes!$BW$3:$BW$102,MATCH(C_Input!AI111,D04_Classes!$B$3:$B$102,0),1)),0)&gt;0,Dexterity&gt;12)),"yes","no")</f>
        <v>yes</v>
      </c>
      <c r="AQ111" s="253" t="str">
        <f>IF(OR(IFERROR(SEARCH("Constitution",INDEX(D04_Classes!$BW$3:$BW$102,MATCH(C_Input!AI111,D04_Classes!$B$3:$B$102,0),1)),0)=0,AND(IFERROR(SEARCH("Constitution",INDEX(D04_Classes!$BW$3:$BW$102,MATCH(C_Input!AI111,D04_Classes!$B$3:$B$102,0),1)),0)&gt;0,Constitution&gt;12)),"yes","no")</f>
        <v>yes</v>
      </c>
      <c r="AR111" s="253" t="str">
        <f>IF(OR(IFERROR(SEARCH("Intelligence",INDEX(D04_Classes!$BW$3:$BW$102,MATCH(C_Input!AI111,D04_Classes!$B$3:$B$102,0),1)),0)=0,AND(IFERROR(SEARCH("Intelligence",INDEX(D04_Classes!$BW$3:$BW$102,MATCH(C_Input!AI111,D04_Classes!$B$3:$B$102,0),1)),0)&gt;0,Intelligence&gt;12)),"yes","no")</f>
        <v>yes</v>
      </c>
      <c r="AS111" s="253" t="str">
        <f>IF(OR(IFERROR(SEARCH("Wisdom",INDEX(D04_Classes!$BW$3:$BW$102,MATCH(C_Input!AI111,D04_Classes!$B$3:$B$102,0),1)),0)=0,AND(IFERROR(SEARCH("Wisdom",INDEX(D04_Classes!$BW$3:$BW$102,MATCH(C_Input!AI111,D04_Classes!$B$3:$B$102,0),1)),0)&gt;0,Wisdom&gt;12)),"yes","no")</f>
        <v>yes</v>
      </c>
      <c r="AT111" s="253" t="str">
        <f>IF(OR(IFERROR(SEARCH("Charisma",INDEX(D04_Classes!$BW$3:$BW$102,MATCH(C_Input!AI111,D04_Classes!$B$3:$B$102,0),1)),0)=0,AND(IFERROR(SEARCH("Charisma",INDEX(D04_Classes!$BW$3:$BW$102,MATCH(C_Input!AI111,D04_Classes!$B$3:$B$102,0),1)),0)&gt;0,Charisma&gt;12)),"yes","no")</f>
        <v>yes</v>
      </c>
      <c r="AU111" s="253">
        <f t="shared" ref="AU111:AU114" si="26">IF(AI111="",0,IF(AN111=1,IF(COUNTIF(AO111:AT111,"no")&lt;2,1,0),IF(COUNTIF(AO111:AT111,"no")&gt;0,0,1)))</f>
        <v>0</v>
      </c>
      <c r="AV111" s="253">
        <f>IF(AU111=0,0,COUNTIF($AV$15:AV110,"&gt;0")+1)</f>
        <v>0</v>
      </c>
      <c r="AX111" s="255" t="str">
        <f t="shared" si="22"/>
        <v/>
      </c>
      <c r="AY111" s="255" t="str">
        <f t="shared" ref="AY111:AY114" si="27">IFERROR(INDEX($AI$15:$AI$114,MATCH(AX111,$AV$15:$AV$114,0),1),"")</f>
        <v/>
      </c>
      <c r="BD111" s="254" t="str">
        <f t="shared" si="23"/>
        <v/>
      </c>
      <c r="BE111" s="254" t="str">
        <f>IFERROR(INDEX(D01_Races!$B$2:$B$101,MATCH(C_Input!BD111,D01_Races!$C$2:$C$101,0),1),"")</f>
        <v/>
      </c>
      <c r="BF111" s="252" t="str">
        <f t="shared" si="24"/>
        <v/>
      </c>
      <c r="BG111" s="252" t="str">
        <f>IFERROR(IF(BF111="","",INDEX(D01_Races!$E$2:$E$101,MATCH(C_Input!BF111,D01_Races!$D$2:$D$101,0),1)),"")</f>
        <v/>
      </c>
      <c r="BH111" s="252" t="str">
        <f>IFERROR(IF(BF111="","",INDEX(D01_Races!$A$2:$A$101,MATCH(C_Input!BF111,D01_Races!$D$2:$D$101,0),1)),"")</f>
        <v/>
      </c>
      <c r="EK111" s="281"/>
      <c r="EN111" s="281"/>
      <c r="EQ111" s="281"/>
      <c r="ET111" s="281"/>
      <c r="EW111" s="281"/>
      <c r="EZ111" s="281"/>
      <c r="FC111" s="281"/>
      <c r="FF111" s="281"/>
    </row>
    <row r="112" spans="1:162" ht="15.95" customHeight="1" outlineLevel="1" x14ac:dyDescent="0.3">
      <c r="A112" s="717" t="s">
        <v>4970</v>
      </c>
      <c r="B112" s="717"/>
      <c r="C112" s="878" t="str">
        <f>IF(IFERROR(INDEX(D01_Races!BH2:BH101,SelectedRaceID,1),"")=0,"",IFERROR(INDEX(D01_Races!BH2:BH101,SelectedRaceID,1),""))</f>
        <v>Undercommon</v>
      </c>
      <c r="D112" s="878"/>
      <c r="E112" s="878"/>
      <c r="F112" s="283"/>
      <c r="G112" s="283"/>
      <c r="H112" s="283"/>
      <c r="I112" s="283"/>
      <c r="J112" s="283"/>
      <c r="K112" s="283"/>
      <c r="L112" s="717" t="s">
        <v>6917</v>
      </c>
      <c r="M112" s="717"/>
      <c r="N112" s="889"/>
      <c r="O112" s="889"/>
      <c r="P112" s="889"/>
      <c r="Q112" s="283"/>
      <c r="R112" s="283"/>
      <c r="S112" s="152"/>
      <c r="T112" s="152"/>
      <c r="U112" s="152"/>
      <c r="V112" s="152"/>
      <c r="W112" s="152"/>
      <c r="X112" s="152"/>
      <c r="Y112" s="152"/>
      <c r="Z112" s="152"/>
      <c r="AA112" s="152"/>
      <c r="AB112" s="152"/>
      <c r="AC112" s="152"/>
      <c r="AD112" s="152"/>
      <c r="AF112" s="201"/>
      <c r="AG112" s="202"/>
      <c r="AH112" s="253" t="str">
        <f t="shared" si="20"/>
        <v/>
      </c>
      <c r="AI112" s="253" t="str">
        <f>IFERROR(INDEX(D04_Classes!$B$3:$B$102,AH112,1),"")</f>
        <v/>
      </c>
      <c r="AJ112" s="253" t="str">
        <f t="shared" si="25"/>
        <v/>
      </c>
      <c r="AK112" s="253">
        <f t="shared" si="21"/>
        <v>0</v>
      </c>
      <c r="AL112" s="253">
        <f>IF(AK112=0,0,COUNTIF($AL$15:AL111,"&gt;0")+1)</f>
        <v>0</v>
      </c>
      <c r="AM112" s="253">
        <f>IF(IFERROR(SEARCH("and",INDEX(D04_Classes!$BW$3:$BW$102,MATCH(C_Input!AI112,D04_Classes!$B$3:$B$102,0),1)),0)&gt;1,1,0)</f>
        <v>0</v>
      </c>
      <c r="AN112" s="253">
        <f>IF(IFERROR(SEARCH("or",INDEX(D04_Classes!$BW$3:$BW$102,MATCH(C_Input!AI112,D04_Classes!$B$3:$B$102,0),1)),0)&gt;1,1,0)</f>
        <v>0</v>
      </c>
      <c r="AO112" s="253" t="str">
        <f>IF(OR(IFERROR(SEARCH("Strength",INDEX(D04_Classes!$BW$3:$BW$102,MATCH(C_Input!AI112,D04_Classes!$B$3:$B$102,0),1)),0)=0,AND(IFERROR(SEARCH("Strength",INDEX(D04_Classes!$BW$3:$BW$102,MATCH(C_Input!AI112,D04_Classes!$B$3:$B$102,0),1)),0)&gt;0,Strength&gt;12)),"yes","no")</f>
        <v>yes</v>
      </c>
      <c r="AP112" s="253" t="str">
        <f>IF(OR(IFERROR(SEARCH("Dexterity",INDEX(D04_Classes!$BW$3:$BW$102,MATCH(C_Input!AI112,D04_Classes!$B$3:$B$102,0),1)),0)=0,AND(IFERROR(SEARCH("Dexterity",INDEX(D04_Classes!$BW$3:$BW$102,MATCH(C_Input!AI112,D04_Classes!$B$3:$B$102,0),1)),0)&gt;0,Dexterity&gt;12)),"yes","no")</f>
        <v>yes</v>
      </c>
      <c r="AQ112" s="253" t="str">
        <f>IF(OR(IFERROR(SEARCH("Constitution",INDEX(D04_Classes!$BW$3:$BW$102,MATCH(C_Input!AI112,D04_Classes!$B$3:$B$102,0),1)),0)=0,AND(IFERROR(SEARCH("Constitution",INDEX(D04_Classes!$BW$3:$BW$102,MATCH(C_Input!AI112,D04_Classes!$B$3:$B$102,0),1)),0)&gt;0,Constitution&gt;12)),"yes","no")</f>
        <v>yes</v>
      </c>
      <c r="AR112" s="253" t="str">
        <f>IF(OR(IFERROR(SEARCH("Intelligence",INDEX(D04_Classes!$BW$3:$BW$102,MATCH(C_Input!AI112,D04_Classes!$B$3:$B$102,0),1)),0)=0,AND(IFERROR(SEARCH("Intelligence",INDEX(D04_Classes!$BW$3:$BW$102,MATCH(C_Input!AI112,D04_Classes!$B$3:$B$102,0),1)),0)&gt;0,Intelligence&gt;12)),"yes","no")</f>
        <v>yes</v>
      </c>
      <c r="AS112" s="253" t="str">
        <f>IF(OR(IFERROR(SEARCH("Wisdom",INDEX(D04_Classes!$BW$3:$BW$102,MATCH(C_Input!AI112,D04_Classes!$B$3:$B$102,0),1)),0)=0,AND(IFERROR(SEARCH("Wisdom",INDEX(D04_Classes!$BW$3:$BW$102,MATCH(C_Input!AI112,D04_Classes!$B$3:$B$102,0),1)),0)&gt;0,Wisdom&gt;12)),"yes","no")</f>
        <v>yes</v>
      </c>
      <c r="AT112" s="253" t="str">
        <f>IF(OR(IFERROR(SEARCH("Charisma",INDEX(D04_Classes!$BW$3:$BW$102,MATCH(C_Input!AI112,D04_Classes!$B$3:$B$102,0),1)),0)=0,AND(IFERROR(SEARCH("Charisma",INDEX(D04_Classes!$BW$3:$BW$102,MATCH(C_Input!AI112,D04_Classes!$B$3:$B$102,0),1)),0)&gt;0,Charisma&gt;12)),"yes","no")</f>
        <v>yes</v>
      </c>
      <c r="AU112" s="253">
        <f t="shared" si="26"/>
        <v>0</v>
      </c>
      <c r="AV112" s="253">
        <f>IF(AU112=0,0,COUNTIF($AV$15:AV111,"&gt;0")+1)</f>
        <v>0</v>
      </c>
      <c r="AX112" s="255" t="str">
        <f t="shared" si="22"/>
        <v/>
      </c>
      <c r="AY112" s="255" t="str">
        <f t="shared" si="27"/>
        <v/>
      </c>
      <c r="BD112" s="254" t="str">
        <f t="shared" si="23"/>
        <v/>
      </c>
      <c r="BE112" s="254" t="str">
        <f>IFERROR(INDEX(D01_Races!$B$2:$B$101,MATCH(C_Input!BD112,D01_Races!$C$2:$C$101,0),1),"")</f>
        <v/>
      </c>
      <c r="BF112" s="252" t="str">
        <f t="shared" si="24"/>
        <v/>
      </c>
      <c r="BG112" s="252" t="str">
        <f>IFERROR(IF(BF112="","",INDEX(D01_Races!$E$2:$E$101,MATCH(C_Input!BF112,D01_Races!$D$2:$D$101,0),1)),"")</f>
        <v/>
      </c>
      <c r="BH112" s="252" t="str">
        <f>IFERROR(IF(BF112="","",INDEX(D01_Races!$A$2:$A$101,MATCH(C_Input!BF112,D01_Races!$D$2:$D$101,0),1)),"")</f>
        <v/>
      </c>
      <c r="EK112" s="281"/>
      <c r="EN112" s="281"/>
      <c r="EQ112" s="281"/>
      <c r="ET112" s="281"/>
      <c r="EW112" s="281"/>
      <c r="EZ112" s="281"/>
      <c r="FC112" s="281"/>
      <c r="FF112" s="281"/>
    </row>
    <row r="113" spans="1:162" ht="15.95" customHeight="1" outlineLevel="1" x14ac:dyDescent="0.3">
      <c r="A113" s="717"/>
      <c r="B113" s="717"/>
      <c r="C113" s="878"/>
      <c r="D113" s="878"/>
      <c r="E113" s="878"/>
      <c r="F113" s="283"/>
      <c r="G113" s="875" t="s">
        <v>4439</v>
      </c>
      <c r="H113" s="875"/>
      <c r="I113" s="893"/>
      <c r="J113" s="893"/>
      <c r="K113" s="283"/>
      <c r="L113" s="717"/>
      <c r="M113" s="717"/>
      <c r="N113" s="889"/>
      <c r="O113" s="889"/>
      <c r="P113" s="889"/>
      <c r="Q113" s="283"/>
      <c r="R113" s="283"/>
      <c r="S113" s="152"/>
      <c r="T113" s="152"/>
      <c r="U113" s="152"/>
      <c r="V113" s="152"/>
      <c r="W113" s="152"/>
      <c r="X113" s="152"/>
      <c r="Y113" s="152"/>
      <c r="Z113" s="152"/>
      <c r="AA113" s="152"/>
      <c r="AB113" s="152"/>
      <c r="AC113" s="152"/>
      <c r="AD113" s="152"/>
      <c r="AF113" s="201"/>
      <c r="AG113" s="202"/>
      <c r="AH113" s="253" t="str">
        <f t="shared" si="20"/>
        <v/>
      </c>
      <c r="AI113" s="253" t="str">
        <f>IFERROR(INDEX(D04_Classes!$B$3:$B$102,AH113,1),"")</f>
        <v/>
      </c>
      <c r="AJ113" s="253" t="str">
        <f t="shared" si="25"/>
        <v/>
      </c>
      <c r="AK113" s="253">
        <f t="shared" si="21"/>
        <v>0</v>
      </c>
      <c r="AL113" s="253">
        <f>IF(AK113=0,0,COUNTIF($AL$15:AL112,"&gt;0")+1)</f>
        <v>0</v>
      </c>
      <c r="AM113" s="253">
        <f>IF(IFERROR(SEARCH("and",INDEX(D04_Classes!$BW$3:$BW$102,MATCH(C_Input!AI113,D04_Classes!$B$3:$B$102,0),1)),0)&gt;1,1,0)</f>
        <v>0</v>
      </c>
      <c r="AN113" s="253">
        <f>IF(IFERROR(SEARCH("or",INDEX(D04_Classes!$BW$3:$BW$102,MATCH(C_Input!AI113,D04_Classes!$B$3:$B$102,0),1)),0)&gt;1,1,0)</f>
        <v>0</v>
      </c>
      <c r="AO113" s="253" t="str">
        <f>IF(OR(IFERROR(SEARCH("Strength",INDEX(D04_Classes!$BW$3:$BW$102,MATCH(C_Input!AI113,D04_Classes!$B$3:$B$102,0),1)),0)=0,AND(IFERROR(SEARCH("Strength",INDEX(D04_Classes!$BW$3:$BW$102,MATCH(C_Input!AI113,D04_Classes!$B$3:$B$102,0),1)),0)&gt;0,Strength&gt;12)),"yes","no")</f>
        <v>yes</v>
      </c>
      <c r="AP113" s="253" t="str">
        <f>IF(OR(IFERROR(SEARCH("Dexterity",INDEX(D04_Classes!$BW$3:$BW$102,MATCH(C_Input!AI113,D04_Classes!$B$3:$B$102,0),1)),0)=0,AND(IFERROR(SEARCH("Dexterity",INDEX(D04_Classes!$BW$3:$BW$102,MATCH(C_Input!AI113,D04_Classes!$B$3:$B$102,0),1)),0)&gt;0,Dexterity&gt;12)),"yes","no")</f>
        <v>yes</v>
      </c>
      <c r="AQ113" s="253" t="str">
        <f>IF(OR(IFERROR(SEARCH("Constitution",INDEX(D04_Classes!$BW$3:$BW$102,MATCH(C_Input!AI113,D04_Classes!$B$3:$B$102,0),1)),0)=0,AND(IFERROR(SEARCH("Constitution",INDEX(D04_Classes!$BW$3:$BW$102,MATCH(C_Input!AI113,D04_Classes!$B$3:$B$102,0),1)),0)&gt;0,Constitution&gt;12)),"yes","no")</f>
        <v>yes</v>
      </c>
      <c r="AR113" s="253" t="str">
        <f>IF(OR(IFERROR(SEARCH("Intelligence",INDEX(D04_Classes!$BW$3:$BW$102,MATCH(C_Input!AI113,D04_Classes!$B$3:$B$102,0),1)),0)=0,AND(IFERROR(SEARCH("Intelligence",INDEX(D04_Classes!$BW$3:$BW$102,MATCH(C_Input!AI113,D04_Classes!$B$3:$B$102,0),1)),0)&gt;0,Intelligence&gt;12)),"yes","no")</f>
        <v>yes</v>
      </c>
      <c r="AS113" s="253" t="str">
        <f>IF(OR(IFERROR(SEARCH("Wisdom",INDEX(D04_Classes!$BW$3:$BW$102,MATCH(C_Input!AI113,D04_Classes!$B$3:$B$102,0),1)),0)=0,AND(IFERROR(SEARCH("Wisdom",INDEX(D04_Classes!$BW$3:$BW$102,MATCH(C_Input!AI113,D04_Classes!$B$3:$B$102,0),1)),0)&gt;0,Wisdom&gt;12)),"yes","no")</f>
        <v>yes</v>
      </c>
      <c r="AT113" s="253" t="str">
        <f>IF(OR(IFERROR(SEARCH("Charisma",INDEX(D04_Classes!$BW$3:$BW$102,MATCH(C_Input!AI113,D04_Classes!$B$3:$B$102,0),1)),0)=0,AND(IFERROR(SEARCH("Charisma",INDEX(D04_Classes!$BW$3:$BW$102,MATCH(C_Input!AI113,D04_Classes!$B$3:$B$102,0),1)),0)&gt;0,Charisma&gt;12)),"yes","no")</f>
        <v>yes</v>
      </c>
      <c r="AU113" s="253">
        <f t="shared" si="26"/>
        <v>0</v>
      </c>
      <c r="AV113" s="253">
        <f>IF(AU113=0,0,COUNTIF($AV$15:AV112,"&gt;0")+1)</f>
        <v>0</v>
      </c>
      <c r="AX113" s="255" t="str">
        <f t="shared" si="22"/>
        <v/>
      </c>
      <c r="AY113" s="255" t="str">
        <f t="shared" si="27"/>
        <v/>
      </c>
      <c r="BD113" s="254" t="str">
        <f t="shared" si="23"/>
        <v/>
      </c>
      <c r="BE113" s="254" t="str">
        <f>IFERROR(INDEX(D01_Races!$B$2:$B$101,MATCH(C_Input!BD113,D01_Races!$C$2:$C$101,0),1),"")</f>
        <v/>
      </c>
      <c r="BF113" s="252" t="str">
        <f t="shared" si="24"/>
        <v/>
      </c>
      <c r="BG113" s="252" t="str">
        <f>IFERROR(IF(BF113="","",INDEX(D01_Races!$E$2:$E$101,MATCH(C_Input!BF113,D01_Races!$D$2:$D$101,0),1)),"")</f>
        <v/>
      </c>
      <c r="BH113" s="252" t="str">
        <f>IFERROR(IF(BF113="","",INDEX(D01_Races!$A$2:$A$101,MATCH(C_Input!BF113,D01_Races!$D$2:$D$101,0),1)),"")</f>
        <v/>
      </c>
      <c r="EK113" s="281"/>
      <c r="EN113" s="281"/>
      <c r="EQ113" s="281"/>
      <c r="ET113" s="281"/>
      <c r="EW113" s="281"/>
      <c r="EZ113" s="281"/>
      <c r="FC113" s="281"/>
      <c r="FF113" s="281"/>
    </row>
    <row r="114" spans="1:162" ht="15.95" customHeight="1" outlineLevel="1" x14ac:dyDescent="0.3">
      <c r="A114" s="717" t="s">
        <v>4971</v>
      </c>
      <c r="B114" s="717"/>
      <c r="C114" s="878" t="str">
        <f>IF(IFERROR(INDEX(D01_Races!BI2:BI101,SelectedRaceID,1),"")=0,"",IFERROR(INDEX(D01_Races!BI2:BI101,SelectedRaceID,1),""))</f>
        <v/>
      </c>
      <c r="D114" s="878"/>
      <c r="E114" s="878"/>
      <c r="F114" s="283"/>
      <c r="G114" s="875"/>
      <c r="H114" s="875"/>
      <c r="I114" s="893"/>
      <c r="J114" s="893"/>
      <c r="K114" s="283"/>
      <c r="L114" s="717" t="s">
        <v>6918</v>
      </c>
      <c r="M114" s="717"/>
      <c r="N114" s="889"/>
      <c r="O114" s="889"/>
      <c r="P114" s="889"/>
      <c r="Q114" s="283"/>
      <c r="R114" s="283"/>
      <c r="S114" s="152"/>
      <c r="T114" s="152"/>
      <c r="U114" s="152"/>
      <c r="V114" s="152"/>
      <c r="W114" s="152"/>
      <c r="X114" s="152"/>
      <c r="Y114" s="152"/>
      <c r="Z114" s="152"/>
      <c r="AA114" s="152"/>
      <c r="AB114" s="152"/>
      <c r="AC114" s="152"/>
      <c r="AD114" s="152"/>
      <c r="AF114" s="201"/>
      <c r="AG114" s="202"/>
      <c r="AH114" s="253" t="str">
        <f t="shared" si="20"/>
        <v/>
      </c>
      <c r="AI114" s="253" t="str">
        <f>IFERROR(INDEX(D04_Classes!$B$3:$B$102,AH114,1),"")</f>
        <v/>
      </c>
      <c r="AJ114" s="253" t="str">
        <f t="shared" si="25"/>
        <v/>
      </c>
      <c r="AK114" s="253">
        <f t="shared" si="21"/>
        <v>0</v>
      </c>
      <c r="AL114" s="253">
        <f>IF(AK114=0,0,COUNTIF($AL$15:AL113,"&gt;0")+1)</f>
        <v>0</v>
      </c>
      <c r="AM114" s="253">
        <f>IF(IFERROR(SEARCH("and",INDEX(D04_Classes!$BW$3:$BW$102,MATCH(C_Input!AI114,D04_Classes!$B$3:$B$102,0),1)),0)&gt;1,1,0)</f>
        <v>0</v>
      </c>
      <c r="AN114" s="253">
        <f>IF(IFERROR(SEARCH("or",INDEX(D04_Classes!$BW$3:$BW$102,MATCH(C_Input!AI114,D04_Classes!$B$3:$B$102,0),1)),0)&gt;1,1,0)</f>
        <v>0</v>
      </c>
      <c r="AO114" s="253" t="str">
        <f>IF(OR(IFERROR(SEARCH("Strength",INDEX(D04_Classes!$BW$3:$BW$102,MATCH(C_Input!AI114,D04_Classes!$B$3:$B$102,0),1)),0)=0,AND(IFERROR(SEARCH("Strength",INDEX(D04_Classes!$BW$3:$BW$102,MATCH(C_Input!AI114,D04_Classes!$B$3:$B$102,0),1)),0)&gt;0,Strength&gt;12)),"yes","no")</f>
        <v>yes</v>
      </c>
      <c r="AP114" s="253" t="str">
        <f>IF(OR(IFERROR(SEARCH("Dexterity",INDEX(D04_Classes!$BW$3:$BW$102,MATCH(C_Input!AI114,D04_Classes!$B$3:$B$102,0),1)),0)=0,AND(IFERROR(SEARCH("Dexterity",INDEX(D04_Classes!$BW$3:$BW$102,MATCH(C_Input!AI114,D04_Classes!$B$3:$B$102,0),1)),0)&gt;0,Dexterity&gt;12)),"yes","no")</f>
        <v>yes</v>
      </c>
      <c r="AQ114" s="253" t="str">
        <f>IF(OR(IFERROR(SEARCH("Constitution",INDEX(D04_Classes!$BW$3:$BW$102,MATCH(C_Input!AI114,D04_Classes!$B$3:$B$102,0),1)),0)=0,AND(IFERROR(SEARCH("Constitution",INDEX(D04_Classes!$BW$3:$BW$102,MATCH(C_Input!AI114,D04_Classes!$B$3:$B$102,0),1)),0)&gt;0,Constitution&gt;12)),"yes","no")</f>
        <v>yes</v>
      </c>
      <c r="AR114" s="253" t="str">
        <f>IF(OR(IFERROR(SEARCH("Intelligence",INDEX(D04_Classes!$BW$3:$BW$102,MATCH(C_Input!AI114,D04_Classes!$B$3:$B$102,0),1)),0)=0,AND(IFERROR(SEARCH("Intelligence",INDEX(D04_Classes!$BW$3:$BW$102,MATCH(C_Input!AI114,D04_Classes!$B$3:$B$102,0),1)),0)&gt;0,Intelligence&gt;12)),"yes","no")</f>
        <v>yes</v>
      </c>
      <c r="AS114" s="253" t="str">
        <f>IF(OR(IFERROR(SEARCH("Wisdom",INDEX(D04_Classes!$BW$3:$BW$102,MATCH(C_Input!AI114,D04_Classes!$B$3:$B$102,0),1)),0)=0,AND(IFERROR(SEARCH("Wisdom",INDEX(D04_Classes!$BW$3:$BW$102,MATCH(C_Input!AI114,D04_Classes!$B$3:$B$102,0),1)),0)&gt;0,Wisdom&gt;12)),"yes","no")</f>
        <v>yes</v>
      </c>
      <c r="AT114" s="253" t="str">
        <f>IF(OR(IFERROR(SEARCH("Charisma",INDEX(D04_Classes!$BW$3:$BW$102,MATCH(C_Input!AI114,D04_Classes!$B$3:$B$102,0),1)),0)=0,AND(IFERROR(SEARCH("Charisma",INDEX(D04_Classes!$BW$3:$BW$102,MATCH(C_Input!AI114,D04_Classes!$B$3:$B$102,0),1)),0)&gt;0,Charisma&gt;12)),"yes","no")</f>
        <v>yes</v>
      </c>
      <c r="AU114" s="253">
        <f t="shared" si="26"/>
        <v>0</v>
      </c>
      <c r="AV114" s="253">
        <f>IF(AU114=0,0,COUNTIF($AV$15:AV113,"&gt;0")+1)</f>
        <v>0</v>
      </c>
      <c r="AX114" s="255" t="str">
        <f t="shared" si="22"/>
        <v/>
      </c>
      <c r="AY114" s="255" t="str">
        <f t="shared" si="27"/>
        <v/>
      </c>
      <c r="BD114" s="254" t="str">
        <f t="shared" si="23"/>
        <v/>
      </c>
      <c r="BE114" s="254" t="str">
        <f>IFERROR(INDEX(D01_Races!$B$2:$B$101,MATCH(C_Input!BD114,D01_Races!$C$2:$C$101,0),1),"")</f>
        <v/>
      </c>
      <c r="BF114" s="252" t="str">
        <f t="shared" si="24"/>
        <v/>
      </c>
      <c r="BG114" s="252" t="str">
        <f>IFERROR(IF(BF114="","",INDEX(D01_Races!$E$2:$E$101,MATCH(C_Input!BF114,D01_Races!$D$2:$D$101,0),1)),"")</f>
        <v/>
      </c>
      <c r="BH114" s="252" t="str">
        <f>IFERROR(IF(BF114="","",INDEX(D01_Races!$A$2:$A$101,MATCH(C_Input!BF114,D01_Races!$D$2:$D$101,0),1)),"")</f>
        <v/>
      </c>
      <c r="EK114" s="281"/>
      <c r="EN114" s="281"/>
      <c r="EQ114" s="281"/>
      <c r="ET114" s="281"/>
      <c r="EW114" s="281"/>
      <c r="EZ114" s="281"/>
      <c r="FC114" s="281"/>
      <c r="FF114" s="281"/>
    </row>
    <row r="115" spans="1:162" ht="15.95" customHeight="1" outlineLevel="1" x14ac:dyDescent="0.3">
      <c r="A115" s="717"/>
      <c r="B115" s="717"/>
      <c r="C115" s="878"/>
      <c r="D115" s="878"/>
      <c r="E115" s="878"/>
      <c r="F115" s="283"/>
      <c r="G115" s="283"/>
      <c r="H115" s="283"/>
      <c r="I115" s="283"/>
      <c r="J115" s="283"/>
      <c r="K115" s="283"/>
      <c r="L115" s="717"/>
      <c r="M115" s="717"/>
      <c r="N115" s="889"/>
      <c r="O115" s="889"/>
      <c r="P115" s="889"/>
      <c r="Q115" s="283"/>
      <c r="R115" s="283"/>
      <c r="S115" s="152"/>
      <c r="T115" s="152"/>
      <c r="U115" s="152"/>
      <c r="V115" s="152"/>
      <c r="W115" s="152"/>
      <c r="X115" s="152"/>
      <c r="Y115" s="152"/>
      <c r="Z115" s="152"/>
      <c r="AA115" s="152"/>
      <c r="AB115" s="152"/>
      <c r="AC115" s="152"/>
      <c r="AD115" s="152"/>
      <c r="AF115" s="201"/>
      <c r="AG115" s="202"/>
      <c r="EK115" s="281"/>
      <c r="EN115" s="281"/>
      <c r="EQ115" s="281"/>
      <c r="ET115" s="281"/>
      <c r="EW115" s="281"/>
      <c r="EZ115" s="281"/>
      <c r="FC115" s="281"/>
      <c r="FF115" s="281"/>
    </row>
    <row r="116" spans="1:162" ht="15.95" customHeight="1" outlineLevel="1" x14ac:dyDescent="0.3">
      <c r="A116" s="717" t="s">
        <v>4972</v>
      </c>
      <c r="B116" s="717"/>
      <c r="C116" s="878" t="str">
        <f>IF(RogueLanguage=1,"Thieve's Cant","")</f>
        <v/>
      </c>
      <c r="D116" s="878"/>
      <c r="E116" s="878"/>
      <c r="F116" s="283"/>
      <c r="G116" s="875" t="s">
        <v>4440</v>
      </c>
      <c r="H116" s="875"/>
      <c r="I116" s="891">
        <f>I110-COUNTA(C120:E143)</f>
        <v>0</v>
      </c>
      <c r="J116" s="891"/>
      <c r="K116" s="283"/>
      <c r="L116" s="717" t="s">
        <v>6919</v>
      </c>
      <c r="M116" s="717"/>
      <c r="N116" s="889"/>
      <c r="O116" s="889"/>
      <c r="P116" s="889"/>
      <c r="Q116" s="283"/>
      <c r="R116" s="283"/>
      <c r="S116" s="152"/>
      <c r="T116" s="152"/>
      <c r="U116" s="152"/>
      <c r="V116" s="152"/>
      <c r="W116" s="152"/>
      <c r="X116" s="152"/>
      <c r="Y116" s="152"/>
      <c r="Z116" s="152"/>
      <c r="AA116" s="152"/>
      <c r="AB116" s="152"/>
      <c r="AC116" s="152"/>
      <c r="AD116" s="152"/>
      <c r="AF116" s="201"/>
      <c r="AG116" s="202"/>
      <c r="EK116" s="281"/>
      <c r="EN116" s="281"/>
      <c r="EQ116" s="281"/>
      <c r="ET116" s="281"/>
      <c r="EW116" s="281"/>
      <c r="EZ116" s="281"/>
      <c r="FC116" s="281"/>
      <c r="FF116" s="281"/>
    </row>
    <row r="117" spans="1:162" ht="15.95" customHeight="1" outlineLevel="1" x14ac:dyDescent="0.3">
      <c r="A117" s="717"/>
      <c r="B117" s="717"/>
      <c r="C117" s="878"/>
      <c r="D117" s="878"/>
      <c r="E117" s="878"/>
      <c r="F117" s="283"/>
      <c r="G117" s="875"/>
      <c r="H117" s="875"/>
      <c r="I117" s="891"/>
      <c r="J117" s="891"/>
      <c r="K117" s="283"/>
      <c r="L117" s="717"/>
      <c r="M117" s="717"/>
      <c r="N117" s="889"/>
      <c r="O117" s="889"/>
      <c r="P117" s="889"/>
      <c r="Q117" s="283"/>
      <c r="R117" s="283"/>
      <c r="S117" s="152"/>
      <c r="T117" s="152"/>
      <c r="U117" s="152"/>
      <c r="V117" s="152"/>
      <c r="W117" s="152"/>
      <c r="X117" s="152"/>
      <c r="Y117" s="152"/>
      <c r="Z117" s="152"/>
      <c r="AA117" s="152"/>
      <c r="AB117" s="152"/>
      <c r="AC117" s="152"/>
      <c r="AD117" s="152"/>
      <c r="AF117" s="201"/>
      <c r="AG117" s="202"/>
      <c r="EK117" s="281"/>
      <c r="EN117" s="281"/>
      <c r="EQ117" s="281"/>
      <c r="ET117" s="281"/>
      <c r="EW117" s="281"/>
      <c r="EZ117" s="281"/>
      <c r="FC117" s="281"/>
      <c r="FF117" s="281"/>
    </row>
    <row r="118" spans="1:162" ht="15.95" customHeight="1" outlineLevel="1" x14ac:dyDescent="0.3">
      <c r="A118" s="717" t="s">
        <v>4973</v>
      </c>
      <c r="B118" s="717"/>
      <c r="C118" s="878" t="str">
        <f>IF(DruidicLanguage=1,"Druidic","")</f>
        <v/>
      </c>
      <c r="D118" s="878"/>
      <c r="E118" s="878"/>
      <c r="F118" s="283"/>
      <c r="G118" s="283"/>
      <c r="H118" s="283"/>
      <c r="I118" s="283"/>
      <c r="J118" s="283"/>
      <c r="K118" s="283"/>
      <c r="L118" s="717" t="s">
        <v>6920</v>
      </c>
      <c r="M118" s="717"/>
      <c r="N118" s="889"/>
      <c r="O118" s="889"/>
      <c r="P118" s="889"/>
      <c r="Q118" s="283"/>
      <c r="R118" s="283"/>
      <c r="S118" s="152"/>
      <c r="T118" s="152"/>
      <c r="U118" s="152"/>
      <c r="V118" s="152"/>
      <c r="W118" s="152"/>
      <c r="X118" s="152"/>
      <c r="Y118" s="152"/>
      <c r="Z118" s="152"/>
      <c r="AA118" s="152"/>
      <c r="AB118" s="152"/>
      <c r="AC118" s="152"/>
      <c r="AD118" s="152"/>
      <c r="AF118" s="201"/>
      <c r="AG118" s="202"/>
      <c r="BK118" s="194"/>
      <c r="EK118" s="281"/>
      <c r="EN118" s="281"/>
      <c r="EQ118" s="281"/>
      <c r="ET118" s="281"/>
      <c r="EW118" s="281"/>
      <c r="EZ118" s="281"/>
      <c r="FC118" s="281"/>
      <c r="FF118" s="281"/>
    </row>
    <row r="119" spans="1:162" ht="15.95" customHeight="1" outlineLevel="1" x14ac:dyDescent="0.3">
      <c r="A119" s="717"/>
      <c r="B119" s="717"/>
      <c r="C119" s="878"/>
      <c r="D119" s="878"/>
      <c r="E119" s="878"/>
      <c r="F119" s="283"/>
      <c r="G119" s="875" t="s">
        <v>4981</v>
      </c>
      <c r="H119" s="875"/>
      <c r="I119" s="874"/>
      <c r="J119" s="874"/>
      <c r="K119" s="283"/>
      <c r="L119" s="717"/>
      <c r="M119" s="717"/>
      <c r="N119" s="889"/>
      <c r="O119" s="889"/>
      <c r="P119" s="889"/>
      <c r="Q119" s="283"/>
      <c r="R119" s="283"/>
      <c r="S119" s="152"/>
      <c r="T119" s="152"/>
      <c r="U119" s="152"/>
      <c r="V119" s="152"/>
      <c r="W119" s="152"/>
      <c r="X119" s="152"/>
      <c r="Y119" s="152"/>
      <c r="Z119" s="152"/>
      <c r="AA119" s="152"/>
      <c r="AB119" s="152"/>
      <c r="AC119" s="152"/>
      <c r="AD119" s="152"/>
      <c r="AF119" s="201"/>
      <c r="AG119" s="202"/>
      <c r="BK119" s="194"/>
      <c r="EK119" s="281"/>
      <c r="EN119" s="281"/>
      <c r="EQ119" s="281"/>
      <c r="ET119" s="281"/>
      <c r="EW119" s="281"/>
      <c r="EZ119" s="281"/>
      <c r="FC119" s="281"/>
      <c r="FF119" s="281"/>
    </row>
    <row r="120" spans="1:162" ht="15.95" customHeight="1" outlineLevel="1" x14ac:dyDescent="0.3">
      <c r="A120" s="717" t="s">
        <v>4437</v>
      </c>
      <c r="B120" s="717"/>
      <c r="C120" s="718"/>
      <c r="D120" s="718"/>
      <c r="E120" s="718"/>
      <c r="F120" s="283"/>
      <c r="G120" s="875"/>
      <c r="H120" s="875"/>
      <c r="I120" s="874"/>
      <c r="J120" s="874"/>
      <c r="K120" s="283"/>
      <c r="L120" s="717" t="s">
        <v>6921</v>
      </c>
      <c r="M120" s="717"/>
      <c r="N120" s="889"/>
      <c r="O120" s="889"/>
      <c r="P120" s="889"/>
      <c r="Q120" s="283"/>
      <c r="R120" s="283"/>
      <c r="S120" s="152"/>
      <c r="T120" s="152"/>
      <c r="U120" s="152"/>
      <c r="V120" s="152"/>
      <c r="W120" s="152"/>
      <c r="X120" s="152"/>
      <c r="Y120" s="152"/>
      <c r="Z120" s="152"/>
      <c r="AA120" s="152"/>
      <c r="AB120" s="152"/>
      <c r="AC120" s="152"/>
      <c r="AD120" s="152"/>
      <c r="AF120" s="171"/>
      <c r="BK120" s="194"/>
    </row>
    <row r="121" spans="1:162" ht="15.95" customHeight="1" outlineLevel="1" x14ac:dyDescent="0.3">
      <c r="A121" s="717"/>
      <c r="B121" s="717"/>
      <c r="C121" s="718"/>
      <c r="D121" s="718"/>
      <c r="E121" s="718"/>
      <c r="F121" s="283"/>
      <c r="G121" s="283"/>
      <c r="H121" s="283"/>
      <c r="I121" s="283"/>
      <c r="J121" s="283"/>
      <c r="K121" s="283"/>
      <c r="L121" s="717"/>
      <c r="M121" s="717"/>
      <c r="N121" s="889"/>
      <c r="O121" s="889"/>
      <c r="P121" s="889"/>
      <c r="Q121" s="283"/>
      <c r="R121" s="283"/>
      <c r="S121" s="152"/>
      <c r="T121" s="152"/>
      <c r="U121" s="152"/>
      <c r="V121" s="152"/>
      <c r="W121" s="152"/>
      <c r="X121" s="152"/>
      <c r="Y121" s="152"/>
      <c r="Z121" s="152"/>
      <c r="AA121" s="152"/>
      <c r="AB121" s="152"/>
      <c r="AC121" s="152"/>
      <c r="AD121" s="152"/>
      <c r="AF121" s="171"/>
      <c r="BK121" s="194"/>
      <c r="EJ121" s="280"/>
      <c r="EK121" s="280"/>
      <c r="EM121" s="280"/>
      <c r="EN121" s="280"/>
      <c r="EP121" s="280"/>
      <c r="EQ121" s="280"/>
      <c r="ES121" s="280"/>
      <c r="ET121" s="280"/>
      <c r="EV121" s="280"/>
      <c r="EW121" s="280"/>
      <c r="EY121" s="280"/>
      <c r="EZ121" s="280"/>
      <c r="FB121" s="280"/>
      <c r="FC121" s="280"/>
      <c r="FE121" s="280"/>
      <c r="FF121" s="280"/>
    </row>
    <row r="122" spans="1:162" ht="15.95" customHeight="1" outlineLevel="1" x14ac:dyDescent="0.3">
      <c r="A122" s="717" t="s">
        <v>4955</v>
      </c>
      <c r="B122" s="717"/>
      <c r="C122" s="718"/>
      <c r="D122" s="718"/>
      <c r="E122" s="718"/>
      <c r="F122" s="283"/>
      <c r="G122" s="875" t="s">
        <v>4982</v>
      </c>
      <c r="H122" s="875"/>
      <c r="I122" s="892"/>
      <c r="J122" s="892"/>
      <c r="K122" s="283"/>
      <c r="L122" s="717" t="s">
        <v>6922</v>
      </c>
      <c r="M122" s="717"/>
      <c r="N122" s="889"/>
      <c r="O122" s="889"/>
      <c r="P122" s="889"/>
      <c r="Q122" s="283"/>
      <c r="R122" s="283"/>
      <c r="S122" s="152"/>
      <c r="T122" s="152"/>
      <c r="U122" s="152"/>
      <c r="V122" s="152"/>
      <c r="W122" s="152"/>
      <c r="X122" s="152"/>
      <c r="Y122" s="152"/>
      <c r="Z122" s="152"/>
      <c r="AA122" s="152"/>
      <c r="AB122" s="152"/>
      <c r="AC122" s="152"/>
      <c r="AD122" s="152"/>
      <c r="AF122" s="171"/>
      <c r="BK122" s="194"/>
      <c r="EJ122" s="280"/>
      <c r="EK122" s="280"/>
      <c r="EM122" s="280"/>
      <c r="EN122" s="280"/>
      <c r="EP122" s="280"/>
      <c r="EQ122" s="280"/>
      <c r="ES122" s="280"/>
      <c r="ET122" s="280"/>
      <c r="EV122" s="280"/>
      <c r="EW122" s="280"/>
      <c r="EY122" s="280"/>
      <c r="EZ122" s="280"/>
      <c r="FB122" s="280"/>
      <c r="FC122" s="280"/>
      <c r="FE122" s="280"/>
      <c r="FF122" s="280"/>
    </row>
    <row r="123" spans="1:162" ht="15.95" customHeight="1" outlineLevel="1" x14ac:dyDescent="0.3">
      <c r="A123" s="717"/>
      <c r="B123" s="717"/>
      <c r="C123" s="718"/>
      <c r="D123" s="718"/>
      <c r="E123" s="718"/>
      <c r="F123" s="283"/>
      <c r="G123" s="875"/>
      <c r="H123" s="875"/>
      <c r="I123" s="892"/>
      <c r="J123" s="892"/>
      <c r="K123" s="283"/>
      <c r="L123" s="717"/>
      <c r="M123" s="717"/>
      <c r="N123" s="889"/>
      <c r="O123" s="889"/>
      <c r="P123" s="889"/>
      <c r="Q123" s="283"/>
      <c r="R123" s="283"/>
      <c r="S123" s="152"/>
      <c r="T123" s="152"/>
      <c r="U123" s="152"/>
      <c r="V123" s="152"/>
      <c r="W123" s="152"/>
      <c r="X123" s="152"/>
      <c r="Y123" s="152"/>
      <c r="Z123" s="152"/>
      <c r="AA123" s="152"/>
      <c r="AB123" s="152"/>
      <c r="AC123" s="152"/>
      <c r="AD123" s="152"/>
      <c r="AF123" s="171"/>
      <c r="BK123" s="194"/>
      <c r="EJ123" s="280"/>
      <c r="EK123" s="280"/>
      <c r="EM123" s="280"/>
      <c r="EN123" s="280"/>
      <c r="EP123" s="280"/>
      <c r="EQ123" s="280"/>
      <c r="ES123" s="280"/>
      <c r="ET123" s="280"/>
      <c r="EV123" s="280"/>
      <c r="EW123" s="280"/>
      <c r="EY123" s="280"/>
      <c r="EZ123" s="280"/>
      <c r="FB123" s="280"/>
      <c r="FC123" s="280"/>
      <c r="FE123" s="280"/>
      <c r="FF123" s="280"/>
    </row>
    <row r="124" spans="1:162" ht="15.95" customHeight="1" outlineLevel="1" x14ac:dyDescent="0.3">
      <c r="A124" s="717" t="s">
        <v>4956</v>
      </c>
      <c r="B124" s="717"/>
      <c r="C124" s="718"/>
      <c r="D124" s="718"/>
      <c r="E124" s="718"/>
      <c r="F124" s="283"/>
      <c r="G124" s="283"/>
      <c r="H124" s="283"/>
      <c r="I124" s="283"/>
      <c r="J124" s="283"/>
      <c r="K124" s="283"/>
      <c r="L124" s="717" t="s">
        <v>6923</v>
      </c>
      <c r="M124" s="717"/>
      <c r="N124" s="889"/>
      <c r="O124" s="889"/>
      <c r="P124" s="889"/>
      <c r="Q124" s="283"/>
      <c r="R124" s="283"/>
      <c r="S124" s="152"/>
      <c r="T124" s="152"/>
      <c r="U124" s="152"/>
      <c r="V124" s="152"/>
      <c r="W124" s="152"/>
      <c r="X124" s="152"/>
      <c r="Y124" s="152"/>
      <c r="Z124" s="152"/>
      <c r="AA124" s="152"/>
      <c r="AB124" s="152"/>
      <c r="AC124" s="152"/>
      <c r="AD124" s="152"/>
      <c r="AF124" s="171"/>
      <c r="BK124" s="194"/>
      <c r="EJ124" s="280"/>
      <c r="EK124" s="280"/>
      <c r="EM124" s="280"/>
      <c r="EN124" s="280"/>
      <c r="EP124" s="280"/>
      <c r="EQ124" s="280"/>
      <c r="ES124" s="280"/>
      <c r="ET124" s="280"/>
      <c r="EV124" s="280"/>
      <c r="EW124" s="280"/>
      <c r="EY124" s="280"/>
      <c r="EZ124" s="280"/>
      <c r="FB124" s="280"/>
      <c r="FC124" s="280"/>
      <c r="FE124" s="280"/>
      <c r="FF124" s="280"/>
    </row>
    <row r="125" spans="1:162" ht="15.95" customHeight="1" outlineLevel="1" x14ac:dyDescent="0.3">
      <c r="A125" s="717"/>
      <c r="B125" s="717"/>
      <c r="C125" s="718"/>
      <c r="D125" s="718"/>
      <c r="E125" s="718"/>
      <c r="F125" s="283"/>
      <c r="G125" s="875" t="s">
        <v>4983</v>
      </c>
      <c r="H125" s="875"/>
      <c r="I125" s="891">
        <f>I119+COUNTIF(N110:N143,"n/a")-COUNTA(N110:P143)</f>
        <v>0</v>
      </c>
      <c r="J125" s="891"/>
      <c r="K125" s="283"/>
      <c r="L125" s="717"/>
      <c r="M125" s="717"/>
      <c r="N125" s="889"/>
      <c r="O125" s="889"/>
      <c r="P125" s="889"/>
      <c r="Q125" s="283"/>
      <c r="R125" s="283"/>
      <c r="S125" s="152"/>
      <c r="T125" s="152"/>
      <c r="U125" s="152"/>
      <c r="V125" s="152"/>
      <c r="W125" s="152"/>
      <c r="X125" s="152"/>
      <c r="Y125" s="152"/>
      <c r="Z125" s="152"/>
      <c r="AA125" s="152"/>
      <c r="AB125" s="152"/>
      <c r="AC125" s="152"/>
      <c r="AD125" s="152"/>
      <c r="AF125" s="171"/>
      <c r="BK125" s="194"/>
      <c r="EJ125" s="280"/>
      <c r="EK125" s="280"/>
      <c r="EM125" s="280"/>
      <c r="EN125" s="280"/>
      <c r="EP125" s="280"/>
      <c r="EQ125" s="280"/>
      <c r="ES125" s="280"/>
      <c r="ET125" s="280"/>
      <c r="EV125" s="280"/>
      <c r="EW125" s="280"/>
      <c r="EY125" s="280"/>
      <c r="EZ125" s="280"/>
      <c r="FB125" s="280"/>
      <c r="FC125" s="280"/>
      <c r="FE125" s="280"/>
      <c r="FF125" s="280"/>
    </row>
    <row r="126" spans="1:162" ht="15.95" customHeight="1" outlineLevel="1" x14ac:dyDescent="0.3">
      <c r="A126" s="717" t="s">
        <v>4957</v>
      </c>
      <c r="B126" s="717"/>
      <c r="C126" s="718"/>
      <c r="D126" s="718"/>
      <c r="E126" s="718"/>
      <c r="F126" s="283"/>
      <c r="G126" s="875"/>
      <c r="H126" s="875"/>
      <c r="I126" s="891"/>
      <c r="J126" s="891"/>
      <c r="K126" s="283"/>
      <c r="L126" s="717" t="s">
        <v>6924</v>
      </c>
      <c r="M126" s="717"/>
      <c r="N126" s="889"/>
      <c r="O126" s="889"/>
      <c r="P126" s="889"/>
      <c r="Q126" s="283"/>
      <c r="R126" s="283"/>
      <c r="S126" s="152"/>
      <c r="T126" s="152"/>
      <c r="U126" s="152"/>
      <c r="V126" s="152"/>
      <c r="W126" s="152"/>
      <c r="X126" s="152"/>
      <c r="Y126" s="152"/>
      <c r="Z126" s="152"/>
      <c r="AA126" s="152"/>
      <c r="AB126" s="152"/>
      <c r="AC126" s="152"/>
      <c r="AD126" s="152"/>
      <c r="AF126" s="171"/>
      <c r="BK126" s="194"/>
      <c r="EJ126" s="280"/>
      <c r="EK126" s="280"/>
      <c r="EM126" s="280"/>
      <c r="EN126" s="280"/>
      <c r="EP126" s="280"/>
      <c r="EQ126" s="280"/>
      <c r="ES126" s="280"/>
      <c r="ET126" s="280"/>
      <c r="EV126" s="280"/>
      <c r="EW126" s="280"/>
      <c r="EY126" s="280"/>
      <c r="EZ126" s="280"/>
      <c r="FB126" s="280"/>
      <c r="FC126" s="280"/>
      <c r="FE126" s="280"/>
      <c r="FF126" s="280"/>
    </row>
    <row r="127" spans="1:162" ht="15.95" customHeight="1" outlineLevel="1" x14ac:dyDescent="0.3">
      <c r="A127" s="717"/>
      <c r="B127" s="717"/>
      <c r="C127" s="718"/>
      <c r="D127" s="718"/>
      <c r="E127" s="718"/>
      <c r="F127" s="283"/>
      <c r="G127" s="283"/>
      <c r="H127" s="283"/>
      <c r="I127" s="283"/>
      <c r="J127" s="283"/>
      <c r="K127" s="283"/>
      <c r="L127" s="717"/>
      <c r="M127" s="717"/>
      <c r="N127" s="889"/>
      <c r="O127" s="889"/>
      <c r="P127" s="889"/>
      <c r="Q127" s="283"/>
      <c r="R127" s="283"/>
      <c r="S127" s="152"/>
      <c r="T127" s="152"/>
      <c r="U127" s="152"/>
      <c r="V127" s="152"/>
      <c r="W127" s="152"/>
      <c r="X127" s="152"/>
      <c r="Y127" s="152"/>
      <c r="Z127" s="152"/>
      <c r="AA127" s="152"/>
      <c r="AB127" s="152"/>
      <c r="AC127" s="152"/>
      <c r="AD127" s="152"/>
      <c r="AF127" s="171"/>
      <c r="BK127" s="194"/>
      <c r="EJ127" s="280"/>
      <c r="EK127" s="280"/>
      <c r="EM127" s="280"/>
      <c r="EN127" s="280"/>
      <c r="EP127" s="280"/>
      <c r="EQ127" s="280"/>
      <c r="ES127" s="280"/>
      <c r="ET127" s="280"/>
      <c r="EV127" s="280"/>
      <c r="EW127" s="280"/>
      <c r="EY127" s="280"/>
      <c r="EZ127" s="280"/>
      <c r="FB127" s="280"/>
      <c r="FC127" s="280"/>
      <c r="FE127" s="280"/>
      <c r="FF127" s="280"/>
    </row>
    <row r="128" spans="1:162" ht="15.95" customHeight="1" outlineLevel="1" x14ac:dyDescent="0.3">
      <c r="A128" s="717" t="s">
        <v>4958</v>
      </c>
      <c r="B128" s="717"/>
      <c r="C128" s="718"/>
      <c r="D128" s="718"/>
      <c r="E128" s="718"/>
      <c r="F128" s="283"/>
      <c r="G128" s="283"/>
      <c r="H128" s="283"/>
      <c r="I128" s="283"/>
      <c r="J128" s="283"/>
      <c r="K128" s="283"/>
      <c r="L128" s="717" t="s">
        <v>6925</v>
      </c>
      <c r="M128" s="717"/>
      <c r="N128" s="889"/>
      <c r="O128" s="889"/>
      <c r="P128" s="889"/>
      <c r="Q128" s="283"/>
      <c r="R128" s="283"/>
      <c r="S128" s="152"/>
      <c r="T128" s="152"/>
      <c r="U128" s="152"/>
      <c r="V128" s="152"/>
      <c r="W128" s="152"/>
      <c r="X128" s="152"/>
      <c r="Y128" s="152"/>
      <c r="Z128" s="152"/>
      <c r="AA128" s="152"/>
      <c r="AB128" s="152"/>
      <c r="AC128" s="152"/>
      <c r="AD128" s="152"/>
      <c r="AF128" s="171"/>
      <c r="BK128" s="194"/>
      <c r="EJ128" s="280"/>
      <c r="EK128" s="280"/>
      <c r="EM128" s="280"/>
      <c r="EN128" s="280"/>
      <c r="EP128" s="280"/>
      <c r="EQ128" s="280"/>
      <c r="ES128" s="280"/>
      <c r="ET128" s="280"/>
      <c r="EV128" s="280"/>
      <c r="EW128" s="280"/>
      <c r="EY128" s="280"/>
      <c r="EZ128" s="280"/>
      <c r="FB128" s="280"/>
      <c r="FC128" s="280"/>
      <c r="FE128" s="280"/>
      <c r="FF128" s="280"/>
    </row>
    <row r="129" spans="1:162" ht="15.95" customHeight="1" outlineLevel="1" x14ac:dyDescent="0.3">
      <c r="A129" s="717"/>
      <c r="B129" s="717"/>
      <c r="C129" s="718"/>
      <c r="D129" s="718"/>
      <c r="E129" s="718"/>
      <c r="F129" s="283"/>
      <c r="G129" s="283"/>
      <c r="H129" s="283"/>
      <c r="I129" s="283"/>
      <c r="J129" s="283"/>
      <c r="K129" s="283"/>
      <c r="L129" s="717"/>
      <c r="M129" s="717"/>
      <c r="N129" s="889"/>
      <c r="O129" s="889"/>
      <c r="P129" s="889"/>
      <c r="Q129" s="283"/>
      <c r="R129" s="283"/>
      <c r="S129" s="152"/>
      <c r="T129" s="152"/>
      <c r="U129" s="152"/>
      <c r="V129" s="152"/>
      <c r="W129" s="152"/>
      <c r="X129" s="152"/>
      <c r="Y129" s="152"/>
      <c r="Z129" s="152"/>
      <c r="AA129" s="152"/>
      <c r="AB129" s="152"/>
      <c r="AC129" s="152"/>
      <c r="AD129" s="152"/>
      <c r="AF129" s="171"/>
      <c r="BK129" s="194"/>
      <c r="BL129"/>
      <c r="BM129"/>
      <c r="BN129"/>
      <c r="BO129"/>
      <c r="BP129"/>
      <c r="BQ129"/>
      <c r="BR129"/>
      <c r="BS129"/>
      <c r="BT129"/>
      <c r="BU129"/>
      <c r="BV129"/>
      <c r="BW129"/>
      <c r="BX129"/>
      <c r="BY129"/>
      <c r="BZ129"/>
      <c r="CA129"/>
      <c r="CB129"/>
      <c r="CC129"/>
      <c r="CD129"/>
      <c r="CE129"/>
      <c r="CF129"/>
      <c r="CG129"/>
      <c r="CH129"/>
      <c r="CI129"/>
      <c r="EJ129" s="280"/>
      <c r="EK129" s="280"/>
      <c r="EM129" s="280"/>
      <c r="EN129" s="280"/>
      <c r="EP129" s="280"/>
      <c r="EQ129" s="280"/>
      <c r="ES129" s="280"/>
      <c r="ET129" s="280"/>
      <c r="EV129" s="280"/>
      <c r="EW129" s="280"/>
      <c r="EY129" s="280"/>
      <c r="EZ129" s="280"/>
      <c r="FB129" s="280"/>
      <c r="FC129" s="280"/>
      <c r="FE129" s="280"/>
      <c r="FF129" s="280"/>
    </row>
    <row r="130" spans="1:162" ht="15.95" customHeight="1" outlineLevel="1" x14ac:dyDescent="0.3">
      <c r="A130" s="717" t="s">
        <v>4959</v>
      </c>
      <c r="B130" s="717"/>
      <c r="C130" s="718"/>
      <c r="D130" s="718"/>
      <c r="E130" s="718"/>
      <c r="F130" s="283"/>
      <c r="G130" s="283"/>
      <c r="H130" s="283"/>
      <c r="I130" s="283"/>
      <c r="J130" s="283"/>
      <c r="K130" s="283"/>
      <c r="L130" s="717" t="s">
        <v>6926</v>
      </c>
      <c r="M130" s="717"/>
      <c r="N130" s="889"/>
      <c r="O130" s="889"/>
      <c r="P130" s="889"/>
      <c r="Q130" s="283"/>
      <c r="R130" s="283"/>
      <c r="S130" s="152"/>
      <c r="T130" s="152"/>
      <c r="U130" s="152"/>
      <c r="V130" s="152"/>
      <c r="W130" s="152"/>
      <c r="X130" s="152"/>
      <c r="Y130" s="152"/>
      <c r="Z130" s="152"/>
      <c r="AA130" s="152"/>
      <c r="AB130" s="152"/>
      <c r="AC130" s="152"/>
      <c r="AD130" s="152"/>
      <c r="AF130" s="171"/>
      <c r="BK130" s="194"/>
      <c r="BL130"/>
      <c r="BM130"/>
      <c r="BN130"/>
      <c r="BO130"/>
      <c r="BP130"/>
      <c r="BQ130"/>
      <c r="BR130"/>
      <c r="BS130"/>
      <c r="BT130"/>
      <c r="BU130"/>
      <c r="BV130"/>
      <c r="BW130"/>
      <c r="BX130"/>
      <c r="BY130"/>
      <c r="BZ130"/>
      <c r="CA130"/>
      <c r="CB130"/>
      <c r="CC130"/>
      <c r="CD130"/>
      <c r="CE130"/>
      <c r="CF130"/>
      <c r="CG130"/>
      <c r="CH130"/>
      <c r="CI130"/>
      <c r="EJ130" s="280"/>
      <c r="EK130" s="280"/>
      <c r="EM130" s="280"/>
      <c r="EN130" s="280"/>
      <c r="EP130" s="280"/>
      <c r="EQ130" s="280"/>
      <c r="ES130" s="280"/>
      <c r="ET130" s="280"/>
      <c r="EV130" s="280"/>
      <c r="EW130" s="280"/>
      <c r="EY130" s="280"/>
      <c r="EZ130" s="280"/>
      <c r="FB130" s="280"/>
      <c r="FC130" s="280"/>
      <c r="FE130" s="280"/>
      <c r="FF130" s="280"/>
    </row>
    <row r="131" spans="1:162" ht="15.95" customHeight="1" outlineLevel="1" x14ac:dyDescent="0.3">
      <c r="A131" s="717"/>
      <c r="B131" s="717"/>
      <c r="C131" s="718"/>
      <c r="D131" s="718"/>
      <c r="E131" s="718"/>
      <c r="F131" s="283"/>
      <c r="G131" s="283"/>
      <c r="H131" s="283"/>
      <c r="I131" s="283"/>
      <c r="J131" s="283"/>
      <c r="K131" s="283"/>
      <c r="L131" s="717"/>
      <c r="M131" s="717"/>
      <c r="N131" s="889"/>
      <c r="O131" s="889"/>
      <c r="P131" s="889"/>
      <c r="Q131" s="283"/>
      <c r="R131" s="283"/>
      <c r="S131" s="152"/>
      <c r="T131" s="152"/>
      <c r="U131" s="152"/>
      <c r="V131" s="152"/>
      <c r="W131" s="152"/>
      <c r="X131" s="152"/>
      <c r="Y131" s="152"/>
      <c r="Z131" s="152"/>
      <c r="AA131" s="152"/>
      <c r="AB131" s="152"/>
      <c r="AC131" s="152"/>
      <c r="AD131" s="152"/>
      <c r="AF131" s="171"/>
      <c r="BK131" s="194"/>
      <c r="BL131"/>
      <c r="BM131"/>
      <c r="BN131"/>
      <c r="BO131"/>
      <c r="BP131"/>
      <c r="BQ131"/>
      <c r="BR131"/>
      <c r="BS131"/>
      <c r="BT131"/>
      <c r="BU131"/>
      <c r="BV131"/>
      <c r="BW131"/>
      <c r="BX131"/>
      <c r="BY131"/>
      <c r="BZ131"/>
      <c r="CA131"/>
      <c r="CB131"/>
      <c r="CC131"/>
      <c r="CD131"/>
      <c r="CE131"/>
      <c r="CF131"/>
      <c r="CG131"/>
      <c r="CH131"/>
      <c r="CI131"/>
      <c r="EJ131" s="280"/>
      <c r="EK131" s="280"/>
      <c r="EM131" s="280"/>
      <c r="EN131" s="280"/>
      <c r="EP131" s="280"/>
      <c r="EQ131" s="280"/>
      <c r="ES131" s="280"/>
      <c r="ET131" s="280"/>
      <c r="EV131" s="280"/>
      <c r="EW131" s="280"/>
      <c r="EY131" s="280"/>
      <c r="EZ131" s="280"/>
      <c r="FB131" s="280"/>
      <c r="FC131" s="280"/>
      <c r="FE131" s="280"/>
      <c r="FF131" s="280"/>
    </row>
    <row r="132" spans="1:162" ht="15.95" customHeight="1" outlineLevel="1" x14ac:dyDescent="0.3">
      <c r="A132" s="717" t="s">
        <v>4960</v>
      </c>
      <c r="B132" s="717"/>
      <c r="C132" s="718"/>
      <c r="D132" s="718"/>
      <c r="E132" s="718"/>
      <c r="F132" s="283"/>
      <c r="G132" s="283"/>
      <c r="H132" s="283"/>
      <c r="I132" s="283"/>
      <c r="J132" s="283"/>
      <c r="K132" s="283"/>
      <c r="L132" s="717" t="s">
        <v>6927</v>
      </c>
      <c r="M132" s="717"/>
      <c r="N132" s="889"/>
      <c r="O132" s="889"/>
      <c r="P132" s="889"/>
      <c r="Q132" s="283"/>
      <c r="R132" s="283"/>
      <c r="S132" s="152"/>
      <c r="T132" s="152"/>
      <c r="U132" s="152"/>
      <c r="V132" s="152"/>
      <c r="W132" s="152"/>
      <c r="X132" s="152"/>
      <c r="Y132" s="152"/>
      <c r="Z132" s="152"/>
      <c r="AA132" s="152"/>
      <c r="AB132" s="152"/>
      <c r="AC132" s="152"/>
      <c r="AD132" s="152"/>
      <c r="AF132" s="171"/>
      <c r="BK132" s="194"/>
      <c r="BL132"/>
      <c r="BM132"/>
      <c r="BN132"/>
      <c r="BO132"/>
      <c r="BP132"/>
      <c r="BQ132"/>
      <c r="BR132"/>
      <c r="BS132"/>
      <c r="BT132"/>
      <c r="BU132"/>
      <c r="BV132"/>
      <c r="BW132"/>
      <c r="BX132"/>
      <c r="BY132"/>
      <c r="BZ132"/>
      <c r="CA132"/>
      <c r="CB132"/>
      <c r="CC132"/>
      <c r="CD132"/>
      <c r="CE132"/>
      <c r="CF132"/>
      <c r="CG132"/>
      <c r="CH132"/>
      <c r="CI132"/>
      <c r="EJ132" s="280"/>
      <c r="EK132" s="280"/>
      <c r="EM132" s="280"/>
      <c r="EN132" s="280"/>
      <c r="EP132" s="280"/>
      <c r="EQ132" s="280"/>
      <c r="ES132" s="280"/>
      <c r="ET132" s="280"/>
      <c r="EV132" s="280"/>
      <c r="EW132" s="280"/>
      <c r="EY132" s="280"/>
      <c r="EZ132" s="280"/>
      <c r="FB132" s="280"/>
      <c r="FC132" s="280"/>
      <c r="FE132" s="280"/>
      <c r="FF132" s="280"/>
    </row>
    <row r="133" spans="1:162" ht="15.95" customHeight="1" outlineLevel="1" x14ac:dyDescent="0.3">
      <c r="A133" s="717"/>
      <c r="B133" s="717"/>
      <c r="C133" s="718"/>
      <c r="D133" s="718"/>
      <c r="E133" s="718"/>
      <c r="F133" s="283"/>
      <c r="G133" s="283"/>
      <c r="H133" s="283"/>
      <c r="I133" s="283"/>
      <c r="J133" s="283"/>
      <c r="K133" s="283"/>
      <c r="L133" s="717"/>
      <c r="M133" s="717"/>
      <c r="N133" s="889"/>
      <c r="O133" s="889"/>
      <c r="P133" s="889"/>
      <c r="Q133" s="283"/>
      <c r="R133" s="283"/>
      <c r="S133" s="152"/>
      <c r="T133" s="152"/>
      <c r="U133" s="152"/>
      <c r="V133" s="152"/>
      <c r="W133" s="152"/>
      <c r="X133" s="152"/>
      <c r="Y133" s="152"/>
      <c r="Z133" s="152"/>
      <c r="AA133" s="152"/>
      <c r="AB133" s="152"/>
      <c r="AC133" s="152"/>
      <c r="AD133" s="152"/>
      <c r="AF133" s="171"/>
      <c r="BK133" s="194"/>
      <c r="BL133"/>
      <c r="BM133"/>
      <c r="BN133"/>
      <c r="BO133"/>
      <c r="BP133"/>
      <c r="BQ133"/>
      <c r="BR133"/>
      <c r="BS133"/>
      <c r="BT133"/>
      <c r="BU133"/>
      <c r="BV133"/>
      <c r="BW133"/>
      <c r="BX133"/>
      <c r="BY133"/>
      <c r="BZ133"/>
      <c r="CA133"/>
      <c r="CB133"/>
      <c r="CC133"/>
      <c r="CD133"/>
      <c r="CE133"/>
      <c r="CF133"/>
      <c r="CG133"/>
      <c r="CH133"/>
      <c r="CI133"/>
      <c r="EJ133" s="280"/>
      <c r="EK133" s="280"/>
      <c r="EM133" s="280"/>
      <c r="EN133" s="280"/>
      <c r="EP133" s="280"/>
      <c r="EQ133" s="280"/>
      <c r="ES133" s="280"/>
      <c r="ET133" s="280"/>
      <c r="EV133" s="280"/>
      <c r="EW133" s="280"/>
      <c r="EY133" s="280"/>
      <c r="EZ133" s="280"/>
      <c r="FB133" s="280"/>
      <c r="FC133" s="280"/>
      <c r="FE133" s="280"/>
      <c r="FF133" s="280"/>
    </row>
    <row r="134" spans="1:162" ht="15.95" customHeight="1" outlineLevel="1" x14ac:dyDescent="0.3">
      <c r="A134" s="717" t="s">
        <v>4974</v>
      </c>
      <c r="B134" s="717"/>
      <c r="C134" s="718"/>
      <c r="D134" s="718"/>
      <c r="E134" s="718"/>
      <c r="F134" s="283"/>
      <c r="G134" s="283"/>
      <c r="H134" s="283"/>
      <c r="I134" s="283"/>
      <c r="J134" s="283"/>
      <c r="K134" s="283"/>
      <c r="L134" s="717" t="s">
        <v>6928</v>
      </c>
      <c r="M134" s="717"/>
      <c r="N134" s="889"/>
      <c r="O134" s="889"/>
      <c r="P134" s="889"/>
      <c r="Q134" s="283"/>
      <c r="R134" s="283"/>
      <c r="S134" s="152"/>
      <c r="T134" s="152"/>
      <c r="U134" s="152"/>
      <c r="V134" s="152"/>
      <c r="W134" s="152"/>
      <c r="X134" s="152"/>
      <c r="Y134" s="152"/>
      <c r="Z134" s="152"/>
      <c r="AA134" s="152"/>
      <c r="AB134" s="152"/>
      <c r="AC134" s="152"/>
      <c r="AD134" s="152"/>
      <c r="AF134" s="171"/>
      <c r="BK134" s="194"/>
      <c r="BL134"/>
      <c r="BM134"/>
      <c r="BN134"/>
      <c r="BO134"/>
      <c r="BP134"/>
      <c r="BQ134"/>
      <c r="BR134"/>
      <c r="BS134"/>
      <c r="BT134"/>
      <c r="BU134"/>
      <c r="BV134"/>
      <c r="BW134"/>
      <c r="BX134"/>
      <c r="BY134"/>
      <c r="BZ134"/>
      <c r="CA134"/>
      <c r="CB134"/>
      <c r="CC134"/>
      <c r="CD134"/>
      <c r="CE134"/>
      <c r="CF134"/>
      <c r="CG134"/>
      <c r="CH134"/>
      <c r="CI134"/>
      <c r="EJ134" s="280"/>
      <c r="EK134" s="280"/>
      <c r="EM134" s="280"/>
      <c r="EN134" s="280"/>
      <c r="EP134" s="280"/>
      <c r="EQ134" s="280"/>
      <c r="ES134" s="280"/>
      <c r="ET134" s="280"/>
      <c r="EV134" s="280"/>
      <c r="EW134" s="280"/>
      <c r="EY134" s="280"/>
      <c r="EZ134" s="280"/>
      <c r="FB134" s="280"/>
      <c r="FC134" s="280"/>
      <c r="FE134" s="280"/>
      <c r="FF134" s="280"/>
    </row>
    <row r="135" spans="1:162" ht="15.95" customHeight="1" outlineLevel="1" x14ac:dyDescent="0.3">
      <c r="A135" s="717"/>
      <c r="B135" s="717"/>
      <c r="C135" s="718"/>
      <c r="D135" s="718"/>
      <c r="E135" s="718"/>
      <c r="F135" s="283"/>
      <c r="G135" s="283"/>
      <c r="H135" s="283"/>
      <c r="I135" s="283"/>
      <c r="J135" s="283"/>
      <c r="K135" s="283"/>
      <c r="L135" s="717"/>
      <c r="M135" s="717"/>
      <c r="N135" s="889"/>
      <c r="O135" s="889"/>
      <c r="P135" s="889"/>
      <c r="Q135" s="283"/>
      <c r="R135" s="283"/>
      <c r="S135" s="152"/>
      <c r="T135" s="152"/>
      <c r="U135" s="152"/>
      <c r="V135" s="152"/>
      <c r="W135" s="152"/>
      <c r="X135" s="152"/>
      <c r="Y135" s="152"/>
      <c r="Z135" s="152"/>
      <c r="AA135" s="152"/>
      <c r="AB135" s="152"/>
      <c r="AC135" s="152"/>
      <c r="AD135" s="152"/>
      <c r="AF135" s="171"/>
      <c r="BK135" s="194"/>
      <c r="BL135"/>
      <c r="BM135"/>
      <c r="BN135"/>
      <c r="BO135"/>
      <c r="BP135"/>
      <c r="BQ135"/>
      <c r="BR135"/>
      <c r="BS135"/>
      <c r="BT135"/>
      <c r="BU135"/>
      <c r="BV135"/>
      <c r="BW135"/>
      <c r="BX135"/>
      <c r="BY135"/>
      <c r="BZ135"/>
      <c r="CA135"/>
      <c r="CB135"/>
      <c r="CC135"/>
      <c r="CD135"/>
      <c r="CE135"/>
      <c r="CF135"/>
      <c r="CG135"/>
      <c r="CH135"/>
      <c r="CI135"/>
      <c r="EJ135" s="280"/>
      <c r="EK135" s="280"/>
      <c r="EM135" s="280"/>
      <c r="EN135" s="280"/>
      <c r="EP135" s="280"/>
      <c r="EQ135" s="280"/>
      <c r="ES135" s="280"/>
      <c r="ET135" s="280"/>
      <c r="EV135" s="280"/>
      <c r="EW135" s="280"/>
      <c r="EY135" s="280"/>
      <c r="EZ135" s="280"/>
      <c r="FB135" s="280"/>
      <c r="FC135" s="280"/>
      <c r="FE135" s="280"/>
      <c r="FF135" s="280"/>
    </row>
    <row r="136" spans="1:162" ht="15.95" customHeight="1" outlineLevel="1" x14ac:dyDescent="0.3">
      <c r="A136" s="717" t="s">
        <v>4975</v>
      </c>
      <c r="B136" s="717"/>
      <c r="C136" s="896"/>
      <c r="D136" s="896"/>
      <c r="E136" s="896"/>
      <c r="F136" s="283"/>
      <c r="G136" s="283"/>
      <c r="H136" s="283"/>
      <c r="I136" s="283"/>
      <c r="J136" s="283"/>
      <c r="K136" s="283"/>
      <c r="L136" s="717" t="s">
        <v>6936</v>
      </c>
      <c r="M136" s="717"/>
      <c r="N136" s="894"/>
      <c r="O136" s="894"/>
      <c r="P136" s="894"/>
      <c r="Q136" s="283"/>
      <c r="R136" s="283"/>
      <c r="S136" s="152"/>
      <c r="T136" s="152"/>
      <c r="U136" s="152"/>
      <c r="V136" s="152"/>
      <c r="W136" s="152"/>
      <c r="X136" s="152"/>
      <c r="Y136" s="152"/>
      <c r="Z136" s="152"/>
      <c r="AA136" s="152"/>
      <c r="AB136" s="152"/>
      <c r="AC136" s="152"/>
      <c r="AD136" s="152"/>
      <c r="AF136" s="171"/>
      <c r="BK136" s="194"/>
      <c r="BL136"/>
      <c r="BM136"/>
      <c r="BN136"/>
      <c r="BO136"/>
      <c r="BP136"/>
      <c r="BQ136"/>
      <c r="BR136"/>
      <c r="BS136"/>
      <c r="BT136"/>
      <c r="BU136"/>
      <c r="BV136"/>
      <c r="BW136"/>
      <c r="BX136"/>
      <c r="BY136"/>
      <c r="BZ136"/>
      <c r="CA136"/>
      <c r="CB136"/>
      <c r="CC136"/>
      <c r="CD136"/>
      <c r="CE136"/>
      <c r="CF136"/>
      <c r="CG136"/>
      <c r="CH136"/>
      <c r="CI136"/>
      <c r="EJ136" s="280"/>
      <c r="EK136" s="280"/>
      <c r="EM136" s="280"/>
      <c r="EN136" s="280"/>
      <c r="EP136" s="280"/>
      <c r="EQ136" s="280"/>
      <c r="ES136" s="280"/>
      <c r="ET136" s="280"/>
      <c r="EV136" s="280"/>
      <c r="EW136" s="280"/>
      <c r="EY136" s="280"/>
      <c r="EZ136" s="280"/>
      <c r="FB136" s="280"/>
      <c r="FC136" s="280"/>
      <c r="FE136" s="280"/>
      <c r="FF136" s="280"/>
    </row>
    <row r="137" spans="1:162" ht="15.95" customHeight="1" outlineLevel="1" x14ac:dyDescent="0.3">
      <c r="A137" s="717"/>
      <c r="B137" s="717"/>
      <c r="C137" s="896"/>
      <c r="D137" s="896"/>
      <c r="E137" s="896"/>
      <c r="F137" s="283"/>
      <c r="G137" s="283"/>
      <c r="H137" s="283"/>
      <c r="I137" s="283"/>
      <c r="J137" s="283"/>
      <c r="K137" s="283"/>
      <c r="L137" s="717"/>
      <c r="M137" s="717"/>
      <c r="N137" s="894"/>
      <c r="O137" s="894"/>
      <c r="P137" s="894"/>
      <c r="Q137" s="283"/>
      <c r="R137" s="283"/>
      <c r="S137" s="152"/>
      <c r="T137" s="152"/>
      <c r="U137" s="152"/>
      <c r="V137" s="152"/>
      <c r="W137" s="152"/>
      <c r="X137" s="152"/>
      <c r="Y137" s="152"/>
      <c r="Z137" s="152"/>
      <c r="AA137" s="152"/>
      <c r="AB137" s="152"/>
      <c r="AC137" s="152"/>
      <c r="AD137" s="152"/>
      <c r="AF137" s="171"/>
      <c r="BK137" s="194"/>
      <c r="BL137"/>
      <c r="BM137"/>
      <c r="BN137"/>
      <c r="BO137"/>
      <c r="BP137"/>
      <c r="BQ137"/>
      <c r="BR137"/>
      <c r="BS137"/>
      <c r="BT137"/>
      <c r="BU137"/>
      <c r="BV137"/>
      <c r="BW137"/>
      <c r="BX137"/>
      <c r="BY137"/>
      <c r="BZ137"/>
      <c r="CA137"/>
      <c r="CB137"/>
      <c r="CC137"/>
      <c r="CD137"/>
      <c r="CE137"/>
      <c r="CF137"/>
      <c r="CG137"/>
      <c r="CH137"/>
      <c r="CI137"/>
    </row>
    <row r="138" spans="1:162" ht="15.95" customHeight="1" outlineLevel="1" x14ac:dyDescent="0.3">
      <c r="A138" s="717" t="s">
        <v>4976</v>
      </c>
      <c r="B138" s="717"/>
      <c r="C138" s="896"/>
      <c r="D138" s="896"/>
      <c r="E138" s="896"/>
      <c r="F138" s="283"/>
      <c r="G138" s="283"/>
      <c r="H138" s="283"/>
      <c r="I138" s="283"/>
      <c r="J138" s="283"/>
      <c r="K138" s="283"/>
      <c r="L138" s="717" t="s">
        <v>6936</v>
      </c>
      <c r="M138" s="717"/>
      <c r="N138" s="894"/>
      <c r="O138" s="894"/>
      <c r="P138" s="894"/>
      <c r="Q138" s="283"/>
      <c r="R138" s="283"/>
      <c r="S138" s="152"/>
      <c r="T138" s="152"/>
      <c r="U138" s="152"/>
      <c r="V138" s="152"/>
      <c r="W138" s="152"/>
      <c r="X138" s="152"/>
      <c r="Y138" s="152"/>
      <c r="Z138" s="152"/>
      <c r="AA138" s="152"/>
      <c r="AB138" s="152"/>
      <c r="AC138" s="152"/>
      <c r="AD138" s="152"/>
      <c r="AF138" s="171"/>
      <c r="BK138" s="194"/>
      <c r="BL138"/>
      <c r="BM138"/>
      <c r="BN138"/>
      <c r="BO138"/>
      <c r="BP138"/>
      <c r="BQ138"/>
      <c r="BR138"/>
      <c r="BS138"/>
      <c r="BT138"/>
      <c r="BU138"/>
      <c r="BV138"/>
      <c r="BW138"/>
      <c r="BX138"/>
      <c r="BY138"/>
      <c r="BZ138"/>
      <c r="CA138"/>
      <c r="CB138"/>
      <c r="CC138"/>
      <c r="CD138"/>
      <c r="CE138"/>
      <c r="CF138"/>
      <c r="CG138"/>
      <c r="CH138"/>
      <c r="CI138"/>
    </row>
    <row r="139" spans="1:162" ht="15.95" customHeight="1" x14ac:dyDescent="0.3">
      <c r="A139" s="717"/>
      <c r="B139" s="717"/>
      <c r="C139" s="896"/>
      <c r="D139" s="896"/>
      <c r="E139" s="896"/>
      <c r="F139" s="283"/>
      <c r="G139" s="283"/>
      <c r="H139" s="283"/>
      <c r="I139" s="283"/>
      <c r="J139" s="283"/>
      <c r="K139" s="283"/>
      <c r="L139" s="717"/>
      <c r="M139" s="717"/>
      <c r="N139" s="894"/>
      <c r="O139" s="894"/>
      <c r="P139" s="894"/>
      <c r="Q139" s="283"/>
      <c r="R139" s="283"/>
      <c r="S139" s="152"/>
      <c r="T139" s="152"/>
      <c r="U139" s="152"/>
      <c r="V139" s="152"/>
      <c r="W139" s="152"/>
      <c r="X139" s="152"/>
      <c r="Y139" s="152"/>
      <c r="Z139" s="152"/>
      <c r="AA139" s="152"/>
      <c r="AB139" s="152"/>
      <c r="AC139" s="152"/>
      <c r="AD139" s="152"/>
      <c r="AF139" s="171"/>
      <c r="BK139" s="194"/>
      <c r="BL139"/>
      <c r="BM139"/>
      <c r="BN139"/>
      <c r="BO139"/>
      <c r="BP139"/>
      <c r="BQ139"/>
      <c r="BR139"/>
      <c r="BS139"/>
      <c r="BT139"/>
      <c r="BU139"/>
      <c r="BV139"/>
      <c r="BW139"/>
      <c r="BX139"/>
      <c r="BY139"/>
      <c r="BZ139"/>
      <c r="CA139"/>
      <c r="CB139"/>
      <c r="CC139"/>
      <c r="CD139"/>
      <c r="CE139"/>
      <c r="CF139"/>
      <c r="CG139"/>
      <c r="CH139"/>
      <c r="CI139"/>
    </row>
    <row r="140" spans="1:162" ht="15.95" customHeight="1" x14ac:dyDescent="0.3">
      <c r="A140" s="717" t="s">
        <v>4977</v>
      </c>
      <c r="B140" s="717"/>
      <c r="C140" s="896"/>
      <c r="D140" s="896"/>
      <c r="E140" s="896"/>
      <c r="F140" s="283"/>
      <c r="G140" s="283"/>
      <c r="H140" s="283"/>
      <c r="I140" s="283"/>
      <c r="J140" s="283"/>
      <c r="K140" s="283"/>
      <c r="L140" s="717" t="s">
        <v>6936</v>
      </c>
      <c r="M140" s="717"/>
      <c r="N140" s="894"/>
      <c r="O140" s="894"/>
      <c r="P140" s="894"/>
      <c r="Q140" s="283"/>
      <c r="R140" s="283"/>
      <c r="S140" s="152"/>
      <c r="T140" s="152"/>
      <c r="U140" s="152"/>
      <c r="V140" s="152"/>
      <c r="W140" s="152"/>
      <c r="X140" s="152"/>
      <c r="Y140" s="152"/>
      <c r="Z140" s="152"/>
      <c r="AA140" s="152"/>
      <c r="AB140" s="152"/>
      <c r="AC140" s="152"/>
      <c r="AD140" s="152"/>
      <c r="AF140" s="171"/>
      <c r="BL140"/>
      <c r="BM140"/>
      <c r="BN140"/>
      <c r="BO140"/>
      <c r="BP140"/>
      <c r="BQ140"/>
      <c r="BR140"/>
      <c r="BS140"/>
      <c r="BT140"/>
      <c r="BU140"/>
      <c r="BV140"/>
      <c r="BW140"/>
      <c r="BX140"/>
      <c r="BY140"/>
      <c r="BZ140"/>
      <c r="CA140"/>
      <c r="CB140"/>
      <c r="CC140"/>
      <c r="CD140"/>
      <c r="CE140"/>
      <c r="CF140"/>
      <c r="CG140"/>
      <c r="CH140"/>
      <c r="CI140"/>
    </row>
    <row r="141" spans="1:162" ht="15.95" customHeight="1" outlineLevel="1" x14ac:dyDescent="0.3">
      <c r="A141" s="717"/>
      <c r="B141" s="717"/>
      <c r="C141" s="896"/>
      <c r="D141" s="896"/>
      <c r="E141" s="896"/>
      <c r="F141" s="283"/>
      <c r="G141" s="283"/>
      <c r="H141" s="283"/>
      <c r="I141" s="283"/>
      <c r="J141" s="283"/>
      <c r="K141" s="283"/>
      <c r="L141" s="717"/>
      <c r="M141" s="717"/>
      <c r="N141" s="894"/>
      <c r="O141" s="894"/>
      <c r="P141" s="894"/>
      <c r="Q141" s="283"/>
      <c r="R141" s="283"/>
      <c r="S141" s="152"/>
      <c r="T141" s="152"/>
      <c r="U141" s="152"/>
      <c r="V141" s="152"/>
      <c r="W141" s="152"/>
      <c r="X141" s="152"/>
      <c r="Y141" s="152"/>
      <c r="Z141" s="152"/>
      <c r="AA141" s="152"/>
      <c r="AB141" s="152"/>
      <c r="AC141" s="152"/>
      <c r="AD141" s="152"/>
      <c r="AF141" s="171"/>
      <c r="BL141"/>
      <c r="BM141"/>
      <c r="BN141"/>
      <c r="BO141"/>
      <c r="BP141"/>
      <c r="BQ141"/>
      <c r="BR141"/>
      <c r="BS141"/>
      <c r="BT141"/>
      <c r="BU141"/>
      <c r="BV141"/>
      <c r="BW141"/>
      <c r="BX141"/>
      <c r="BY141"/>
      <c r="BZ141"/>
      <c r="CA141"/>
      <c r="CB141"/>
      <c r="CC141"/>
      <c r="CD141"/>
      <c r="CE141"/>
      <c r="CF141"/>
      <c r="CG141"/>
      <c r="CH141"/>
      <c r="CI141"/>
    </row>
    <row r="142" spans="1:162" ht="15.95" customHeight="1" outlineLevel="1" x14ac:dyDescent="0.3">
      <c r="A142" s="717" t="s">
        <v>4978</v>
      </c>
      <c r="B142" s="717"/>
      <c r="C142" s="896"/>
      <c r="D142" s="896"/>
      <c r="E142" s="896"/>
      <c r="F142" s="283"/>
      <c r="G142" s="283"/>
      <c r="H142" s="283"/>
      <c r="I142" s="283"/>
      <c r="J142" s="283"/>
      <c r="K142" s="283"/>
      <c r="L142" s="717" t="s">
        <v>6936</v>
      </c>
      <c r="M142" s="717"/>
      <c r="N142" s="894"/>
      <c r="O142" s="894"/>
      <c r="P142" s="894"/>
      <c r="Q142" s="283"/>
      <c r="R142" s="283"/>
      <c r="S142" s="152"/>
      <c r="T142" s="152"/>
      <c r="U142" s="152"/>
      <c r="V142" s="152"/>
      <c r="W142" s="152"/>
      <c r="X142" s="152"/>
      <c r="Y142" s="152"/>
      <c r="Z142" s="152"/>
      <c r="AA142" s="152"/>
      <c r="AB142" s="152"/>
      <c r="AC142" s="152"/>
      <c r="AD142" s="152"/>
      <c r="AF142" s="171"/>
      <c r="BL142"/>
      <c r="BM142"/>
      <c r="BN142"/>
      <c r="BO142"/>
      <c r="BP142"/>
      <c r="BQ142"/>
      <c r="BR142"/>
      <c r="BS142"/>
      <c r="BT142"/>
      <c r="BU142"/>
      <c r="BV142"/>
      <c r="BW142"/>
      <c r="BX142"/>
      <c r="BY142"/>
      <c r="BZ142"/>
      <c r="CA142"/>
      <c r="CB142"/>
      <c r="CC142"/>
      <c r="CD142"/>
      <c r="CE142"/>
      <c r="CF142"/>
      <c r="CG142"/>
      <c r="CH142"/>
      <c r="CI142"/>
    </row>
    <row r="143" spans="1:162" ht="15.95" customHeight="1" outlineLevel="1" x14ac:dyDescent="0.3">
      <c r="A143" s="717"/>
      <c r="B143" s="717"/>
      <c r="C143" s="896"/>
      <c r="D143" s="896"/>
      <c r="E143" s="896"/>
      <c r="F143" s="283"/>
      <c r="G143" s="283"/>
      <c r="H143" s="283"/>
      <c r="I143" s="283"/>
      <c r="J143" s="283"/>
      <c r="K143" s="283"/>
      <c r="L143" s="717"/>
      <c r="M143" s="717"/>
      <c r="N143" s="894"/>
      <c r="O143" s="894"/>
      <c r="P143" s="894"/>
      <c r="Q143" s="283"/>
      <c r="R143" s="283"/>
      <c r="S143" s="152"/>
      <c r="T143" s="152"/>
      <c r="U143" s="152"/>
      <c r="V143" s="152"/>
      <c r="W143" s="152"/>
      <c r="X143" s="152"/>
      <c r="Y143" s="152"/>
      <c r="Z143" s="152"/>
      <c r="AA143" s="152"/>
      <c r="AB143" s="152"/>
      <c r="AC143" s="152"/>
      <c r="AD143" s="152"/>
      <c r="AF143" s="171"/>
      <c r="BL143"/>
      <c r="BM143"/>
      <c r="BN143"/>
      <c r="BO143"/>
      <c r="BP143"/>
      <c r="BQ143"/>
      <c r="BR143"/>
      <c r="BS143"/>
      <c r="BT143"/>
      <c r="BU143"/>
      <c r="BV143"/>
      <c r="BW143"/>
      <c r="BX143"/>
      <c r="BY143"/>
      <c r="BZ143"/>
      <c r="CA143"/>
      <c r="CB143"/>
      <c r="CC143"/>
      <c r="CD143"/>
      <c r="CE143"/>
      <c r="CF143"/>
      <c r="CG143"/>
      <c r="CH143"/>
      <c r="CI143"/>
    </row>
    <row r="144" spans="1:162" ht="15.95" customHeight="1" outlineLevel="1" thickBot="1" x14ac:dyDescent="0.35">
      <c r="A144" s="152"/>
      <c r="B144" s="152"/>
      <c r="C144" s="152"/>
      <c r="D144" s="152"/>
      <c r="E144" s="152"/>
      <c r="F144" s="152"/>
      <c r="G144" s="152"/>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c r="AF144" s="171"/>
      <c r="BL144"/>
      <c r="BM144"/>
      <c r="BN144"/>
      <c r="BO144"/>
      <c r="BP144"/>
      <c r="BQ144"/>
      <c r="BR144"/>
      <c r="BS144"/>
      <c r="BT144"/>
      <c r="BU144"/>
      <c r="BV144"/>
      <c r="BW144"/>
      <c r="BX144"/>
      <c r="BY144"/>
      <c r="BZ144"/>
      <c r="CA144"/>
      <c r="CB144"/>
      <c r="CC144"/>
      <c r="CD144"/>
      <c r="CE144"/>
      <c r="CF144"/>
      <c r="CG144"/>
      <c r="CH144"/>
      <c r="CI144"/>
    </row>
    <row r="145" spans="1:87" ht="15.95" customHeight="1" outlineLevel="1" x14ac:dyDescent="0.3">
      <c r="A145" s="879" t="s">
        <v>4150</v>
      </c>
      <c r="B145" s="880"/>
      <c r="C145" s="880"/>
      <c r="D145" s="880"/>
      <c r="E145" s="880"/>
      <c r="F145" s="880"/>
      <c r="G145" s="880"/>
      <c r="H145" s="880"/>
      <c r="I145" s="880"/>
      <c r="J145" s="880"/>
      <c r="K145" s="880"/>
      <c r="L145" s="880"/>
      <c r="M145" s="880"/>
      <c r="N145" s="880"/>
      <c r="O145" s="880"/>
      <c r="P145" s="880"/>
      <c r="Q145" s="880"/>
      <c r="R145" s="880"/>
      <c r="S145" s="881"/>
      <c r="T145" s="152"/>
      <c r="U145" s="152"/>
      <c r="V145" s="152"/>
      <c r="W145" s="152"/>
      <c r="X145" s="152"/>
      <c r="Y145" s="152"/>
      <c r="Z145" s="152"/>
      <c r="AA145" s="152"/>
      <c r="AB145" s="152"/>
      <c r="AC145" s="152"/>
      <c r="AD145" s="152"/>
      <c r="AF145" s="171"/>
      <c r="BL145"/>
      <c r="BM145"/>
      <c r="BN145"/>
      <c r="BO145"/>
      <c r="BP145"/>
      <c r="BQ145"/>
      <c r="BR145"/>
      <c r="BS145"/>
      <c r="BT145"/>
      <c r="BU145"/>
      <c r="BV145"/>
      <c r="BW145"/>
      <c r="BX145"/>
      <c r="BY145"/>
      <c r="BZ145"/>
      <c r="CA145"/>
      <c r="CB145"/>
      <c r="CC145"/>
      <c r="CD145"/>
      <c r="CE145"/>
      <c r="CF145"/>
      <c r="CG145"/>
      <c r="CH145"/>
      <c r="CI145"/>
    </row>
    <row r="146" spans="1:87" ht="15.95" customHeight="1" outlineLevel="1" thickBot="1" x14ac:dyDescent="0.35">
      <c r="A146" s="882"/>
      <c r="B146" s="883"/>
      <c r="C146" s="883"/>
      <c r="D146" s="883"/>
      <c r="E146" s="883"/>
      <c r="F146" s="883"/>
      <c r="G146" s="883"/>
      <c r="H146" s="883"/>
      <c r="I146" s="883"/>
      <c r="J146" s="883"/>
      <c r="K146" s="883"/>
      <c r="L146" s="883"/>
      <c r="M146" s="883"/>
      <c r="N146" s="883"/>
      <c r="O146" s="883"/>
      <c r="P146" s="883"/>
      <c r="Q146" s="883"/>
      <c r="R146" s="883"/>
      <c r="S146" s="884"/>
      <c r="T146" s="152"/>
      <c r="U146" s="152"/>
      <c r="V146" s="152"/>
      <c r="W146" s="152"/>
      <c r="X146" s="152"/>
      <c r="Y146" s="152"/>
      <c r="Z146" s="152"/>
      <c r="AA146" s="152"/>
      <c r="AB146" s="152"/>
      <c r="AC146" s="152"/>
      <c r="AD146" s="152"/>
      <c r="AF146" s="171"/>
      <c r="BL146"/>
      <c r="BM146"/>
      <c r="BN146"/>
      <c r="BO146"/>
      <c r="BP146"/>
      <c r="BQ146"/>
      <c r="BR146"/>
      <c r="BS146"/>
      <c r="BT146"/>
      <c r="BU146"/>
      <c r="BV146"/>
      <c r="BW146"/>
      <c r="BX146"/>
      <c r="BY146"/>
      <c r="BZ146"/>
      <c r="CA146"/>
      <c r="CB146"/>
      <c r="CC146"/>
      <c r="CD146"/>
      <c r="CE146"/>
      <c r="CF146"/>
      <c r="CG146"/>
      <c r="CH146"/>
      <c r="CI146"/>
    </row>
    <row r="147" spans="1:87" ht="15.95" customHeight="1" outlineLevel="1" x14ac:dyDescent="0.3">
      <c r="A147" s="152"/>
      <c r="B147" s="152"/>
      <c r="C147" s="152"/>
      <c r="D147" s="152"/>
      <c r="E147" s="152"/>
      <c r="F147" s="152"/>
      <c r="G147" s="152"/>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c r="AF147" s="171"/>
      <c r="BL147"/>
      <c r="BM147"/>
      <c r="BN147"/>
      <c r="BO147"/>
      <c r="BP147"/>
      <c r="BQ147"/>
      <c r="BR147"/>
      <c r="BS147"/>
      <c r="BT147"/>
      <c r="BU147"/>
      <c r="BV147"/>
      <c r="BW147"/>
      <c r="BX147"/>
      <c r="BY147"/>
      <c r="BZ147"/>
      <c r="CA147"/>
      <c r="CB147"/>
      <c r="CC147"/>
      <c r="CD147"/>
      <c r="CE147"/>
      <c r="CF147"/>
      <c r="CG147"/>
      <c r="CH147"/>
      <c r="CI147"/>
    </row>
    <row r="148" spans="1:87" ht="15.95" customHeight="1" outlineLevel="1" x14ac:dyDescent="0.3">
      <c r="A148" s="717" t="str">
        <f>IFERROR(IF(INDEX(D01_Races!AJ2:AJ101,SelectedRaceID,1)=0,"",INDEX(D01_Races!AJ2:AJ101,SelectedRaceID,1)),"")</f>
        <v>Supreme Darkvision</v>
      </c>
      <c r="B148" s="717"/>
      <c r="C148" s="895" t="str">
        <f>IFERROR(INDEX(D011_RacialTraits!$D$2:$D$1000,MATCH(RacialTrait1,D011_RacialTraits!$B$2:$B$1000,0),1),"")</f>
        <v>Your darkvision has a radius of 120 feet.</v>
      </c>
      <c r="D148" s="895"/>
      <c r="E148" s="895"/>
      <c r="F148" s="895"/>
      <c r="G148" s="895"/>
      <c r="H148" s="895"/>
      <c r="I148" s="895"/>
      <c r="J148" s="895"/>
      <c r="K148" s="895"/>
      <c r="L148" s="895"/>
      <c r="M148" s="895"/>
      <c r="N148" s="895"/>
      <c r="O148" s="895"/>
      <c r="P148" s="895"/>
      <c r="Q148" s="895"/>
      <c r="R148" s="895"/>
      <c r="S148" s="895"/>
      <c r="T148" s="152"/>
      <c r="U148" s="152"/>
      <c r="V148" s="152"/>
      <c r="W148" s="152"/>
      <c r="X148" s="152"/>
      <c r="Y148" s="152"/>
      <c r="Z148" s="152"/>
      <c r="AA148" s="152"/>
      <c r="AB148" s="152"/>
      <c r="AC148" s="152"/>
      <c r="AD148" s="152"/>
      <c r="AF148" s="171"/>
    </row>
    <row r="149" spans="1:87" ht="15.95" customHeight="1" outlineLevel="1" x14ac:dyDescent="0.3">
      <c r="A149" s="717"/>
      <c r="B149" s="717"/>
      <c r="C149" s="895"/>
      <c r="D149" s="895"/>
      <c r="E149" s="895"/>
      <c r="F149" s="895"/>
      <c r="G149" s="895"/>
      <c r="H149" s="895"/>
      <c r="I149" s="895"/>
      <c r="J149" s="895"/>
      <c r="K149" s="895"/>
      <c r="L149" s="895"/>
      <c r="M149" s="895"/>
      <c r="N149" s="895"/>
      <c r="O149" s="895"/>
      <c r="P149" s="895"/>
      <c r="Q149" s="895"/>
      <c r="R149" s="895"/>
      <c r="S149" s="895"/>
      <c r="T149" s="152"/>
      <c r="U149" s="152"/>
      <c r="V149" s="152"/>
      <c r="W149" s="152"/>
      <c r="X149" s="152"/>
      <c r="Y149" s="152"/>
      <c r="Z149" s="152"/>
      <c r="AA149" s="152"/>
      <c r="AB149" s="152"/>
      <c r="AC149" s="152"/>
      <c r="AD149" s="152"/>
      <c r="AF149" s="171"/>
    </row>
    <row r="150" spans="1:87" ht="15.95" customHeight="1" outlineLevel="1" x14ac:dyDescent="0.3">
      <c r="A150" s="717" t="str">
        <f>IFERROR(IF(INDEX(D01_Races!AK2:AK101,SelectedRaceID,1)=0,"",INDEX(D01_Races!AK2:AK101,SelectedRaceID,1)),"")</f>
        <v>Fey Ancestry</v>
      </c>
      <c r="B150" s="717"/>
      <c r="C150" s="895" t="str">
        <f>IFERROR(INDEX(D011_RacialTraits!$D$2:$D$1000,MATCH(RacialTrait2,D011_RacialTraits!$B$2:$B$1000,0),1),"")</f>
        <v>You have advantage on saving throws against being charmed, and magic can’t put you to sleep.</v>
      </c>
      <c r="D150" s="895"/>
      <c r="E150" s="895"/>
      <c r="F150" s="895"/>
      <c r="G150" s="895"/>
      <c r="H150" s="895"/>
      <c r="I150" s="895"/>
      <c r="J150" s="895"/>
      <c r="K150" s="895"/>
      <c r="L150" s="895"/>
      <c r="M150" s="895"/>
      <c r="N150" s="895"/>
      <c r="O150" s="895"/>
      <c r="P150" s="895"/>
      <c r="Q150" s="895"/>
      <c r="R150" s="895"/>
      <c r="S150" s="895"/>
      <c r="T150" s="152"/>
      <c r="U150" s="152"/>
      <c r="V150" s="152"/>
      <c r="W150" s="152"/>
      <c r="X150" s="152"/>
      <c r="Y150" s="152"/>
      <c r="Z150" s="152"/>
      <c r="AA150" s="152"/>
      <c r="AB150" s="152"/>
      <c r="AC150" s="152"/>
      <c r="AD150" s="152"/>
      <c r="AF150" s="171"/>
    </row>
    <row r="151" spans="1:87" ht="15.95" customHeight="1" outlineLevel="1" x14ac:dyDescent="0.3">
      <c r="A151" s="717"/>
      <c r="B151" s="717"/>
      <c r="C151" s="895"/>
      <c r="D151" s="895"/>
      <c r="E151" s="895"/>
      <c r="F151" s="895"/>
      <c r="G151" s="895"/>
      <c r="H151" s="895"/>
      <c r="I151" s="895"/>
      <c r="J151" s="895"/>
      <c r="K151" s="895"/>
      <c r="L151" s="895"/>
      <c r="M151" s="895"/>
      <c r="N151" s="895"/>
      <c r="O151" s="895"/>
      <c r="P151" s="895"/>
      <c r="Q151" s="895"/>
      <c r="R151" s="895"/>
      <c r="S151" s="895"/>
      <c r="T151" s="152"/>
      <c r="U151" s="152"/>
      <c r="V151" s="152"/>
      <c r="W151" s="152"/>
      <c r="X151" s="152"/>
      <c r="Y151" s="152"/>
      <c r="Z151" s="152"/>
      <c r="AA151" s="152"/>
      <c r="AB151" s="152"/>
      <c r="AC151" s="152"/>
      <c r="AD151" s="152"/>
      <c r="AF151" s="171"/>
    </row>
    <row r="152" spans="1:87" ht="15.95" customHeight="1" outlineLevel="1" x14ac:dyDescent="0.3">
      <c r="A152" s="717" t="str">
        <f>IFERROR(IF(INDEX(D01_Races!AL2:AL101,SelectedRaceID,1)=0,"",INDEX(D01_Races!AL2:AL101,SelectedRaceID,1)),"")</f>
        <v>Trance</v>
      </c>
      <c r="B152" s="717"/>
      <c r="C152" s="895" t="str">
        <f>IFERROR(INDEX(D011_RacialTraits!$D$2:$D$1000,MATCH(RacialTrait3,D011_RacialTraits!$B$2:$B$1000,0),1),"")</f>
        <v/>
      </c>
      <c r="D152" s="895"/>
      <c r="E152" s="895"/>
      <c r="F152" s="895"/>
      <c r="G152" s="895"/>
      <c r="H152" s="895"/>
      <c r="I152" s="895"/>
      <c r="J152" s="895"/>
      <c r="K152" s="895"/>
      <c r="L152" s="895"/>
      <c r="M152" s="895"/>
      <c r="N152" s="895"/>
      <c r="O152" s="895"/>
      <c r="P152" s="895"/>
      <c r="Q152" s="895"/>
      <c r="R152" s="895"/>
      <c r="S152" s="895"/>
      <c r="T152" s="152"/>
      <c r="U152" s="152"/>
      <c r="V152" s="152"/>
      <c r="W152" s="152"/>
      <c r="X152" s="152"/>
      <c r="Y152" s="152"/>
      <c r="Z152" s="152"/>
      <c r="AA152" s="152"/>
      <c r="AB152" s="152"/>
      <c r="AC152" s="152"/>
      <c r="AD152" s="152"/>
      <c r="AF152" s="171"/>
    </row>
    <row r="153" spans="1:87" ht="15.95" customHeight="1" outlineLevel="1" x14ac:dyDescent="0.3">
      <c r="A153" s="717"/>
      <c r="B153" s="717"/>
      <c r="C153" s="895"/>
      <c r="D153" s="895"/>
      <c r="E153" s="895"/>
      <c r="F153" s="895"/>
      <c r="G153" s="895"/>
      <c r="H153" s="895"/>
      <c r="I153" s="895"/>
      <c r="J153" s="895"/>
      <c r="K153" s="895"/>
      <c r="L153" s="895"/>
      <c r="M153" s="895"/>
      <c r="N153" s="895"/>
      <c r="O153" s="895"/>
      <c r="P153" s="895"/>
      <c r="Q153" s="895"/>
      <c r="R153" s="895"/>
      <c r="S153" s="895"/>
      <c r="T153" s="152"/>
      <c r="U153" s="152"/>
      <c r="V153" s="152"/>
      <c r="W153" s="152"/>
      <c r="X153" s="152"/>
      <c r="Y153" s="152"/>
      <c r="Z153" s="152"/>
      <c r="AA153" s="152"/>
      <c r="AB153" s="152"/>
      <c r="AC153" s="152"/>
      <c r="AD153" s="152"/>
      <c r="AF153" s="171"/>
    </row>
    <row r="154" spans="1:87" ht="15.95" customHeight="1" outlineLevel="1" x14ac:dyDescent="0.3">
      <c r="A154" s="717" t="str">
        <f>IFERROR(IF(INDEX(D01_Races!AM2:AM101,SelectedRaceID,1)=0,"",INDEX(D01_Races!AM2:AM101,SelectedRaceID,1)),"")</f>
        <v>Drow Weapon Training</v>
      </c>
      <c r="B154" s="717"/>
      <c r="C154" s="895" t="str">
        <f>IFERROR(INDEX(D011_RacialTraits!$D$2:$D$1000,MATCH(RacialTrait4,D011_RacialTraits!$B$2:$B$1000,0),1),"")</f>
        <v>You have proficiency with rapiers, shortswords, and hand crossbows</v>
      </c>
      <c r="D154" s="895"/>
      <c r="E154" s="895"/>
      <c r="F154" s="895"/>
      <c r="G154" s="895"/>
      <c r="H154" s="895"/>
      <c r="I154" s="895"/>
      <c r="J154" s="895"/>
      <c r="K154" s="895"/>
      <c r="L154" s="895"/>
      <c r="M154" s="895"/>
      <c r="N154" s="895"/>
      <c r="O154" s="895"/>
      <c r="P154" s="895"/>
      <c r="Q154" s="895"/>
      <c r="R154" s="895"/>
      <c r="S154" s="895"/>
      <c r="T154" s="152"/>
      <c r="U154" s="152"/>
      <c r="V154" s="152"/>
      <c r="W154" s="152"/>
      <c r="X154" s="152"/>
      <c r="Y154" s="152"/>
      <c r="Z154" s="152"/>
      <c r="AA154" s="152"/>
      <c r="AB154" s="152"/>
      <c r="AC154" s="152"/>
      <c r="AD154" s="152"/>
      <c r="AF154" s="171"/>
    </row>
    <row r="155" spans="1:87" ht="15.95" customHeight="1" x14ac:dyDescent="0.3">
      <c r="A155" s="717"/>
      <c r="B155" s="717"/>
      <c r="C155" s="895"/>
      <c r="D155" s="895"/>
      <c r="E155" s="895"/>
      <c r="F155" s="895"/>
      <c r="G155" s="895"/>
      <c r="H155" s="895"/>
      <c r="I155" s="895"/>
      <c r="J155" s="895"/>
      <c r="K155" s="895"/>
      <c r="L155" s="895"/>
      <c r="M155" s="895"/>
      <c r="N155" s="895"/>
      <c r="O155" s="895"/>
      <c r="P155" s="895"/>
      <c r="Q155" s="895"/>
      <c r="R155" s="895"/>
      <c r="S155" s="895"/>
      <c r="T155" s="152"/>
      <c r="U155" s="152"/>
      <c r="V155" s="152"/>
      <c r="W155" s="152"/>
      <c r="X155" s="152"/>
      <c r="Y155" s="152"/>
      <c r="Z155" s="152"/>
      <c r="AA155" s="152"/>
      <c r="AB155" s="152"/>
      <c r="AC155" s="152"/>
      <c r="AD155" s="152"/>
      <c r="AF155" s="171"/>
      <c r="BB155" s="165">
        <f>INDEX($AR$160:$AR$239,MATCH(AW160,$AT$160:$AT$239,0),1)</f>
        <v>0</v>
      </c>
    </row>
    <row r="156" spans="1:87" ht="15.95" customHeight="1" x14ac:dyDescent="0.3">
      <c r="A156" s="717" t="str">
        <f>IFERROR(IF(INDEX(D01_Races!AN2:AN101,SelectedRaceID,1)=0,"",INDEX(D01_Races!AN2:AN101,SelectedRaceID,1)),"")</f>
        <v>Drow Magic</v>
      </c>
      <c r="B156" s="717"/>
      <c r="C156" s="895" t="str">
        <f>IFERROR(INDEX(D011_RacialTraits!$D$2:$D$1000,MATCH(RacialTrait5,D011_RacialTraits!$B$2:$B$1000,0),1),"")</f>
        <v>You know the dancing lights cantrip. When you reach 3rd level, you can cast the faerie fire spell once per day. When you reach 5th level, you can also cast the darkness spell once per day. Charisma is your spellcasting ability for these spells.</v>
      </c>
      <c r="D156" s="895"/>
      <c r="E156" s="895"/>
      <c r="F156" s="895"/>
      <c r="G156" s="895"/>
      <c r="H156" s="895"/>
      <c r="I156" s="895"/>
      <c r="J156" s="895"/>
      <c r="K156" s="895"/>
      <c r="L156" s="895"/>
      <c r="M156" s="895"/>
      <c r="N156" s="895"/>
      <c r="O156" s="895"/>
      <c r="P156" s="895"/>
      <c r="Q156" s="895"/>
      <c r="R156" s="895"/>
      <c r="S156" s="895"/>
      <c r="T156" s="152"/>
      <c r="U156" s="152"/>
      <c r="V156" s="152"/>
      <c r="W156" s="152"/>
      <c r="X156" s="152"/>
      <c r="Y156" s="152"/>
      <c r="Z156" s="152"/>
      <c r="AA156" s="152"/>
      <c r="AB156" s="152"/>
      <c r="AC156" s="152"/>
      <c r="AD156" s="152"/>
      <c r="AF156" s="171"/>
    </row>
    <row r="157" spans="1:87" ht="15.95" customHeight="1" outlineLevel="1" x14ac:dyDescent="0.3">
      <c r="A157" s="717"/>
      <c r="B157" s="717"/>
      <c r="C157" s="895"/>
      <c r="D157" s="895"/>
      <c r="E157" s="895"/>
      <c r="F157" s="895"/>
      <c r="G157" s="895"/>
      <c r="H157" s="895"/>
      <c r="I157" s="895"/>
      <c r="J157" s="895"/>
      <c r="K157" s="895"/>
      <c r="L157" s="895"/>
      <c r="M157" s="895"/>
      <c r="N157" s="895"/>
      <c r="O157" s="895"/>
      <c r="P157" s="895"/>
      <c r="Q157" s="895"/>
      <c r="R157" s="895"/>
      <c r="S157" s="895"/>
      <c r="T157" s="152"/>
      <c r="U157" s="152"/>
      <c r="V157" s="152"/>
      <c r="W157" s="152"/>
      <c r="X157" s="152"/>
      <c r="Y157" s="152"/>
      <c r="Z157" s="152"/>
      <c r="AA157" s="152"/>
      <c r="AB157" s="152"/>
      <c r="AC157" s="152"/>
      <c r="AD157" s="152"/>
      <c r="AF157" s="171"/>
      <c r="AH157" s="838" t="s">
        <v>5175</v>
      </c>
      <c r="AI157" s="838"/>
      <c r="AJ157" s="838"/>
      <c r="AK157" s="838"/>
      <c r="AL157" s="838"/>
      <c r="AM157" s="838"/>
      <c r="AN157" s="838"/>
      <c r="AO157" s="838"/>
      <c r="AP157" s="838"/>
      <c r="AQ157" s="838"/>
      <c r="AR157" s="838"/>
      <c r="AS157" s="838"/>
      <c r="AT157" s="838"/>
      <c r="AU157" s="838"/>
      <c r="AV157" s="838"/>
      <c r="AW157" s="838"/>
      <c r="AX157" s="838"/>
      <c r="AY157" s="838"/>
      <c r="AZ157" s="838"/>
      <c r="BA157" s="838"/>
      <c r="BB157" s="838"/>
      <c r="BC157" s="838"/>
      <c r="BD157" s="838"/>
      <c r="BE157" s="838"/>
      <c r="BF157" s="838"/>
    </row>
    <row r="158" spans="1:87" ht="15.95" customHeight="1" outlineLevel="1" x14ac:dyDescent="0.3">
      <c r="A158" s="717" t="str">
        <f>IFERROR(IF(INDEX(D01_Races!AO2:AO101,SelectedRaceID,1)=0,"",INDEX(D01_Races!AO2:AO101,SelectedRaceID,1)),"")</f>
        <v>Sun Sensitivity</v>
      </c>
      <c r="B158" s="717"/>
      <c r="C158" s="895" t="str">
        <f>IFERROR(INDEX(D011_RacialTraits!$D$2:$D$1000,MATCH(RacialTrait6,D011_RacialTraits!$B$2:$B$1000,0),1),"")</f>
        <v>You have disadvantage on attack rolls and on Wisdom (Perception) checks that rely on sight when you, the target of your attack, or whatever you are trying to perceive is in direct sunlight.</v>
      </c>
      <c r="D158" s="895"/>
      <c r="E158" s="895"/>
      <c r="F158" s="895"/>
      <c r="G158" s="895"/>
      <c r="H158" s="895"/>
      <c r="I158" s="895"/>
      <c r="J158" s="895"/>
      <c r="K158" s="895"/>
      <c r="L158" s="895"/>
      <c r="M158" s="895"/>
      <c r="N158" s="895"/>
      <c r="O158" s="895"/>
      <c r="P158" s="895"/>
      <c r="Q158" s="895"/>
      <c r="R158" s="895"/>
      <c r="S158" s="895"/>
      <c r="T158" s="152"/>
      <c r="U158" s="152"/>
      <c r="V158" s="152"/>
      <c r="W158" s="152"/>
      <c r="X158" s="152"/>
      <c r="Y158" s="152"/>
      <c r="Z158" s="152"/>
      <c r="AA158" s="152"/>
      <c r="AB158" s="152"/>
      <c r="AC158" s="152"/>
      <c r="AD158" s="152"/>
      <c r="AF158" s="171"/>
      <c r="AH158" s="838"/>
      <c r="AI158" s="838"/>
      <c r="AJ158" s="838"/>
      <c r="AK158" s="838"/>
      <c r="AL158" s="838"/>
      <c r="AM158" s="838"/>
      <c r="AN158" s="838"/>
      <c r="AO158" s="838"/>
      <c r="AP158" s="838"/>
      <c r="AQ158" s="838"/>
      <c r="AR158" s="838"/>
      <c r="AS158" s="838"/>
      <c r="AT158" s="838"/>
      <c r="AU158" s="838"/>
      <c r="AV158" s="838"/>
      <c r="AW158" s="838"/>
      <c r="AX158" s="838"/>
      <c r="AY158" s="838"/>
      <c r="AZ158" s="838"/>
      <c r="BA158" s="838"/>
      <c r="BB158" s="838"/>
      <c r="BC158" s="838"/>
      <c r="BD158" s="838"/>
      <c r="BE158" s="838"/>
      <c r="BF158" s="838"/>
    </row>
    <row r="159" spans="1:87" ht="15.95" customHeight="1" outlineLevel="1" x14ac:dyDescent="0.3">
      <c r="A159" s="717"/>
      <c r="B159" s="717"/>
      <c r="C159" s="895"/>
      <c r="D159" s="895"/>
      <c r="E159" s="895"/>
      <c r="F159" s="895"/>
      <c r="G159" s="895"/>
      <c r="H159" s="895"/>
      <c r="I159" s="895"/>
      <c r="J159" s="895"/>
      <c r="K159" s="895"/>
      <c r="L159" s="895"/>
      <c r="M159" s="895"/>
      <c r="N159" s="895"/>
      <c r="O159" s="895"/>
      <c r="P159" s="895"/>
      <c r="Q159" s="895"/>
      <c r="R159" s="895"/>
      <c r="S159" s="895"/>
      <c r="T159" s="152"/>
      <c r="U159" s="152"/>
      <c r="V159" s="152"/>
      <c r="W159" s="152"/>
      <c r="X159" s="152"/>
      <c r="Y159" s="152"/>
      <c r="Z159" s="152"/>
      <c r="AA159" s="152"/>
      <c r="AB159" s="152"/>
      <c r="AC159" s="152"/>
      <c r="AD159" s="152"/>
      <c r="AF159" s="171"/>
      <c r="AM159" s="165">
        <v>1</v>
      </c>
      <c r="AN159" s="165">
        <v>2</v>
      </c>
      <c r="AO159" s="165">
        <v>3</v>
      </c>
      <c r="AP159" s="165">
        <v>4</v>
      </c>
      <c r="AX159" s="165" t="s">
        <v>5134</v>
      </c>
      <c r="AY159" s="165" t="s">
        <v>3859</v>
      </c>
      <c r="AZ159" s="165" t="s">
        <v>5133</v>
      </c>
      <c r="BA159" s="165" t="s">
        <v>5135</v>
      </c>
      <c r="BC159" s="165" t="s">
        <v>5173</v>
      </c>
      <c r="BD159" s="165" t="s">
        <v>5174</v>
      </c>
      <c r="BE159" s="165" t="s">
        <v>177</v>
      </c>
      <c r="BF159" s="165" t="s">
        <v>60</v>
      </c>
    </row>
    <row r="160" spans="1:87" ht="15.95" customHeight="1" outlineLevel="1" x14ac:dyDescent="0.3">
      <c r="A160" s="152"/>
      <c r="B160" s="152"/>
      <c r="C160" s="152"/>
      <c r="D160" s="152"/>
      <c r="E160" s="152"/>
      <c r="F160" s="152"/>
      <c r="G160" s="152"/>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c r="AF160" s="171"/>
      <c r="AH160" s="153">
        <v>1</v>
      </c>
      <c r="AI160" s="293">
        <f t="shared" ref="AI160:AI179" si="28">R58</f>
        <v>0</v>
      </c>
      <c r="AJ160" s="293">
        <f>COUNTIF(AI160:$AI$160,AI160)</f>
        <v>1</v>
      </c>
      <c r="AK160" s="153" t="str">
        <f>IFERROR(MATCH(AI160,D04_Classes!$B$3:$B$102,0),"")</f>
        <v/>
      </c>
      <c r="AL160" s="153" t="str">
        <f>TRIM(IFERROR(INDEX(D04_Classes!$CH$3:$DA$102,C_Input!AK160,C_Input!AJ160),""))</f>
        <v/>
      </c>
      <c r="AM160" s="153" t="str">
        <f>IFERROR(TRIM(MID(TRIM(TRIM(TRIM(TRIM($AL160)))),1,SEARCH(",",TRIM(TRIM(TRIM(TRIM($AL160)))),1)-1)),"")</f>
        <v/>
      </c>
      <c r="AN160" s="153">
        <f t="shared" ref="AN160:AN179" si="29">IFERROR(TRIM(MID(AL160,SEARCH(",",TRIM($AL160),1)+1,SEARCH(",",TRIM($AL160),1+SEARCH(",",TRIM($AL160),1))-SEARCH(",",TRIM($AL160),1)-1)),)</f>
        <v>0</v>
      </c>
      <c r="AO160" s="165" t="str">
        <f t="shared" ref="AO160:AO179" si="30">IFERROR(TRIM(MID(AL160,SEARCH(",",TRIM($AL160),1+SEARCH(",",TRIM($AL160),1))+1,SEARCH(",",TRIM($AL160),1+SEARCH(",",TRIM($AL160),1+SEARCH(",",TRIM($AL160),1)))-SEARCH(",",TRIM($AL160),1+SEARCH(",",TRIM($AL160),1))-1)),"")</f>
        <v/>
      </c>
      <c r="AP160" s="165" t="str">
        <f t="shared" ref="AP160:AP179" si="31">IFERROR(TRIM(MID(AL160,SEARCH(",",TRIM($AL160),1+SEARCH(",",TRIM($AL160),1+SEARCH(",",TRIM($AL160),1)))+1,LEN(AL160)-SEARCH(",",TRIM($AL160),1+SEARCH(",",TRIM($AL160),1+SEARCH(",",TRIM($AL160),1)))-1)),"")</f>
        <v/>
      </c>
      <c r="AQ160" s="165">
        <v>1</v>
      </c>
      <c r="AR160" s="165">
        <f>INDEX($AI$160:$AI$179,MATCH(ROUNDDOWN(AS160/4-0.25,0)+1,$AH$160:$AH$179,0),1)</f>
        <v>0</v>
      </c>
      <c r="AS160" s="165">
        <v>1</v>
      </c>
      <c r="AT160" s="165" t="str">
        <f t="shared" ref="AT160:AT191" si="32">INDEX($AM$160:$AP$179,CEILING((ROW(AT160)-ROW($AT$159))/4,1),CEILING(MOD((ROW(AT160)-ROW($AT$159)),4.00001),1))</f>
        <v/>
      </c>
      <c r="AU160" s="276">
        <f>IF(OR(AT160="",AT160=0),0,1)</f>
        <v>0</v>
      </c>
      <c r="AV160" s="276">
        <f>IF(AU160=1,1,0)</f>
        <v>0</v>
      </c>
      <c r="AW160" s="165" t="str">
        <f>IFERROR(INDEX($AT$160:$AT$239,MATCH(AS160,$AV$160:$AV$239,0),1),"")</f>
        <v/>
      </c>
      <c r="AX160" s="165" t="str">
        <f>IFERROR(INDEX($AQ$160:$AQ$239,MATCH(AS160,$AV$160:$AV$239,0),1),"")</f>
        <v/>
      </c>
      <c r="AY160" s="165" t="str">
        <f>IFERROR(INDEX(D041_ClassFeatures!$K$2:$K$343,MATCH(C_Input!$AW160,D041_ClassFeatures!$B$2:$B$343,0),1),"")</f>
        <v/>
      </c>
      <c r="AZ160" s="165" t="str">
        <f>IFERROR(INDEX(D041_ClassFeatures!$L$2:$L$343,MATCH(C_Input!$AW160,D041_ClassFeatures!$B$2:$B$343,0),1),"")</f>
        <v/>
      </c>
      <c r="BA160" s="165">
        <f>IF(OR(AZ160=0,AZ160=""),0,1)</f>
        <v>0</v>
      </c>
      <c r="BB160" s="165" t="str">
        <f t="array" ref="BB160">IFERROR(INDEX(D041_ClassFeatures!$B$2:$B$556,MATCH(C_Input!AW160&amp;INDEX(C_Variables!$O$4:$O$9,MATCH(INDEX($AR$160:$AR$239,MATCH(AW160,$AT$160:$AT$239,0),1),C_Variables!$M$4:$M$9,0),1),D041_ClassFeatures!$J$2:$J$556&amp;D041_ClassFeatures!$I$2:$I$556,0),1),"")</f>
        <v/>
      </c>
      <c r="BC160" s="165" t="str">
        <f>IF(BA160=0,AW160,BB160)</f>
        <v/>
      </c>
      <c r="BD160" s="165" t="str">
        <f>IFERROR(INDEX(D041_ClassFeatures!$C$2:$C$546,MATCH(C_Input!BC160,D041_ClassFeatures!$B$2:$B$546,0),1),"")</f>
        <v/>
      </c>
      <c r="BE160" s="165" t="str">
        <f>IFERROR(INDEX(D041_ClassFeatures!$D$2:$D$546,MATCH(C_Input!BC160,D041_ClassFeatures!$B$2:$B$546,0),1),"")</f>
        <v/>
      </c>
      <c r="BF160" s="165" t="str">
        <f>IFERROR(IF(BC160="","",INDEX($AR$160:$AR$239,MATCH(AW160,$AT$160:$AT$239,0),1)),"")</f>
        <v/>
      </c>
      <c r="BG160" s="165">
        <f>IF(ROW()-ROW($BD$159)=IFERROR(MATCH(BC160,$BC$160:$BC$239,0),""),1,0)</f>
        <v>1</v>
      </c>
      <c r="BH160" s="165" t="str">
        <f>IF(BG160=1,IF(BD160&lt;&gt;"",BD160,""),"")</f>
        <v/>
      </c>
      <c r="BI160" s="165" t="str">
        <f>IF(BH160="","",BE160)</f>
        <v/>
      </c>
      <c r="BJ160" s="165">
        <f>IF(BG160=1,1,0)</f>
        <v>1</v>
      </c>
    </row>
    <row r="161" spans="1:62" ht="15.95" customHeight="1" outlineLevel="1" x14ac:dyDescent="0.3">
      <c r="A161" s="898" t="s">
        <v>4176</v>
      </c>
      <c r="B161" s="898"/>
      <c r="C161" s="898"/>
      <c r="D161" s="898"/>
      <c r="E161" s="898"/>
      <c r="F161" s="898"/>
      <c r="G161" s="898"/>
      <c r="H161" s="898"/>
      <c r="I161" s="898"/>
      <c r="J161" s="898"/>
      <c r="K161" s="898"/>
      <c r="L161" s="898"/>
      <c r="M161" s="898"/>
      <c r="N161" s="898"/>
      <c r="O161" s="898"/>
      <c r="P161" s="898"/>
      <c r="Q161" s="898"/>
      <c r="R161" s="898"/>
      <c r="S161" s="898"/>
      <c r="T161" s="283"/>
      <c r="U161" s="152"/>
      <c r="V161" s="152"/>
      <c r="W161" s="152"/>
      <c r="X161" s="152"/>
      <c r="Y161" s="152"/>
      <c r="Z161" s="152"/>
      <c r="AA161" s="152"/>
      <c r="AB161" s="152"/>
      <c r="AC161" s="152"/>
      <c r="AD161" s="152"/>
      <c r="AF161" s="171"/>
      <c r="AH161" s="153">
        <v>2</v>
      </c>
      <c r="AI161" s="293">
        <f t="shared" si="28"/>
        <v>0</v>
      </c>
      <c r="AJ161" s="293">
        <f>COUNTIF(AI$160:$AI161,AI161)</f>
        <v>2</v>
      </c>
      <c r="AK161" s="153" t="str">
        <f>IFERROR(MATCH(AI161,D04_Classes!$B$3:$B$102,0),"")</f>
        <v/>
      </c>
      <c r="AL161" s="153" t="str">
        <f>TRIM(IFERROR(INDEX(D04_Classes!$CH$3:$DA$102,C_Input!AK161,C_Input!AJ161),""))</f>
        <v/>
      </c>
      <c r="AM161" s="153" t="str">
        <f t="shared" ref="AM161:AM179" si="33">IFERROR(TRIM(MID(TRIM(TRIM(TRIM(TRIM($AL161)))),1,SEARCH(",",TRIM(TRIM(TRIM(TRIM($AL161)))),1)-1)),"")</f>
        <v/>
      </c>
      <c r="AN161" s="153">
        <f t="shared" si="29"/>
        <v>0</v>
      </c>
      <c r="AO161" s="165" t="str">
        <f t="shared" si="30"/>
        <v/>
      </c>
      <c r="AP161" s="165" t="str">
        <f t="shared" si="31"/>
        <v/>
      </c>
      <c r="AQ161" s="165">
        <f>AQ160</f>
        <v>1</v>
      </c>
      <c r="AR161" s="165">
        <f t="shared" ref="AR161:AR224" si="34">INDEX($AI$160:$AI$179,MATCH(ROUNDDOWN(AS161/4-0.25,0)+1,$AH$160:$AH$179,0),1)</f>
        <v>0</v>
      </c>
      <c r="AS161" s="165">
        <v>2</v>
      </c>
      <c r="AT161" s="165">
        <f t="shared" si="32"/>
        <v>0</v>
      </c>
      <c r="AU161" s="276">
        <f t="shared" ref="AU161:AU224" si="35">IF(OR(AT161="",AT161=0),0,1)</f>
        <v>0</v>
      </c>
      <c r="AV161" s="276">
        <f>IF(AU161=0,0,COUNTIF(AV160:$AV$160,"&gt;0")+1)</f>
        <v>0</v>
      </c>
      <c r="AW161" s="165" t="str">
        <f t="shared" ref="AW161:AW181" si="36">IFERROR(INDEX($AT$160:$AT$239,MATCH(AS161,$AV$160:$AV$239,0),1),"")</f>
        <v/>
      </c>
      <c r="AX161" s="165" t="str">
        <f t="shared" ref="AX161:AX224" si="37">IFERROR(INDEX($AQ$160:$AQ$239,MATCH(AS161,$AV$160:$AV$239,0),1),"")</f>
        <v/>
      </c>
      <c r="AY161" s="165" t="str">
        <f>IFERROR(INDEX(D041_ClassFeatures!$K$2:$K$343,MATCH(C_Input!$AW161,D041_ClassFeatures!$B$2:$B$343,0),1),"")</f>
        <v/>
      </c>
      <c r="AZ161" s="165" t="str">
        <f>IFERROR(INDEX(D041_ClassFeatures!$L$2:$L$343,MATCH(C_Input!$AW161,D041_ClassFeatures!$B$2:$B$343,0),1),"")</f>
        <v/>
      </c>
      <c r="BA161" s="165">
        <f t="shared" ref="BA161:BA224" si="38">IF(OR(AZ161=0,AZ161=""),0,1)</f>
        <v>0</v>
      </c>
      <c r="BB161" s="165" t="str">
        <f t="array" ref="BB161">IFERROR(INDEX(D041_ClassFeatures!$B$2:$B$556,MATCH(C_Input!AW161&amp;INDEX(C_Variables!$O$4:$O$9,MATCH(INDEX($AR$160:$AR$239,MATCH(AW161,$AT$160:$AT$239,0),1),C_Variables!$M$4:$M$9,0),1),D041_ClassFeatures!$J$2:$J$556&amp;D041_ClassFeatures!$I$2:$I$556,0),1),"")</f>
        <v/>
      </c>
      <c r="BC161" s="165" t="str">
        <f t="shared" ref="BC161:BC224" si="39">IF(BA161=0,AW161,BB161)</f>
        <v/>
      </c>
      <c r="BD161" s="165" t="str">
        <f>IFERROR(INDEX(D041_ClassFeatures!$C$2:$C$546,MATCH(C_Input!BC161,D041_ClassFeatures!$B$2:$B$546,0),1),"")</f>
        <v/>
      </c>
      <c r="BE161" s="165" t="str">
        <f>IFERROR(INDEX(D041_ClassFeatures!$D$2:$D$546,MATCH(C_Input!BC161,D041_ClassFeatures!$B$2:$B$546,0),1),"")</f>
        <v/>
      </c>
      <c r="BF161" s="165" t="str">
        <f t="shared" ref="BF161:BF224" si="40">IFERROR(IF(BC161="","",INDEX($AR$160:$AR$239,MATCH(AW161,$AT$160:$AT$239,0),1)),"")</f>
        <v/>
      </c>
      <c r="BG161" s="202">
        <v>1</v>
      </c>
      <c r="BH161" s="165" t="str">
        <f t="shared" ref="BH161:BH224" si="41">IF(BG161=1,IF(BD161&lt;&gt;"",BD161,""),"")</f>
        <v/>
      </c>
      <c r="BI161" s="165" t="str">
        <f t="shared" ref="BI161:BI224" si="42">IF(BH161="","",BE161)</f>
        <v/>
      </c>
      <c r="BJ161" s="165">
        <f>IF(BG161=0,0,COUNTIF(BJ160:$BJ$160,"&gt;0")+1)</f>
        <v>2</v>
      </c>
    </row>
    <row r="162" spans="1:62" ht="15.95" customHeight="1" outlineLevel="1" x14ac:dyDescent="0.3">
      <c r="A162" s="898"/>
      <c r="B162" s="898"/>
      <c r="C162" s="898"/>
      <c r="D162" s="898"/>
      <c r="E162" s="898"/>
      <c r="F162" s="898"/>
      <c r="G162" s="898"/>
      <c r="H162" s="898"/>
      <c r="I162" s="898"/>
      <c r="J162" s="898"/>
      <c r="K162" s="898"/>
      <c r="L162" s="898"/>
      <c r="M162" s="898"/>
      <c r="N162" s="898"/>
      <c r="O162" s="898"/>
      <c r="P162" s="898"/>
      <c r="Q162" s="898"/>
      <c r="R162" s="898"/>
      <c r="S162" s="898"/>
      <c r="T162" s="283"/>
      <c r="U162" s="152"/>
      <c r="V162" s="152"/>
      <c r="W162" s="152"/>
      <c r="X162" s="152"/>
      <c r="Y162" s="152"/>
      <c r="Z162" s="152"/>
      <c r="AA162" s="152"/>
      <c r="AB162" s="152"/>
      <c r="AC162" s="152"/>
      <c r="AD162" s="152"/>
      <c r="AF162" s="171"/>
      <c r="AH162" s="153">
        <v>3</v>
      </c>
      <c r="AI162" s="293">
        <f t="shared" si="28"/>
        <v>0</v>
      </c>
      <c r="AJ162" s="293">
        <f>COUNTIF(AI$160:$AI162,AI162)</f>
        <v>3</v>
      </c>
      <c r="AK162" s="153" t="str">
        <f>IFERROR(MATCH(AI162,D04_Classes!$B$3:$B$102,0),"")</f>
        <v/>
      </c>
      <c r="AL162" s="153" t="str">
        <f>TRIM(IFERROR(INDEX(D04_Classes!$CH$3:$DA$102,C_Input!AK162,C_Input!AJ162),""))</f>
        <v/>
      </c>
      <c r="AM162" s="153" t="str">
        <f t="shared" si="33"/>
        <v/>
      </c>
      <c r="AN162" s="153">
        <f t="shared" si="29"/>
        <v>0</v>
      </c>
      <c r="AO162" s="165" t="str">
        <f t="shared" si="30"/>
        <v/>
      </c>
      <c r="AP162" s="165" t="str">
        <f t="shared" si="31"/>
        <v/>
      </c>
      <c r="AQ162" s="165">
        <f>AQ161</f>
        <v>1</v>
      </c>
      <c r="AR162" s="165">
        <f t="shared" si="34"/>
        <v>0</v>
      </c>
      <c r="AS162" s="165">
        <v>3</v>
      </c>
      <c r="AT162" s="165" t="str">
        <f t="shared" si="32"/>
        <v/>
      </c>
      <c r="AU162" s="276">
        <f t="shared" si="35"/>
        <v>0</v>
      </c>
      <c r="AV162" s="276">
        <f>IF(AU162=0,0,COUNTIF(AV$160:$AV161,"&gt;0")+1)</f>
        <v>0</v>
      </c>
      <c r="AW162" s="165" t="str">
        <f t="shared" si="36"/>
        <v/>
      </c>
      <c r="AX162" s="165" t="str">
        <f t="shared" si="37"/>
        <v/>
      </c>
      <c r="AY162" s="165" t="str">
        <f>IFERROR(INDEX(D041_ClassFeatures!$K$2:$K$343,MATCH(C_Input!$AW162,D041_ClassFeatures!$B$2:$B$343,0),1),"")</f>
        <v/>
      </c>
      <c r="AZ162" s="165" t="str">
        <f>IFERROR(INDEX(D041_ClassFeatures!$L$2:$L$343,MATCH(C_Input!$AW162,D041_ClassFeatures!$B$2:$B$343,0),1),"")</f>
        <v/>
      </c>
      <c r="BA162" s="165">
        <f t="shared" si="38"/>
        <v>0</v>
      </c>
      <c r="BB162" s="165" t="str">
        <f t="array" ref="BB162">IFERROR(INDEX(D041_ClassFeatures!$B$2:$B$556,MATCH(C_Input!AW162&amp;INDEX(C_Variables!$O$4:$O$9,MATCH(INDEX($AR$160:$AR$239,MATCH(AW162,$AT$160:$AT$239,0),1),C_Variables!$M$4:$M$9,0),1),D041_ClassFeatures!$J$2:$J$556&amp;D041_ClassFeatures!$I$2:$I$556,0),1),"")</f>
        <v/>
      </c>
      <c r="BC162" s="165" t="str">
        <f t="shared" si="39"/>
        <v/>
      </c>
      <c r="BD162" s="165" t="str">
        <f>IFERROR(INDEX(D041_ClassFeatures!$C$2:$C$546,MATCH(C_Input!BC162,D041_ClassFeatures!$B$2:$B$546,0),1),"")</f>
        <v/>
      </c>
      <c r="BE162" s="165" t="str">
        <f>IFERROR(INDEX(D041_ClassFeatures!$D$2:$D$546,MATCH(C_Input!BC162,D041_ClassFeatures!$B$2:$B$546,0),1),"")</f>
        <v/>
      </c>
      <c r="BF162" s="165" t="str">
        <f t="shared" si="40"/>
        <v/>
      </c>
      <c r="BG162" s="202">
        <v>1</v>
      </c>
      <c r="BH162" s="165" t="str">
        <f t="shared" si="41"/>
        <v/>
      </c>
      <c r="BI162" s="165" t="str">
        <f t="shared" si="42"/>
        <v/>
      </c>
      <c r="BJ162" s="165">
        <f>IF(BG162=0,0,COUNTIF(BJ$160:$BJ161,"&gt;0")+1)</f>
        <v>3</v>
      </c>
    </row>
    <row r="163" spans="1:62" ht="15.95" customHeight="1" outlineLevel="1" x14ac:dyDescent="0.3">
      <c r="A163" s="713"/>
      <c r="B163" s="713"/>
      <c r="C163" s="713"/>
      <c r="D163" s="713"/>
      <c r="E163" s="713"/>
      <c r="F163" s="713"/>
      <c r="G163" s="713"/>
      <c r="H163" s="713"/>
      <c r="I163" s="713"/>
      <c r="J163" s="713"/>
      <c r="K163" s="713"/>
      <c r="L163" s="713"/>
      <c r="M163" s="713"/>
      <c r="N163" s="713"/>
      <c r="O163" s="713"/>
      <c r="P163" s="713"/>
      <c r="Q163" s="713"/>
      <c r="R163" s="713"/>
      <c r="S163" s="713"/>
      <c r="T163" s="713"/>
      <c r="U163" s="152"/>
      <c r="V163" s="152"/>
      <c r="W163" s="152"/>
      <c r="X163" s="152"/>
      <c r="Y163" s="152"/>
      <c r="Z163" s="152"/>
      <c r="AA163" s="152"/>
      <c r="AB163" s="152"/>
      <c r="AC163" s="152"/>
      <c r="AD163" s="152"/>
      <c r="AF163" s="171"/>
      <c r="AH163" s="153">
        <v>4</v>
      </c>
      <c r="AI163" s="293">
        <f t="shared" si="28"/>
        <v>0</v>
      </c>
      <c r="AJ163" s="293">
        <f>COUNTIF(AI$160:$AI163,AI163)</f>
        <v>4</v>
      </c>
      <c r="AK163" s="153" t="str">
        <f>IFERROR(MATCH(AI163,D04_Classes!$B$3:$B$102,0),"")</f>
        <v/>
      </c>
      <c r="AL163" s="153" t="str">
        <f>IFERROR(INDEX(D04_Classes!$CH$3:$DA$102,C_Input!AK163,C_Input!AJ163),"")</f>
        <v/>
      </c>
      <c r="AM163" s="153" t="str">
        <f t="shared" si="33"/>
        <v/>
      </c>
      <c r="AN163" s="153">
        <f t="shared" si="29"/>
        <v>0</v>
      </c>
      <c r="AO163" s="165" t="str">
        <f t="shared" si="30"/>
        <v/>
      </c>
      <c r="AP163" s="165" t="str">
        <f t="shared" si="31"/>
        <v/>
      </c>
      <c r="AQ163" s="165">
        <f>AQ162</f>
        <v>1</v>
      </c>
      <c r="AR163" s="165">
        <f t="shared" si="34"/>
        <v>0</v>
      </c>
      <c r="AS163" s="165">
        <v>4</v>
      </c>
      <c r="AT163" s="165" t="str">
        <f t="shared" si="32"/>
        <v/>
      </c>
      <c r="AU163" s="276">
        <f t="shared" si="35"/>
        <v>0</v>
      </c>
      <c r="AV163" s="276">
        <f>IF(AU163=0,0,COUNTIF(AV$160:$AV162,"&gt;0")+1)</f>
        <v>0</v>
      </c>
      <c r="AW163" s="165" t="str">
        <f t="shared" si="36"/>
        <v/>
      </c>
      <c r="AX163" s="165" t="str">
        <f t="shared" si="37"/>
        <v/>
      </c>
      <c r="AY163" s="165" t="str">
        <f>IFERROR(INDEX(D041_ClassFeatures!$K$2:$K$343,MATCH(C_Input!$AW163,D041_ClassFeatures!$B$2:$B$343,0),1),"")</f>
        <v/>
      </c>
      <c r="AZ163" s="165" t="str">
        <f>IFERROR(INDEX(D041_ClassFeatures!$L$2:$L$343,MATCH(C_Input!$AW163,D041_ClassFeatures!$B$2:$B$343,0),1),"")</f>
        <v/>
      </c>
      <c r="BA163" s="165">
        <f t="shared" si="38"/>
        <v>0</v>
      </c>
      <c r="BB163" s="165" t="str">
        <f t="array" ref="BB163">IFERROR(INDEX(D041_ClassFeatures!$B$2:$B$556,MATCH(C_Input!AW163&amp;INDEX(C_Variables!$O$4:$O$9,MATCH(INDEX($AR$160:$AR$239,MATCH(AW163,$AT$160:$AT$239,0),1),C_Variables!$M$4:$M$9,0),1),D041_ClassFeatures!$J$2:$J$556&amp;D041_ClassFeatures!$I$2:$I$556,0),1),"")</f>
        <v/>
      </c>
      <c r="BC163" s="165" t="str">
        <f t="shared" si="39"/>
        <v/>
      </c>
      <c r="BD163" s="165" t="str">
        <f>IFERROR(INDEX(D041_ClassFeatures!$C$2:$C$546,MATCH(C_Input!BC163,D041_ClassFeatures!$B$2:$B$546,0),1),"")</f>
        <v/>
      </c>
      <c r="BE163" s="165" t="str">
        <f>IFERROR(INDEX(D041_ClassFeatures!$D$2:$D$546,MATCH(C_Input!BC163,D041_ClassFeatures!$B$2:$B$546,0),1),"")</f>
        <v/>
      </c>
      <c r="BF163" s="165" t="str">
        <f t="shared" si="40"/>
        <v/>
      </c>
      <c r="BG163" s="202">
        <v>1</v>
      </c>
      <c r="BH163" s="165" t="str">
        <f t="shared" si="41"/>
        <v/>
      </c>
      <c r="BI163" s="165" t="str">
        <f t="shared" si="42"/>
        <v/>
      </c>
      <c r="BJ163" s="165">
        <f>IF(BG163=0,0,COUNTIF(BJ$160:$BJ162,"&gt;0")+1)</f>
        <v>4</v>
      </c>
    </row>
    <row r="164" spans="1:62" ht="15.95" customHeight="1" outlineLevel="1" x14ac:dyDescent="0.3">
      <c r="A164" s="722" t="s">
        <v>4174</v>
      </c>
      <c r="B164" s="722"/>
      <c r="C164" s="722"/>
      <c r="D164" s="899">
        <f>E164-COUNTA(A166:B181)</f>
        <v>0</v>
      </c>
      <c r="E164" s="723">
        <f>C_Variables!AD32</f>
        <v>0</v>
      </c>
      <c r="F164" s="713"/>
      <c r="G164" s="722" t="s">
        <v>4155</v>
      </c>
      <c r="H164" s="722"/>
      <c r="I164" s="722"/>
      <c r="J164" s="719">
        <f>K164-COUNTA(G166:K187)</f>
        <v>0</v>
      </c>
      <c r="K164" s="723">
        <f>CombatManeuversKnown</f>
        <v>0</v>
      </c>
      <c r="L164" s="713"/>
      <c r="M164" s="722" t="s">
        <v>4157</v>
      </c>
      <c r="N164" s="722"/>
      <c r="O164" s="722"/>
      <c r="P164" s="719">
        <f>Q164-COUNTA(M166:N171)</f>
        <v>0</v>
      </c>
      <c r="Q164" s="723">
        <f>RangerFavoredEnemiesNumber</f>
        <v>0</v>
      </c>
      <c r="R164" s="713"/>
      <c r="S164" s="713"/>
      <c r="T164" s="713"/>
      <c r="U164" s="152"/>
      <c r="V164" s="152"/>
      <c r="W164" s="152"/>
      <c r="X164" s="152"/>
      <c r="Y164" s="152"/>
      <c r="Z164" s="152"/>
      <c r="AA164" s="152"/>
      <c r="AB164" s="152"/>
      <c r="AC164" s="152"/>
      <c r="AD164" s="152"/>
      <c r="AF164" s="171"/>
      <c r="AH164" s="153">
        <v>5</v>
      </c>
      <c r="AI164" s="293">
        <f t="shared" si="28"/>
        <v>0</v>
      </c>
      <c r="AJ164" s="293">
        <f>COUNTIF(AI$160:$AI164,AI164)</f>
        <v>5</v>
      </c>
      <c r="AK164" s="153" t="str">
        <f>IFERROR(MATCH(AI164,D04_Classes!$B$3:$B$102,0),"")</f>
        <v/>
      </c>
      <c r="AL164" s="153" t="str">
        <f>IFERROR(INDEX(D04_Classes!$CH$3:$DA$102,C_Input!AK164,C_Input!AJ164),"")</f>
        <v/>
      </c>
      <c r="AM164" s="153" t="str">
        <f t="shared" si="33"/>
        <v/>
      </c>
      <c r="AN164" s="153">
        <f t="shared" si="29"/>
        <v>0</v>
      </c>
      <c r="AO164" s="165" t="str">
        <f t="shared" si="30"/>
        <v/>
      </c>
      <c r="AP164" s="165" t="str">
        <f t="shared" si="31"/>
        <v/>
      </c>
      <c r="AQ164" s="165">
        <f>AQ163+1</f>
        <v>2</v>
      </c>
      <c r="AR164" s="165">
        <f t="shared" si="34"/>
        <v>0</v>
      </c>
      <c r="AS164" s="165">
        <v>5</v>
      </c>
      <c r="AT164" s="165" t="str">
        <f t="shared" si="32"/>
        <v/>
      </c>
      <c r="AU164" s="276">
        <f t="shared" si="35"/>
        <v>0</v>
      </c>
      <c r="AV164" s="276">
        <f>IF(AU164=0,0,COUNTIF(AV$160:$AV163,"&gt;0")+1)</f>
        <v>0</v>
      </c>
      <c r="AW164" s="165" t="str">
        <f t="shared" si="36"/>
        <v/>
      </c>
      <c r="AX164" s="165" t="str">
        <f t="shared" si="37"/>
        <v/>
      </c>
      <c r="AY164" s="165" t="str">
        <f>IFERROR(INDEX(D041_ClassFeatures!$K$2:$K$343,MATCH(C_Input!$AW164,D041_ClassFeatures!$B$2:$B$343,0),1),"")</f>
        <v/>
      </c>
      <c r="AZ164" s="165" t="str">
        <f>IFERROR(INDEX(D041_ClassFeatures!$L$2:$L$343,MATCH(C_Input!$AW164,D041_ClassFeatures!$B$2:$B$343,0),1),"")</f>
        <v/>
      </c>
      <c r="BA164" s="165">
        <f t="shared" si="38"/>
        <v>0</v>
      </c>
      <c r="BB164" s="165" t="str">
        <f t="array" ref="BB164">IFERROR(INDEX(D041_ClassFeatures!$B$2:$B$556,MATCH(C_Input!AW164&amp;INDEX(C_Variables!$O$4:$O$9,MATCH(INDEX($AR$160:$AR$239,MATCH(AW164,$AT$160:$AT$239,0),1),C_Variables!$M$4:$M$9,0),1),D041_ClassFeatures!$J$2:$J$556&amp;D041_ClassFeatures!$I$2:$I$556,0),1),"")</f>
        <v/>
      </c>
      <c r="BC164" s="165" t="str">
        <f t="shared" si="39"/>
        <v/>
      </c>
      <c r="BD164" s="165" t="str">
        <f>IFERROR(INDEX(D041_ClassFeatures!$C$2:$C$546,MATCH(C_Input!BC164,D041_ClassFeatures!$B$2:$B$546,0),1),"")</f>
        <v/>
      </c>
      <c r="BE164" s="165" t="str">
        <f>IFERROR(INDEX(D041_ClassFeatures!$D$2:$D$546,MATCH(C_Input!BC164,D041_ClassFeatures!$B$2:$B$546,0),1),"")</f>
        <v/>
      </c>
      <c r="BF164" s="165" t="str">
        <f t="shared" si="40"/>
        <v/>
      </c>
      <c r="BG164" s="202">
        <v>1</v>
      </c>
      <c r="BH164" s="165" t="str">
        <f t="shared" si="41"/>
        <v/>
      </c>
      <c r="BI164" s="165" t="str">
        <f t="shared" si="42"/>
        <v/>
      </c>
      <c r="BJ164" s="165">
        <f>IF(BG164=0,0,COUNTIF(BJ$160:$BJ163,"&gt;0")+1)</f>
        <v>5</v>
      </c>
    </row>
    <row r="165" spans="1:62" ht="15.95" customHeight="1" outlineLevel="1" x14ac:dyDescent="0.3">
      <c r="A165" s="722"/>
      <c r="B165" s="722"/>
      <c r="C165" s="722"/>
      <c r="D165" s="899"/>
      <c r="E165" s="723"/>
      <c r="F165" s="713"/>
      <c r="G165" s="722"/>
      <c r="H165" s="722"/>
      <c r="I165" s="722"/>
      <c r="J165" s="719"/>
      <c r="K165" s="723"/>
      <c r="L165" s="713"/>
      <c r="M165" s="722"/>
      <c r="N165" s="722"/>
      <c r="O165" s="722"/>
      <c r="P165" s="719"/>
      <c r="Q165" s="723"/>
      <c r="R165" s="713"/>
      <c r="S165" s="713"/>
      <c r="T165" s="713"/>
      <c r="U165" s="152"/>
      <c r="V165" s="152"/>
      <c r="W165" s="152"/>
      <c r="X165" s="152"/>
      <c r="Y165" s="152"/>
      <c r="Z165" s="152"/>
      <c r="AA165" s="152"/>
      <c r="AB165" s="152"/>
      <c r="AC165" s="152"/>
      <c r="AD165" s="152"/>
      <c r="AF165" s="171"/>
      <c r="AH165" s="153">
        <v>6</v>
      </c>
      <c r="AI165" s="293">
        <f t="shared" si="28"/>
        <v>0</v>
      </c>
      <c r="AJ165" s="293">
        <f>COUNTIF(AI$160:$AI165,AI165)</f>
        <v>6</v>
      </c>
      <c r="AK165" s="153" t="str">
        <f>IFERROR(MATCH(AI165,D04_Classes!$B$3:$B$102,0),"")</f>
        <v/>
      </c>
      <c r="AL165" s="153" t="str">
        <f>IFERROR(INDEX(D04_Classes!$CH$3:$DA$102,C_Input!AK165,C_Input!AJ165),"")</f>
        <v/>
      </c>
      <c r="AM165" s="153" t="str">
        <f t="shared" si="33"/>
        <v/>
      </c>
      <c r="AN165" s="153">
        <f t="shared" si="29"/>
        <v>0</v>
      </c>
      <c r="AO165" s="165" t="str">
        <f t="shared" si="30"/>
        <v/>
      </c>
      <c r="AP165" s="165" t="str">
        <f t="shared" si="31"/>
        <v/>
      </c>
      <c r="AQ165" s="165">
        <f>AQ164</f>
        <v>2</v>
      </c>
      <c r="AR165" s="165">
        <f t="shared" si="34"/>
        <v>0</v>
      </c>
      <c r="AS165" s="165">
        <v>6</v>
      </c>
      <c r="AT165" s="165">
        <f t="shared" si="32"/>
        <v>0</v>
      </c>
      <c r="AU165" s="276">
        <f t="shared" si="35"/>
        <v>0</v>
      </c>
      <c r="AV165" s="276">
        <f>IF(AU165=0,0,COUNTIF(AV$160:$AV164,"&gt;0")+1)</f>
        <v>0</v>
      </c>
      <c r="AW165" s="165" t="str">
        <f t="shared" si="36"/>
        <v/>
      </c>
      <c r="AX165" s="165" t="str">
        <f t="shared" si="37"/>
        <v/>
      </c>
      <c r="AY165" s="165" t="str">
        <f>IFERROR(INDEX(D041_ClassFeatures!$K$2:$K$343,MATCH(C_Input!$AW165,D041_ClassFeatures!$B$2:$B$343,0),1),"")</f>
        <v/>
      </c>
      <c r="AZ165" s="165" t="str">
        <f>IFERROR(INDEX(D041_ClassFeatures!$L$2:$L$343,MATCH(C_Input!$AW165,D041_ClassFeatures!$B$2:$B$343,0),1),"")</f>
        <v/>
      </c>
      <c r="BA165" s="165">
        <f t="shared" si="38"/>
        <v>0</v>
      </c>
      <c r="BB165" s="165" t="str">
        <f t="array" ref="BB165">IFERROR(INDEX(D041_ClassFeatures!$B$2:$B$556,MATCH(C_Input!AW165&amp;INDEX(C_Variables!$O$4:$O$9,MATCH(INDEX($AR$160:$AR$239,MATCH(AW165,$AT$160:$AT$239,0),1),C_Variables!$M$4:$M$9,0),1),D041_ClassFeatures!$J$2:$J$556&amp;D041_ClassFeatures!$I$2:$I$556,0),1),"")</f>
        <v/>
      </c>
      <c r="BC165" s="165" t="str">
        <f t="shared" si="39"/>
        <v/>
      </c>
      <c r="BD165" s="165" t="str">
        <f>IFERROR(INDEX(D041_ClassFeatures!$C$2:$C$546,MATCH(C_Input!BC165,D041_ClassFeatures!$B$2:$B$546,0),1),"")</f>
        <v/>
      </c>
      <c r="BE165" s="165" t="str">
        <f>IFERROR(INDEX(D041_ClassFeatures!$D$2:$D$546,MATCH(C_Input!BC165,D041_ClassFeatures!$B$2:$B$546,0),1),"")</f>
        <v/>
      </c>
      <c r="BF165" s="165" t="str">
        <f t="shared" si="40"/>
        <v/>
      </c>
      <c r="BG165" s="202">
        <v>1</v>
      </c>
      <c r="BH165" s="165" t="str">
        <f t="shared" si="41"/>
        <v/>
      </c>
      <c r="BI165" s="165" t="str">
        <f t="shared" si="42"/>
        <v/>
      </c>
      <c r="BJ165" s="165">
        <f>IF(BG165=0,0,COUNTIF(BJ$160:$BJ164,"&gt;0")+1)</f>
        <v>6</v>
      </c>
    </row>
    <row r="166" spans="1:62" ht="15.95" customHeight="1" outlineLevel="1" x14ac:dyDescent="0.3">
      <c r="A166" s="716"/>
      <c r="B166" s="716"/>
      <c r="C166" s="716"/>
      <c r="D166" s="716"/>
      <c r="E166" s="716"/>
      <c r="F166" s="713"/>
      <c r="G166" s="716"/>
      <c r="H166" s="716"/>
      <c r="I166" s="716"/>
      <c r="J166" s="716"/>
      <c r="K166" s="716"/>
      <c r="L166" s="713"/>
      <c r="M166" s="716"/>
      <c r="N166" s="716"/>
      <c r="O166" s="716"/>
      <c r="P166" s="716"/>
      <c r="Q166" s="716"/>
      <c r="R166" s="713"/>
      <c r="S166" s="713"/>
      <c r="T166" s="713"/>
      <c r="U166" s="152"/>
      <c r="V166" s="152"/>
      <c r="W166" s="152"/>
      <c r="X166" s="152"/>
      <c r="Y166" s="152"/>
      <c r="Z166" s="152"/>
      <c r="AA166" s="152"/>
      <c r="AB166" s="152"/>
      <c r="AC166" s="152"/>
      <c r="AD166" s="152"/>
      <c r="AF166" s="171"/>
      <c r="AH166" s="153">
        <v>7</v>
      </c>
      <c r="AI166" s="293">
        <f t="shared" si="28"/>
        <v>0</v>
      </c>
      <c r="AJ166" s="293">
        <f>COUNTIF(AI$160:$AI166,AI166)</f>
        <v>7</v>
      </c>
      <c r="AK166" s="153" t="str">
        <f>IFERROR(MATCH(AI166,D04_Classes!$B$3:$B$102,0),"")</f>
        <v/>
      </c>
      <c r="AL166" s="153" t="str">
        <f>IFERROR(INDEX(D04_Classes!$CH$3:$DA$102,C_Input!AK166,C_Input!AJ166),"")</f>
        <v/>
      </c>
      <c r="AM166" s="153" t="str">
        <f t="shared" si="33"/>
        <v/>
      </c>
      <c r="AN166" s="153">
        <f t="shared" si="29"/>
        <v>0</v>
      </c>
      <c r="AO166" s="165" t="str">
        <f t="shared" si="30"/>
        <v/>
      </c>
      <c r="AP166" s="165" t="str">
        <f t="shared" si="31"/>
        <v/>
      </c>
      <c r="AQ166" s="165">
        <f>AQ165</f>
        <v>2</v>
      </c>
      <c r="AR166" s="165">
        <f t="shared" si="34"/>
        <v>0</v>
      </c>
      <c r="AS166" s="165">
        <v>7</v>
      </c>
      <c r="AT166" s="165" t="str">
        <f t="shared" si="32"/>
        <v/>
      </c>
      <c r="AU166" s="276">
        <f t="shared" si="35"/>
        <v>0</v>
      </c>
      <c r="AV166" s="276">
        <f>IF(AU166=0,0,COUNTIF(AV$160:$AV165,"&gt;0")+1)</f>
        <v>0</v>
      </c>
      <c r="AW166" s="165" t="str">
        <f t="shared" si="36"/>
        <v/>
      </c>
      <c r="AX166" s="165" t="str">
        <f t="shared" si="37"/>
        <v/>
      </c>
      <c r="AY166" s="165" t="str">
        <f>IFERROR(INDEX(D041_ClassFeatures!$K$2:$K$343,MATCH(C_Input!$AW166,D041_ClassFeatures!$B$2:$B$343,0),1),"")</f>
        <v/>
      </c>
      <c r="AZ166" s="165" t="str">
        <f>IFERROR(INDEX(D041_ClassFeatures!$L$2:$L$343,MATCH(C_Input!$AW166,D041_ClassFeatures!$B$2:$B$343,0),1),"")</f>
        <v/>
      </c>
      <c r="BA166" s="165">
        <f t="shared" si="38"/>
        <v>0</v>
      </c>
      <c r="BB166" s="165" t="str">
        <f t="array" ref="BB166">IFERROR(INDEX(D041_ClassFeatures!$B$2:$B$556,MATCH(C_Input!AW166&amp;INDEX(C_Variables!$O$4:$O$9,MATCH(INDEX($AR$160:$AR$239,MATCH(AW166,$AT$160:$AT$239,0),1),C_Variables!$M$4:$M$9,0),1),D041_ClassFeatures!$J$2:$J$556&amp;D041_ClassFeatures!$I$2:$I$556,0),1),"")</f>
        <v/>
      </c>
      <c r="BC166" s="165" t="str">
        <f t="shared" si="39"/>
        <v/>
      </c>
      <c r="BD166" s="165" t="str">
        <f>IFERROR(INDEX(D041_ClassFeatures!$C$2:$C$546,MATCH(C_Input!BC166,D041_ClassFeatures!$B$2:$B$546,0),1),"")</f>
        <v/>
      </c>
      <c r="BE166" s="165" t="str">
        <f>IFERROR(INDEX(D041_ClassFeatures!$D$2:$D$546,MATCH(C_Input!BC166,D041_ClassFeatures!$B$2:$B$546,0),1),"")</f>
        <v/>
      </c>
      <c r="BF166" s="165" t="str">
        <f t="shared" si="40"/>
        <v/>
      </c>
      <c r="BG166" s="202">
        <v>1</v>
      </c>
      <c r="BH166" s="165" t="str">
        <f t="shared" si="41"/>
        <v/>
      </c>
      <c r="BI166" s="165" t="str">
        <f t="shared" si="42"/>
        <v/>
      </c>
      <c r="BJ166" s="165">
        <f>IF(BG166=0,0,COUNTIF(BJ$160:$BJ165,"&gt;0")+1)</f>
        <v>7</v>
      </c>
    </row>
    <row r="167" spans="1:62" ht="15.95" customHeight="1" outlineLevel="1" x14ac:dyDescent="0.3">
      <c r="A167" s="716"/>
      <c r="B167" s="716"/>
      <c r="C167" s="716"/>
      <c r="D167" s="716"/>
      <c r="E167" s="716"/>
      <c r="F167" s="713"/>
      <c r="G167" s="716"/>
      <c r="H167" s="716"/>
      <c r="I167" s="716"/>
      <c r="J167" s="716"/>
      <c r="K167" s="716"/>
      <c r="L167" s="713"/>
      <c r="M167" s="716"/>
      <c r="N167" s="716"/>
      <c r="O167" s="716"/>
      <c r="P167" s="716"/>
      <c r="Q167" s="716"/>
      <c r="R167" s="713"/>
      <c r="S167" s="713"/>
      <c r="T167" s="713"/>
      <c r="U167" s="152"/>
      <c r="V167" s="152"/>
      <c r="W167" s="152"/>
      <c r="X167" s="152"/>
      <c r="Y167" s="152"/>
      <c r="Z167" s="152"/>
      <c r="AA167" s="152"/>
      <c r="AB167" s="152"/>
      <c r="AC167" s="152"/>
      <c r="AD167" s="152"/>
      <c r="AF167" s="171"/>
      <c r="AH167" s="153">
        <v>8</v>
      </c>
      <c r="AI167" s="293">
        <f t="shared" si="28"/>
        <v>0</v>
      </c>
      <c r="AJ167" s="293">
        <f>COUNTIF(AI$160:$AI167,AI167)</f>
        <v>8</v>
      </c>
      <c r="AK167" s="153" t="str">
        <f>IFERROR(MATCH(AI167,D04_Classes!$B$3:$B$102,0),"")</f>
        <v/>
      </c>
      <c r="AL167" s="153" t="str">
        <f>IFERROR(INDEX(D04_Classes!$CH$3:$DA$102,C_Input!AK167,C_Input!AJ167),"")</f>
        <v/>
      </c>
      <c r="AM167" s="153" t="str">
        <f>IFERROR(TRIM(MID(TRIM(TRIM(TRIM(TRIM($AL167)))),1,SEARCH(",",TRIM(TRIM(TRIM(TRIM($AL167)))),1)-1)),"")</f>
        <v/>
      </c>
      <c r="AN167" s="153">
        <f t="shared" si="29"/>
        <v>0</v>
      </c>
      <c r="AO167" s="165" t="str">
        <f t="shared" si="30"/>
        <v/>
      </c>
      <c r="AP167" s="165" t="str">
        <f t="shared" si="31"/>
        <v/>
      </c>
      <c r="AQ167" s="165">
        <f>AQ166</f>
        <v>2</v>
      </c>
      <c r="AR167" s="165">
        <f t="shared" si="34"/>
        <v>0</v>
      </c>
      <c r="AS167" s="165">
        <v>8</v>
      </c>
      <c r="AT167" s="165" t="str">
        <f t="shared" si="32"/>
        <v/>
      </c>
      <c r="AU167" s="276">
        <f t="shared" si="35"/>
        <v>0</v>
      </c>
      <c r="AV167" s="276">
        <f>IF(AU167=0,0,COUNTIF(AV$160:$AV166,"&gt;0")+1)</f>
        <v>0</v>
      </c>
      <c r="AW167" s="165" t="str">
        <f t="shared" si="36"/>
        <v/>
      </c>
      <c r="AX167" s="165" t="str">
        <f t="shared" si="37"/>
        <v/>
      </c>
      <c r="AY167" s="165" t="str">
        <f>IFERROR(INDEX(D041_ClassFeatures!$K$2:$K$343,MATCH(C_Input!$AW167,D041_ClassFeatures!$B$2:$B$343,0),1),"")</f>
        <v/>
      </c>
      <c r="AZ167" s="165" t="str">
        <f>IFERROR(INDEX(D041_ClassFeatures!$L$2:$L$343,MATCH(C_Input!$AW167,D041_ClassFeatures!$B$2:$B$343,0),1),"")</f>
        <v/>
      </c>
      <c r="BA167" s="165">
        <f t="shared" si="38"/>
        <v>0</v>
      </c>
      <c r="BB167" s="165" t="str">
        <f t="array" ref="BB167">IFERROR(INDEX(D041_ClassFeatures!$B$2:$B$556,MATCH(C_Input!AW167&amp;INDEX(C_Variables!$O$4:$O$9,MATCH(INDEX($AR$160:$AR$239,MATCH(AW167,$AT$160:$AT$239,0),1),C_Variables!$M$4:$M$9,0),1),D041_ClassFeatures!$J$2:$J$556&amp;D041_ClassFeatures!$I$2:$I$556,0),1),"")</f>
        <v/>
      </c>
      <c r="BC167" s="165" t="str">
        <f t="shared" si="39"/>
        <v/>
      </c>
      <c r="BD167" s="165" t="str">
        <f>IFERROR(INDEX(D041_ClassFeatures!$C$2:$C$546,MATCH(C_Input!BC167,D041_ClassFeatures!$B$2:$B$546,0),1),"")</f>
        <v/>
      </c>
      <c r="BE167" s="165" t="str">
        <f>IFERROR(INDEX(D041_ClassFeatures!$D$2:$D$546,MATCH(C_Input!BC167,D041_ClassFeatures!$B$2:$B$546,0),1),"")</f>
        <v/>
      </c>
      <c r="BF167" s="165" t="str">
        <f t="shared" si="40"/>
        <v/>
      </c>
      <c r="BG167" s="202">
        <v>1</v>
      </c>
      <c r="BH167" s="165" t="str">
        <f t="shared" si="41"/>
        <v/>
      </c>
      <c r="BI167" s="165" t="str">
        <f t="shared" si="42"/>
        <v/>
      </c>
      <c r="BJ167" s="165">
        <f>IF(BG167=0,0,COUNTIF(BJ$160:$BJ166,"&gt;0")+1)</f>
        <v>8</v>
      </c>
    </row>
    <row r="168" spans="1:62" ht="15.95" customHeight="1" outlineLevel="1" x14ac:dyDescent="0.3">
      <c r="A168" s="716"/>
      <c r="B168" s="716"/>
      <c r="C168" s="716"/>
      <c r="D168" s="716"/>
      <c r="E168" s="716"/>
      <c r="F168" s="713"/>
      <c r="G168" s="716"/>
      <c r="H168" s="716"/>
      <c r="I168" s="716"/>
      <c r="J168" s="716"/>
      <c r="K168" s="716"/>
      <c r="L168" s="713"/>
      <c r="M168" s="716"/>
      <c r="N168" s="716"/>
      <c r="O168" s="716"/>
      <c r="P168" s="716"/>
      <c r="Q168" s="716"/>
      <c r="R168" s="713"/>
      <c r="S168" s="713"/>
      <c r="T168" s="713"/>
      <c r="U168" s="152"/>
      <c r="V168" s="152"/>
      <c r="W168" s="152"/>
      <c r="X168" s="152"/>
      <c r="Y168" s="152"/>
      <c r="Z168" s="152"/>
      <c r="AA168" s="152"/>
      <c r="AB168" s="152"/>
      <c r="AC168" s="152"/>
      <c r="AD168" s="152"/>
      <c r="AF168" s="171"/>
      <c r="AH168" s="153">
        <v>9</v>
      </c>
      <c r="AI168" s="293">
        <f t="shared" si="28"/>
        <v>0</v>
      </c>
      <c r="AJ168" s="293">
        <f>COUNTIF(AI$160:$AI168,AI168)</f>
        <v>9</v>
      </c>
      <c r="AK168" s="153" t="str">
        <f>IFERROR(MATCH(AI168,D04_Classes!$B$3:$B$102,0),"")</f>
        <v/>
      </c>
      <c r="AL168" s="153" t="str">
        <f>IFERROR(INDEX(D04_Classes!$CH$3:$DA$102,C_Input!AK168,C_Input!AJ168),"")</f>
        <v/>
      </c>
      <c r="AM168" s="153" t="str">
        <f t="shared" si="33"/>
        <v/>
      </c>
      <c r="AN168" s="153">
        <f t="shared" si="29"/>
        <v>0</v>
      </c>
      <c r="AO168" s="165" t="str">
        <f t="shared" si="30"/>
        <v/>
      </c>
      <c r="AP168" s="165" t="str">
        <f t="shared" si="31"/>
        <v/>
      </c>
      <c r="AQ168" s="165">
        <f>AQ167+1</f>
        <v>3</v>
      </c>
      <c r="AR168" s="165">
        <f t="shared" si="34"/>
        <v>0</v>
      </c>
      <c r="AS168" s="165">
        <v>9</v>
      </c>
      <c r="AT168" s="165" t="str">
        <f t="shared" si="32"/>
        <v/>
      </c>
      <c r="AU168" s="276">
        <f t="shared" si="35"/>
        <v>0</v>
      </c>
      <c r="AV168" s="276">
        <f>IF(AU168=0,0,COUNTIF(AV$160:$AV167,"&gt;0")+1)</f>
        <v>0</v>
      </c>
      <c r="AW168" s="165" t="str">
        <f t="shared" si="36"/>
        <v/>
      </c>
      <c r="AX168" s="165" t="str">
        <f t="shared" si="37"/>
        <v/>
      </c>
      <c r="AY168" s="165" t="str">
        <f>IFERROR(INDEX(D041_ClassFeatures!$K$2:$K$343,MATCH(C_Input!$AW168,D041_ClassFeatures!$B$2:$B$343,0),1),"")</f>
        <v/>
      </c>
      <c r="AZ168" s="165" t="str">
        <f>IFERROR(INDEX(D041_ClassFeatures!$L$2:$L$343,MATCH(C_Input!$AW168,D041_ClassFeatures!$B$2:$B$343,0),1),"")</f>
        <v/>
      </c>
      <c r="BA168" s="165">
        <f t="shared" si="38"/>
        <v>0</v>
      </c>
      <c r="BB168" s="165" t="str">
        <f t="array" ref="BB168">IFERROR(INDEX(D041_ClassFeatures!$B$2:$B$556,MATCH(C_Input!AW168&amp;INDEX(C_Variables!$O$4:$O$9,MATCH(INDEX($AR$160:$AR$239,MATCH(AW168,$AT$160:$AT$239,0),1),C_Variables!$M$4:$M$9,0),1),D041_ClassFeatures!$J$2:$J$556&amp;D041_ClassFeatures!$I$2:$I$556,0),1),"")</f>
        <v/>
      </c>
      <c r="BC168" s="165" t="str">
        <f t="shared" si="39"/>
        <v/>
      </c>
      <c r="BD168" s="165" t="str">
        <f>IFERROR(INDEX(D041_ClassFeatures!$C$2:$C$546,MATCH(C_Input!BC168,D041_ClassFeatures!$B$2:$B$546,0),1),"")</f>
        <v/>
      </c>
      <c r="BE168" s="165" t="str">
        <f>IFERROR(INDEX(D041_ClassFeatures!$D$2:$D$546,MATCH(C_Input!BC168,D041_ClassFeatures!$B$2:$B$546,0),1),"")</f>
        <v/>
      </c>
      <c r="BF168" s="165" t="str">
        <f t="shared" si="40"/>
        <v/>
      </c>
      <c r="BG168" s="202">
        <v>1</v>
      </c>
      <c r="BH168" s="165" t="str">
        <f t="shared" si="41"/>
        <v/>
      </c>
      <c r="BI168" s="165" t="str">
        <f t="shared" si="42"/>
        <v/>
      </c>
      <c r="BJ168" s="165">
        <f>IF(BG168=0,0,COUNTIF(BJ$160:$BJ167,"&gt;0")+1)</f>
        <v>9</v>
      </c>
    </row>
    <row r="169" spans="1:62" ht="15.95" customHeight="1" outlineLevel="1" x14ac:dyDescent="0.3">
      <c r="A169" s="716"/>
      <c r="B169" s="716"/>
      <c r="C169" s="716"/>
      <c r="D169" s="716"/>
      <c r="E169" s="716"/>
      <c r="F169" s="713"/>
      <c r="G169" s="716"/>
      <c r="H169" s="716"/>
      <c r="I169" s="716"/>
      <c r="J169" s="716"/>
      <c r="K169" s="716"/>
      <c r="L169" s="713"/>
      <c r="M169" s="716"/>
      <c r="N169" s="716"/>
      <c r="O169" s="716"/>
      <c r="P169" s="716"/>
      <c r="Q169" s="716"/>
      <c r="R169" s="713"/>
      <c r="S169" s="713"/>
      <c r="T169" s="713"/>
      <c r="U169" s="152"/>
      <c r="V169" s="152"/>
      <c r="W169" s="152"/>
      <c r="X169" s="152"/>
      <c r="Y169" s="152"/>
      <c r="Z169" s="152"/>
      <c r="AA169" s="152"/>
      <c r="AB169" s="152"/>
      <c r="AC169" s="152"/>
      <c r="AD169" s="152"/>
      <c r="AF169" s="171"/>
      <c r="AH169" s="153">
        <v>10</v>
      </c>
      <c r="AI169" s="293">
        <f t="shared" si="28"/>
        <v>0</v>
      </c>
      <c r="AJ169" s="293">
        <f>COUNTIF(AI$160:$AI169,AI169)</f>
        <v>10</v>
      </c>
      <c r="AK169" s="153" t="str">
        <f>IFERROR(MATCH(AI169,D04_Classes!$B$3:$B$102,0),"")</f>
        <v/>
      </c>
      <c r="AL169" s="153" t="str">
        <f>IFERROR(INDEX(D04_Classes!$CH$3:$DA$102,C_Input!AK169,C_Input!AJ169),"")</f>
        <v/>
      </c>
      <c r="AM169" s="153" t="str">
        <f t="shared" si="33"/>
        <v/>
      </c>
      <c r="AN169" s="153">
        <f t="shared" si="29"/>
        <v>0</v>
      </c>
      <c r="AO169" s="165" t="str">
        <f t="shared" si="30"/>
        <v/>
      </c>
      <c r="AP169" s="165" t="str">
        <f t="shared" si="31"/>
        <v/>
      </c>
      <c r="AQ169" s="165">
        <f>AQ168</f>
        <v>3</v>
      </c>
      <c r="AR169" s="165">
        <f t="shared" si="34"/>
        <v>0</v>
      </c>
      <c r="AS169" s="165">
        <v>10</v>
      </c>
      <c r="AT169" s="165">
        <f t="shared" si="32"/>
        <v>0</v>
      </c>
      <c r="AU169" s="276">
        <f t="shared" si="35"/>
        <v>0</v>
      </c>
      <c r="AV169" s="276">
        <f>IF(AU169=0,0,COUNTIF(AV$160:$AV168,"&gt;0")+1)</f>
        <v>0</v>
      </c>
      <c r="AW169" s="165" t="str">
        <f t="shared" si="36"/>
        <v/>
      </c>
      <c r="AX169" s="165" t="str">
        <f t="shared" si="37"/>
        <v/>
      </c>
      <c r="AY169" s="165" t="str">
        <f>IFERROR(INDEX(D041_ClassFeatures!$K$2:$K$343,MATCH(C_Input!$AW169,D041_ClassFeatures!$B$2:$B$343,0),1),"")</f>
        <v/>
      </c>
      <c r="AZ169" s="165" t="str">
        <f>IFERROR(INDEX(D041_ClassFeatures!$L$2:$L$343,MATCH(C_Input!$AW169,D041_ClassFeatures!$B$2:$B$343,0),1),"")</f>
        <v/>
      </c>
      <c r="BA169" s="165">
        <f t="shared" si="38"/>
        <v>0</v>
      </c>
      <c r="BB169" s="165" t="str">
        <f t="array" ref="BB169">IFERROR(INDEX(D041_ClassFeatures!$B$2:$B$556,MATCH(C_Input!AW169&amp;INDEX(C_Variables!$O$4:$O$9,MATCH(INDEX($AR$160:$AR$239,MATCH(AW169,$AT$160:$AT$239,0),1),C_Variables!$M$4:$M$9,0),1),D041_ClassFeatures!$J$2:$J$556&amp;D041_ClassFeatures!$I$2:$I$556,0),1),"")</f>
        <v/>
      </c>
      <c r="BC169" s="165" t="str">
        <f t="shared" si="39"/>
        <v/>
      </c>
      <c r="BD169" s="165" t="str">
        <f>IFERROR(INDEX(D041_ClassFeatures!$C$2:$C$546,MATCH(C_Input!BC169,D041_ClassFeatures!$B$2:$B$546,0),1),"")</f>
        <v/>
      </c>
      <c r="BE169" s="165" t="str">
        <f>IFERROR(INDEX(D041_ClassFeatures!$D$2:$D$546,MATCH(C_Input!BC169,D041_ClassFeatures!$B$2:$B$546,0),1),"")</f>
        <v/>
      </c>
      <c r="BF169" s="165" t="str">
        <f t="shared" si="40"/>
        <v/>
      </c>
      <c r="BG169" s="202">
        <v>1</v>
      </c>
      <c r="BH169" s="165" t="str">
        <f t="shared" si="41"/>
        <v/>
      </c>
      <c r="BI169" s="165" t="str">
        <f t="shared" si="42"/>
        <v/>
      </c>
      <c r="BJ169" s="165">
        <f>IF(BG169=0,0,COUNTIF(BJ$160:$BJ168,"&gt;0")+1)</f>
        <v>10</v>
      </c>
    </row>
    <row r="170" spans="1:62" ht="15.95" customHeight="1" outlineLevel="1" x14ac:dyDescent="0.3">
      <c r="A170" s="716"/>
      <c r="B170" s="716"/>
      <c r="C170" s="716"/>
      <c r="D170" s="716"/>
      <c r="E170" s="716"/>
      <c r="F170" s="713"/>
      <c r="G170" s="716"/>
      <c r="H170" s="716"/>
      <c r="I170" s="716"/>
      <c r="J170" s="716"/>
      <c r="K170" s="716"/>
      <c r="L170" s="713"/>
      <c r="M170" s="716"/>
      <c r="N170" s="716"/>
      <c r="O170" s="716"/>
      <c r="P170" s="716"/>
      <c r="Q170" s="716"/>
      <c r="R170" s="713"/>
      <c r="S170" s="713"/>
      <c r="T170" s="713"/>
      <c r="U170" s="152"/>
      <c r="V170" s="152"/>
      <c r="W170" s="152"/>
      <c r="X170" s="152"/>
      <c r="Y170" s="152"/>
      <c r="Z170" s="152"/>
      <c r="AA170" s="152"/>
      <c r="AB170" s="152"/>
      <c r="AC170" s="152"/>
      <c r="AD170" s="152"/>
      <c r="AF170" s="171"/>
      <c r="AH170" s="153">
        <v>11</v>
      </c>
      <c r="AI170" s="293">
        <f t="shared" si="28"/>
        <v>0</v>
      </c>
      <c r="AJ170" s="293">
        <f>COUNTIF(AI$160:$AI170,AI170)</f>
        <v>11</v>
      </c>
      <c r="AK170" s="153" t="str">
        <f>IFERROR(MATCH(AI170,D04_Classes!$B$3:$B$102,0),"")</f>
        <v/>
      </c>
      <c r="AL170" s="153" t="str">
        <f>IFERROR(INDEX(D04_Classes!$CH$3:$DA$102,C_Input!AK170,C_Input!AJ170),"")</f>
        <v/>
      </c>
      <c r="AM170" s="153" t="str">
        <f t="shared" si="33"/>
        <v/>
      </c>
      <c r="AN170" s="153">
        <f t="shared" si="29"/>
        <v>0</v>
      </c>
      <c r="AO170" s="165" t="str">
        <f t="shared" si="30"/>
        <v/>
      </c>
      <c r="AP170" s="165" t="str">
        <f t="shared" si="31"/>
        <v/>
      </c>
      <c r="AQ170" s="165">
        <f>AQ169</f>
        <v>3</v>
      </c>
      <c r="AR170" s="165">
        <f t="shared" si="34"/>
        <v>0</v>
      </c>
      <c r="AS170" s="165">
        <v>11</v>
      </c>
      <c r="AT170" s="165" t="str">
        <f t="shared" si="32"/>
        <v/>
      </c>
      <c r="AU170" s="276">
        <f t="shared" si="35"/>
        <v>0</v>
      </c>
      <c r="AV170" s="276">
        <f>IF(AU170=0,0,COUNTIF(AV$160:$AV169,"&gt;0")+1)</f>
        <v>0</v>
      </c>
      <c r="AW170" s="165" t="str">
        <f t="shared" si="36"/>
        <v/>
      </c>
      <c r="AX170" s="165" t="str">
        <f t="shared" si="37"/>
        <v/>
      </c>
      <c r="AY170" s="165" t="str">
        <f>IFERROR(INDEX(D041_ClassFeatures!$K$2:$K$343,MATCH(C_Input!$AW170,D041_ClassFeatures!$B$2:$B$343,0),1),"")</f>
        <v/>
      </c>
      <c r="AZ170" s="165" t="str">
        <f>IFERROR(INDEX(D041_ClassFeatures!$L$2:$L$343,MATCH(C_Input!$AW170,D041_ClassFeatures!$B$2:$B$343,0),1),"")</f>
        <v/>
      </c>
      <c r="BA170" s="165">
        <f t="shared" si="38"/>
        <v>0</v>
      </c>
      <c r="BB170" s="165" t="str">
        <f t="array" ref="BB170">IFERROR(INDEX(D041_ClassFeatures!$B$2:$B$556,MATCH(C_Input!AW170&amp;INDEX(C_Variables!$O$4:$O$9,MATCH(INDEX($AR$160:$AR$239,MATCH(AW170,$AT$160:$AT$239,0),1),C_Variables!$M$4:$M$9,0),1),D041_ClassFeatures!$J$2:$J$556&amp;D041_ClassFeatures!$I$2:$I$556,0),1),"")</f>
        <v/>
      </c>
      <c r="BC170" s="165" t="str">
        <f t="shared" si="39"/>
        <v/>
      </c>
      <c r="BD170" s="165" t="str">
        <f>IFERROR(INDEX(D041_ClassFeatures!$C$2:$C$546,MATCH(C_Input!BC170,D041_ClassFeatures!$B$2:$B$546,0),1),"")</f>
        <v/>
      </c>
      <c r="BE170" s="165" t="str">
        <f>IFERROR(INDEX(D041_ClassFeatures!$D$2:$D$546,MATCH(C_Input!BC170,D041_ClassFeatures!$B$2:$B$546,0),1),"")</f>
        <v/>
      </c>
      <c r="BF170" s="165" t="str">
        <f t="shared" si="40"/>
        <v/>
      </c>
      <c r="BG170" s="202">
        <v>1</v>
      </c>
      <c r="BH170" s="165" t="str">
        <f t="shared" si="41"/>
        <v/>
      </c>
      <c r="BI170" s="165" t="str">
        <f t="shared" si="42"/>
        <v/>
      </c>
      <c r="BJ170" s="165">
        <f>IF(BG170=0,0,COUNTIF(BJ$160:$BJ169,"&gt;0")+1)</f>
        <v>11</v>
      </c>
    </row>
    <row r="171" spans="1:62" ht="15.95" customHeight="1" outlineLevel="1" x14ac:dyDescent="0.3">
      <c r="A171" s="716"/>
      <c r="B171" s="716"/>
      <c r="C171" s="716"/>
      <c r="D171" s="716"/>
      <c r="E171" s="716"/>
      <c r="F171" s="713"/>
      <c r="G171" s="716"/>
      <c r="H171" s="716"/>
      <c r="I171" s="716"/>
      <c r="J171" s="716"/>
      <c r="K171" s="716"/>
      <c r="L171" s="713"/>
      <c r="M171" s="716"/>
      <c r="N171" s="716"/>
      <c r="O171" s="716"/>
      <c r="P171" s="716"/>
      <c r="Q171" s="716"/>
      <c r="R171" s="713"/>
      <c r="S171" s="713"/>
      <c r="T171" s="713"/>
      <c r="U171" s="152"/>
      <c r="V171" s="152"/>
      <c r="W171" s="152"/>
      <c r="X171" s="152"/>
      <c r="Y171" s="152"/>
      <c r="Z171" s="152"/>
      <c r="AA171" s="152"/>
      <c r="AB171" s="152"/>
      <c r="AC171" s="152"/>
      <c r="AD171" s="152"/>
      <c r="AF171" s="171"/>
      <c r="AH171" s="153">
        <v>12</v>
      </c>
      <c r="AI171" s="293">
        <f t="shared" si="28"/>
        <v>0</v>
      </c>
      <c r="AJ171" s="293">
        <f>COUNTIF(AI$160:$AI171,AI171)</f>
        <v>12</v>
      </c>
      <c r="AK171" s="153" t="str">
        <f>IFERROR(MATCH(AI171,D04_Classes!$B$3:$B$102,0),"")</f>
        <v/>
      </c>
      <c r="AL171" s="153" t="str">
        <f>IFERROR(INDEX(D04_Classes!$CH$3:$DA$102,C_Input!AK171,C_Input!AJ171),"")</f>
        <v/>
      </c>
      <c r="AM171" s="153" t="str">
        <f>IFERROR(TRIM(MID(TRIM(TRIM(TRIM(TRIM($AL171)))),1,SEARCH(",",TRIM(TRIM(TRIM(TRIM($AL171)))),1)-1)),"")</f>
        <v/>
      </c>
      <c r="AN171" s="153">
        <f t="shared" si="29"/>
        <v>0</v>
      </c>
      <c r="AO171" s="165" t="str">
        <f t="shared" si="30"/>
        <v/>
      </c>
      <c r="AP171" s="165" t="str">
        <f t="shared" si="31"/>
        <v/>
      </c>
      <c r="AQ171" s="165">
        <f>AQ170</f>
        <v>3</v>
      </c>
      <c r="AR171" s="165">
        <f t="shared" si="34"/>
        <v>0</v>
      </c>
      <c r="AS171" s="165">
        <v>12</v>
      </c>
      <c r="AT171" s="165" t="str">
        <f t="shared" si="32"/>
        <v/>
      </c>
      <c r="AU171" s="276">
        <f t="shared" si="35"/>
        <v>0</v>
      </c>
      <c r="AV171" s="276">
        <f>IF(AU171=0,0,COUNTIF(AV$160:$AV170,"&gt;0")+1)</f>
        <v>0</v>
      </c>
      <c r="AW171" s="165" t="str">
        <f t="shared" si="36"/>
        <v/>
      </c>
      <c r="AX171" s="165" t="str">
        <f t="shared" si="37"/>
        <v/>
      </c>
      <c r="AY171" s="165" t="str">
        <f>IFERROR(INDEX(D041_ClassFeatures!$K$2:$K$343,MATCH(C_Input!$AW171,D041_ClassFeatures!$B$2:$B$343,0),1),"")</f>
        <v/>
      </c>
      <c r="AZ171" s="165" t="str">
        <f>IFERROR(INDEX(D041_ClassFeatures!$L$2:$L$343,MATCH(C_Input!$AW171,D041_ClassFeatures!$B$2:$B$343,0),1),"")</f>
        <v/>
      </c>
      <c r="BA171" s="165">
        <f t="shared" si="38"/>
        <v>0</v>
      </c>
      <c r="BB171" s="165" t="str">
        <f t="array" ref="BB171">IFERROR(INDEX(D041_ClassFeatures!$B$2:$B$556,MATCH(C_Input!AW171&amp;INDEX(C_Variables!$O$4:$O$9,MATCH(INDEX($AR$160:$AR$239,MATCH(AW171,$AT$160:$AT$239,0),1),C_Variables!$M$4:$M$9,0),1),D041_ClassFeatures!$J$2:$J$556&amp;D041_ClassFeatures!$I$2:$I$556,0),1),"")</f>
        <v/>
      </c>
      <c r="BC171" s="165" t="str">
        <f t="shared" si="39"/>
        <v/>
      </c>
      <c r="BD171" s="165" t="str">
        <f>IFERROR(INDEX(D041_ClassFeatures!$C$2:$C$546,MATCH(C_Input!BC171,D041_ClassFeatures!$B$2:$B$546,0),1),"")</f>
        <v/>
      </c>
      <c r="BE171" s="165" t="str">
        <f>IFERROR(INDEX(D041_ClassFeatures!$D$2:$D$546,MATCH(C_Input!BC171,D041_ClassFeatures!$B$2:$B$546,0),1),"")</f>
        <v/>
      </c>
      <c r="BF171" s="165" t="str">
        <f t="shared" si="40"/>
        <v/>
      </c>
      <c r="BG171" s="202">
        <v>1</v>
      </c>
      <c r="BH171" s="165" t="str">
        <f t="shared" si="41"/>
        <v/>
      </c>
      <c r="BI171" s="165" t="str">
        <f t="shared" si="42"/>
        <v/>
      </c>
      <c r="BJ171" s="165">
        <f>IF(BG171=0,0,COUNTIF(BJ$160:$BJ170,"&gt;0")+1)</f>
        <v>12</v>
      </c>
    </row>
    <row r="172" spans="1:62" ht="15.95" customHeight="1" outlineLevel="1" x14ac:dyDescent="0.3">
      <c r="A172" s="716"/>
      <c r="B172" s="716"/>
      <c r="C172" s="716"/>
      <c r="D172" s="716"/>
      <c r="E172" s="716"/>
      <c r="F172" s="713"/>
      <c r="G172" s="716"/>
      <c r="H172" s="716"/>
      <c r="I172" s="716"/>
      <c r="J172" s="716"/>
      <c r="K172" s="716"/>
      <c r="L172" s="713"/>
      <c r="M172" s="713"/>
      <c r="N172" s="713"/>
      <c r="O172" s="713"/>
      <c r="P172" s="713"/>
      <c r="Q172" s="713"/>
      <c r="R172" s="713"/>
      <c r="S172" s="713"/>
      <c r="T172" s="713"/>
      <c r="U172" s="152"/>
      <c r="V172" s="152"/>
      <c r="W172" s="152"/>
      <c r="X172" s="152"/>
      <c r="Y172" s="152"/>
      <c r="Z172" s="152"/>
      <c r="AA172" s="152"/>
      <c r="AB172" s="152"/>
      <c r="AC172" s="152"/>
      <c r="AD172" s="152"/>
      <c r="AF172" s="171"/>
      <c r="AH172" s="153">
        <v>13</v>
      </c>
      <c r="AI172" s="293">
        <f t="shared" si="28"/>
        <v>0</v>
      </c>
      <c r="AJ172" s="293">
        <f>COUNTIF(AI$160:$AI172,AI172)</f>
        <v>13</v>
      </c>
      <c r="AK172" s="153" t="str">
        <f>IFERROR(MATCH(AI172,D04_Classes!$B$3:$B$102,0),"")</f>
        <v/>
      </c>
      <c r="AL172" s="153" t="str">
        <f>IFERROR(INDEX(D04_Classes!$CH$3:$DA$102,C_Input!AK172,C_Input!AJ172),"")</f>
        <v/>
      </c>
      <c r="AM172" s="153" t="str">
        <f t="shared" si="33"/>
        <v/>
      </c>
      <c r="AN172" s="153">
        <f t="shared" si="29"/>
        <v>0</v>
      </c>
      <c r="AO172" s="165" t="str">
        <f t="shared" si="30"/>
        <v/>
      </c>
      <c r="AP172" s="165" t="str">
        <f t="shared" si="31"/>
        <v/>
      </c>
      <c r="AQ172" s="165">
        <f t="shared" ref="AQ172" si="43">AQ171+1</f>
        <v>4</v>
      </c>
      <c r="AR172" s="165">
        <f t="shared" si="34"/>
        <v>0</v>
      </c>
      <c r="AS172" s="165">
        <v>13</v>
      </c>
      <c r="AT172" s="165" t="str">
        <f t="shared" si="32"/>
        <v/>
      </c>
      <c r="AU172" s="276">
        <f t="shared" si="35"/>
        <v>0</v>
      </c>
      <c r="AV172" s="276">
        <f>IF(AU172=0,0,COUNTIF(AV$160:$AV171,"&gt;0")+1)</f>
        <v>0</v>
      </c>
      <c r="AW172" s="165" t="str">
        <f t="shared" si="36"/>
        <v/>
      </c>
      <c r="AX172" s="165" t="str">
        <f t="shared" si="37"/>
        <v/>
      </c>
      <c r="AY172" s="165" t="str">
        <f>IFERROR(INDEX(D041_ClassFeatures!$K$2:$K$343,MATCH(C_Input!$AW172,D041_ClassFeatures!$B$2:$B$343,0),1),"")</f>
        <v/>
      </c>
      <c r="AZ172" s="165" t="str">
        <f>IFERROR(INDEX(D041_ClassFeatures!$L$2:$L$343,MATCH(C_Input!$AW172,D041_ClassFeatures!$B$2:$B$343,0),1),"")</f>
        <v/>
      </c>
      <c r="BA172" s="165">
        <f t="shared" si="38"/>
        <v>0</v>
      </c>
      <c r="BB172" s="165" t="str">
        <f t="array" ref="BB172">IFERROR(INDEX(D041_ClassFeatures!$B$2:$B$556,MATCH(C_Input!AW172&amp;INDEX(C_Variables!$O$4:$O$9,MATCH(INDEX($AR$160:$AR$239,MATCH(AW172,$AT$160:$AT$239,0),1),C_Variables!$M$4:$M$9,0),1),D041_ClassFeatures!$J$2:$J$556&amp;D041_ClassFeatures!$I$2:$I$556,0),1),"")</f>
        <v/>
      </c>
      <c r="BC172" s="165" t="str">
        <f t="shared" si="39"/>
        <v/>
      </c>
      <c r="BD172" s="165" t="str">
        <f>IFERROR(INDEX(D041_ClassFeatures!$C$2:$C$546,MATCH(C_Input!BC172,D041_ClassFeatures!$B$2:$B$546,0),1),"")</f>
        <v/>
      </c>
      <c r="BE172" s="165" t="str">
        <f>IFERROR(INDEX(D041_ClassFeatures!$D$2:$D$546,MATCH(C_Input!BC172,D041_ClassFeatures!$B$2:$B$546,0),1),"")</f>
        <v/>
      </c>
      <c r="BF172" s="165" t="str">
        <f t="shared" si="40"/>
        <v/>
      </c>
      <c r="BG172" s="202">
        <v>1</v>
      </c>
      <c r="BH172" s="165" t="str">
        <f t="shared" si="41"/>
        <v/>
      </c>
      <c r="BI172" s="165" t="str">
        <f t="shared" si="42"/>
        <v/>
      </c>
      <c r="BJ172" s="165">
        <f>IF(BG172=0,0,COUNTIF(BJ$160:$BJ171,"&gt;0")+1)</f>
        <v>13</v>
      </c>
    </row>
    <row r="173" spans="1:62" ht="15.95" customHeight="1" outlineLevel="1" x14ac:dyDescent="0.3">
      <c r="A173" s="716"/>
      <c r="B173" s="716"/>
      <c r="C173" s="716"/>
      <c r="D173" s="716"/>
      <c r="E173" s="716"/>
      <c r="F173" s="713"/>
      <c r="G173" s="716"/>
      <c r="H173" s="716"/>
      <c r="I173" s="716"/>
      <c r="J173" s="716"/>
      <c r="K173" s="716"/>
      <c r="L173" s="713"/>
      <c r="M173" s="722" t="s">
        <v>4158</v>
      </c>
      <c r="N173" s="722"/>
      <c r="O173" s="722"/>
      <c r="P173" s="719">
        <f>Q173-COUNTA(M175:Q180)</f>
        <v>0</v>
      </c>
      <c r="Q173" s="723">
        <f>RangerNaturalExplorer</f>
        <v>0</v>
      </c>
      <c r="R173" s="713"/>
      <c r="S173" s="713"/>
      <c r="T173" s="713"/>
      <c r="U173" s="152"/>
      <c r="V173" s="152"/>
      <c r="W173" s="152"/>
      <c r="X173" s="152"/>
      <c r="Y173" s="152"/>
      <c r="Z173" s="152"/>
      <c r="AA173" s="152"/>
      <c r="AB173" s="152"/>
      <c r="AC173" s="152"/>
      <c r="AD173" s="152"/>
      <c r="AF173" s="171"/>
      <c r="AH173" s="153">
        <v>14</v>
      </c>
      <c r="AI173" s="293">
        <f t="shared" si="28"/>
        <v>0</v>
      </c>
      <c r="AJ173" s="293">
        <f>COUNTIF(AI$160:$AI173,AI173)</f>
        <v>14</v>
      </c>
      <c r="AK173" s="153" t="str">
        <f>IFERROR(MATCH(AI173,D04_Classes!$B$3:$B$102,0),"")</f>
        <v/>
      </c>
      <c r="AL173" s="153" t="str">
        <f>IFERROR(INDEX(D04_Classes!$CH$3:$DA$102,C_Input!AK173,C_Input!AJ173),"")</f>
        <v/>
      </c>
      <c r="AM173" s="153" t="str">
        <f t="shared" si="33"/>
        <v/>
      </c>
      <c r="AN173" s="153">
        <f t="shared" si="29"/>
        <v>0</v>
      </c>
      <c r="AO173" s="165" t="str">
        <f t="shared" si="30"/>
        <v/>
      </c>
      <c r="AP173" s="165" t="str">
        <f t="shared" si="31"/>
        <v/>
      </c>
      <c r="AQ173" s="165">
        <f t="shared" ref="AQ173:AQ175" si="44">AQ172</f>
        <v>4</v>
      </c>
      <c r="AR173" s="165">
        <f t="shared" si="34"/>
        <v>0</v>
      </c>
      <c r="AS173" s="165">
        <v>14</v>
      </c>
      <c r="AT173" s="165">
        <f t="shared" si="32"/>
        <v>0</v>
      </c>
      <c r="AU173" s="276">
        <f t="shared" si="35"/>
        <v>0</v>
      </c>
      <c r="AV173" s="276">
        <f>IF(AU173=0,0,COUNTIF(AV$160:$AV172,"&gt;0")+1)</f>
        <v>0</v>
      </c>
      <c r="AW173" s="165" t="str">
        <f t="shared" si="36"/>
        <v/>
      </c>
      <c r="AX173" s="165" t="str">
        <f t="shared" si="37"/>
        <v/>
      </c>
      <c r="AY173" s="165" t="str">
        <f>IFERROR(INDEX(D041_ClassFeatures!$K$2:$K$343,MATCH(C_Input!$AW173,D041_ClassFeatures!$B$2:$B$343,0),1),"")</f>
        <v/>
      </c>
      <c r="AZ173" s="165" t="str">
        <f>IFERROR(INDEX(D041_ClassFeatures!$L$2:$L$343,MATCH(C_Input!$AW173,D041_ClassFeatures!$B$2:$B$343,0),1),"")</f>
        <v/>
      </c>
      <c r="BA173" s="165">
        <f t="shared" si="38"/>
        <v>0</v>
      </c>
      <c r="BB173" s="165" t="str">
        <f t="array" ref="BB173">IFERROR(INDEX(D041_ClassFeatures!$B$2:$B$556,MATCH(C_Input!AW173&amp;INDEX(C_Variables!$O$4:$O$9,MATCH(INDEX($AR$160:$AR$239,MATCH(AW173,$AT$160:$AT$239,0),1),C_Variables!$M$4:$M$9,0),1),D041_ClassFeatures!$J$2:$J$556&amp;D041_ClassFeatures!$I$2:$I$556,0),1),"")</f>
        <v/>
      </c>
      <c r="BC173" s="165" t="str">
        <f t="shared" si="39"/>
        <v/>
      </c>
      <c r="BD173" s="165" t="str">
        <f>IFERROR(INDEX(D041_ClassFeatures!$C$2:$C$546,MATCH(C_Input!BC173,D041_ClassFeatures!$B$2:$B$546,0),1),"")</f>
        <v/>
      </c>
      <c r="BE173" s="165" t="str">
        <f>IFERROR(INDEX(D041_ClassFeatures!$D$2:$D$546,MATCH(C_Input!BC173,D041_ClassFeatures!$B$2:$B$546,0),1),"")</f>
        <v/>
      </c>
      <c r="BF173" s="165" t="str">
        <f t="shared" si="40"/>
        <v/>
      </c>
      <c r="BG173" s="202">
        <v>1</v>
      </c>
      <c r="BH173" s="165" t="str">
        <f t="shared" si="41"/>
        <v/>
      </c>
      <c r="BI173" s="165" t="str">
        <f t="shared" si="42"/>
        <v/>
      </c>
      <c r="BJ173" s="165">
        <f>IF(BG173=0,0,COUNTIF(BJ$160:$BJ172,"&gt;0")+1)</f>
        <v>14</v>
      </c>
    </row>
    <row r="174" spans="1:62" ht="15.95" customHeight="1" outlineLevel="1" x14ac:dyDescent="0.3">
      <c r="A174" s="716"/>
      <c r="B174" s="716"/>
      <c r="C174" s="716"/>
      <c r="D174" s="716"/>
      <c r="E174" s="716"/>
      <c r="F174" s="713"/>
      <c r="G174" s="716"/>
      <c r="H174" s="716"/>
      <c r="I174" s="716"/>
      <c r="J174" s="716"/>
      <c r="K174" s="716"/>
      <c r="L174" s="713"/>
      <c r="M174" s="722"/>
      <c r="N174" s="722"/>
      <c r="O174" s="722"/>
      <c r="P174" s="719"/>
      <c r="Q174" s="723"/>
      <c r="R174" s="713"/>
      <c r="S174" s="713"/>
      <c r="T174" s="713"/>
      <c r="U174" s="152"/>
      <c r="V174" s="152"/>
      <c r="W174" s="152"/>
      <c r="X174" s="152"/>
      <c r="Y174" s="152"/>
      <c r="Z174" s="152"/>
      <c r="AA174" s="152"/>
      <c r="AB174" s="152"/>
      <c r="AC174" s="152"/>
      <c r="AD174" s="152"/>
      <c r="AF174" s="171"/>
      <c r="AH174" s="153">
        <v>15</v>
      </c>
      <c r="AI174" s="293">
        <f t="shared" si="28"/>
        <v>0</v>
      </c>
      <c r="AJ174" s="293">
        <f>COUNTIF(AI$160:$AI174,AI174)</f>
        <v>15</v>
      </c>
      <c r="AK174" s="153" t="str">
        <f>IFERROR(MATCH(AI174,D04_Classes!$B$3:$B$102,0),"")</f>
        <v/>
      </c>
      <c r="AL174" s="153" t="str">
        <f>IFERROR(INDEX(D04_Classes!$CH$3:$DA$102,C_Input!AK174,C_Input!AJ174),"")</f>
        <v/>
      </c>
      <c r="AM174" s="153" t="str">
        <f t="shared" si="33"/>
        <v/>
      </c>
      <c r="AN174" s="153">
        <f t="shared" si="29"/>
        <v>0</v>
      </c>
      <c r="AO174" s="165" t="str">
        <f t="shared" si="30"/>
        <v/>
      </c>
      <c r="AP174" s="165" t="str">
        <f t="shared" si="31"/>
        <v/>
      </c>
      <c r="AQ174" s="165">
        <f t="shared" si="44"/>
        <v>4</v>
      </c>
      <c r="AR174" s="165">
        <f t="shared" si="34"/>
        <v>0</v>
      </c>
      <c r="AS174" s="165">
        <v>15</v>
      </c>
      <c r="AT174" s="165" t="str">
        <f t="shared" si="32"/>
        <v/>
      </c>
      <c r="AU174" s="276">
        <f t="shared" si="35"/>
        <v>0</v>
      </c>
      <c r="AV174" s="276">
        <f>IF(AU174=0,0,COUNTIF(AV$160:$AV173,"&gt;0")+1)</f>
        <v>0</v>
      </c>
      <c r="AW174" s="165" t="str">
        <f t="shared" si="36"/>
        <v/>
      </c>
      <c r="AX174" s="165" t="str">
        <f t="shared" si="37"/>
        <v/>
      </c>
      <c r="AY174" s="165" t="str">
        <f>IFERROR(INDEX(D041_ClassFeatures!$K$2:$K$343,MATCH(C_Input!$AW174,D041_ClassFeatures!$B$2:$B$343,0),1),"")</f>
        <v/>
      </c>
      <c r="AZ174" s="165" t="str">
        <f>IFERROR(INDEX(D041_ClassFeatures!$L$2:$L$343,MATCH(C_Input!$AW174,D041_ClassFeatures!$B$2:$B$343,0),1),"")</f>
        <v/>
      </c>
      <c r="BA174" s="165">
        <f t="shared" si="38"/>
        <v>0</v>
      </c>
      <c r="BB174" s="165" t="str">
        <f t="array" ref="BB174">IFERROR(INDEX(D041_ClassFeatures!$B$2:$B$556,MATCH(C_Input!AW174&amp;INDEX(C_Variables!$O$4:$O$9,MATCH(INDEX($AR$160:$AR$239,MATCH(AW174,$AT$160:$AT$239,0),1),C_Variables!$M$4:$M$9,0),1),D041_ClassFeatures!$J$2:$J$556&amp;D041_ClassFeatures!$I$2:$I$556,0),1),"")</f>
        <v/>
      </c>
      <c r="BC174" s="165" t="str">
        <f t="shared" si="39"/>
        <v/>
      </c>
      <c r="BD174" s="165" t="str">
        <f>IFERROR(INDEX(D041_ClassFeatures!$C$2:$C$546,MATCH(C_Input!BC174,D041_ClassFeatures!$B$2:$B$546,0),1),"")</f>
        <v/>
      </c>
      <c r="BE174" s="165" t="str">
        <f>IFERROR(INDEX(D041_ClassFeatures!$D$2:$D$546,MATCH(C_Input!BC174,D041_ClassFeatures!$B$2:$B$546,0),1),"")</f>
        <v/>
      </c>
      <c r="BF174" s="165" t="str">
        <f t="shared" si="40"/>
        <v/>
      </c>
      <c r="BG174" s="202">
        <v>1</v>
      </c>
      <c r="BH174" s="165" t="str">
        <f t="shared" si="41"/>
        <v/>
      </c>
      <c r="BI174" s="165" t="str">
        <f t="shared" si="42"/>
        <v/>
      </c>
      <c r="BJ174" s="165">
        <f>IF(BG174=0,0,COUNTIF(BJ$160:$BJ173,"&gt;0")+1)</f>
        <v>15</v>
      </c>
    </row>
    <row r="175" spans="1:62" ht="15.95" customHeight="1" outlineLevel="1" x14ac:dyDescent="0.3">
      <c r="A175" s="716"/>
      <c r="B175" s="716"/>
      <c r="C175" s="716"/>
      <c r="D175" s="716"/>
      <c r="E175" s="716"/>
      <c r="F175" s="713"/>
      <c r="G175" s="716"/>
      <c r="H175" s="716"/>
      <c r="I175" s="716"/>
      <c r="J175" s="716"/>
      <c r="K175" s="716"/>
      <c r="L175" s="713"/>
      <c r="M175" s="911"/>
      <c r="N175" s="911"/>
      <c r="O175" s="911"/>
      <c r="P175" s="911"/>
      <c r="Q175" s="911"/>
      <c r="R175" s="713"/>
      <c r="S175" s="713"/>
      <c r="T175" s="713"/>
      <c r="U175" s="152"/>
      <c r="V175" s="152"/>
      <c r="W175" s="152"/>
      <c r="X175" s="152"/>
      <c r="Y175" s="152"/>
      <c r="Z175" s="152"/>
      <c r="AA175" s="152"/>
      <c r="AB175" s="152"/>
      <c r="AC175" s="152"/>
      <c r="AD175" s="152"/>
      <c r="AF175" s="171"/>
      <c r="AH175" s="153">
        <v>16</v>
      </c>
      <c r="AI175" s="293">
        <f t="shared" si="28"/>
        <v>0</v>
      </c>
      <c r="AJ175" s="293">
        <f>COUNTIF(AI$160:$AI175,AI175)</f>
        <v>16</v>
      </c>
      <c r="AK175" s="153" t="str">
        <f>IFERROR(MATCH(AI175,D04_Classes!$B$3:$B$102,0),"")</f>
        <v/>
      </c>
      <c r="AL175" s="153" t="str">
        <f>IFERROR(INDEX(D04_Classes!$CH$3:$DA$102,C_Input!AK175,C_Input!AJ175),"")</f>
        <v/>
      </c>
      <c r="AM175" s="153" t="str">
        <f t="shared" si="33"/>
        <v/>
      </c>
      <c r="AN175" s="153">
        <f t="shared" si="29"/>
        <v>0</v>
      </c>
      <c r="AO175" s="165" t="str">
        <f t="shared" si="30"/>
        <v/>
      </c>
      <c r="AP175" s="165" t="str">
        <f t="shared" si="31"/>
        <v/>
      </c>
      <c r="AQ175" s="165">
        <f t="shared" si="44"/>
        <v>4</v>
      </c>
      <c r="AR175" s="165">
        <f t="shared" si="34"/>
        <v>0</v>
      </c>
      <c r="AS175" s="165">
        <v>16</v>
      </c>
      <c r="AT175" s="165" t="str">
        <f t="shared" si="32"/>
        <v/>
      </c>
      <c r="AU175" s="276">
        <f t="shared" si="35"/>
        <v>0</v>
      </c>
      <c r="AV175" s="276">
        <f>IF(AU175=0,0,COUNTIF(AV$160:$AV174,"&gt;0")+1)</f>
        <v>0</v>
      </c>
      <c r="AW175" s="165" t="str">
        <f t="shared" si="36"/>
        <v/>
      </c>
      <c r="AX175" s="165" t="str">
        <f t="shared" si="37"/>
        <v/>
      </c>
      <c r="AY175" s="165" t="str">
        <f>IFERROR(INDEX(D041_ClassFeatures!$K$2:$K$343,MATCH(C_Input!$AW175,D041_ClassFeatures!$B$2:$B$343,0),1),"")</f>
        <v/>
      </c>
      <c r="AZ175" s="165" t="str">
        <f>IFERROR(INDEX(D041_ClassFeatures!$L$2:$L$343,MATCH(C_Input!$AW175,D041_ClassFeatures!$B$2:$B$343,0),1),"")</f>
        <v/>
      </c>
      <c r="BA175" s="165">
        <f t="shared" si="38"/>
        <v>0</v>
      </c>
      <c r="BB175" s="165" t="str">
        <f t="array" ref="BB175">IFERROR(INDEX(D041_ClassFeatures!$B$2:$B$556,MATCH(C_Input!AW175&amp;INDEX(C_Variables!$O$4:$O$9,MATCH(INDEX($AR$160:$AR$239,MATCH(AW175,$AT$160:$AT$239,0),1),C_Variables!$M$4:$M$9,0),1),D041_ClassFeatures!$J$2:$J$556&amp;D041_ClassFeatures!$I$2:$I$556,0),1),"")</f>
        <v/>
      </c>
      <c r="BC175" s="165" t="str">
        <f t="shared" si="39"/>
        <v/>
      </c>
      <c r="BD175" s="165" t="str">
        <f>IFERROR(INDEX(D041_ClassFeatures!$C$2:$C$546,MATCH(C_Input!BC175,D041_ClassFeatures!$B$2:$B$546,0),1),"")</f>
        <v/>
      </c>
      <c r="BE175" s="165" t="str">
        <f>IFERROR(INDEX(D041_ClassFeatures!$D$2:$D$546,MATCH(C_Input!BC175,D041_ClassFeatures!$B$2:$B$546,0),1),"")</f>
        <v/>
      </c>
      <c r="BF175" s="165" t="str">
        <f t="shared" si="40"/>
        <v/>
      </c>
      <c r="BG175" s="202">
        <v>1</v>
      </c>
      <c r="BH175" s="165" t="str">
        <f t="shared" si="41"/>
        <v/>
      </c>
      <c r="BI175" s="165" t="str">
        <f t="shared" si="42"/>
        <v/>
      </c>
      <c r="BJ175" s="165">
        <f>IF(BG175=0,0,COUNTIF(BJ$160:$BJ174,"&gt;0")+1)</f>
        <v>16</v>
      </c>
    </row>
    <row r="176" spans="1:62" ht="15.95" customHeight="1" outlineLevel="1" x14ac:dyDescent="0.3">
      <c r="A176" s="716"/>
      <c r="B176" s="716"/>
      <c r="C176" s="716"/>
      <c r="D176" s="716"/>
      <c r="E176" s="716"/>
      <c r="F176" s="713"/>
      <c r="G176" s="716"/>
      <c r="H176" s="716"/>
      <c r="I176" s="716"/>
      <c r="J176" s="716"/>
      <c r="K176" s="716"/>
      <c r="L176" s="713"/>
      <c r="M176" s="911"/>
      <c r="N176" s="911"/>
      <c r="O176" s="911"/>
      <c r="P176" s="911"/>
      <c r="Q176" s="911"/>
      <c r="R176" s="713"/>
      <c r="S176" s="713"/>
      <c r="T176" s="713"/>
      <c r="U176" s="152"/>
      <c r="V176" s="152"/>
      <c r="W176" s="152"/>
      <c r="X176" s="152"/>
      <c r="Y176" s="152"/>
      <c r="Z176" s="152"/>
      <c r="AA176" s="152"/>
      <c r="AB176" s="152"/>
      <c r="AC176" s="152"/>
      <c r="AD176" s="152"/>
      <c r="AF176" s="171"/>
      <c r="AH176" s="153">
        <v>17</v>
      </c>
      <c r="AI176" s="293">
        <f t="shared" si="28"/>
        <v>0</v>
      </c>
      <c r="AJ176" s="293">
        <f>COUNTIF(AI$160:$AI176,AI176)</f>
        <v>17</v>
      </c>
      <c r="AK176" s="153" t="str">
        <f>IFERROR(MATCH(AI176,D04_Classes!$B$3:$B$102,0),"")</f>
        <v/>
      </c>
      <c r="AL176" s="153" t="str">
        <f>IFERROR(INDEX(D04_Classes!$CH$3:$DA$102,C_Input!AK176,C_Input!AJ176),"")</f>
        <v/>
      </c>
      <c r="AM176" s="153" t="str">
        <f t="shared" si="33"/>
        <v/>
      </c>
      <c r="AN176" s="153">
        <f t="shared" si="29"/>
        <v>0</v>
      </c>
      <c r="AO176" s="165" t="str">
        <f t="shared" si="30"/>
        <v/>
      </c>
      <c r="AP176" s="165" t="str">
        <f t="shared" si="31"/>
        <v/>
      </c>
      <c r="AQ176" s="165">
        <f t="shared" ref="AQ176" si="45">AQ175+1</f>
        <v>5</v>
      </c>
      <c r="AR176" s="165">
        <f t="shared" si="34"/>
        <v>0</v>
      </c>
      <c r="AS176" s="165">
        <v>17</v>
      </c>
      <c r="AT176" s="165" t="str">
        <f t="shared" si="32"/>
        <v/>
      </c>
      <c r="AU176" s="276">
        <f t="shared" si="35"/>
        <v>0</v>
      </c>
      <c r="AV176" s="276">
        <f>IF(AU176=0,0,COUNTIF(AV$160:$AV175,"&gt;0")+1)</f>
        <v>0</v>
      </c>
      <c r="AW176" s="165" t="str">
        <f t="shared" si="36"/>
        <v/>
      </c>
      <c r="AX176" s="165" t="str">
        <f t="shared" si="37"/>
        <v/>
      </c>
      <c r="AY176" s="165" t="str">
        <f>IFERROR(INDEX(D041_ClassFeatures!$K$2:$K$343,MATCH(C_Input!$AW176,D041_ClassFeatures!$B$2:$B$343,0),1),"")</f>
        <v/>
      </c>
      <c r="AZ176" s="165" t="str">
        <f>IFERROR(INDEX(D041_ClassFeatures!$L$2:$L$343,MATCH(C_Input!$AW176,D041_ClassFeatures!$B$2:$B$343,0),1),"")</f>
        <v/>
      </c>
      <c r="BA176" s="165">
        <f t="shared" si="38"/>
        <v>0</v>
      </c>
      <c r="BB176" s="165" t="str">
        <f t="array" ref="BB176">IFERROR(INDEX(D041_ClassFeatures!$B$2:$B$556,MATCH(C_Input!AW176&amp;INDEX(C_Variables!$O$4:$O$9,MATCH(INDEX($AR$160:$AR$239,MATCH(AW176,$AT$160:$AT$239,0),1),C_Variables!$M$4:$M$9,0),1),D041_ClassFeatures!$J$2:$J$556&amp;D041_ClassFeatures!$I$2:$I$556,0),1),"")</f>
        <v/>
      </c>
      <c r="BC176" s="165" t="str">
        <f t="shared" si="39"/>
        <v/>
      </c>
      <c r="BD176" s="165" t="str">
        <f>IFERROR(INDEX(D041_ClassFeatures!$C$2:$C$546,MATCH(C_Input!BC176,D041_ClassFeatures!$B$2:$B$546,0),1),"")</f>
        <v/>
      </c>
      <c r="BE176" s="165" t="str">
        <f>IFERROR(INDEX(D041_ClassFeatures!$D$2:$D$546,MATCH(C_Input!BC176,D041_ClassFeatures!$B$2:$B$546,0),1),"")</f>
        <v/>
      </c>
      <c r="BF176" s="165" t="str">
        <f t="shared" si="40"/>
        <v/>
      </c>
      <c r="BG176" s="202">
        <v>1</v>
      </c>
      <c r="BH176" s="165" t="str">
        <f t="shared" si="41"/>
        <v/>
      </c>
      <c r="BI176" s="165" t="str">
        <f t="shared" si="42"/>
        <v/>
      </c>
      <c r="BJ176" s="165">
        <f>IF(BG176=0,0,COUNTIF(BJ$160:$BJ175,"&gt;0")+1)</f>
        <v>17</v>
      </c>
    </row>
    <row r="177" spans="1:62" ht="15.95" customHeight="1" outlineLevel="1" x14ac:dyDescent="0.3">
      <c r="A177" s="716"/>
      <c r="B177" s="716"/>
      <c r="C177" s="716"/>
      <c r="D177" s="716"/>
      <c r="E177" s="716"/>
      <c r="F177" s="713"/>
      <c r="G177" s="716"/>
      <c r="H177" s="716"/>
      <c r="I177" s="716"/>
      <c r="J177" s="716"/>
      <c r="K177" s="716"/>
      <c r="L177" s="713"/>
      <c r="M177" s="911"/>
      <c r="N177" s="911"/>
      <c r="O177" s="911"/>
      <c r="P177" s="911"/>
      <c r="Q177" s="911"/>
      <c r="R177" s="713"/>
      <c r="S177" s="713"/>
      <c r="T177" s="713"/>
      <c r="U177" s="152"/>
      <c r="V177" s="152"/>
      <c r="W177" s="152"/>
      <c r="X177" s="152"/>
      <c r="Y177" s="152"/>
      <c r="Z177" s="152"/>
      <c r="AA177" s="152"/>
      <c r="AB177" s="152"/>
      <c r="AC177" s="152"/>
      <c r="AD177" s="152"/>
      <c r="AF177" s="171"/>
      <c r="AH177" s="153">
        <v>18</v>
      </c>
      <c r="AI177" s="293">
        <f t="shared" si="28"/>
        <v>0</v>
      </c>
      <c r="AJ177" s="293">
        <f>COUNTIF(AI$160:$AI177,AI177)</f>
        <v>18</v>
      </c>
      <c r="AK177" s="153" t="str">
        <f>IFERROR(MATCH(AI177,D04_Classes!$B$3:$B$102,0),"")</f>
        <v/>
      </c>
      <c r="AL177" s="153" t="str">
        <f>IFERROR(INDEX(D04_Classes!$CH$3:$DA$102,C_Input!AK177,C_Input!AJ177),"")</f>
        <v/>
      </c>
      <c r="AM177" s="153" t="str">
        <f t="shared" si="33"/>
        <v/>
      </c>
      <c r="AN177" s="153">
        <f t="shared" si="29"/>
        <v>0</v>
      </c>
      <c r="AO177" s="165" t="str">
        <f t="shared" si="30"/>
        <v/>
      </c>
      <c r="AP177" s="165" t="str">
        <f t="shared" si="31"/>
        <v/>
      </c>
      <c r="AQ177" s="165">
        <f t="shared" ref="AQ177:AQ179" si="46">AQ176</f>
        <v>5</v>
      </c>
      <c r="AR177" s="165">
        <f t="shared" si="34"/>
        <v>0</v>
      </c>
      <c r="AS177" s="165">
        <v>18</v>
      </c>
      <c r="AT177" s="165">
        <f t="shared" si="32"/>
        <v>0</v>
      </c>
      <c r="AU177" s="276">
        <f t="shared" si="35"/>
        <v>0</v>
      </c>
      <c r="AV177" s="276">
        <f>IF(AU177=0,0,COUNTIF(AV$160:$AV176,"&gt;0")+1)</f>
        <v>0</v>
      </c>
      <c r="AW177" s="165" t="str">
        <f t="shared" si="36"/>
        <v/>
      </c>
      <c r="AX177" s="165" t="str">
        <f t="shared" si="37"/>
        <v/>
      </c>
      <c r="AY177" s="165" t="str">
        <f>IFERROR(INDEX(D041_ClassFeatures!$K$2:$K$343,MATCH(C_Input!$AW177,D041_ClassFeatures!$B$2:$B$343,0),1),"")</f>
        <v/>
      </c>
      <c r="AZ177" s="165" t="str">
        <f>IFERROR(INDEX(D041_ClassFeatures!$L$2:$L$343,MATCH(C_Input!$AW177,D041_ClassFeatures!$B$2:$B$343,0),1),"")</f>
        <v/>
      </c>
      <c r="BA177" s="165">
        <f t="shared" si="38"/>
        <v>0</v>
      </c>
      <c r="BB177" s="165" t="str">
        <f t="array" ref="BB177">IFERROR(INDEX(D041_ClassFeatures!$B$2:$B$556,MATCH(C_Input!AW177&amp;INDEX(C_Variables!$O$4:$O$9,MATCH(INDEX($AR$160:$AR$239,MATCH(AW177,$AT$160:$AT$239,0),1),C_Variables!$M$4:$M$9,0),1),D041_ClassFeatures!$J$2:$J$556&amp;D041_ClassFeatures!$I$2:$I$556,0),1),"")</f>
        <v/>
      </c>
      <c r="BC177" s="165" t="str">
        <f t="shared" si="39"/>
        <v/>
      </c>
      <c r="BD177" s="165" t="str">
        <f>IFERROR(INDEX(D041_ClassFeatures!$C$2:$C$546,MATCH(C_Input!BC177,D041_ClassFeatures!$B$2:$B$546,0),1),"")</f>
        <v/>
      </c>
      <c r="BE177" s="165" t="str">
        <f>IFERROR(INDEX(D041_ClassFeatures!$D$2:$D$546,MATCH(C_Input!BC177,D041_ClassFeatures!$B$2:$B$546,0),1),"")</f>
        <v/>
      </c>
      <c r="BF177" s="165" t="str">
        <f t="shared" si="40"/>
        <v/>
      </c>
      <c r="BG177" s="202">
        <v>1</v>
      </c>
      <c r="BH177" s="165" t="str">
        <f t="shared" si="41"/>
        <v/>
      </c>
      <c r="BI177" s="165" t="str">
        <f t="shared" si="42"/>
        <v/>
      </c>
      <c r="BJ177" s="165">
        <f>IF(BG177=0,0,COUNTIF(BJ$160:$BJ176,"&gt;0")+1)</f>
        <v>18</v>
      </c>
    </row>
    <row r="178" spans="1:62" ht="15.95" customHeight="1" outlineLevel="1" x14ac:dyDescent="0.3">
      <c r="A178" s="716"/>
      <c r="B178" s="716"/>
      <c r="C178" s="716"/>
      <c r="D178" s="716"/>
      <c r="E178" s="716"/>
      <c r="F178" s="713"/>
      <c r="G178" s="716"/>
      <c r="H178" s="716"/>
      <c r="I178" s="716"/>
      <c r="J178" s="716"/>
      <c r="K178" s="716"/>
      <c r="L178" s="713"/>
      <c r="M178" s="911"/>
      <c r="N178" s="911"/>
      <c r="O178" s="911"/>
      <c r="P178" s="911"/>
      <c r="Q178" s="911"/>
      <c r="R178" s="713"/>
      <c r="S178" s="713"/>
      <c r="T178" s="713"/>
      <c r="U178" s="152"/>
      <c r="V178" s="152"/>
      <c r="W178" s="152"/>
      <c r="X178" s="152"/>
      <c r="Y178" s="152"/>
      <c r="Z178" s="152"/>
      <c r="AA178" s="152"/>
      <c r="AB178" s="152"/>
      <c r="AC178" s="152"/>
      <c r="AD178" s="152"/>
      <c r="AF178" s="171"/>
      <c r="AH178" s="153">
        <v>19</v>
      </c>
      <c r="AI178" s="293">
        <f t="shared" si="28"/>
        <v>0</v>
      </c>
      <c r="AJ178" s="293">
        <f>COUNTIF(AI$160:$AI178,AI178)</f>
        <v>19</v>
      </c>
      <c r="AK178" s="153" t="str">
        <f>IFERROR(MATCH(AI178,D04_Classes!$B$3:$B$102,0),"")</f>
        <v/>
      </c>
      <c r="AL178" s="153" t="str">
        <f>IFERROR(INDEX(D04_Classes!$CH$3:$DA$102,C_Input!AK178,C_Input!AJ178),"")</f>
        <v/>
      </c>
      <c r="AM178" s="153" t="str">
        <f>IFERROR(TRIM(MID(TRIM(TRIM(TRIM(TRIM($AL178)))),1,SEARCH(",",TRIM(TRIM(TRIM(TRIM($AL178)))),1)-1)),"")</f>
        <v/>
      </c>
      <c r="AN178" s="153">
        <f t="shared" si="29"/>
        <v>0</v>
      </c>
      <c r="AO178" s="165" t="str">
        <f t="shared" si="30"/>
        <v/>
      </c>
      <c r="AP178" s="165" t="str">
        <f t="shared" si="31"/>
        <v/>
      </c>
      <c r="AQ178" s="165">
        <f t="shared" si="46"/>
        <v>5</v>
      </c>
      <c r="AR178" s="165">
        <f t="shared" si="34"/>
        <v>0</v>
      </c>
      <c r="AS178" s="165">
        <v>19</v>
      </c>
      <c r="AT178" s="165" t="str">
        <f t="shared" si="32"/>
        <v/>
      </c>
      <c r="AU178" s="276">
        <f t="shared" si="35"/>
        <v>0</v>
      </c>
      <c r="AV178" s="276">
        <f>IF(AU178=0,0,COUNTIF(AV$160:$AV177,"&gt;0")+1)</f>
        <v>0</v>
      </c>
      <c r="AW178" s="165" t="str">
        <f t="shared" si="36"/>
        <v/>
      </c>
      <c r="AX178" s="165" t="str">
        <f t="shared" si="37"/>
        <v/>
      </c>
      <c r="AY178" s="165" t="str">
        <f>IFERROR(INDEX(D041_ClassFeatures!$K$2:$K$343,MATCH(C_Input!$AW178,D041_ClassFeatures!$B$2:$B$343,0),1),"")</f>
        <v/>
      </c>
      <c r="AZ178" s="165" t="str">
        <f>IFERROR(INDEX(D041_ClassFeatures!$L$2:$L$343,MATCH(C_Input!$AW178,D041_ClassFeatures!$B$2:$B$343,0),1),"")</f>
        <v/>
      </c>
      <c r="BA178" s="165">
        <f t="shared" si="38"/>
        <v>0</v>
      </c>
      <c r="BB178" s="165" t="str">
        <f t="array" ref="BB178">IFERROR(INDEX(D041_ClassFeatures!$B$2:$B$556,MATCH(C_Input!AW178&amp;INDEX(C_Variables!$O$4:$O$9,MATCH(INDEX($AR$160:$AR$239,MATCH(AW178,$AT$160:$AT$239,0),1),C_Variables!$M$4:$M$9,0),1),D041_ClassFeatures!$J$2:$J$556&amp;D041_ClassFeatures!$I$2:$I$556,0),1),"")</f>
        <v/>
      </c>
      <c r="BC178" s="165" t="str">
        <f t="shared" si="39"/>
        <v/>
      </c>
      <c r="BD178" s="165" t="str">
        <f>IFERROR(INDEX(D041_ClassFeatures!$C$2:$C$546,MATCH(C_Input!BC178,D041_ClassFeatures!$B$2:$B$546,0),1),"")</f>
        <v/>
      </c>
      <c r="BE178" s="165" t="str">
        <f>IFERROR(INDEX(D041_ClassFeatures!$D$2:$D$546,MATCH(C_Input!BC178,D041_ClassFeatures!$B$2:$B$546,0),1),"")</f>
        <v/>
      </c>
      <c r="BF178" s="165" t="str">
        <f t="shared" si="40"/>
        <v/>
      </c>
      <c r="BG178" s="202">
        <v>1</v>
      </c>
      <c r="BH178" s="165" t="str">
        <f t="shared" si="41"/>
        <v/>
      </c>
      <c r="BI178" s="165" t="str">
        <f t="shared" si="42"/>
        <v/>
      </c>
      <c r="BJ178" s="165">
        <f>IF(BG178=0,0,COUNTIF(BJ$160:$BJ177,"&gt;0")+1)</f>
        <v>19</v>
      </c>
    </row>
    <row r="179" spans="1:62" ht="15.95" customHeight="1" outlineLevel="1" x14ac:dyDescent="0.3">
      <c r="A179" s="716"/>
      <c r="B179" s="716"/>
      <c r="C179" s="716"/>
      <c r="D179" s="716"/>
      <c r="E179" s="716"/>
      <c r="F179" s="713"/>
      <c r="G179" s="716"/>
      <c r="H179" s="716"/>
      <c r="I179" s="716"/>
      <c r="J179" s="716"/>
      <c r="K179" s="716"/>
      <c r="L179" s="713"/>
      <c r="M179" s="911"/>
      <c r="N179" s="911"/>
      <c r="O179" s="911"/>
      <c r="P179" s="911"/>
      <c r="Q179" s="911"/>
      <c r="R179" s="713"/>
      <c r="S179" s="713"/>
      <c r="T179" s="713"/>
      <c r="U179" s="152"/>
      <c r="V179" s="152"/>
      <c r="W179" s="152"/>
      <c r="X179" s="152"/>
      <c r="Y179" s="152"/>
      <c r="Z179" s="152"/>
      <c r="AA179" s="152"/>
      <c r="AB179" s="152"/>
      <c r="AC179" s="152"/>
      <c r="AD179" s="152"/>
      <c r="AF179" s="171"/>
      <c r="AH179" s="153">
        <v>20</v>
      </c>
      <c r="AI179" s="293">
        <f t="shared" si="28"/>
        <v>0</v>
      </c>
      <c r="AJ179" s="293">
        <f>COUNTIF(AI$160:$AI179,AI179)</f>
        <v>20</v>
      </c>
      <c r="AK179" s="153" t="str">
        <f>IFERROR(MATCH(AI179,D04_Classes!$B$3:$B$102,0),"")</f>
        <v/>
      </c>
      <c r="AL179" s="153" t="str">
        <f>IFERROR(INDEX(D04_Classes!$CH$3:$DA$102,C_Input!AK179,C_Input!AJ179),"")</f>
        <v/>
      </c>
      <c r="AM179" s="153" t="str">
        <f t="shared" si="33"/>
        <v/>
      </c>
      <c r="AN179" s="153">
        <f t="shared" si="29"/>
        <v>0</v>
      </c>
      <c r="AO179" s="165" t="str">
        <f t="shared" si="30"/>
        <v/>
      </c>
      <c r="AP179" s="165" t="str">
        <f t="shared" si="31"/>
        <v/>
      </c>
      <c r="AQ179" s="165">
        <f t="shared" si="46"/>
        <v>5</v>
      </c>
      <c r="AR179" s="165">
        <f t="shared" si="34"/>
        <v>0</v>
      </c>
      <c r="AS179" s="165">
        <v>20</v>
      </c>
      <c r="AT179" s="165" t="str">
        <f t="shared" si="32"/>
        <v/>
      </c>
      <c r="AU179" s="276">
        <f t="shared" si="35"/>
        <v>0</v>
      </c>
      <c r="AV179" s="276">
        <f>IF(AU179=0,0,COUNTIF(AV$160:$AV178,"&gt;0")+1)</f>
        <v>0</v>
      </c>
      <c r="AW179" s="165" t="str">
        <f t="shared" si="36"/>
        <v/>
      </c>
      <c r="AX179" s="165" t="str">
        <f t="shared" si="37"/>
        <v/>
      </c>
      <c r="AY179" s="165" t="str">
        <f>IFERROR(INDEX(D041_ClassFeatures!$K$2:$K$343,MATCH(C_Input!$AW179,D041_ClassFeatures!$B$2:$B$343,0),1),"")</f>
        <v/>
      </c>
      <c r="AZ179" s="165" t="str">
        <f>IFERROR(INDEX(D041_ClassFeatures!$L$2:$L$343,MATCH(C_Input!$AW179,D041_ClassFeatures!$B$2:$B$343,0),1),"")</f>
        <v/>
      </c>
      <c r="BA179" s="165">
        <f t="shared" si="38"/>
        <v>0</v>
      </c>
      <c r="BB179" s="165" t="str">
        <f t="array" ref="BB179">IFERROR(INDEX(D041_ClassFeatures!$B$2:$B$556,MATCH(C_Input!AW179&amp;INDEX(C_Variables!$O$4:$O$9,MATCH(INDEX($AR$160:$AR$239,MATCH(AW179,$AT$160:$AT$239,0),1),C_Variables!$M$4:$M$9,0),1),D041_ClassFeatures!$J$2:$J$556&amp;D041_ClassFeatures!$I$2:$I$556,0),1),"")</f>
        <v/>
      </c>
      <c r="BC179" s="165" t="str">
        <f t="shared" si="39"/>
        <v/>
      </c>
      <c r="BD179" s="165" t="str">
        <f>IFERROR(INDEX(D041_ClassFeatures!$C$2:$C$546,MATCH(C_Input!BC179,D041_ClassFeatures!$B$2:$B$546,0),1),"")</f>
        <v/>
      </c>
      <c r="BE179" s="165" t="str">
        <f>IFERROR(INDEX(D041_ClassFeatures!$D$2:$D$546,MATCH(C_Input!BC179,D041_ClassFeatures!$B$2:$B$546,0),1),"")</f>
        <v/>
      </c>
      <c r="BF179" s="165" t="str">
        <f t="shared" si="40"/>
        <v/>
      </c>
      <c r="BG179" s="202">
        <v>1</v>
      </c>
      <c r="BH179" s="165" t="str">
        <f t="shared" si="41"/>
        <v/>
      </c>
      <c r="BI179" s="165" t="str">
        <f t="shared" si="42"/>
        <v/>
      </c>
      <c r="BJ179" s="165">
        <f>IF(BG179=0,0,COUNTIF(BJ$160:$BJ178,"&gt;0")+1)</f>
        <v>20</v>
      </c>
    </row>
    <row r="180" spans="1:62" ht="15.95" customHeight="1" outlineLevel="1" x14ac:dyDescent="0.3">
      <c r="A180" s="716"/>
      <c r="B180" s="716"/>
      <c r="C180" s="716"/>
      <c r="D180" s="716"/>
      <c r="E180" s="716"/>
      <c r="F180" s="713"/>
      <c r="G180" s="716"/>
      <c r="H180" s="716"/>
      <c r="I180" s="716"/>
      <c r="J180" s="716"/>
      <c r="K180" s="716"/>
      <c r="L180" s="713"/>
      <c r="M180" s="911"/>
      <c r="N180" s="911"/>
      <c r="O180" s="911"/>
      <c r="P180" s="911"/>
      <c r="Q180" s="911"/>
      <c r="R180" s="713"/>
      <c r="S180" s="713"/>
      <c r="T180" s="713"/>
      <c r="U180" s="152"/>
      <c r="V180" s="152"/>
      <c r="W180" s="152"/>
      <c r="X180" s="152"/>
      <c r="Y180" s="152"/>
      <c r="Z180" s="152"/>
      <c r="AA180" s="152"/>
      <c r="AB180" s="152"/>
      <c r="AC180" s="152"/>
      <c r="AD180" s="152"/>
      <c r="AF180" s="171"/>
      <c r="AQ180" s="165">
        <f t="shared" ref="AQ180" si="47">AQ179+1</f>
        <v>6</v>
      </c>
      <c r="AR180" s="165">
        <f t="shared" si="34"/>
        <v>0</v>
      </c>
      <c r="AS180" s="165">
        <v>21</v>
      </c>
      <c r="AT180" s="165" t="str">
        <f t="shared" si="32"/>
        <v/>
      </c>
      <c r="AU180" s="276">
        <f t="shared" si="35"/>
        <v>0</v>
      </c>
      <c r="AV180" s="276">
        <f>IF(AU180=0,0,COUNTIF(AV$160:$AV179,"&gt;0")+1)</f>
        <v>0</v>
      </c>
      <c r="AW180" s="165" t="str">
        <f t="shared" si="36"/>
        <v/>
      </c>
      <c r="AX180" s="165" t="str">
        <f t="shared" si="37"/>
        <v/>
      </c>
      <c r="AY180" s="165" t="str">
        <f>IFERROR(INDEX(D041_ClassFeatures!$K$2:$K$343,MATCH(C_Input!$AW180,D041_ClassFeatures!$B$2:$B$343,0),1),"")</f>
        <v/>
      </c>
      <c r="AZ180" s="165" t="str">
        <f>IFERROR(INDEX(D041_ClassFeatures!$L$2:$L$343,MATCH(C_Input!$AW180,D041_ClassFeatures!$B$2:$B$343,0),1),"")</f>
        <v/>
      </c>
      <c r="BA180" s="165">
        <f t="shared" si="38"/>
        <v>0</v>
      </c>
      <c r="BB180" s="165" t="str">
        <f t="array" ref="BB180">IFERROR(INDEX(D041_ClassFeatures!$B$2:$B$556,MATCH(C_Input!AW180&amp;INDEX(C_Variables!$O$4:$O$9,MATCH(INDEX($AR$160:$AR$239,MATCH(AW180,$AT$160:$AT$239,0),1),C_Variables!$M$4:$M$9,0),1),D041_ClassFeatures!$J$2:$J$556&amp;D041_ClassFeatures!$I$2:$I$556,0),1),"")</f>
        <v/>
      </c>
      <c r="BC180" s="165" t="str">
        <f t="shared" si="39"/>
        <v/>
      </c>
      <c r="BD180" s="165" t="str">
        <f>IFERROR(INDEX(D041_ClassFeatures!$C$2:$C$546,MATCH(C_Input!BC180,D041_ClassFeatures!$B$2:$B$546,0),1),"")</f>
        <v/>
      </c>
      <c r="BE180" s="165" t="str">
        <f>IFERROR(INDEX(D041_ClassFeatures!$D$2:$D$546,MATCH(C_Input!BC180,D041_ClassFeatures!$B$2:$B$546,0),1),"")</f>
        <v/>
      </c>
      <c r="BF180" s="165" t="str">
        <f t="shared" si="40"/>
        <v/>
      </c>
      <c r="BG180" s="202">
        <v>1</v>
      </c>
      <c r="BH180" s="165" t="str">
        <f t="shared" si="41"/>
        <v/>
      </c>
      <c r="BI180" s="165" t="str">
        <f t="shared" si="42"/>
        <v/>
      </c>
      <c r="BJ180" s="165">
        <f>IF(BG180=0,0,COUNTIF(BJ$160:$BJ179,"&gt;0")+1)</f>
        <v>21</v>
      </c>
    </row>
    <row r="181" spans="1:62" ht="15.95" customHeight="1" outlineLevel="1" x14ac:dyDescent="0.3">
      <c r="A181" s="716"/>
      <c r="B181" s="716"/>
      <c r="C181" s="716"/>
      <c r="D181" s="716"/>
      <c r="E181" s="716"/>
      <c r="F181" s="713"/>
      <c r="G181" s="716"/>
      <c r="H181" s="716"/>
      <c r="I181" s="716"/>
      <c r="J181" s="716"/>
      <c r="K181" s="716"/>
      <c r="L181" s="713"/>
      <c r="M181" s="713"/>
      <c r="N181" s="713"/>
      <c r="O181" s="713"/>
      <c r="P181" s="713"/>
      <c r="Q181" s="713"/>
      <c r="R181" s="713"/>
      <c r="S181" s="713"/>
      <c r="T181" s="713"/>
      <c r="U181" s="152"/>
      <c r="V181" s="152"/>
      <c r="W181" s="152"/>
      <c r="X181" s="152"/>
      <c r="Y181" s="152"/>
      <c r="Z181" s="152"/>
      <c r="AA181" s="152"/>
      <c r="AB181" s="152"/>
      <c r="AC181" s="152"/>
      <c r="AD181" s="152"/>
      <c r="AF181" s="171"/>
      <c r="AQ181" s="165">
        <f t="shared" ref="AQ181:AQ183" si="48">AQ180</f>
        <v>6</v>
      </c>
      <c r="AR181" s="165">
        <f t="shared" si="34"/>
        <v>0</v>
      </c>
      <c r="AS181" s="165">
        <v>22</v>
      </c>
      <c r="AT181" s="165">
        <f t="shared" si="32"/>
        <v>0</v>
      </c>
      <c r="AU181" s="276">
        <f t="shared" si="35"/>
        <v>0</v>
      </c>
      <c r="AV181" s="276">
        <f>IF(AU181=0,0,COUNTIF(AV$160:$AV180,"&gt;0")+1)</f>
        <v>0</v>
      </c>
      <c r="AW181" s="165" t="str">
        <f t="shared" si="36"/>
        <v/>
      </c>
      <c r="AX181" s="165" t="str">
        <f t="shared" si="37"/>
        <v/>
      </c>
      <c r="AY181" s="165" t="str">
        <f>IFERROR(INDEX(D041_ClassFeatures!$K$2:$K$343,MATCH(C_Input!$AW181,D041_ClassFeatures!$B$2:$B$343,0),1),"")</f>
        <v/>
      </c>
      <c r="AZ181" s="165" t="str">
        <f>IFERROR(INDEX(D041_ClassFeatures!$L$2:$L$343,MATCH(C_Input!$AW181,D041_ClassFeatures!$B$2:$B$343,0),1),"")</f>
        <v/>
      </c>
      <c r="BA181" s="165">
        <f t="shared" si="38"/>
        <v>0</v>
      </c>
      <c r="BB181" s="165" t="str">
        <f t="array" ref="BB181">IFERROR(INDEX(D041_ClassFeatures!$B$2:$B$556,MATCH(C_Input!AW181&amp;INDEX(C_Variables!$O$4:$O$9,MATCH(INDEX($AR$160:$AR$239,MATCH(AW181,$AT$160:$AT$239,0),1),C_Variables!$M$4:$M$9,0),1),D041_ClassFeatures!$J$2:$J$556&amp;D041_ClassFeatures!$I$2:$I$556,0),1),"")</f>
        <v/>
      </c>
      <c r="BC181" s="165" t="str">
        <f t="shared" si="39"/>
        <v/>
      </c>
      <c r="BD181" s="165" t="str">
        <f>IFERROR(INDEX(D041_ClassFeatures!$C$2:$C$546,MATCH(C_Input!BC181,D041_ClassFeatures!$B$2:$B$546,0),1),"")</f>
        <v/>
      </c>
      <c r="BE181" s="165" t="str">
        <f>IFERROR(INDEX(D041_ClassFeatures!$D$2:$D$546,MATCH(C_Input!BC181,D041_ClassFeatures!$B$2:$B$546,0),1),"")</f>
        <v/>
      </c>
      <c r="BF181" s="165" t="str">
        <f t="shared" si="40"/>
        <v/>
      </c>
      <c r="BG181" s="202">
        <v>1</v>
      </c>
      <c r="BH181" s="165" t="str">
        <f t="shared" si="41"/>
        <v/>
      </c>
      <c r="BI181" s="165" t="str">
        <f t="shared" si="42"/>
        <v/>
      </c>
      <c r="BJ181" s="165">
        <f>IF(BG181=0,0,COUNTIF(BJ$160:$BJ180,"&gt;0")+1)</f>
        <v>22</v>
      </c>
    </row>
    <row r="182" spans="1:62" ht="15.95" customHeight="1" outlineLevel="1" x14ac:dyDescent="0.3">
      <c r="A182" s="713"/>
      <c r="B182" s="713"/>
      <c r="C182" s="713"/>
      <c r="D182" s="713"/>
      <c r="E182" s="713"/>
      <c r="F182" s="713"/>
      <c r="G182" s="716"/>
      <c r="H182" s="716"/>
      <c r="I182" s="716"/>
      <c r="J182" s="716"/>
      <c r="K182" s="716"/>
      <c r="L182" s="713"/>
      <c r="M182" s="722" t="s">
        <v>4156</v>
      </c>
      <c r="N182" s="722"/>
      <c r="O182" s="722"/>
      <c r="P182" s="719">
        <f>Q182-COUNTA(M184:Q193)</f>
        <v>0</v>
      </c>
      <c r="Q182" s="723">
        <f>MonkElementalDisciplines</f>
        <v>0</v>
      </c>
      <c r="R182" s="713"/>
      <c r="S182" s="713"/>
      <c r="T182" s="713"/>
      <c r="U182" s="152"/>
      <c r="V182" s="152"/>
      <c r="W182" s="152"/>
      <c r="X182" s="152"/>
      <c r="Y182" s="152"/>
      <c r="Z182" s="152"/>
      <c r="AA182" s="152"/>
      <c r="AB182" s="152"/>
      <c r="AC182" s="152"/>
      <c r="AD182" s="152"/>
      <c r="AF182" s="171"/>
      <c r="AQ182" s="165">
        <f t="shared" si="48"/>
        <v>6</v>
      </c>
      <c r="AR182" s="165">
        <f t="shared" si="34"/>
        <v>0</v>
      </c>
      <c r="AS182" s="165">
        <v>23</v>
      </c>
      <c r="AT182" s="165" t="str">
        <f t="shared" si="32"/>
        <v/>
      </c>
      <c r="AU182" s="276">
        <f t="shared" si="35"/>
        <v>0</v>
      </c>
      <c r="AV182" s="276">
        <f>IF(AU182=0,0,COUNTIF(AV$160:$AV181,"&gt;0")+1)</f>
        <v>0</v>
      </c>
      <c r="AW182" s="165" t="str">
        <f t="shared" ref="AW182:AW239" si="49">IFERROR(INDEX($AT$160:$AT$239,MATCH(AS182,$AV$160:$AV$239,0),1),"")</f>
        <v/>
      </c>
      <c r="AX182" s="165" t="str">
        <f t="shared" si="37"/>
        <v/>
      </c>
      <c r="AY182" s="165" t="str">
        <f>IFERROR(INDEX(D041_ClassFeatures!$L$2:$L$343,MATCH(C_Input!$AW182,D041_ClassFeatures!$B$2:$B$343,0),1),"")</f>
        <v/>
      </c>
      <c r="AZ182" s="165" t="str">
        <f>IFERROR(INDEX(D041_ClassFeatures!$L$2:$L$343,MATCH(C_Input!$AW182,D041_ClassFeatures!$B$2:$B$343,0),1),"")</f>
        <v/>
      </c>
      <c r="BA182" s="165">
        <f t="shared" si="38"/>
        <v>0</v>
      </c>
      <c r="BB182" s="165" t="str">
        <f t="array" ref="BB182">IFERROR(INDEX(D041_ClassFeatures!$B$2:$B$556,MATCH(C_Input!AW182&amp;INDEX(C_Variables!$O$4:$O$9,MATCH(INDEX($AR$160:$AR$239,MATCH(AW182,$AT$160:$AT$239,0),1),C_Variables!$M$4:$M$9,0),1),D041_ClassFeatures!$J$2:$J$556&amp;D041_ClassFeatures!$I$2:$I$556,0),1),"")</f>
        <v/>
      </c>
      <c r="BC182" s="165" t="str">
        <f t="shared" si="39"/>
        <v/>
      </c>
      <c r="BD182" s="165" t="str">
        <f>IFERROR(INDEX(D041_ClassFeatures!$C$2:$C$546,MATCH(C_Input!BC182,D041_ClassFeatures!$B$2:$B$546,0),1),"")</f>
        <v/>
      </c>
      <c r="BE182" s="165" t="str">
        <f>IFERROR(INDEX(D041_ClassFeatures!$D$2:$D$546,MATCH(C_Input!BC182,D041_ClassFeatures!$B$2:$B$546,0),1),"")</f>
        <v/>
      </c>
      <c r="BF182" s="165" t="str">
        <f t="shared" si="40"/>
        <v/>
      </c>
      <c r="BG182" s="202">
        <v>1</v>
      </c>
      <c r="BH182" s="165" t="str">
        <f t="shared" si="41"/>
        <v/>
      </c>
      <c r="BI182" s="165" t="str">
        <f t="shared" si="42"/>
        <v/>
      </c>
      <c r="BJ182" s="165">
        <f>IF(BG182=0,0,COUNTIF(BJ$160:$BJ181,"&gt;0")+1)</f>
        <v>23</v>
      </c>
    </row>
    <row r="183" spans="1:62" ht="15.95" customHeight="1" outlineLevel="1" x14ac:dyDescent="0.3">
      <c r="A183" s="722" t="s">
        <v>4152</v>
      </c>
      <c r="B183" s="722"/>
      <c r="C183" s="722"/>
      <c r="D183" s="719">
        <f>E183-COUNTA(C185:E192)+COUNTIF(C185:E192,"n/a")</f>
        <v>0</v>
      </c>
      <c r="E183" s="723">
        <f>FightingStylesNumber</f>
        <v>0</v>
      </c>
      <c r="F183" s="713"/>
      <c r="G183" s="716"/>
      <c r="H183" s="716"/>
      <c r="I183" s="716"/>
      <c r="J183" s="716"/>
      <c r="K183" s="716"/>
      <c r="L183" s="713"/>
      <c r="M183" s="722"/>
      <c r="N183" s="722"/>
      <c r="O183" s="722"/>
      <c r="P183" s="719"/>
      <c r="Q183" s="723"/>
      <c r="R183" s="713"/>
      <c r="S183" s="713"/>
      <c r="T183" s="713"/>
      <c r="U183" s="152"/>
      <c r="V183" s="152"/>
      <c r="W183" s="152"/>
      <c r="X183" s="152"/>
      <c r="Y183" s="152"/>
      <c r="Z183" s="152"/>
      <c r="AA183" s="152"/>
      <c r="AB183" s="152"/>
      <c r="AC183" s="152"/>
      <c r="AD183" s="152"/>
      <c r="AF183" s="171"/>
      <c r="AQ183" s="165">
        <f t="shared" si="48"/>
        <v>6</v>
      </c>
      <c r="AR183" s="165">
        <f t="shared" si="34"/>
        <v>0</v>
      </c>
      <c r="AS183" s="165">
        <v>24</v>
      </c>
      <c r="AT183" s="165" t="str">
        <f t="shared" si="32"/>
        <v/>
      </c>
      <c r="AU183" s="276">
        <f t="shared" si="35"/>
        <v>0</v>
      </c>
      <c r="AV183" s="276">
        <f>IF(AU183=0,0,COUNTIF(AV$160:$AV182,"&gt;0")+1)</f>
        <v>0</v>
      </c>
      <c r="AW183" s="165" t="str">
        <f t="shared" si="49"/>
        <v/>
      </c>
      <c r="AX183" s="165" t="str">
        <f t="shared" si="37"/>
        <v/>
      </c>
      <c r="AY183" s="165" t="str">
        <f>IFERROR(INDEX(D041_ClassFeatures!$L$2:$L$343,MATCH(C_Input!$AW183,D041_ClassFeatures!$B$2:$B$343,0),1),"")</f>
        <v/>
      </c>
      <c r="AZ183" s="165" t="str">
        <f>IFERROR(INDEX(D041_ClassFeatures!$L$2:$L$343,MATCH(C_Input!$AW183,D041_ClassFeatures!$B$2:$B$343,0),1),"")</f>
        <v/>
      </c>
      <c r="BA183" s="165">
        <f t="shared" si="38"/>
        <v>0</v>
      </c>
      <c r="BB183" s="165" t="str">
        <f t="array" ref="BB183">IFERROR(INDEX(D041_ClassFeatures!$B$2:$B$556,MATCH(C_Input!AW183&amp;INDEX(C_Variables!$O$4:$O$9,MATCH(INDEX($AR$160:$AR$239,MATCH(AW183,$AT$160:$AT$239,0),1),C_Variables!$M$4:$M$9,0),1),D041_ClassFeatures!$J$2:$J$556&amp;D041_ClassFeatures!$I$2:$I$556,0),1),"")</f>
        <v/>
      </c>
      <c r="BC183" s="165" t="str">
        <f t="shared" si="39"/>
        <v/>
      </c>
      <c r="BD183" s="165" t="str">
        <f>IFERROR(INDEX(D041_ClassFeatures!$C$2:$C$546,MATCH(C_Input!BC183,D041_ClassFeatures!$B$2:$B$546,0),1),"")</f>
        <v/>
      </c>
      <c r="BE183" s="165" t="str">
        <f>IFERROR(INDEX(D041_ClassFeatures!$D$2:$D$546,MATCH(C_Input!BC183,D041_ClassFeatures!$B$2:$B$546,0),1),"")</f>
        <v/>
      </c>
      <c r="BF183" s="165" t="str">
        <f t="shared" si="40"/>
        <v/>
      </c>
      <c r="BG183" s="202">
        <v>1</v>
      </c>
      <c r="BH183" s="165" t="str">
        <f t="shared" si="41"/>
        <v/>
      </c>
      <c r="BI183" s="165" t="str">
        <f t="shared" si="42"/>
        <v/>
      </c>
      <c r="BJ183" s="165">
        <f>IF(BG183=0,0,COUNTIF(BJ$160:$BJ182,"&gt;0")+1)</f>
        <v>24</v>
      </c>
    </row>
    <row r="184" spans="1:62" ht="15.95" customHeight="1" outlineLevel="1" x14ac:dyDescent="0.3">
      <c r="A184" s="722"/>
      <c r="B184" s="722"/>
      <c r="C184" s="722"/>
      <c r="D184" s="719"/>
      <c r="E184" s="723"/>
      <c r="F184" s="713"/>
      <c r="G184" s="716"/>
      <c r="H184" s="716"/>
      <c r="I184" s="716"/>
      <c r="J184" s="716"/>
      <c r="K184" s="716"/>
      <c r="L184" s="713"/>
      <c r="M184" s="716"/>
      <c r="N184" s="716"/>
      <c r="O184" s="716"/>
      <c r="P184" s="716"/>
      <c r="Q184" s="716"/>
      <c r="R184" s="713"/>
      <c r="S184" s="713"/>
      <c r="T184" s="713"/>
      <c r="U184" s="152"/>
      <c r="V184" s="152"/>
      <c r="W184" s="152"/>
      <c r="X184" s="152"/>
      <c r="Y184" s="152"/>
      <c r="Z184" s="152"/>
      <c r="AA184" s="152"/>
      <c r="AB184" s="152"/>
      <c r="AC184" s="152"/>
      <c r="AD184" s="152"/>
      <c r="AF184" s="171"/>
      <c r="AQ184" s="165">
        <f t="shared" ref="AQ184" si="50">AQ183+1</f>
        <v>7</v>
      </c>
      <c r="AR184" s="165">
        <f t="shared" si="34"/>
        <v>0</v>
      </c>
      <c r="AS184" s="165">
        <v>25</v>
      </c>
      <c r="AT184" s="165" t="str">
        <f t="shared" si="32"/>
        <v/>
      </c>
      <c r="AU184" s="276">
        <f t="shared" si="35"/>
        <v>0</v>
      </c>
      <c r="AV184" s="276">
        <f>IF(AU184=0,0,COUNTIF(AV$160:$AV183,"&gt;0")+1)</f>
        <v>0</v>
      </c>
      <c r="AW184" s="165" t="str">
        <f t="shared" si="49"/>
        <v/>
      </c>
      <c r="AX184" s="165" t="str">
        <f t="shared" si="37"/>
        <v/>
      </c>
      <c r="AY184" s="165" t="str">
        <f>IFERROR(INDEX(D041_ClassFeatures!$L$2:$L$343,MATCH(C_Input!$AW184,D041_ClassFeatures!$B$2:$B$343,0),1),"")</f>
        <v/>
      </c>
      <c r="AZ184" s="165" t="str">
        <f>IFERROR(INDEX(D041_ClassFeatures!$L$2:$L$343,MATCH(C_Input!$AW184,D041_ClassFeatures!$B$2:$B$343,0),1),"")</f>
        <v/>
      </c>
      <c r="BA184" s="165">
        <f t="shared" si="38"/>
        <v>0</v>
      </c>
      <c r="BB184" s="165" t="str">
        <f t="array" ref="BB184">IFERROR(INDEX(D041_ClassFeatures!$B$2:$B$556,MATCH(C_Input!AW184&amp;INDEX(C_Variables!$O$4:$O$9,MATCH(INDEX($AR$160:$AR$239,MATCH(AW184,$AT$160:$AT$239,0),1),C_Variables!$M$4:$M$9,0),1),D041_ClassFeatures!$J$2:$J$556&amp;D041_ClassFeatures!$I$2:$I$556,0),1),"")</f>
        <v/>
      </c>
      <c r="BC184" s="165" t="str">
        <f t="shared" si="39"/>
        <v/>
      </c>
      <c r="BD184" s="165" t="str">
        <f>IFERROR(INDEX(D041_ClassFeatures!$C$2:$C$546,MATCH(C_Input!BC184,D041_ClassFeatures!$B$2:$B$546,0),1),"")</f>
        <v/>
      </c>
      <c r="BE184" s="165" t="str">
        <f>IFERROR(INDEX(D041_ClassFeatures!$D$2:$D$546,MATCH(C_Input!BC184,D041_ClassFeatures!$B$2:$B$546,0),1),"")</f>
        <v/>
      </c>
      <c r="BF184" s="165" t="str">
        <f t="shared" si="40"/>
        <v/>
      </c>
      <c r="BG184" s="202">
        <v>1</v>
      </c>
      <c r="BH184" s="165" t="str">
        <f t="shared" si="41"/>
        <v/>
      </c>
      <c r="BI184" s="165" t="str">
        <f t="shared" si="42"/>
        <v/>
      </c>
      <c r="BJ184" s="165">
        <f>IF(BG184=0,0,COUNTIF(BJ$160:$BJ183,"&gt;0")+1)</f>
        <v>25</v>
      </c>
    </row>
    <row r="185" spans="1:62" ht="15.95" customHeight="1" outlineLevel="1" x14ac:dyDescent="0.3">
      <c r="A185" s="828" t="str">
        <f>C_Variables!L36</f>
        <v>n/a</v>
      </c>
      <c r="B185" s="828"/>
      <c r="C185" s="890"/>
      <c r="D185" s="890"/>
      <c r="E185" s="890"/>
      <c r="F185" s="713"/>
      <c r="G185" s="716"/>
      <c r="H185" s="716"/>
      <c r="I185" s="716"/>
      <c r="J185" s="716"/>
      <c r="K185" s="716"/>
      <c r="L185" s="713"/>
      <c r="M185" s="716"/>
      <c r="N185" s="716"/>
      <c r="O185" s="716"/>
      <c r="P185" s="716"/>
      <c r="Q185" s="716"/>
      <c r="R185" s="713"/>
      <c r="S185" s="713"/>
      <c r="T185" s="713"/>
      <c r="U185" s="152"/>
      <c r="V185" s="152"/>
      <c r="W185" s="152"/>
      <c r="X185" s="152"/>
      <c r="Y185" s="152"/>
      <c r="Z185" s="152"/>
      <c r="AA185" s="152"/>
      <c r="AB185" s="152"/>
      <c r="AC185" s="152"/>
      <c r="AD185" s="152"/>
      <c r="AF185" s="171"/>
      <c r="AQ185" s="165">
        <f t="shared" ref="AQ185:AQ187" si="51">AQ184</f>
        <v>7</v>
      </c>
      <c r="AR185" s="165">
        <f t="shared" si="34"/>
        <v>0</v>
      </c>
      <c r="AS185" s="165">
        <v>26</v>
      </c>
      <c r="AT185" s="165">
        <f t="shared" si="32"/>
        <v>0</v>
      </c>
      <c r="AU185" s="276">
        <f t="shared" si="35"/>
        <v>0</v>
      </c>
      <c r="AV185" s="276">
        <f>IF(AU185=0,0,COUNTIF(AV$160:$AV184,"&gt;0")+1)</f>
        <v>0</v>
      </c>
      <c r="AW185" s="165" t="str">
        <f t="shared" si="49"/>
        <v/>
      </c>
      <c r="AX185" s="165" t="str">
        <f t="shared" si="37"/>
        <v/>
      </c>
      <c r="AY185" s="165" t="str">
        <f>IFERROR(INDEX(D041_ClassFeatures!$L$2:$L$343,MATCH(C_Input!$AW185,D041_ClassFeatures!$B$2:$B$343,0),1),"")</f>
        <v/>
      </c>
      <c r="AZ185" s="165" t="str">
        <f>IFERROR(INDEX(D041_ClassFeatures!$L$2:$L$343,MATCH(C_Input!$AW185,D041_ClassFeatures!$B$2:$B$343,0),1),"")</f>
        <v/>
      </c>
      <c r="BA185" s="165">
        <f t="shared" si="38"/>
        <v>0</v>
      </c>
      <c r="BB185" s="165" t="str">
        <f t="array" ref="BB185">IFERROR(INDEX(D041_ClassFeatures!$B$2:$B$556,MATCH(C_Input!AW185&amp;INDEX(C_Variables!$O$4:$O$9,MATCH(INDEX($AR$160:$AR$239,MATCH(AW185,$AT$160:$AT$239,0),1),C_Variables!$M$4:$M$9,0),1),D041_ClassFeatures!$J$2:$J$556&amp;D041_ClassFeatures!$I$2:$I$556,0),1),"")</f>
        <v/>
      </c>
      <c r="BC185" s="165" t="str">
        <f t="shared" si="39"/>
        <v/>
      </c>
      <c r="BD185" s="165" t="str">
        <f>IFERROR(INDEX(D041_ClassFeatures!$C$2:$C$546,MATCH(C_Input!BC185,D041_ClassFeatures!$B$2:$B$546,0),1),"")</f>
        <v/>
      </c>
      <c r="BE185" s="165" t="str">
        <f>IFERROR(INDEX(D041_ClassFeatures!$D$2:$D$546,MATCH(C_Input!BC185,D041_ClassFeatures!$B$2:$B$546,0),1),"")</f>
        <v/>
      </c>
      <c r="BF185" s="165" t="str">
        <f t="shared" si="40"/>
        <v/>
      </c>
      <c r="BG185" s="202">
        <v>1</v>
      </c>
      <c r="BH185" s="165" t="str">
        <f t="shared" si="41"/>
        <v/>
      </c>
      <c r="BI185" s="165" t="str">
        <f t="shared" si="42"/>
        <v/>
      </c>
      <c r="BJ185" s="165">
        <f>IF(BG185=0,0,COUNTIF(BJ$160:$BJ184,"&gt;0")+1)</f>
        <v>26</v>
      </c>
    </row>
    <row r="186" spans="1:62" ht="15.95" customHeight="1" outlineLevel="1" x14ac:dyDescent="0.3">
      <c r="A186" s="828"/>
      <c r="B186" s="828"/>
      <c r="C186" s="890"/>
      <c r="D186" s="890"/>
      <c r="E186" s="890"/>
      <c r="F186" s="713"/>
      <c r="G186" s="716"/>
      <c r="H186" s="716"/>
      <c r="I186" s="716"/>
      <c r="J186" s="716"/>
      <c r="K186" s="716"/>
      <c r="L186" s="713"/>
      <c r="M186" s="716"/>
      <c r="N186" s="716"/>
      <c r="O186" s="716"/>
      <c r="P186" s="716"/>
      <c r="Q186" s="716"/>
      <c r="R186" s="713"/>
      <c r="S186" s="713"/>
      <c r="T186" s="713"/>
      <c r="U186" s="152"/>
      <c r="V186" s="152"/>
      <c r="W186" s="152"/>
      <c r="X186" s="152"/>
      <c r="Y186" s="152"/>
      <c r="Z186" s="152"/>
      <c r="AA186" s="152"/>
      <c r="AB186" s="152"/>
      <c r="AC186" s="152"/>
      <c r="AD186" s="152"/>
      <c r="AF186" s="171"/>
      <c r="AQ186" s="165">
        <f t="shared" si="51"/>
        <v>7</v>
      </c>
      <c r="AR186" s="165">
        <f t="shared" si="34"/>
        <v>0</v>
      </c>
      <c r="AS186" s="165">
        <v>27</v>
      </c>
      <c r="AT186" s="165" t="str">
        <f t="shared" si="32"/>
        <v/>
      </c>
      <c r="AU186" s="276">
        <f t="shared" si="35"/>
        <v>0</v>
      </c>
      <c r="AV186" s="276">
        <f>IF(AU186=0,0,COUNTIF(AV$160:$AV185,"&gt;0")+1)</f>
        <v>0</v>
      </c>
      <c r="AW186" s="165" t="str">
        <f t="shared" si="49"/>
        <v/>
      </c>
      <c r="AX186" s="165" t="str">
        <f t="shared" si="37"/>
        <v/>
      </c>
      <c r="AY186" s="165" t="str">
        <f>IFERROR(INDEX(D041_ClassFeatures!$L$2:$L$343,MATCH(C_Input!$AW186,D041_ClassFeatures!$B$2:$B$343,0),1),"")</f>
        <v/>
      </c>
      <c r="AZ186" s="165" t="str">
        <f>IFERROR(INDEX(D041_ClassFeatures!$L$2:$L$343,MATCH(C_Input!$AW186,D041_ClassFeatures!$B$2:$B$343,0),1),"")</f>
        <v/>
      </c>
      <c r="BA186" s="165">
        <f t="shared" si="38"/>
        <v>0</v>
      </c>
      <c r="BB186" s="165" t="str">
        <f t="array" ref="BB186">IFERROR(INDEX(D041_ClassFeatures!$B$2:$B$556,MATCH(C_Input!AW186&amp;INDEX(C_Variables!$O$4:$O$9,MATCH(INDEX($AR$160:$AR$239,MATCH(AW186,$AT$160:$AT$239,0),1),C_Variables!$M$4:$M$9,0),1),D041_ClassFeatures!$J$2:$J$556&amp;D041_ClassFeatures!$I$2:$I$556,0),1),"")</f>
        <v/>
      </c>
      <c r="BC186" s="165" t="str">
        <f t="shared" si="39"/>
        <v/>
      </c>
      <c r="BD186" s="165" t="str">
        <f>IFERROR(INDEX(D041_ClassFeatures!$C$2:$C$546,MATCH(C_Input!BC186,D041_ClassFeatures!$B$2:$B$546,0),1),"")</f>
        <v/>
      </c>
      <c r="BE186" s="165" t="str">
        <f>IFERROR(INDEX(D041_ClassFeatures!$D$2:$D$546,MATCH(C_Input!BC186,D041_ClassFeatures!$B$2:$B$546,0),1),"")</f>
        <v/>
      </c>
      <c r="BF186" s="165" t="str">
        <f t="shared" si="40"/>
        <v/>
      </c>
      <c r="BG186" s="202">
        <v>1</v>
      </c>
      <c r="BH186" s="165" t="str">
        <f t="shared" si="41"/>
        <v/>
      </c>
      <c r="BI186" s="165" t="str">
        <f t="shared" si="42"/>
        <v/>
      </c>
      <c r="BJ186" s="165">
        <f>IF(BG186=0,0,COUNTIF(BJ$160:$BJ185,"&gt;0")+1)</f>
        <v>27</v>
      </c>
    </row>
    <row r="187" spans="1:62" ht="15.95" customHeight="1" outlineLevel="1" x14ac:dyDescent="0.3">
      <c r="A187" s="828" t="str">
        <f>C_Variables!M36</f>
        <v>n/a</v>
      </c>
      <c r="B187" s="828"/>
      <c r="C187" s="890"/>
      <c r="D187" s="890"/>
      <c r="E187" s="890"/>
      <c r="F187" s="713"/>
      <c r="G187" s="716"/>
      <c r="H187" s="716"/>
      <c r="I187" s="716"/>
      <c r="J187" s="716"/>
      <c r="K187" s="716"/>
      <c r="L187" s="713"/>
      <c r="M187" s="716"/>
      <c r="N187" s="716"/>
      <c r="O187" s="716"/>
      <c r="P187" s="716"/>
      <c r="Q187" s="716"/>
      <c r="R187" s="713"/>
      <c r="S187" s="713"/>
      <c r="T187" s="713"/>
      <c r="U187" s="152"/>
      <c r="V187" s="152"/>
      <c r="W187" s="152"/>
      <c r="X187" s="152"/>
      <c r="Y187" s="152"/>
      <c r="Z187" s="152"/>
      <c r="AA187" s="152"/>
      <c r="AB187" s="152"/>
      <c r="AC187" s="152"/>
      <c r="AD187" s="152"/>
      <c r="AF187" s="171"/>
      <c r="AQ187" s="165">
        <f t="shared" si="51"/>
        <v>7</v>
      </c>
      <c r="AR187" s="165">
        <f t="shared" si="34"/>
        <v>0</v>
      </c>
      <c r="AS187" s="165">
        <v>28</v>
      </c>
      <c r="AT187" s="165" t="str">
        <f t="shared" si="32"/>
        <v/>
      </c>
      <c r="AU187" s="276">
        <f t="shared" si="35"/>
        <v>0</v>
      </c>
      <c r="AV187" s="276">
        <f>IF(AU187=0,0,COUNTIF(AV$160:$AV186,"&gt;0")+1)</f>
        <v>0</v>
      </c>
      <c r="AW187" s="165" t="str">
        <f t="shared" si="49"/>
        <v/>
      </c>
      <c r="AX187" s="165" t="str">
        <f t="shared" si="37"/>
        <v/>
      </c>
      <c r="AY187" s="165" t="str">
        <f>IFERROR(INDEX(D041_ClassFeatures!$L$2:$L$343,MATCH(C_Input!$AW187,D041_ClassFeatures!$B$2:$B$343,0),1),"")</f>
        <v/>
      </c>
      <c r="AZ187" s="165" t="str">
        <f>IFERROR(INDEX(D041_ClassFeatures!$L$2:$L$343,MATCH(C_Input!$AW187,D041_ClassFeatures!$B$2:$B$343,0),1),"")</f>
        <v/>
      </c>
      <c r="BA187" s="165">
        <f t="shared" si="38"/>
        <v>0</v>
      </c>
      <c r="BB187" s="165" t="str">
        <f t="array" ref="BB187">IFERROR(INDEX(D041_ClassFeatures!$B$2:$B$556,MATCH(C_Input!AW187&amp;INDEX(C_Variables!$O$4:$O$9,MATCH(INDEX($AR$160:$AR$239,MATCH(AW187,$AT$160:$AT$239,0),1),C_Variables!$M$4:$M$9,0),1),D041_ClassFeatures!$J$2:$J$556&amp;D041_ClassFeatures!$I$2:$I$556,0),1),"")</f>
        <v/>
      </c>
      <c r="BC187" s="165" t="str">
        <f t="shared" si="39"/>
        <v/>
      </c>
      <c r="BD187" s="165" t="str">
        <f>IFERROR(INDEX(D041_ClassFeatures!$C$2:$C$546,MATCH(C_Input!BC187,D041_ClassFeatures!$B$2:$B$546,0),1),"")</f>
        <v/>
      </c>
      <c r="BE187" s="165" t="str">
        <f>IFERROR(INDEX(D041_ClassFeatures!$D$2:$D$546,MATCH(C_Input!BC187,D041_ClassFeatures!$B$2:$B$546,0),1),"")</f>
        <v/>
      </c>
      <c r="BF187" s="165" t="str">
        <f t="shared" si="40"/>
        <v/>
      </c>
      <c r="BG187" s="202">
        <v>1</v>
      </c>
      <c r="BH187" s="165" t="str">
        <f t="shared" si="41"/>
        <v/>
      </c>
      <c r="BI187" s="165" t="str">
        <f t="shared" si="42"/>
        <v/>
      </c>
      <c r="BJ187" s="165">
        <f>IF(BG187=0,0,COUNTIF(BJ$160:$BJ186,"&gt;0")+1)</f>
        <v>28</v>
      </c>
    </row>
    <row r="188" spans="1:62" ht="15.95" customHeight="1" outlineLevel="1" x14ac:dyDescent="0.3">
      <c r="A188" s="828"/>
      <c r="B188" s="828"/>
      <c r="C188" s="890"/>
      <c r="D188" s="890"/>
      <c r="E188" s="890"/>
      <c r="F188" s="713"/>
      <c r="G188" s="713"/>
      <c r="H188" s="713"/>
      <c r="I188" s="713"/>
      <c r="J188" s="713"/>
      <c r="K188" s="713"/>
      <c r="L188" s="713"/>
      <c r="M188" s="716"/>
      <c r="N188" s="716"/>
      <c r="O188" s="716"/>
      <c r="P188" s="716"/>
      <c r="Q188" s="716"/>
      <c r="R188" s="713"/>
      <c r="S188" s="713"/>
      <c r="T188" s="713"/>
      <c r="U188" s="152"/>
      <c r="V188" s="152"/>
      <c r="W188" s="152"/>
      <c r="X188" s="152"/>
      <c r="Y188" s="152"/>
      <c r="Z188" s="152"/>
      <c r="AA188" s="152"/>
      <c r="AB188" s="152"/>
      <c r="AC188" s="152"/>
      <c r="AD188" s="152"/>
      <c r="AF188" s="171"/>
      <c r="AQ188" s="165">
        <f t="shared" ref="AQ188" si="52">AQ187+1</f>
        <v>8</v>
      </c>
      <c r="AR188" s="165">
        <f t="shared" si="34"/>
        <v>0</v>
      </c>
      <c r="AS188" s="165">
        <v>29</v>
      </c>
      <c r="AT188" s="165" t="str">
        <f t="shared" si="32"/>
        <v/>
      </c>
      <c r="AU188" s="276">
        <f t="shared" si="35"/>
        <v>0</v>
      </c>
      <c r="AV188" s="276">
        <f>IF(AU188=0,0,COUNTIF(AV$160:$AV187,"&gt;0")+1)</f>
        <v>0</v>
      </c>
      <c r="AW188" s="165" t="str">
        <f t="shared" si="49"/>
        <v/>
      </c>
      <c r="AX188" s="165" t="str">
        <f t="shared" si="37"/>
        <v/>
      </c>
      <c r="AY188" s="165" t="str">
        <f>IFERROR(INDEX(D041_ClassFeatures!$L$2:$L$343,MATCH(C_Input!$AW188,D041_ClassFeatures!$B$2:$B$343,0),1),"")</f>
        <v/>
      </c>
      <c r="AZ188" s="165" t="str">
        <f>IFERROR(INDEX(D041_ClassFeatures!$L$2:$L$343,MATCH(C_Input!$AW188,D041_ClassFeatures!$B$2:$B$343,0),1),"")</f>
        <v/>
      </c>
      <c r="BA188" s="165">
        <f t="shared" si="38"/>
        <v>0</v>
      </c>
      <c r="BB188" s="165" t="str">
        <f t="array" ref="BB188">IFERROR(INDEX(D041_ClassFeatures!$B$2:$B$556,MATCH(C_Input!AW188&amp;INDEX(C_Variables!$O$4:$O$9,MATCH(INDEX($AR$160:$AR$239,MATCH(AW188,$AT$160:$AT$239,0),1),C_Variables!$M$4:$M$9,0),1),D041_ClassFeatures!$J$2:$J$556&amp;D041_ClassFeatures!$I$2:$I$556,0),1),"")</f>
        <v/>
      </c>
      <c r="BC188" s="165" t="str">
        <f t="shared" si="39"/>
        <v/>
      </c>
      <c r="BD188" s="165" t="str">
        <f>IFERROR(INDEX(D041_ClassFeatures!$C$2:$C$546,MATCH(C_Input!BC188,D041_ClassFeatures!$B$2:$B$546,0),1),"")</f>
        <v/>
      </c>
      <c r="BE188" s="165" t="str">
        <f>IFERROR(INDEX(D041_ClassFeatures!$D$2:$D$546,MATCH(C_Input!BC188,D041_ClassFeatures!$B$2:$B$546,0),1),"")</f>
        <v/>
      </c>
      <c r="BF188" s="165" t="str">
        <f t="shared" si="40"/>
        <v/>
      </c>
      <c r="BG188" s="202">
        <v>1</v>
      </c>
      <c r="BH188" s="165" t="str">
        <f t="shared" si="41"/>
        <v/>
      </c>
      <c r="BI188" s="165" t="str">
        <f t="shared" si="42"/>
        <v/>
      </c>
      <c r="BJ188" s="165">
        <f>IF(BG188=0,0,COUNTIF(BJ$160:$BJ187,"&gt;0")+1)</f>
        <v>29</v>
      </c>
    </row>
    <row r="189" spans="1:62" ht="15.95" customHeight="1" outlineLevel="1" x14ac:dyDescent="0.3">
      <c r="A189" s="828" t="str">
        <f>C_Variables!N36</f>
        <v>n/a</v>
      </c>
      <c r="B189" s="828"/>
      <c r="C189" s="890"/>
      <c r="D189" s="890"/>
      <c r="E189" s="890"/>
      <c r="F189" s="713"/>
      <c r="G189" s="722" t="s">
        <v>4173</v>
      </c>
      <c r="H189" s="722"/>
      <c r="I189" s="722"/>
      <c r="J189" s="719">
        <f>K189-COUNTA(I191:K198)+COUNTIF(I191:K198,"n/a")</f>
        <v>0</v>
      </c>
      <c r="K189" s="723">
        <f>RangerHunterFeatures</f>
        <v>0</v>
      </c>
      <c r="L189" s="713"/>
      <c r="M189" s="716"/>
      <c r="N189" s="716"/>
      <c r="O189" s="716"/>
      <c r="P189" s="716"/>
      <c r="Q189" s="716"/>
      <c r="R189" s="713"/>
      <c r="S189" s="713"/>
      <c r="T189" s="713"/>
      <c r="U189" s="152"/>
      <c r="V189" s="152"/>
      <c r="W189" s="152"/>
      <c r="X189" s="152"/>
      <c r="Y189" s="152"/>
      <c r="Z189" s="152"/>
      <c r="AA189" s="152"/>
      <c r="AB189" s="152"/>
      <c r="AC189" s="152"/>
      <c r="AD189" s="152"/>
      <c r="AF189" s="171"/>
      <c r="AQ189" s="165">
        <f t="shared" ref="AQ189:AQ191" si="53">AQ188</f>
        <v>8</v>
      </c>
      <c r="AR189" s="165">
        <f t="shared" si="34"/>
        <v>0</v>
      </c>
      <c r="AS189" s="165">
        <v>30</v>
      </c>
      <c r="AT189" s="165">
        <f t="shared" si="32"/>
        <v>0</v>
      </c>
      <c r="AU189" s="276">
        <f t="shared" si="35"/>
        <v>0</v>
      </c>
      <c r="AV189" s="276">
        <f>IF(AU189=0,0,COUNTIF(AV$160:$AV188,"&gt;0")+1)</f>
        <v>0</v>
      </c>
      <c r="AW189" s="165" t="str">
        <f t="shared" si="49"/>
        <v/>
      </c>
      <c r="AX189" s="165" t="str">
        <f t="shared" si="37"/>
        <v/>
      </c>
      <c r="AY189" s="165" t="str">
        <f>IFERROR(INDEX(D041_ClassFeatures!$L$2:$L$343,MATCH(C_Input!$AW189,D041_ClassFeatures!$B$2:$B$343,0),1),"")</f>
        <v/>
      </c>
      <c r="AZ189" s="165" t="str">
        <f>IFERROR(INDEX(D041_ClassFeatures!$L$2:$L$343,MATCH(C_Input!$AW189,D041_ClassFeatures!$B$2:$B$343,0),1),"")</f>
        <v/>
      </c>
      <c r="BA189" s="165">
        <f t="shared" si="38"/>
        <v>0</v>
      </c>
      <c r="BB189" s="165" t="str">
        <f t="array" ref="BB189">IFERROR(INDEX(D041_ClassFeatures!$B$2:$B$556,MATCH(C_Input!AW189&amp;INDEX(C_Variables!$O$4:$O$9,MATCH(INDEX($AR$160:$AR$239,MATCH(AW189,$AT$160:$AT$239,0),1),C_Variables!$M$4:$M$9,0),1),D041_ClassFeatures!$J$2:$J$556&amp;D041_ClassFeatures!$I$2:$I$556,0),1),"")</f>
        <v/>
      </c>
      <c r="BC189" s="165" t="str">
        <f t="shared" si="39"/>
        <v/>
      </c>
      <c r="BD189" s="165" t="str">
        <f>IFERROR(INDEX(D041_ClassFeatures!$C$2:$C$546,MATCH(C_Input!BC189,D041_ClassFeatures!$B$2:$B$546,0),1),"")</f>
        <v/>
      </c>
      <c r="BE189" s="165" t="str">
        <f>IFERROR(INDEX(D041_ClassFeatures!$D$2:$D$546,MATCH(C_Input!BC189,D041_ClassFeatures!$B$2:$B$546,0),1),"")</f>
        <v/>
      </c>
      <c r="BF189" s="165" t="str">
        <f t="shared" si="40"/>
        <v/>
      </c>
      <c r="BG189" s="202">
        <v>1</v>
      </c>
      <c r="BH189" s="165" t="str">
        <f t="shared" si="41"/>
        <v/>
      </c>
      <c r="BI189" s="165" t="str">
        <f t="shared" si="42"/>
        <v/>
      </c>
      <c r="BJ189" s="165">
        <f>IF(BG189=0,0,COUNTIF(BJ$160:$BJ188,"&gt;0")+1)</f>
        <v>30</v>
      </c>
    </row>
    <row r="190" spans="1:62" ht="15.95" customHeight="1" outlineLevel="1" x14ac:dyDescent="0.3">
      <c r="A190" s="828"/>
      <c r="B190" s="828"/>
      <c r="C190" s="890"/>
      <c r="D190" s="890"/>
      <c r="E190" s="890"/>
      <c r="F190" s="713"/>
      <c r="G190" s="722"/>
      <c r="H190" s="722"/>
      <c r="I190" s="722"/>
      <c r="J190" s="719"/>
      <c r="K190" s="723"/>
      <c r="L190" s="713"/>
      <c r="M190" s="716"/>
      <c r="N190" s="716"/>
      <c r="O190" s="716"/>
      <c r="P190" s="716"/>
      <c r="Q190" s="716"/>
      <c r="R190" s="713"/>
      <c r="S190" s="713"/>
      <c r="T190" s="713"/>
      <c r="U190" s="152"/>
      <c r="V190" s="152"/>
      <c r="W190" s="152"/>
      <c r="X190" s="152"/>
      <c r="Y190" s="152"/>
      <c r="Z190" s="152"/>
      <c r="AA190" s="152"/>
      <c r="AB190" s="152"/>
      <c r="AC190" s="152"/>
      <c r="AD190" s="152"/>
      <c r="AF190" s="171"/>
      <c r="AQ190" s="165">
        <f t="shared" si="53"/>
        <v>8</v>
      </c>
      <c r="AR190" s="165">
        <f t="shared" si="34"/>
        <v>0</v>
      </c>
      <c r="AS190" s="165">
        <v>31</v>
      </c>
      <c r="AT190" s="165" t="str">
        <f t="shared" si="32"/>
        <v/>
      </c>
      <c r="AU190" s="276">
        <f t="shared" si="35"/>
        <v>0</v>
      </c>
      <c r="AV190" s="276">
        <f>IF(AU190=0,0,COUNTIF(AV$160:$AV189,"&gt;0")+1)</f>
        <v>0</v>
      </c>
      <c r="AW190" s="165" t="str">
        <f t="shared" si="49"/>
        <v/>
      </c>
      <c r="AX190" s="165" t="str">
        <f t="shared" si="37"/>
        <v/>
      </c>
      <c r="AY190" s="165" t="str">
        <f>IFERROR(INDEX(D041_ClassFeatures!$L$2:$L$343,MATCH(C_Input!$AW190,D041_ClassFeatures!$B$2:$B$343,0),1),"")</f>
        <v/>
      </c>
      <c r="AZ190" s="165" t="str">
        <f>IFERROR(INDEX(D041_ClassFeatures!$L$2:$L$343,MATCH(C_Input!$AW190,D041_ClassFeatures!$B$2:$B$343,0),1),"")</f>
        <v/>
      </c>
      <c r="BA190" s="165">
        <f t="shared" si="38"/>
        <v>0</v>
      </c>
      <c r="BB190" s="165" t="str">
        <f t="array" ref="BB190">IFERROR(INDEX(D041_ClassFeatures!$B$2:$B$556,MATCH(C_Input!AW190&amp;INDEX(C_Variables!$O$4:$O$9,MATCH(INDEX($AR$160:$AR$239,MATCH(AW190,$AT$160:$AT$239,0),1),C_Variables!$M$4:$M$9,0),1),D041_ClassFeatures!$J$2:$J$556&amp;D041_ClassFeatures!$I$2:$I$556,0),1),"")</f>
        <v/>
      </c>
      <c r="BC190" s="165" t="str">
        <f t="shared" si="39"/>
        <v/>
      </c>
      <c r="BD190" s="165" t="str">
        <f>IFERROR(INDEX(D041_ClassFeatures!$C$2:$C$546,MATCH(C_Input!BC190,D041_ClassFeatures!$B$2:$B$546,0),1),"")</f>
        <v/>
      </c>
      <c r="BE190" s="165" t="str">
        <f>IFERROR(INDEX(D041_ClassFeatures!$D$2:$D$546,MATCH(C_Input!BC190,D041_ClassFeatures!$B$2:$B$546,0),1),"")</f>
        <v/>
      </c>
      <c r="BF190" s="165" t="str">
        <f t="shared" si="40"/>
        <v/>
      </c>
      <c r="BG190" s="202">
        <v>1</v>
      </c>
      <c r="BH190" s="165" t="str">
        <f t="shared" si="41"/>
        <v/>
      </c>
      <c r="BI190" s="165" t="str">
        <f t="shared" si="42"/>
        <v/>
      </c>
      <c r="BJ190" s="165">
        <f>IF(BG190=0,0,COUNTIF(BJ$160:$BJ189,"&gt;0")+1)</f>
        <v>31</v>
      </c>
    </row>
    <row r="191" spans="1:62" ht="15.95" customHeight="1" outlineLevel="1" x14ac:dyDescent="0.3">
      <c r="A191" s="828" t="str">
        <f>C_Variables!O36</f>
        <v>n/a</v>
      </c>
      <c r="B191" s="828"/>
      <c r="C191" s="890"/>
      <c r="D191" s="890"/>
      <c r="E191" s="890"/>
      <c r="F191" s="713"/>
      <c r="G191" s="897" t="s">
        <v>4310</v>
      </c>
      <c r="H191" s="897"/>
      <c r="I191" s="720"/>
      <c r="J191" s="720"/>
      <c r="K191" s="720"/>
      <c r="L191" s="713"/>
      <c r="M191" s="716"/>
      <c r="N191" s="716"/>
      <c r="O191" s="716"/>
      <c r="P191" s="716"/>
      <c r="Q191" s="716"/>
      <c r="R191" s="713"/>
      <c r="S191" s="713"/>
      <c r="T191" s="713"/>
      <c r="U191" s="152"/>
      <c r="V191" s="152"/>
      <c r="W191" s="152"/>
      <c r="X191" s="152"/>
      <c r="Y191" s="152"/>
      <c r="Z191" s="152"/>
      <c r="AA191" s="152"/>
      <c r="AB191" s="152"/>
      <c r="AC191" s="152"/>
      <c r="AD191" s="152"/>
      <c r="AF191" s="171"/>
      <c r="AQ191" s="165">
        <f t="shared" si="53"/>
        <v>8</v>
      </c>
      <c r="AR191" s="165">
        <f t="shared" si="34"/>
        <v>0</v>
      </c>
      <c r="AS191" s="165">
        <v>32</v>
      </c>
      <c r="AT191" s="165" t="str">
        <f t="shared" si="32"/>
        <v/>
      </c>
      <c r="AU191" s="276">
        <f t="shared" si="35"/>
        <v>0</v>
      </c>
      <c r="AV191" s="276">
        <f>IF(AU191=0,0,COUNTIF(AV$160:$AV190,"&gt;0")+1)</f>
        <v>0</v>
      </c>
      <c r="AW191" s="165" t="str">
        <f t="shared" si="49"/>
        <v/>
      </c>
      <c r="AX191" s="165" t="str">
        <f t="shared" si="37"/>
        <v/>
      </c>
      <c r="AY191" s="165" t="str">
        <f>IFERROR(INDEX(D041_ClassFeatures!$L$2:$L$343,MATCH(C_Input!$AW191,D041_ClassFeatures!$B$2:$B$343,0),1),"")</f>
        <v/>
      </c>
      <c r="AZ191" s="165" t="str">
        <f>IFERROR(INDEX(D041_ClassFeatures!$L$2:$L$343,MATCH(C_Input!$AW191,D041_ClassFeatures!$B$2:$B$343,0),1),"")</f>
        <v/>
      </c>
      <c r="BA191" s="165">
        <f t="shared" si="38"/>
        <v>0</v>
      </c>
      <c r="BB191" s="165" t="str">
        <f t="array" ref="BB191">IFERROR(INDEX(D041_ClassFeatures!$B$2:$B$556,MATCH(C_Input!AW191&amp;INDEX(C_Variables!$O$4:$O$9,MATCH(INDEX($AR$160:$AR$239,MATCH(AW191,$AT$160:$AT$239,0),1),C_Variables!$M$4:$M$9,0),1),D041_ClassFeatures!$J$2:$J$556&amp;D041_ClassFeatures!$I$2:$I$556,0),1),"")</f>
        <v/>
      </c>
      <c r="BC191" s="165" t="str">
        <f t="shared" si="39"/>
        <v/>
      </c>
      <c r="BD191" s="165" t="str">
        <f>IFERROR(INDEX(D041_ClassFeatures!$C$2:$C$546,MATCH(C_Input!BC191,D041_ClassFeatures!$B$2:$B$546,0),1),"")</f>
        <v/>
      </c>
      <c r="BE191" s="165" t="str">
        <f>IFERROR(INDEX(D041_ClassFeatures!$D$2:$D$546,MATCH(C_Input!BC191,D041_ClassFeatures!$B$2:$B$546,0),1),"")</f>
        <v/>
      </c>
      <c r="BF191" s="165" t="str">
        <f t="shared" si="40"/>
        <v/>
      </c>
      <c r="BG191" s="202">
        <v>1</v>
      </c>
      <c r="BH191" s="165" t="str">
        <f t="shared" si="41"/>
        <v/>
      </c>
      <c r="BI191" s="165" t="str">
        <f t="shared" si="42"/>
        <v/>
      </c>
      <c r="BJ191" s="165">
        <f>IF(BG191=0,0,COUNTIF(BJ$160:$BJ190,"&gt;0")+1)</f>
        <v>32</v>
      </c>
    </row>
    <row r="192" spans="1:62" ht="15.95" customHeight="1" outlineLevel="1" x14ac:dyDescent="0.3">
      <c r="A192" s="828"/>
      <c r="B192" s="828"/>
      <c r="C192" s="890"/>
      <c r="D192" s="890"/>
      <c r="E192" s="890"/>
      <c r="F192" s="713"/>
      <c r="G192" s="897"/>
      <c r="H192" s="897"/>
      <c r="I192" s="720"/>
      <c r="J192" s="720"/>
      <c r="K192" s="720"/>
      <c r="L192" s="713"/>
      <c r="M192" s="716"/>
      <c r="N192" s="716"/>
      <c r="O192" s="716"/>
      <c r="P192" s="716"/>
      <c r="Q192" s="716"/>
      <c r="R192" s="713"/>
      <c r="S192" s="713"/>
      <c r="T192" s="713"/>
      <c r="U192" s="152"/>
      <c r="V192" s="152"/>
      <c r="W192" s="152"/>
      <c r="X192" s="152"/>
      <c r="Y192" s="152"/>
      <c r="Z192" s="152"/>
      <c r="AA192" s="152"/>
      <c r="AB192" s="152"/>
      <c r="AC192" s="152"/>
      <c r="AD192" s="152"/>
      <c r="AF192" s="171"/>
      <c r="AQ192" s="165">
        <f t="shared" ref="AQ192" si="54">AQ191+1</f>
        <v>9</v>
      </c>
      <c r="AR192" s="165">
        <f t="shared" si="34"/>
        <v>0</v>
      </c>
      <c r="AS192" s="165">
        <v>33</v>
      </c>
      <c r="AT192" s="165" t="str">
        <f t="shared" ref="AT192:AT223" si="55">INDEX($AM$160:$AP$179,CEILING((ROW(AT192)-ROW($AT$159))/4,1),CEILING(MOD((ROW(AT192)-ROW($AT$159)),4.00001),1))</f>
        <v/>
      </c>
      <c r="AU192" s="276">
        <f t="shared" si="35"/>
        <v>0</v>
      </c>
      <c r="AV192" s="276">
        <f>IF(AU192=0,0,COUNTIF(AV$160:$AV191,"&gt;0")+1)</f>
        <v>0</v>
      </c>
      <c r="AW192" s="165" t="str">
        <f t="shared" si="49"/>
        <v/>
      </c>
      <c r="AX192" s="165" t="str">
        <f t="shared" si="37"/>
        <v/>
      </c>
      <c r="AY192" s="165" t="str">
        <f>IFERROR(INDEX(D041_ClassFeatures!$L$2:$L$343,MATCH(C_Input!$AW192,D041_ClassFeatures!$B$2:$B$343,0),1),"")</f>
        <v/>
      </c>
      <c r="AZ192" s="165" t="str">
        <f>IFERROR(INDEX(D041_ClassFeatures!$L$2:$L$343,MATCH(C_Input!$AW192,D041_ClassFeatures!$B$2:$B$343,0),1),"")</f>
        <v/>
      </c>
      <c r="BA192" s="165">
        <f t="shared" si="38"/>
        <v>0</v>
      </c>
      <c r="BB192" s="165" t="str">
        <f t="array" ref="BB192">IFERROR(INDEX(D041_ClassFeatures!$B$2:$B$556,MATCH(C_Input!AW192&amp;INDEX(C_Variables!$O$4:$O$9,MATCH(INDEX($AR$160:$AR$239,MATCH(AW192,$AT$160:$AT$239,0),1),C_Variables!$M$4:$M$9,0),1),D041_ClassFeatures!$J$2:$J$556&amp;D041_ClassFeatures!$I$2:$I$556,0),1),"")</f>
        <v/>
      </c>
      <c r="BC192" s="165" t="str">
        <f t="shared" si="39"/>
        <v/>
      </c>
      <c r="BD192" s="165" t="str">
        <f>IFERROR(INDEX(D041_ClassFeatures!$C$2:$C$546,MATCH(C_Input!BC192,D041_ClassFeatures!$B$2:$B$546,0),1),"")</f>
        <v/>
      </c>
      <c r="BE192" s="165" t="str">
        <f>IFERROR(INDEX(D041_ClassFeatures!$D$2:$D$546,MATCH(C_Input!BC192,D041_ClassFeatures!$B$2:$B$546,0),1),"")</f>
        <v/>
      </c>
      <c r="BF192" s="165" t="str">
        <f t="shared" si="40"/>
        <v/>
      </c>
      <c r="BG192" s="202">
        <v>1</v>
      </c>
      <c r="BH192" s="165" t="str">
        <f t="shared" si="41"/>
        <v/>
      </c>
      <c r="BI192" s="165" t="str">
        <f t="shared" si="42"/>
        <v/>
      </c>
      <c r="BJ192" s="165">
        <f>IF(BG192=0,0,COUNTIF(BJ$160:$BJ191,"&gt;0")+1)</f>
        <v>33</v>
      </c>
    </row>
    <row r="193" spans="1:62" ht="15.95" customHeight="1" outlineLevel="1" x14ac:dyDescent="0.3">
      <c r="A193" s="713"/>
      <c r="B193" s="713"/>
      <c r="C193" s="713"/>
      <c r="D193" s="713"/>
      <c r="E193" s="713"/>
      <c r="F193" s="713"/>
      <c r="G193" s="897" t="s">
        <v>4311</v>
      </c>
      <c r="H193" s="897"/>
      <c r="I193" s="720"/>
      <c r="J193" s="720"/>
      <c r="K193" s="720"/>
      <c r="L193" s="713"/>
      <c r="M193" s="716"/>
      <c r="N193" s="716"/>
      <c r="O193" s="716"/>
      <c r="P193" s="716"/>
      <c r="Q193" s="716"/>
      <c r="R193" s="713"/>
      <c r="S193" s="713"/>
      <c r="T193" s="713"/>
      <c r="U193" s="152"/>
      <c r="V193" s="152"/>
      <c r="W193" s="152"/>
      <c r="X193" s="152"/>
      <c r="Y193" s="152"/>
      <c r="Z193" s="152"/>
      <c r="AA193" s="152"/>
      <c r="AB193" s="152"/>
      <c r="AC193" s="152"/>
      <c r="AD193" s="152"/>
      <c r="AF193" s="171"/>
      <c r="AQ193" s="165">
        <f t="shared" ref="AQ193:AQ195" si="56">AQ192</f>
        <v>9</v>
      </c>
      <c r="AR193" s="165">
        <f t="shared" si="34"/>
        <v>0</v>
      </c>
      <c r="AS193" s="165">
        <v>34</v>
      </c>
      <c r="AT193" s="165">
        <f t="shared" si="55"/>
        <v>0</v>
      </c>
      <c r="AU193" s="276">
        <f t="shared" si="35"/>
        <v>0</v>
      </c>
      <c r="AV193" s="276">
        <f>IF(AU193=0,0,COUNTIF(AV$160:$AV192,"&gt;0")+1)</f>
        <v>0</v>
      </c>
      <c r="AW193" s="165" t="str">
        <f t="shared" si="49"/>
        <v/>
      </c>
      <c r="AX193" s="165" t="str">
        <f t="shared" si="37"/>
        <v/>
      </c>
      <c r="AY193" s="165" t="str">
        <f>IFERROR(INDEX(D041_ClassFeatures!$L$2:$L$343,MATCH(C_Input!$AW193,D041_ClassFeatures!$B$2:$B$343,0),1),"")</f>
        <v/>
      </c>
      <c r="AZ193" s="165" t="str">
        <f>IFERROR(INDEX(D041_ClassFeatures!$L$2:$L$343,MATCH(C_Input!$AW193,D041_ClassFeatures!$B$2:$B$343,0),1),"")</f>
        <v/>
      </c>
      <c r="BA193" s="165">
        <f t="shared" si="38"/>
        <v>0</v>
      </c>
      <c r="BB193" s="165" t="str">
        <f t="array" ref="BB193">IFERROR(INDEX(D041_ClassFeatures!$B$2:$B$556,MATCH(C_Input!AW193&amp;INDEX(C_Variables!$O$4:$O$9,MATCH(INDEX($AR$160:$AR$239,MATCH(AW193,$AT$160:$AT$239,0),1),C_Variables!$M$4:$M$9,0),1),D041_ClassFeatures!$J$2:$J$556&amp;D041_ClassFeatures!$I$2:$I$556,0),1),"")</f>
        <v/>
      </c>
      <c r="BC193" s="165" t="str">
        <f t="shared" si="39"/>
        <v/>
      </c>
      <c r="BD193" s="165" t="str">
        <f>IFERROR(INDEX(D041_ClassFeatures!$C$2:$C$546,MATCH(C_Input!BC193,D041_ClassFeatures!$B$2:$B$546,0),1),"")</f>
        <v/>
      </c>
      <c r="BE193" s="165" t="str">
        <f>IFERROR(INDEX(D041_ClassFeatures!$D$2:$D$546,MATCH(C_Input!BC193,D041_ClassFeatures!$B$2:$B$546,0),1),"")</f>
        <v/>
      </c>
      <c r="BF193" s="165" t="str">
        <f t="shared" si="40"/>
        <v/>
      </c>
      <c r="BG193" s="202">
        <v>1</v>
      </c>
      <c r="BH193" s="165" t="str">
        <f t="shared" si="41"/>
        <v/>
      </c>
      <c r="BI193" s="165" t="str">
        <f t="shared" si="42"/>
        <v/>
      </c>
      <c r="BJ193" s="165">
        <f>IF(BG193=0,0,COUNTIF(BJ$160:$BJ192,"&gt;0")+1)</f>
        <v>34</v>
      </c>
    </row>
    <row r="194" spans="1:62" ht="15.95" customHeight="1" outlineLevel="1" x14ac:dyDescent="0.3">
      <c r="A194" s="907" t="s">
        <v>3884</v>
      </c>
      <c r="B194" s="907"/>
      <c r="C194" s="908"/>
      <c r="D194" s="908"/>
      <c r="E194" s="908"/>
      <c r="F194" s="713"/>
      <c r="G194" s="897"/>
      <c r="H194" s="897"/>
      <c r="I194" s="720"/>
      <c r="J194" s="720"/>
      <c r="K194" s="720"/>
      <c r="L194" s="713"/>
      <c r="M194" s="713"/>
      <c r="N194" s="713"/>
      <c r="O194" s="713"/>
      <c r="P194" s="713"/>
      <c r="Q194" s="713"/>
      <c r="R194" s="713"/>
      <c r="S194" s="713"/>
      <c r="T194" s="713"/>
      <c r="U194" s="152"/>
      <c r="V194" s="152"/>
      <c r="W194" s="152"/>
      <c r="X194" s="152"/>
      <c r="Y194" s="152"/>
      <c r="Z194" s="152"/>
      <c r="AA194" s="152"/>
      <c r="AB194" s="152"/>
      <c r="AC194" s="152"/>
      <c r="AD194" s="152"/>
      <c r="AF194" s="171"/>
      <c r="AQ194" s="165">
        <f t="shared" si="56"/>
        <v>9</v>
      </c>
      <c r="AR194" s="165">
        <f t="shared" si="34"/>
        <v>0</v>
      </c>
      <c r="AS194" s="165">
        <v>35</v>
      </c>
      <c r="AT194" s="165" t="str">
        <f t="shared" si="55"/>
        <v/>
      </c>
      <c r="AU194" s="276">
        <f t="shared" si="35"/>
        <v>0</v>
      </c>
      <c r="AV194" s="276">
        <f>IF(AU194=0,0,COUNTIF(AV$160:$AV193,"&gt;0")+1)</f>
        <v>0</v>
      </c>
      <c r="AW194" s="165" t="str">
        <f t="shared" si="49"/>
        <v/>
      </c>
      <c r="AX194" s="165" t="str">
        <f t="shared" si="37"/>
        <v/>
      </c>
      <c r="AY194" s="165" t="str">
        <f>IFERROR(INDEX(D041_ClassFeatures!$L$2:$L$343,MATCH(C_Input!$AW194,D041_ClassFeatures!$B$2:$B$343,0),1),"")</f>
        <v/>
      </c>
      <c r="AZ194" s="165" t="str">
        <f>IFERROR(INDEX(D041_ClassFeatures!$L$2:$L$343,MATCH(C_Input!$AW194,D041_ClassFeatures!$B$2:$B$343,0),1),"")</f>
        <v/>
      </c>
      <c r="BA194" s="165">
        <f t="shared" si="38"/>
        <v>0</v>
      </c>
      <c r="BB194" s="165" t="str">
        <f t="array" ref="BB194">IFERROR(INDEX(D041_ClassFeatures!$B$2:$B$556,MATCH(C_Input!AW194&amp;INDEX(C_Variables!$O$4:$O$9,MATCH(INDEX($AR$160:$AR$239,MATCH(AW194,$AT$160:$AT$239,0),1),C_Variables!$M$4:$M$9,0),1),D041_ClassFeatures!$J$2:$J$556&amp;D041_ClassFeatures!$I$2:$I$556,0),1),"")</f>
        <v/>
      </c>
      <c r="BC194" s="165" t="str">
        <f t="shared" si="39"/>
        <v/>
      </c>
      <c r="BD194" s="165" t="str">
        <f>IFERROR(INDEX(D041_ClassFeatures!$C$2:$C$546,MATCH(C_Input!BC194,D041_ClassFeatures!$B$2:$B$546,0),1),"")</f>
        <v/>
      </c>
      <c r="BE194" s="165" t="str">
        <f>IFERROR(INDEX(D041_ClassFeatures!$D$2:$D$546,MATCH(C_Input!BC194,D041_ClassFeatures!$B$2:$B$546,0),1),"")</f>
        <v/>
      </c>
      <c r="BF194" s="165" t="str">
        <f t="shared" si="40"/>
        <v/>
      </c>
      <c r="BG194" s="202">
        <v>1</v>
      </c>
      <c r="BH194" s="165" t="str">
        <f t="shared" si="41"/>
        <v/>
      </c>
      <c r="BI194" s="165" t="str">
        <f t="shared" si="42"/>
        <v/>
      </c>
      <c r="BJ194" s="165">
        <f>IF(BG194=0,0,COUNTIF(BJ$160:$BJ193,"&gt;0")+1)</f>
        <v>35</v>
      </c>
    </row>
    <row r="195" spans="1:62" ht="15.95" customHeight="1" outlineLevel="1" x14ac:dyDescent="0.3">
      <c r="A195" s="907"/>
      <c r="B195" s="907"/>
      <c r="C195" s="908"/>
      <c r="D195" s="908"/>
      <c r="E195" s="908"/>
      <c r="F195" s="713"/>
      <c r="G195" s="897" t="s">
        <v>4312</v>
      </c>
      <c r="H195" s="897"/>
      <c r="I195" s="720"/>
      <c r="J195" s="720"/>
      <c r="K195" s="720"/>
      <c r="L195" s="713"/>
      <c r="M195" s="722" t="s">
        <v>4153</v>
      </c>
      <c r="N195" s="722"/>
      <c r="O195" s="722"/>
      <c r="P195" s="909">
        <f>Q195-COUNTA(O197:Q202)</f>
        <v>0</v>
      </c>
      <c r="Q195" s="910">
        <f>BarbarianSpiritTotems</f>
        <v>0</v>
      </c>
      <c r="R195" s="713"/>
      <c r="S195" s="713"/>
      <c r="T195" s="713"/>
      <c r="U195" s="152"/>
      <c r="V195" s="152"/>
      <c r="W195" s="152"/>
      <c r="X195" s="152"/>
      <c r="Y195" s="152"/>
      <c r="Z195" s="152"/>
      <c r="AA195" s="152"/>
      <c r="AB195" s="152"/>
      <c r="AC195" s="152"/>
      <c r="AD195" s="152"/>
      <c r="AF195" s="171"/>
      <c r="AQ195" s="165">
        <f t="shared" si="56"/>
        <v>9</v>
      </c>
      <c r="AR195" s="165">
        <f t="shared" si="34"/>
        <v>0</v>
      </c>
      <c r="AS195" s="165">
        <v>36</v>
      </c>
      <c r="AT195" s="165" t="str">
        <f t="shared" si="55"/>
        <v/>
      </c>
      <c r="AU195" s="276">
        <f t="shared" si="35"/>
        <v>0</v>
      </c>
      <c r="AV195" s="276">
        <f>IF(AU195=0,0,COUNTIF(AV$160:$AV194,"&gt;0")+1)</f>
        <v>0</v>
      </c>
      <c r="AW195" s="165" t="str">
        <f t="shared" si="49"/>
        <v/>
      </c>
      <c r="AX195" s="165" t="str">
        <f t="shared" si="37"/>
        <v/>
      </c>
      <c r="AY195" s="165" t="str">
        <f>IFERROR(INDEX(D041_ClassFeatures!$L$2:$L$343,MATCH(C_Input!$AW195,D041_ClassFeatures!$B$2:$B$343,0),1),"")</f>
        <v/>
      </c>
      <c r="AZ195" s="165" t="str">
        <f>IFERROR(INDEX(D041_ClassFeatures!$L$2:$L$343,MATCH(C_Input!$AW195,D041_ClassFeatures!$B$2:$B$343,0),1),"")</f>
        <v/>
      </c>
      <c r="BA195" s="165">
        <f t="shared" si="38"/>
        <v>0</v>
      </c>
      <c r="BB195" s="165" t="str">
        <f t="array" ref="BB195">IFERROR(INDEX(D041_ClassFeatures!$B$2:$B$556,MATCH(C_Input!AW195&amp;INDEX(C_Variables!$O$4:$O$9,MATCH(INDEX($AR$160:$AR$239,MATCH(AW195,$AT$160:$AT$239,0),1),C_Variables!$M$4:$M$9,0),1),D041_ClassFeatures!$J$2:$J$556&amp;D041_ClassFeatures!$I$2:$I$556,0),1),"")</f>
        <v/>
      </c>
      <c r="BC195" s="165" t="str">
        <f t="shared" si="39"/>
        <v/>
      </c>
      <c r="BD195" s="165" t="str">
        <f>IFERROR(INDEX(D041_ClassFeatures!$C$2:$C$546,MATCH(C_Input!BC195,D041_ClassFeatures!$B$2:$B$546,0),1),"")</f>
        <v/>
      </c>
      <c r="BE195" s="165" t="str">
        <f>IFERROR(INDEX(D041_ClassFeatures!$D$2:$D$546,MATCH(C_Input!BC195,D041_ClassFeatures!$B$2:$B$546,0),1),"")</f>
        <v/>
      </c>
      <c r="BF195" s="165" t="str">
        <f t="shared" si="40"/>
        <v/>
      </c>
      <c r="BG195" s="202">
        <v>1</v>
      </c>
      <c r="BH195" s="165" t="str">
        <f t="shared" si="41"/>
        <v/>
      </c>
      <c r="BI195" s="165" t="str">
        <f t="shared" si="42"/>
        <v/>
      </c>
      <c r="BJ195" s="165">
        <f>IF(BG195=0,0,COUNTIF(BJ$160:$BJ194,"&gt;0")+1)</f>
        <v>36</v>
      </c>
    </row>
    <row r="196" spans="1:62" ht="15.95" customHeight="1" outlineLevel="1" x14ac:dyDescent="0.3">
      <c r="A196" s="713"/>
      <c r="B196" s="713"/>
      <c r="C196" s="713"/>
      <c r="D196" s="713"/>
      <c r="E196" s="713"/>
      <c r="F196" s="713"/>
      <c r="G196" s="897"/>
      <c r="H196" s="897"/>
      <c r="I196" s="720"/>
      <c r="J196" s="720"/>
      <c r="K196" s="720"/>
      <c r="L196" s="713"/>
      <c r="M196" s="722"/>
      <c r="N196" s="722"/>
      <c r="O196" s="722"/>
      <c r="P196" s="909"/>
      <c r="Q196" s="910"/>
      <c r="R196" s="713"/>
      <c r="S196" s="713"/>
      <c r="T196" s="713"/>
      <c r="U196" s="152"/>
      <c r="V196" s="152"/>
      <c r="W196" s="152"/>
      <c r="X196" s="152"/>
      <c r="Y196" s="152"/>
      <c r="Z196" s="152"/>
      <c r="AA196" s="152"/>
      <c r="AB196" s="152"/>
      <c r="AC196" s="152"/>
      <c r="AD196" s="152"/>
      <c r="AF196" s="171"/>
      <c r="AQ196" s="165">
        <f t="shared" ref="AQ196" si="57">AQ195+1</f>
        <v>10</v>
      </c>
      <c r="AR196" s="165">
        <f t="shared" si="34"/>
        <v>0</v>
      </c>
      <c r="AS196" s="165">
        <v>37</v>
      </c>
      <c r="AT196" s="165" t="str">
        <f t="shared" si="55"/>
        <v/>
      </c>
      <c r="AU196" s="276">
        <f t="shared" si="35"/>
        <v>0</v>
      </c>
      <c r="AV196" s="276">
        <f>IF(AU196=0,0,COUNTIF(AV$160:$AV195,"&gt;0")+1)</f>
        <v>0</v>
      </c>
      <c r="AW196" s="165" t="str">
        <f t="shared" si="49"/>
        <v/>
      </c>
      <c r="AX196" s="165" t="str">
        <f t="shared" si="37"/>
        <v/>
      </c>
      <c r="AY196" s="165" t="str">
        <f>IFERROR(INDEX(D041_ClassFeatures!$L$2:$L$343,MATCH(C_Input!$AW196,D041_ClassFeatures!$B$2:$B$343,0),1),"")</f>
        <v/>
      </c>
      <c r="AZ196" s="165" t="str">
        <f>IFERROR(INDEX(D041_ClassFeatures!$L$2:$L$343,MATCH(C_Input!$AW196,D041_ClassFeatures!$B$2:$B$343,0),1),"")</f>
        <v/>
      </c>
      <c r="BA196" s="165">
        <f t="shared" si="38"/>
        <v>0</v>
      </c>
      <c r="BB196" s="165" t="str">
        <f t="array" ref="BB196">IFERROR(INDEX(D041_ClassFeatures!$B$2:$B$556,MATCH(C_Input!AW196&amp;INDEX(C_Variables!$O$4:$O$9,MATCH(INDEX($AR$160:$AR$239,MATCH(AW196,$AT$160:$AT$239,0),1),C_Variables!$M$4:$M$9,0),1),D041_ClassFeatures!$J$2:$J$556&amp;D041_ClassFeatures!$I$2:$I$556,0),1),"")</f>
        <v/>
      </c>
      <c r="BC196" s="165" t="str">
        <f t="shared" si="39"/>
        <v/>
      </c>
      <c r="BD196" s="165" t="str">
        <f>IFERROR(INDEX(D041_ClassFeatures!$C$2:$C$546,MATCH(C_Input!BC196,D041_ClassFeatures!$B$2:$B$546,0),1),"")</f>
        <v/>
      </c>
      <c r="BE196" s="165" t="str">
        <f>IFERROR(INDEX(D041_ClassFeatures!$D$2:$D$546,MATCH(C_Input!BC196,D041_ClassFeatures!$B$2:$B$546,0),1),"")</f>
        <v/>
      </c>
      <c r="BF196" s="165" t="str">
        <f t="shared" si="40"/>
        <v/>
      </c>
      <c r="BG196" s="202">
        <v>1</v>
      </c>
      <c r="BH196" s="165" t="str">
        <f t="shared" si="41"/>
        <v/>
      </c>
      <c r="BI196" s="165" t="str">
        <f t="shared" si="42"/>
        <v/>
      </c>
      <c r="BJ196" s="165">
        <f>IF(BG196=0,0,COUNTIF(BJ$160:$BJ195,"&gt;0")+1)</f>
        <v>37</v>
      </c>
    </row>
    <row r="197" spans="1:62" ht="15.95" customHeight="1" outlineLevel="1" x14ac:dyDescent="0.3">
      <c r="A197" s="722" t="s">
        <v>5546</v>
      </c>
      <c r="B197" s="722"/>
      <c r="C197" s="722"/>
      <c r="D197" s="719">
        <f>E197-COUNTA(C199:E204)</f>
        <v>0</v>
      </c>
      <c r="E197" s="723">
        <f>DruidLands</f>
        <v>0</v>
      </c>
      <c r="F197" s="713"/>
      <c r="G197" s="897" t="s">
        <v>4313</v>
      </c>
      <c r="H197" s="897"/>
      <c r="I197" s="904"/>
      <c r="J197" s="904"/>
      <c r="K197" s="904"/>
      <c r="L197" s="713"/>
      <c r="M197" s="721" t="s">
        <v>4217</v>
      </c>
      <c r="N197" s="721"/>
      <c r="O197" s="720"/>
      <c r="P197" s="720"/>
      <c r="Q197" s="720"/>
      <c r="R197" s="713"/>
      <c r="S197" s="713"/>
      <c r="T197" s="713"/>
      <c r="U197" s="152"/>
      <c r="V197" s="152"/>
      <c r="W197" s="152"/>
      <c r="X197" s="152"/>
      <c r="Y197" s="152"/>
      <c r="Z197" s="152"/>
      <c r="AA197" s="152"/>
      <c r="AB197" s="152"/>
      <c r="AC197" s="152"/>
      <c r="AD197" s="152"/>
      <c r="AF197" s="171"/>
      <c r="AQ197" s="165">
        <f t="shared" ref="AQ197:AQ199" si="58">AQ196</f>
        <v>10</v>
      </c>
      <c r="AR197" s="165">
        <f t="shared" si="34"/>
        <v>0</v>
      </c>
      <c r="AS197" s="165">
        <v>38</v>
      </c>
      <c r="AT197" s="165">
        <f t="shared" si="55"/>
        <v>0</v>
      </c>
      <c r="AU197" s="276">
        <f t="shared" si="35"/>
        <v>0</v>
      </c>
      <c r="AV197" s="276">
        <f>IF(AU197=0,0,COUNTIF(AV$160:$AV196,"&gt;0")+1)</f>
        <v>0</v>
      </c>
      <c r="AW197" s="165" t="str">
        <f t="shared" si="49"/>
        <v/>
      </c>
      <c r="AX197" s="165" t="str">
        <f t="shared" si="37"/>
        <v/>
      </c>
      <c r="AY197" s="165" t="str">
        <f>IFERROR(INDEX(D041_ClassFeatures!$L$2:$L$343,MATCH(C_Input!$AW197,D041_ClassFeatures!$B$2:$B$343,0),1),"")</f>
        <v/>
      </c>
      <c r="AZ197" s="165" t="str">
        <f>IFERROR(INDEX(D041_ClassFeatures!$L$2:$L$343,MATCH(C_Input!$AW197,D041_ClassFeatures!$B$2:$B$343,0),1),"")</f>
        <v/>
      </c>
      <c r="BA197" s="165">
        <f t="shared" si="38"/>
        <v>0</v>
      </c>
      <c r="BB197" s="165" t="str">
        <f t="array" ref="BB197">IFERROR(INDEX(D041_ClassFeatures!$B$2:$B$556,MATCH(C_Input!AW197&amp;INDEX(C_Variables!$O$4:$O$9,MATCH(INDEX($AR$160:$AR$239,MATCH(AW197,$AT$160:$AT$239,0),1),C_Variables!$M$4:$M$9,0),1),D041_ClassFeatures!$J$2:$J$556&amp;D041_ClassFeatures!$I$2:$I$556,0),1),"")</f>
        <v/>
      </c>
      <c r="BC197" s="165" t="str">
        <f t="shared" si="39"/>
        <v/>
      </c>
      <c r="BD197" s="165" t="str">
        <f>IFERROR(INDEX(D041_ClassFeatures!$C$2:$C$546,MATCH(C_Input!BC197,D041_ClassFeatures!$B$2:$B$546,0),1),"")</f>
        <v/>
      </c>
      <c r="BE197" s="165" t="str">
        <f>IFERROR(INDEX(D041_ClassFeatures!$D$2:$D$546,MATCH(C_Input!BC197,D041_ClassFeatures!$B$2:$B$546,0),1),"")</f>
        <v/>
      </c>
      <c r="BF197" s="165" t="str">
        <f t="shared" si="40"/>
        <v/>
      </c>
      <c r="BG197" s="202">
        <v>1</v>
      </c>
      <c r="BH197" s="165" t="str">
        <f t="shared" si="41"/>
        <v/>
      </c>
      <c r="BI197" s="165" t="str">
        <f t="shared" si="42"/>
        <v/>
      </c>
      <c r="BJ197" s="165">
        <f>IF(BG197=0,0,COUNTIF(BJ$160:$BJ196,"&gt;0")+1)</f>
        <v>38</v>
      </c>
    </row>
    <row r="198" spans="1:62" ht="15.95" customHeight="1" outlineLevel="1" x14ac:dyDescent="0.3">
      <c r="A198" s="722"/>
      <c r="B198" s="722"/>
      <c r="C198" s="722"/>
      <c r="D198" s="719"/>
      <c r="E198" s="723"/>
      <c r="F198" s="713"/>
      <c r="G198" s="897"/>
      <c r="H198" s="897"/>
      <c r="I198" s="904"/>
      <c r="J198" s="904"/>
      <c r="K198" s="904"/>
      <c r="L198" s="713"/>
      <c r="M198" s="721"/>
      <c r="N198" s="721"/>
      <c r="O198" s="720"/>
      <c r="P198" s="720"/>
      <c r="Q198" s="720"/>
      <c r="R198" s="713"/>
      <c r="S198" s="713"/>
      <c r="T198" s="713"/>
      <c r="U198" s="152"/>
      <c r="V198" s="152"/>
      <c r="W198" s="152"/>
      <c r="X198" s="152"/>
      <c r="Y198" s="152"/>
      <c r="Z198" s="152"/>
      <c r="AA198" s="152"/>
      <c r="AB198" s="152"/>
      <c r="AC198" s="152"/>
      <c r="AD198" s="152"/>
      <c r="AF198" s="171"/>
      <c r="AQ198" s="165">
        <f t="shared" si="58"/>
        <v>10</v>
      </c>
      <c r="AR198" s="165">
        <f t="shared" si="34"/>
        <v>0</v>
      </c>
      <c r="AS198" s="165">
        <v>39</v>
      </c>
      <c r="AT198" s="165" t="str">
        <f t="shared" si="55"/>
        <v/>
      </c>
      <c r="AU198" s="276">
        <f t="shared" si="35"/>
        <v>0</v>
      </c>
      <c r="AV198" s="276">
        <f>IF(AU198=0,0,COUNTIF(AV$160:$AV197,"&gt;0")+1)</f>
        <v>0</v>
      </c>
      <c r="AW198" s="165" t="str">
        <f t="shared" si="49"/>
        <v/>
      </c>
      <c r="AX198" s="165" t="str">
        <f t="shared" si="37"/>
        <v/>
      </c>
      <c r="AY198" s="165" t="str">
        <f>IFERROR(INDEX(D041_ClassFeatures!$L$2:$L$343,MATCH(C_Input!$AW198,D041_ClassFeatures!$B$2:$B$343,0),1),"")</f>
        <v/>
      </c>
      <c r="AZ198" s="165" t="str">
        <f>IFERROR(INDEX(D041_ClassFeatures!$L$2:$L$343,MATCH(C_Input!$AW198,D041_ClassFeatures!$B$2:$B$343,0),1),"")</f>
        <v/>
      </c>
      <c r="BA198" s="165">
        <f t="shared" si="38"/>
        <v>0</v>
      </c>
      <c r="BB198" s="165" t="str">
        <f t="array" ref="BB198">IFERROR(INDEX(D041_ClassFeatures!$B$2:$B$556,MATCH(C_Input!AW198&amp;INDEX(C_Variables!$O$4:$O$9,MATCH(INDEX($AR$160:$AR$239,MATCH(AW198,$AT$160:$AT$239,0),1),C_Variables!$M$4:$M$9,0),1),D041_ClassFeatures!$J$2:$J$556&amp;D041_ClassFeatures!$I$2:$I$556,0),1),"")</f>
        <v/>
      </c>
      <c r="BC198" s="165" t="str">
        <f t="shared" si="39"/>
        <v/>
      </c>
      <c r="BD198" s="165" t="str">
        <f>IFERROR(INDEX(D041_ClassFeatures!$C$2:$C$546,MATCH(C_Input!BC198,D041_ClassFeatures!$B$2:$B$546,0),1),"")</f>
        <v/>
      </c>
      <c r="BE198" s="165" t="str">
        <f>IFERROR(INDEX(D041_ClassFeatures!$D$2:$D$546,MATCH(C_Input!BC198,D041_ClassFeatures!$B$2:$B$546,0),1),"")</f>
        <v/>
      </c>
      <c r="BF198" s="165" t="str">
        <f t="shared" si="40"/>
        <v/>
      </c>
      <c r="BG198" s="202">
        <v>1</v>
      </c>
      <c r="BH198" s="165" t="str">
        <f t="shared" si="41"/>
        <v/>
      </c>
      <c r="BI198" s="165" t="str">
        <f t="shared" si="42"/>
        <v/>
      </c>
      <c r="BJ198" s="165">
        <f>IF(BG198=0,0,COUNTIF(BJ$160:$BJ197,"&gt;0")+1)</f>
        <v>39</v>
      </c>
    </row>
    <row r="199" spans="1:62" ht="15.95" customHeight="1" outlineLevel="1" x14ac:dyDescent="0.3">
      <c r="A199" s="716"/>
      <c r="B199" s="716"/>
      <c r="C199" s="716"/>
      <c r="D199" s="716"/>
      <c r="E199" s="716"/>
      <c r="F199" s="713"/>
      <c r="G199" s="713"/>
      <c r="H199" s="713"/>
      <c r="I199" s="713"/>
      <c r="J199" s="713"/>
      <c r="K199" s="713"/>
      <c r="L199" s="713"/>
      <c r="M199" s="721" t="s">
        <v>4218</v>
      </c>
      <c r="N199" s="721"/>
      <c r="O199" s="720"/>
      <c r="P199" s="720"/>
      <c r="Q199" s="720"/>
      <c r="R199" s="713"/>
      <c r="S199" s="713"/>
      <c r="T199" s="713"/>
      <c r="U199" s="152"/>
      <c r="V199" s="152"/>
      <c r="W199" s="152"/>
      <c r="X199" s="152"/>
      <c r="Y199" s="152"/>
      <c r="Z199" s="152"/>
      <c r="AA199" s="152"/>
      <c r="AB199" s="152"/>
      <c r="AC199" s="152"/>
      <c r="AD199" s="152"/>
      <c r="AF199" s="171"/>
      <c r="AQ199" s="165">
        <f t="shared" si="58"/>
        <v>10</v>
      </c>
      <c r="AR199" s="165">
        <f t="shared" si="34"/>
        <v>0</v>
      </c>
      <c r="AS199" s="165">
        <v>40</v>
      </c>
      <c r="AT199" s="165" t="str">
        <f t="shared" si="55"/>
        <v/>
      </c>
      <c r="AU199" s="276">
        <f t="shared" si="35"/>
        <v>0</v>
      </c>
      <c r="AV199" s="276">
        <f>IF(AU199=0,0,COUNTIF(AV$160:$AV198,"&gt;0")+1)</f>
        <v>0</v>
      </c>
      <c r="AW199" s="165" t="str">
        <f t="shared" si="49"/>
        <v/>
      </c>
      <c r="AX199" s="165" t="str">
        <f t="shared" si="37"/>
        <v/>
      </c>
      <c r="AY199" s="165" t="str">
        <f>IFERROR(INDEX(D041_ClassFeatures!$L$2:$L$343,MATCH(C_Input!$AW199,D041_ClassFeatures!$B$2:$B$343,0),1),"")</f>
        <v/>
      </c>
      <c r="AZ199" s="165" t="str">
        <f>IFERROR(INDEX(D041_ClassFeatures!$L$2:$L$343,MATCH(C_Input!$AW199,D041_ClassFeatures!$B$2:$B$343,0),1),"")</f>
        <v/>
      </c>
      <c r="BA199" s="165">
        <f t="shared" si="38"/>
        <v>0</v>
      </c>
      <c r="BB199" s="165" t="str">
        <f t="array" ref="BB199">IFERROR(INDEX(D041_ClassFeatures!$B$2:$B$556,MATCH(C_Input!AW199&amp;INDEX(C_Variables!$O$4:$O$9,MATCH(INDEX($AR$160:$AR$239,MATCH(AW199,$AT$160:$AT$239,0),1),C_Variables!$M$4:$M$9,0),1),D041_ClassFeatures!$J$2:$J$556&amp;D041_ClassFeatures!$I$2:$I$556,0),1),"")</f>
        <v/>
      </c>
      <c r="BC199" s="165" t="str">
        <f t="shared" si="39"/>
        <v/>
      </c>
      <c r="BD199" s="165" t="str">
        <f>IFERROR(INDEX(D041_ClassFeatures!$C$2:$C$546,MATCH(C_Input!BC199,D041_ClassFeatures!$B$2:$B$546,0),1),"")</f>
        <v/>
      </c>
      <c r="BE199" s="165" t="str">
        <f>IFERROR(INDEX(D041_ClassFeatures!$D$2:$D$546,MATCH(C_Input!BC199,D041_ClassFeatures!$B$2:$B$546,0),1),"")</f>
        <v/>
      </c>
      <c r="BF199" s="165" t="str">
        <f t="shared" si="40"/>
        <v/>
      </c>
      <c r="BG199" s="202">
        <v>1</v>
      </c>
      <c r="BH199" s="165" t="str">
        <f t="shared" si="41"/>
        <v/>
      </c>
      <c r="BI199" s="165" t="str">
        <f t="shared" si="42"/>
        <v/>
      </c>
      <c r="BJ199" s="165">
        <f>IF(BG199=0,0,COUNTIF(BJ$160:$BJ198,"&gt;0")+1)</f>
        <v>40</v>
      </c>
    </row>
    <row r="200" spans="1:62" ht="15.95" customHeight="1" outlineLevel="1" x14ac:dyDescent="0.3">
      <c r="A200" s="716"/>
      <c r="B200" s="716"/>
      <c r="C200" s="716"/>
      <c r="D200" s="716"/>
      <c r="E200" s="716"/>
      <c r="F200" s="713"/>
      <c r="G200" s="713"/>
      <c r="H200" s="713"/>
      <c r="I200" s="713"/>
      <c r="J200" s="713"/>
      <c r="K200" s="713"/>
      <c r="L200" s="713"/>
      <c r="M200" s="721"/>
      <c r="N200" s="721"/>
      <c r="O200" s="720"/>
      <c r="P200" s="720"/>
      <c r="Q200" s="720"/>
      <c r="R200" s="713"/>
      <c r="S200" s="713"/>
      <c r="T200" s="713"/>
      <c r="U200" s="152"/>
      <c r="V200" s="152"/>
      <c r="W200" s="152"/>
      <c r="X200" s="152"/>
      <c r="Y200" s="152"/>
      <c r="Z200" s="152"/>
      <c r="AA200" s="152"/>
      <c r="AB200" s="152"/>
      <c r="AC200" s="152"/>
      <c r="AD200" s="152"/>
      <c r="AF200" s="171"/>
      <c r="AQ200" s="165">
        <f t="shared" ref="AQ200" si="59">AQ199+1</f>
        <v>11</v>
      </c>
      <c r="AR200" s="165">
        <f t="shared" si="34"/>
        <v>0</v>
      </c>
      <c r="AS200" s="165">
        <v>41</v>
      </c>
      <c r="AT200" s="165" t="str">
        <f t="shared" si="55"/>
        <v/>
      </c>
      <c r="AU200" s="276">
        <f t="shared" si="35"/>
        <v>0</v>
      </c>
      <c r="AV200" s="276">
        <f>IF(AU200=0,0,COUNTIF(AV$160:$AV199,"&gt;0")+1)</f>
        <v>0</v>
      </c>
      <c r="AW200" s="165" t="str">
        <f t="shared" si="49"/>
        <v/>
      </c>
      <c r="AX200" s="165" t="str">
        <f t="shared" si="37"/>
        <v/>
      </c>
      <c r="AY200" s="165" t="str">
        <f>IFERROR(INDEX(D041_ClassFeatures!$L$2:$L$343,MATCH(C_Input!$AW200,D041_ClassFeatures!$B$2:$B$343,0),1),"")</f>
        <v/>
      </c>
      <c r="AZ200" s="165" t="str">
        <f>IFERROR(INDEX(D041_ClassFeatures!$L$2:$L$343,MATCH(C_Input!$AW200,D041_ClassFeatures!$B$2:$B$343,0),1),"")</f>
        <v/>
      </c>
      <c r="BA200" s="165">
        <f t="shared" si="38"/>
        <v>0</v>
      </c>
      <c r="BB200" s="165" t="str">
        <f t="array" ref="BB200">IFERROR(INDEX(D041_ClassFeatures!$B$2:$B$556,MATCH(C_Input!AW200&amp;INDEX(C_Variables!$O$4:$O$9,MATCH(INDEX($AR$160:$AR$239,MATCH(AW200,$AT$160:$AT$239,0),1),C_Variables!$M$4:$M$9,0),1),D041_ClassFeatures!$J$2:$J$556&amp;D041_ClassFeatures!$I$2:$I$556,0),1),"")</f>
        <v/>
      </c>
      <c r="BC200" s="165" t="str">
        <f t="shared" si="39"/>
        <v/>
      </c>
      <c r="BD200" s="165" t="str">
        <f>IFERROR(INDEX(D041_ClassFeatures!$C$2:$C$546,MATCH(C_Input!BC200,D041_ClassFeatures!$B$2:$B$546,0),1),"")</f>
        <v/>
      </c>
      <c r="BE200" s="165" t="str">
        <f>IFERROR(INDEX(D041_ClassFeatures!$D$2:$D$546,MATCH(C_Input!BC200,D041_ClassFeatures!$B$2:$B$546,0),1),"")</f>
        <v/>
      </c>
      <c r="BF200" s="165" t="str">
        <f t="shared" si="40"/>
        <v/>
      </c>
      <c r="BG200" s="202">
        <v>1</v>
      </c>
      <c r="BH200" s="165" t="str">
        <f t="shared" si="41"/>
        <v/>
      </c>
      <c r="BI200" s="165" t="str">
        <f t="shared" si="42"/>
        <v/>
      </c>
      <c r="BJ200" s="165">
        <f>IF(BG200=0,0,COUNTIF(BJ$160:$BJ199,"&gt;0")+1)</f>
        <v>41</v>
      </c>
    </row>
    <row r="201" spans="1:62" ht="15.95" customHeight="1" outlineLevel="1" x14ac:dyDescent="0.3">
      <c r="A201" s="716"/>
      <c r="B201" s="716"/>
      <c r="C201" s="716"/>
      <c r="D201" s="716"/>
      <c r="E201" s="716"/>
      <c r="F201" s="713"/>
      <c r="G201" s="713"/>
      <c r="H201" s="713"/>
      <c r="I201" s="713"/>
      <c r="J201" s="713"/>
      <c r="K201" s="713"/>
      <c r="L201" s="713"/>
      <c r="M201" s="721" t="s">
        <v>4220</v>
      </c>
      <c r="N201" s="721"/>
      <c r="O201" s="720"/>
      <c r="P201" s="720"/>
      <c r="Q201" s="720"/>
      <c r="R201" s="713"/>
      <c r="S201" s="713"/>
      <c r="T201" s="713"/>
      <c r="U201" s="152"/>
      <c r="V201" s="152"/>
      <c r="W201" s="152"/>
      <c r="X201" s="152"/>
      <c r="Y201" s="152"/>
      <c r="Z201" s="152"/>
      <c r="AA201" s="152"/>
      <c r="AB201" s="152"/>
      <c r="AC201" s="152"/>
      <c r="AD201" s="152"/>
      <c r="AF201" s="171"/>
      <c r="AQ201" s="165">
        <f t="shared" ref="AQ201:AQ203" si="60">AQ200</f>
        <v>11</v>
      </c>
      <c r="AR201" s="165">
        <f t="shared" si="34"/>
        <v>0</v>
      </c>
      <c r="AS201" s="165">
        <v>42</v>
      </c>
      <c r="AT201" s="165">
        <f t="shared" si="55"/>
        <v>0</v>
      </c>
      <c r="AU201" s="276">
        <f t="shared" si="35"/>
        <v>0</v>
      </c>
      <c r="AV201" s="276">
        <f>IF(AU201=0,0,COUNTIF(AV$160:$AV200,"&gt;0")+1)</f>
        <v>0</v>
      </c>
      <c r="AW201" s="165" t="str">
        <f t="shared" si="49"/>
        <v/>
      </c>
      <c r="AX201" s="165" t="str">
        <f t="shared" si="37"/>
        <v/>
      </c>
      <c r="AY201" s="165" t="str">
        <f>IFERROR(INDEX(D041_ClassFeatures!$L$2:$L$343,MATCH(C_Input!$AW201,D041_ClassFeatures!$B$2:$B$343,0),1),"")</f>
        <v/>
      </c>
      <c r="AZ201" s="165" t="str">
        <f>IFERROR(INDEX(D041_ClassFeatures!$L$2:$L$343,MATCH(C_Input!$AW201,D041_ClassFeatures!$B$2:$B$343,0),1),"")</f>
        <v/>
      </c>
      <c r="BA201" s="165">
        <f t="shared" si="38"/>
        <v>0</v>
      </c>
      <c r="BB201" s="165" t="str">
        <f t="array" ref="BB201">IFERROR(INDEX(D041_ClassFeatures!$B$2:$B$556,MATCH(C_Input!AW201&amp;INDEX(C_Variables!$O$4:$O$9,MATCH(INDEX($AR$160:$AR$239,MATCH(AW201,$AT$160:$AT$239,0),1),C_Variables!$M$4:$M$9,0),1),D041_ClassFeatures!$J$2:$J$556&amp;D041_ClassFeatures!$I$2:$I$556,0),1),"")</f>
        <v/>
      </c>
      <c r="BC201" s="165" t="str">
        <f t="shared" si="39"/>
        <v/>
      </c>
      <c r="BD201" s="165" t="str">
        <f>IFERROR(INDEX(D041_ClassFeatures!$C$2:$C$546,MATCH(C_Input!BC201,D041_ClassFeatures!$B$2:$B$546,0),1),"")</f>
        <v/>
      </c>
      <c r="BE201" s="165" t="str">
        <f>IFERROR(INDEX(D041_ClassFeatures!$D$2:$D$546,MATCH(C_Input!BC201,D041_ClassFeatures!$B$2:$B$546,0),1),"")</f>
        <v/>
      </c>
      <c r="BF201" s="165" t="str">
        <f t="shared" si="40"/>
        <v/>
      </c>
      <c r="BG201" s="202">
        <v>1</v>
      </c>
      <c r="BH201" s="165" t="str">
        <f t="shared" si="41"/>
        <v/>
      </c>
      <c r="BI201" s="165" t="str">
        <f t="shared" si="42"/>
        <v/>
      </c>
      <c r="BJ201" s="165">
        <f>IF(BG201=0,0,COUNTIF(BJ$160:$BJ200,"&gt;0")+1)</f>
        <v>42</v>
      </c>
    </row>
    <row r="202" spans="1:62" ht="15.95" customHeight="1" outlineLevel="1" x14ac:dyDescent="0.3">
      <c r="A202" s="716"/>
      <c r="B202" s="716"/>
      <c r="C202" s="716"/>
      <c r="D202" s="716"/>
      <c r="E202" s="716"/>
      <c r="F202" s="713"/>
      <c r="G202" s="713"/>
      <c r="H202" s="713"/>
      <c r="I202" s="713"/>
      <c r="J202" s="713"/>
      <c r="K202" s="713"/>
      <c r="L202" s="713"/>
      <c r="M202" s="721"/>
      <c r="N202" s="721"/>
      <c r="O202" s="720"/>
      <c r="P202" s="720"/>
      <c r="Q202" s="720"/>
      <c r="R202" s="713"/>
      <c r="S202" s="713"/>
      <c r="T202" s="713"/>
      <c r="U202" s="152"/>
      <c r="V202" s="152"/>
      <c r="W202" s="152"/>
      <c r="X202" s="152"/>
      <c r="Y202" s="152"/>
      <c r="Z202" s="152"/>
      <c r="AA202" s="152"/>
      <c r="AB202" s="152"/>
      <c r="AC202" s="152"/>
      <c r="AD202" s="152"/>
      <c r="AF202" s="171"/>
      <c r="AQ202" s="165">
        <f t="shared" si="60"/>
        <v>11</v>
      </c>
      <c r="AR202" s="165">
        <f t="shared" si="34"/>
        <v>0</v>
      </c>
      <c r="AS202" s="165">
        <v>43</v>
      </c>
      <c r="AT202" s="165" t="str">
        <f t="shared" si="55"/>
        <v/>
      </c>
      <c r="AU202" s="276">
        <f t="shared" si="35"/>
        <v>0</v>
      </c>
      <c r="AV202" s="276">
        <f>IF(AU202=0,0,COUNTIF(AV$160:$AV201,"&gt;0")+1)</f>
        <v>0</v>
      </c>
      <c r="AW202" s="165" t="str">
        <f t="shared" si="49"/>
        <v/>
      </c>
      <c r="AX202" s="165" t="str">
        <f t="shared" si="37"/>
        <v/>
      </c>
      <c r="AY202" s="165" t="str">
        <f>IFERROR(INDEX(D041_ClassFeatures!$L$2:$L$343,MATCH(C_Input!$AW202,D041_ClassFeatures!$B$2:$B$343,0),1),"")</f>
        <v/>
      </c>
      <c r="AZ202" s="165" t="str">
        <f>IFERROR(INDEX(D041_ClassFeatures!$L$2:$L$343,MATCH(C_Input!$AW202,D041_ClassFeatures!$B$2:$B$343,0),1),"")</f>
        <v/>
      </c>
      <c r="BA202" s="165">
        <f t="shared" si="38"/>
        <v>0</v>
      </c>
      <c r="BB202" s="165" t="str">
        <f t="array" ref="BB202">IFERROR(INDEX(D041_ClassFeatures!$B$2:$B$556,MATCH(C_Input!AW202&amp;INDEX(C_Variables!$O$4:$O$9,MATCH(INDEX($AR$160:$AR$239,MATCH(AW202,$AT$160:$AT$239,0),1),C_Variables!$M$4:$M$9,0),1),D041_ClassFeatures!$J$2:$J$556&amp;D041_ClassFeatures!$I$2:$I$556,0),1),"")</f>
        <v/>
      </c>
      <c r="BC202" s="165" t="str">
        <f t="shared" si="39"/>
        <v/>
      </c>
      <c r="BD202" s="165" t="str">
        <f>IFERROR(INDEX(D041_ClassFeatures!$C$2:$C$546,MATCH(C_Input!BC202,D041_ClassFeatures!$B$2:$B$546,0),1),"")</f>
        <v/>
      </c>
      <c r="BE202" s="165" t="str">
        <f>IFERROR(INDEX(D041_ClassFeatures!$D$2:$D$546,MATCH(C_Input!BC202,D041_ClassFeatures!$B$2:$B$546,0),1),"")</f>
        <v/>
      </c>
      <c r="BF202" s="165" t="str">
        <f t="shared" si="40"/>
        <v/>
      </c>
      <c r="BG202" s="202">
        <v>1</v>
      </c>
      <c r="BH202" s="165" t="str">
        <f t="shared" si="41"/>
        <v/>
      </c>
      <c r="BI202" s="165" t="str">
        <f t="shared" si="42"/>
        <v/>
      </c>
      <c r="BJ202" s="165">
        <f>IF(BG202=0,0,COUNTIF(BJ$160:$BJ201,"&gt;0")+1)</f>
        <v>43</v>
      </c>
    </row>
    <row r="203" spans="1:62" ht="15.95" customHeight="1" outlineLevel="1" x14ac:dyDescent="0.3">
      <c r="A203" s="716"/>
      <c r="B203" s="716"/>
      <c r="C203" s="716"/>
      <c r="D203" s="716"/>
      <c r="E203" s="716"/>
      <c r="F203" s="713"/>
      <c r="G203" s="713"/>
      <c r="H203" s="713"/>
      <c r="I203" s="713"/>
      <c r="J203" s="713"/>
      <c r="K203" s="713"/>
      <c r="L203" s="713"/>
      <c r="M203" s="713"/>
      <c r="N203" s="713"/>
      <c r="O203" s="713"/>
      <c r="P203" s="713"/>
      <c r="Q203" s="713"/>
      <c r="R203" s="713"/>
      <c r="S203" s="713"/>
      <c r="T203" s="713"/>
      <c r="U203" s="152"/>
      <c r="V203" s="152"/>
      <c r="W203" s="152"/>
      <c r="X203" s="152"/>
      <c r="Y203" s="152"/>
      <c r="Z203" s="152"/>
      <c r="AA203" s="152"/>
      <c r="AB203" s="152"/>
      <c r="AC203" s="152"/>
      <c r="AD203" s="152"/>
      <c r="AF203" s="171"/>
      <c r="AQ203" s="165">
        <f t="shared" si="60"/>
        <v>11</v>
      </c>
      <c r="AR203" s="165">
        <f t="shared" si="34"/>
        <v>0</v>
      </c>
      <c r="AS203" s="165">
        <v>44</v>
      </c>
      <c r="AT203" s="165" t="str">
        <f t="shared" si="55"/>
        <v/>
      </c>
      <c r="AU203" s="276">
        <f t="shared" si="35"/>
        <v>0</v>
      </c>
      <c r="AV203" s="276">
        <f>IF(AU203=0,0,COUNTIF(AV$160:$AV202,"&gt;0")+1)</f>
        <v>0</v>
      </c>
      <c r="AW203" s="165" t="str">
        <f t="shared" si="49"/>
        <v/>
      </c>
      <c r="AX203" s="165" t="str">
        <f t="shared" si="37"/>
        <v/>
      </c>
      <c r="AY203" s="165" t="str">
        <f>IFERROR(INDEX(D041_ClassFeatures!$L$2:$L$343,MATCH(C_Input!$AW203,D041_ClassFeatures!$B$2:$B$343,0),1),"")</f>
        <v/>
      </c>
      <c r="AZ203" s="165" t="str">
        <f>IFERROR(INDEX(D041_ClassFeatures!$L$2:$L$343,MATCH(C_Input!$AW203,D041_ClassFeatures!$B$2:$B$343,0),1),"")</f>
        <v/>
      </c>
      <c r="BA203" s="165">
        <f t="shared" si="38"/>
        <v>0</v>
      </c>
      <c r="BB203" s="165" t="str">
        <f t="array" ref="BB203">IFERROR(INDEX(D041_ClassFeatures!$B$2:$B$556,MATCH(C_Input!AW203&amp;INDEX(C_Variables!$O$4:$O$9,MATCH(INDEX($AR$160:$AR$239,MATCH(AW203,$AT$160:$AT$239,0),1),C_Variables!$M$4:$M$9,0),1),D041_ClassFeatures!$J$2:$J$556&amp;D041_ClassFeatures!$I$2:$I$556,0),1),"")</f>
        <v/>
      </c>
      <c r="BC203" s="165" t="str">
        <f t="shared" si="39"/>
        <v/>
      </c>
      <c r="BD203" s="165" t="str">
        <f>IFERROR(INDEX(D041_ClassFeatures!$C$2:$C$546,MATCH(C_Input!BC203,D041_ClassFeatures!$B$2:$B$546,0),1),"")</f>
        <v/>
      </c>
      <c r="BE203" s="165" t="str">
        <f>IFERROR(INDEX(D041_ClassFeatures!$D$2:$D$546,MATCH(C_Input!BC203,D041_ClassFeatures!$B$2:$B$546,0),1),"")</f>
        <v/>
      </c>
      <c r="BF203" s="165" t="str">
        <f t="shared" si="40"/>
        <v/>
      </c>
      <c r="BG203" s="202">
        <v>1</v>
      </c>
      <c r="BH203" s="165" t="str">
        <f t="shared" si="41"/>
        <v/>
      </c>
      <c r="BI203" s="165" t="str">
        <f t="shared" si="42"/>
        <v/>
      </c>
      <c r="BJ203" s="165">
        <f>IF(BG203=0,0,COUNTIF(BJ$160:$BJ202,"&gt;0")+1)</f>
        <v>44</v>
      </c>
    </row>
    <row r="204" spans="1:62" ht="15.95" customHeight="1" outlineLevel="1" x14ac:dyDescent="0.3">
      <c r="A204" s="716"/>
      <c r="B204" s="716"/>
      <c r="C204" s="716"/>
      <c r="D204" s="716"/>
      <c r="E204" s="716"/>
      <c r="F204" s="713"/>
      <c r="G204" s="713"/>
      <c r="H204" s="713"/>
      <c r="I204" s="713"/>
      <c r="J204" s="713"/>
      <c r="K204" s="713"/>
      <c r="L204" s="713"/>
      <c r="M204" s="713"/>
      <c r="N204" s="713"/>
      <c r="O204" s="713"/>
      <c r="P204" s="713"/>
      <c r="Q204" s="713"/>
      <c r="R204" s="713"/>
      <c r="S204" s="713"/>
      <c r="T204" s="713"/>
      <c r="AF204" s="171"/>
      <c r="AQ204" s="165">
        <f t="shared" ref="AQ204" si="61">AQ203+1</f>
        <v>12</v>
      </c>
      <c r="AR204" s="165">
        <f t="shared" si="34"/>
        <v>0</v>
      </c>
      <c r="AS204" s="165">
        <v>45</v>
      </c>
      <c r="AT204" s="165" t="str">
        <f t="shared" si="55"/>
        <v/>
      </c>
      <c r="AU204" s="276">
        <f t="shared" si="35"/>
        <v>0</v>
      </c>
      <c r="AV204" s="276">
        <f>IF(AU204=0,0,COUNTIF(AV$160:$AV203,"&gt;0")+1)</f>
        <v>0</v>
      </c>
      <c r="AW204" s="165" t="str">
        <f t="shared" si="49"/>
        <v/>
      </c>
      <c r="AX204" s="165" t="str">
        <f t="shared" si="37"/>
        <v/>
      </c>
      <c r="AY204" s="165" t="str">
        <f>IFERROR(INDEX(D041_ClassFeatures!$L$2:$L$343,MATCH(C_Input!$AW204,D041_ClassFeatures!$B$2:$B$343,0),1),"")</f>
        <v/>
      </c>
      <c r="AZ204" s="165" t="str">
        <f>IFERROR(INDEX(D041_ClassFeatures!$L$2:$L$343,MATCH(C_Input!$AW204,D041_ClassFeatures!$B$2:$B$343,0),1),"")</f>
        <v/>
      </c>
      <c r="BA204" s="165">
        <f t="shared" si="38"/>
        <v>0</v>
      </c>
      <c r="BB204" s="165" t="str">
        <f t="array" ref="BB204">IFERROR(INDEX(D041_ClassFeatures!$B$2:$B$556,MATCH(C_Input!AW204&amp;INDEX(C_Variables!$O$4:$O$9,MATCH(INDEX($AR$160:$AR$239,MATCH(AW204,$AT$160:$AT$239,0),1),C_Variables!$M$4:$M$9,0),1),D041_ClassFeatures!$J$2:$J$556&amp;D041_ClassFeatures!$I$2:$I$556,0),1),"")</f>
        <v/>
      </c>
      <c r="BC204" s="165" t="str">
        <f t="shared" si="39"/>
        <v/>
      </c>
      <c r="BD204" s="165" t="str">
        <f>IFERROR(INDEX(D041_ClassFeatures!$C$2:$C$546,MATCH(C_Input!BC204,D041_ClassFeatures!$B$2:$B$546,0),1),"")</f>
        <v/>
      </c>
      <c r="BE204" s="165" t="str">
        <f>IFERROR(INDEX(D041_ClassFeatures!$D$2:$D$546,MATCH(C_Input!BC204,D041_ClassFeatures!$B$2:$B$546,0),1),"")</f>
        <v/>
      </c>
      <c r="BF204" s="165" t="str">
        <f t="shared" si="40"/>
        <v/>
      </c>
      <c r="BG204" s="202">
        <v>1</v>
      </c>
      <c r="BH204" s="165" t="str">
        <f t="shared" si="41"/>
        <v/>
      </c>
      <c r="BI204" s="165" t="str">
        <f t="shared" si="42"/>
        <v/>
      </c>
      <c r="BJ204" s="165">
        <f>IF(BG204=0,0,COUNTIF(BJ$160:$BJ203,"&gt;0")+1)</f>
        <v>45</v>
      </c>
    </row>
    <row r="205" spans="1:62" ht="15.95" customHeight="1" outlineLevel="1" x14ac:dyDescent="0.3">
      <c r="A205" s="716"/>
      <c r="B205" s="716"/>
      <c r="C205" s="716"/>
      <c r="D205" s="716"/>
      <c r="E205" s="716"/>
      <c r="F205" s="713"/>
      <c r="G205" s="713"/>
      <c r="H205" s="713"/>
      <c r="I205" s="713"/>
      <c r="J205" s="713"/>
      <c r="K205" s="713"/>
      <c r="L205" s="713"/>
      <c r="M205" s="713"/>
      <c r="N205" s="713"/>
      <c r="O205" s="713"/>
      <c r="P205" s="713"/>
      <c r="Q205" s="713"/>
      <c r="R205" s="713"/>
      <c r="S205" s="713"/>
      <c r="T205" s="713"/>
      <c r="AF205" s="171"/>
      <c r="AQ205" s="165">
        <f t="shared" ref="AQ205:AQ207" si="62">AQ204</f>
        <v>12</v>
      </c>
      <c r="AR205" s="165">
        <f t="shared" si="34"/>
        <v>0</v>
      </c>
      <c r="AS205" s="165">
        <v>46</v>
      </c>
      <c r="AT205" s="165">
        <f t="shared" si="55"/>
        <v>0</v>
      </c>
      <c r="AU205" s="276">
        <f t="shared" si="35"/>
        <v>0</v>
      </c>
      <c r="AV205" s="276">
        <f>IF(AU205=0,0,COUNTIF(AV$160:$AV204,"&gt;0")+1)</f>
        <v>0</v>
      </c>
      <c r="AW205" s="165" t="str">
        <f t="shared" si="49"/>
        <v/>
      </c>
      <c r="AX205" s="165" t="str">
        <f t="shared" si="37"/>
        <v/>
      </c>
      <c r="AY205" s="165" t="str">
        <f>IFERROR(INDEX(D041_ClassFeatures!$L$2:$L$343,MATCH(C_Input!$AW205,D041_ClassFeatures!$B$2:$B$343,0),1),"")</f>
        <v/>
      </c>
      <c r="AZ205" s="165" t="str">
        <f>IFERROR(INDEX(D041_ClassFeatures!$L$2:$L$343,MATCH(C_Input!$AW205,D041_ClassFeatures!$B$2:$B$343,0),1),"")</f>
        <v/>
      </c>
      <c r="BA205" s="165">
        <f t="shared" si="38"/>
        <v>0</v>
      </c>
      <c r="BB205" s="165" t="str">
        <f t="array" ref="BB205">IFERROR(INDEX(D041_ClassFeatures!$B$2:$B$556,MATCH(C_Input!AW205&amp;INDEX(C_Variables!$O$4:$O$9,MATCH(INDEX($AR$160:$AR$239,MATCH(AW205,$AT$160:$AT$239,0),1),C_Variables!$M$4:$M$9,0),1),D041_ClassFeatures!$J$2:$J$556&amp;D041_ClassFeatures!$I$2:$I$556,0),1),"")</f>
        <v/>
      </c>
      <c r="BC205" s="165" t="str">
        <f t="shared" si="39"/>
        <v/>
      </c>
      <c r="BD205" s="165" t="str">
        <f>IFERROR(INDEX(D041_ClassFeatures!$C$2:$C$546,MATCH(C_Input!BC205,D041_ClassFeatures!$B$2:$B$546,0),1),"")</f>
        <v/>
      </c>
      <c r="BE205" s="165" t="str">
        <f>IFERROR(INDEX(D041_ClassFeatures!$D$2:$D$546,MATCH(C_Input!BC205,D041_ClassFeatures!$B$2:$B$546,0),1),"")</f>
        <v/>
      </c>
      <c r="BF205" s="165" t="str">
        <f t="shared" si="40"/>
        <v/>
      </c>
      <c r="BG205" s="202">
        <v>1</v>
      </c>
      <c r="BH205" s="165" t="str">
        <f t="shared" si="41"/>
        <v/>
      </c>
      <c r="BI205" s="165" t="str">
        <f t="shared" si="42"/>
        <v/>
      </c>
      <c r="BJ205" s="165">
        <f>IF(BG205=0,0,COUNTIF(BJ$160:$BJ204,"&gt;0")+1)</f>
        <v>46</v>
      </c>
    </row>
    <row r="206" spans="1:62" ht="15.95" customHeight="1" outlineLevel="1" x14ac:dyDescent="0.3">
      <c r="A206" s="716"/>
      <c r="B206" s="716"/>
      <c r="C206" s="716"/>
      <c r="D206" s="716"/>
      <c r="E206" s="716"/>
      <c r="F206" s="713"/>
      <c r="G206" s="713"/>
      <c r="H206" s="713"/>
      <c r="I206" s="713"/>
      <c r="J206" s="713"/>
      <c r="K206" s="713"/>
      <c r="L206" s="713"/>
      <c r="M206" s="713"/>
      <c r="N206" s="713"/>
      <c r="O206" s="713"/>
      <c r="P206" s="713"/>
      <c r="Q206" s="713"/>
      <c r="R206" s="713"/>
      <c r="S206" s="713"/>
      <c r="T206" s="713"/>
      <c r="AF206" s="171"/>
      <c r="AQ206" s="165">
        <f t="shared" si="62"/>
        <v>12</v>
      </c>
      <c r="AR206" s="165">
        <f t="shared" si="34"/>
        <v>0</v>
      </c>
      <c r="AS206" s="165">
        <v>47</v>
      </c>
      <c r="AT206" s="165" t="str">
        <f t="shared" si="55"/>
        <v/>
      </c>
      <c r="AU206" s="276">
        <f t="shared" si="35"/>
        <v>0</v>
      </c>
      <c r="AV206" s="276">
        <f>IF(AU206=0,0,COUNTIF(AV$160:$AV205,"&gt;0")+1)</f>
        <v>0</v>
      </c>
      <c r="AW206" s="165" t="str">
        <f t="shared" si="49"/>
        <v/>
      </c>
      <c r="AX206" s="165" t="str">
        <f t="shared" si="37"/>
        <v/>
      </c>
      <c r="AY206" s="165" t="str">
        <f>IFERROR(INDEX(D041_ClassFeatures!$L$2:$L$343,MATCH(C_Input!$AW206,D041_ClassFeatures!$B$2:$B$343,0),1),"")</f>
        <v/>
      </c>
      <c r="AZ206" s="165" t="str">
        <f>IFERROR(INDEX(D041_ClassFeatures!$L$2:$L$343,MATCH(C_Input!$AW206,D041_ClassFeatures!$B$2:$B$343,0),1),"")</f>
        <v/>
      </c>
      <c r="BA206" s="165">
        <f t="shared" si="38"/>
        <v>0</v>
      </c>
      <c r="BB206" s="165" t="str">
        <f t="array" ref="BB206">IFERROR(INDEX(D041_ClassFeatures!$B$2:$B$556,MATCH(C_Input!AW206&amp;INDEX(C_Variables!$O$4:$O$9,MATCH(INDEX($AR$160:$AR$239,MATCH(AW206,$AT$160:$AT$239,0),1),C_Variables!$M$4:$M$9,0),1),D041_ClassFeatures!$J$2:$J$556&amp;D041_ClassFeatures!$I$2:$I$556,0),1),"")</f>
        <v/>
      </c>
      <c r="BC206" s="165" t="str">
        <f t="shared" si="39"/>
        <v/>
      </c>
      <c r="BD206" s="165" t="str">
        <f>IFERROR(INDEX(D041_ClassFeatures!$C$2:$C$546,MATCH(C_Input!BC206,D041_ClassFeatures!$B$2:$B$546,0),1),"")</f>
        <v/>
      </c>
      <c r="BE206" s="165" t="str">
        <f>IFERROR(INDEX(D041_ClassFeatures!$D$2:$D$546,MATCH(C_Input!BC206,D041_ClassFeatures!$B$2:$B$546,0),1),"")</f>
        <v/>
      </c>
      <c r="BF206" s="165" t="str">
        <f t="shared" si="40"/>
        <v/>
      </c>
      <c r="BG206" s="202">
        <v>1</v>
      </c>
      <c r="BH206" s="165" t="str">
        <f t="shared" si="41"/>
        <v/>
      </c>
      <c r="BI206" s="165" t="str">
        <f t="shared" si="42"/>
        <v/>
      </c>
      <c r="BJ206" s="165">
        <f>IF(BG206=0,0,COUNTIF(BJ$160:$BJ205,"&gt;0")+1)</f>
        <v>47</v>
      </c>
    </row>
    <row r="207" spans="1:62" ht="15.95" customHeight="1" outlineLevel="1" x14ac:dyDescent="0.3">
      <c r="A207" s="713"/>
      <c r="B207" s="713"/>
      <c r="C207" s="713"/>
      <c r="D207" s="713"/>
      <c r="E207" s="713"/>
      <c r="F207" s="713"/>
      <c r="G207" s="713"/>
      <c r="H207" s="713"/>
      <c r="I207" s="713"/>
      <c r="J207" s="713"/>
      <c r="K207" s="713"/>
      <c r="L207" s="713"/>
      <c r="M207" s="713"/>
      <c r="N207" s="713"/>
      <c r="O207" s="713"/>
      <c r="P207" s="713"/>
      <c r="Q207" s="713"/>
      <c r="R207" s="713"/>
      <c r="S207" s="713"/>
      <c r="T207" s="713"/>
      <c r="AF207" s="171"/>
      <c r="AQ207" s="165">
        <f t="shared" si="62"/>
        <v>12</v>
      </c>
      <c r="AR207" s="165">
        <f t="shared" si="34"/>
        <v>0</v>
      </c>
      <c r="AS207" s="165">
        <v>48</v>
      </c>
      <c r="AT207" s="165" t="str">
        <f t="shared" si="55"/>
        <v/>
      </c>
      <c r="AU207" s="276">
        <f t="shared" si="35"/>
        <v>0</v>
      </c>
      <c r="AV207" s="276">
        <f>IF(AU207=0,0,COUNTIF(AV$160:$AV206,"&gt;0")+1)</f>
        <v>0</v>
      </c>
      <c r="AW207" s="165" t="str">
        <f t="shared" si="49"/>
        <v/>
      </c>
      <c r="AX207" s="165" t="str">
        <f t="shared" si="37"/>
        <v/>
      </c>
      <c r="AY207" s="165" t="str">
        <f>IFERROR(INDEX(D041_ClassFeatures!$L$2:$L$343,MATCH(C_Input!$AW207,D041_ClassFeatures!$B$2:$B$343,0),1),"")</f>
        <v/>
      </c>
      <c r="AZ207" s="165" t="str">
        <f>IFERROR(INDEX(D041_ClassFeatures!$L$2:$L$343,MATCH(C_Input!$AW207,D041_ClassFeatures!$B$2:$B$343,0),1),"")</f>
        <v/>
      </c>
      <c r="BA207" s="165">
        <f t="shared" si="38"/>
        <v>0</v>
      </c>
      <c r="BB207" s="165" t="str">
        <f t="array" ref="BB207">IFERROR(INDEX(D041_ClassFeatures!$B$2:$B$556,MATCH(C_Input!AW207&amp;INDEX(C_Variables!$O$4:$O$9,MATCH(INDEX($AR$160:$AR$239,MATCH(AW207,$AT$160:$AT$239,0),1),C_Variables!$M$4:$M$9,0),1),D041_ClassFeatures!$J$2:$J$556&amp;D041_ClassFeatures!$I$2:$I$556,0),1),"")</f>
        <v/>
      </c>
      <c r="BC207" s="165" t="str">
        <f t="shared" si="39"/>
        <v/>
      </c>
      <c r="BD207" s="165" t="str">
        <f>IFERROR(INDEX(D041_ClassFeatures!$C$2:$C$546,MATCH(C_Input!BC207,D041_ClassFeatures!$B$2:$B$546,0),1),"")</f>
        <v/>
      </c>
      <c r="BE207" s="165" t="str">
        <f>IFERROR(INDEX(D041_ClassFeatures!$D$2:$D$546,MATCH(C_Input!BC207,D041_ClassFeatures!$B$2:$B$546,0),1),"")</f>
        <v/>
      </c>
      <c r="BF207" s="165" t="str">
        <f t="shared" si="40"/>
        <v/>
      </c>
      <c r="BG207" s="202">
        <v>1</v>
      </c>
      <c r="BH207" s="165" t="str">
        <f t="shared" si="41"/>
        <v/>
      </c>
      <c r="BI207" s="165" t="str">
        <f t="shared" si="42"/>
        <v/>
      </c>
      <c r="BJ207" s="165">
        <f>IF(BG207=0,0,COUNTIF(BJ$160:$BJ206,"&gt;0")+1)</f>
        <v>48</v>
      </c>
    </row>
    <row r="208" spans="1:62" ht="15.95" customHeight="1" outlineLevel="1" x14ac:dyDescent="0.3">
      <c r="A208" s="713"/>
      <c r="B208" s="713"/>
      <c r="C208" s="713"/>
      <c r="D208" s="713"/>
      <c r="E208" s="713"/>
      <c r="F208" s="713"/>
      <c r="G208" s="713"/>
      <c r="H208" s="713"/>
      <c r="I208" s="713"/>
      <c r="J208" s="713"/>
      <c r="K208" s="713"/>
      <c r="L208" s="713"/>
      <c r="M208" s="713"/>
      <c r="N208" s="713"/>
      <c r="O208" s="713"/>
      <c r="P208" s="713"/>
      <c r="Q208" s="713"/>
      <c r="R208" s="713"/>
      <c r="S208" s="713"/>
      <c r="T208" s="713"/>
      <c r="AF208" s="171"/>
      <c r="AQ208" s="165">
        <f t="shared" ref="AQ208" si="63">AQ207+1</f>
        <v>13</v>
      </c>
      <c r="AR208" s="165">
        <f t="shared" si="34"/>
        <v>0</v>
      </c>
      <c r="AS208" s="165">
        <v>49</v>
      </c>
      <c r="AT208" s="165" t="str">
        <f t="shared" si="55"/>
        <v/>
      </c>
      <c r="AU208" s="276">
        <f t="shared" si="35"/>
        <v>0</v>
      </c>
      <c r="AV208" s="276">
        <f>IF(AU208=0,0,COUNTIF(AV$160:$AV207,"&gt;0")+1)</f>
        <v>0</v>
      </c>
      <c r="AW208" s="165" t="str">
        <f t="shared" si="49"/>
        <v/>
      </c>
      <c r="AX208" s="165" t="str">
        <f t="shared" si="37"/>
        <v/>
      </c>
      <c r="AY208" s="165" t="str">
        <f>IFERROR(INDEX(D041_ClassFeatures!$L$2:$L$343,MATCH(C_Input!$AW208,D041_ClassFeatures!$B$2:$B$343,0),1),"")</f>
        <v/>
      </c>
      <c r="AZ208" s="165" t="str">
        <f>IFERROR(INDEX(D041_ClassFeatures!$L$2:$L$343,MATCH(C_Input!$AW208,D041_ClassFeatures!$B$2:$B$343,0),1),"")</f>
        <v/>
      </c>
      <c r="BA208" s="165">
        <f t="shared" si="38"/>
        <v>0</v>
      </c>
      <c r="BB208" s="165" t="str">
        <f t="array" ref="BB208">IFERROR(INDEX(D041_ClassFeatures!$B$2:$B$556,MATCH(C_Input!AW208&amp;INDEX(C_Variables!$O$4:$O$9,MATCH(INDEX($AR$160:$AR$239,MATCH(AW208,$AT$160:$AT$239,0),1),C_Variables!$M$4:$M$9,0),1),D041_ClassFeatures!$J$2:$J$556&amp;D041_ClassFeatures!$I$2:$I$556,0),1),"")</f>
        <v/>
      </c>
      <c r="BC208" s="165" t="str">
        <f t="shared" si="39"/>
        <v/>
      </c>
      <c r="BD208" s="165" t="str">
        <f>IFERROR(INDEX(D041_ClassFeatures!$C$2:$C$546,MATCH(C_Input!BC208,D041_ClassFeatures!$B$2:$B$546,0),1),"")</f>
        <v/>
      </c>
      <c r="BE208" s="165" t="str">
        <f>IFERROR(INDEX(D041_ClassFeatures!$D$2:$D$546,MATCH(C_Input!BC208,D041_ClassFeatures!$B$2:$B$546,0),1),"")</f>
        <v/>
      </c>
      <c r="BF208" s="165" t="str">
        <f t="shared" si="40"/>
        <v/>
      </c>
      <c r="BG208" s="202">
        <v>1</v>
      </c>
      <c r="BH208" s="165" t="str">
        <f t="shared" si="41"/>
        <v/>
      </c>
      <c r="BI208" s="165" t="str">
        <f t="shared" si="42"/>
        <v/>
      </c>
      <c r="BJ208" s="165">
        <f>IF(BG208=0,0,COUNTIF(BJ$160:$BJ207,"&gt;0")+1)</f>
        <v>49</v>
      </c>
    </row>
    <row r="209" spans="1:62" ht="15.95" customHeight="1" outlineLevel="1" x14ac:dyDescent="0.3">
      <c r="A209" s="713"/>
      <c r="B209" s="713"/>
      <c r="C209" s="713"/>
      <c r="D209" s="713"/>
      <c r="E209" s="713"/>
      <c r="F209" s="713"/>
      <c r="G209" s="713"/>
      <c r="H209" s="713"/>
      <c r="I209" s="713"/>
      <c r="J209" s="713"/>
      <c r="K209" s="713"/>
      <c r="L209" s="713"/>
      <c r="M209" s="713"/>
      <c r="N209" s="713"/>
      <c r="O209" s="713"/>
      <c r="P209" s="713"/>
      <c r="Q209" s="713"/>
      <c r="R209" s="713"/>
      <c r="S209" s="713"/>
      <c r="T209" s="713"/>
      <c r="AF209" s="171"/>
      <c r="AQ209" s="165">
        <f t="shared" ref="AQ209:AQ211" si="64">AQ208</f>
        <v>13</v>
      </c>
      <c r="AR209" s="165">
        <f t="shared" si="34"/>
        <v>0</v>
      </c>
      <c r="AS209" s="165">
        <v>50</v>
      </c>
      <c r="AT209" s="165">
        <f t="shared" si="55"/>
        <v>0</v>
      </c>
      <c r="AU209" s="276">
        <f t="shared" si="35"/>
        <v>0</v>
      </c>
      <c r="AV209" s="276">
        <f>IF(AU209=0,0,COUNTIF(AV$160:$AV208,"&gt;0")+1)</f>
        <v>0</v>
      </c>
      <c r="AW209" s="165" t="str">
        <f t="shared" si="49"/>
        <v/>
      </c>
      <c r="AX209" s="165" t="str">
        <f t="shared" si="37"/>
        <v/>
      </c>
      <c r="AY209" s="165" t="str">
        <f>IFERROR(INDEX(D041_ClassFeatures!$L$2:$L$343,MATCH(C_Input!$AW209,D041_ClassFeatures!$B$2:$B$343,0),1),"")</f>
        <v/>
      </c>
      <c r="AZ209" s="165" t="str">
        <f>IFERROR(INDEX(D041_ClassFeatures!$L$2:$L$343,MATCH(C_Input!$AW209,D041_ClassFeatures!$B$2:$B$343,0),1),"")</f>
        <v/>
      </c>
      <c r="BA209" s="165">
        <f t="shared" si="38"/>
        <v>0</v>
      </c>
      <c r="BB209" s="165" t="str">
        <f t="array" ref="BB209">IFERROR(INDEX(D041_ClassFeatures!$B$2:$B$556,MATCH(C_Input!AW209&amp;INDEX(C_Variables!$O$4:$O$9,MATCH(INDEX($AR$160:$AR$239,MATCH(AW209,$AT$160:$AT$239,0),1),C_Variables!$M$4:$M$9,0),1),D041_ClassFeatures!$J$2:$J$556&amp;D041_ClassFeatures!$I$2:$I$556,0),1),"")</f>
        <v/>
      </c>
      <c r="BC209" s="165" t="str">
        <f t="shared" si="39"/>
        <v/>
      </c>
      <c r="BD209" s="165" t="str">
        <f>IFERROR(INDEX(D041_ClassFeatures!$C$2:$C$546,MATCH(C_Input!BC209,D041_ClassFeatures!$B$2:$B$546,0),1),"")</f>
        <v/>
      </c>
      <c r="BE209" s="165" t="str">
        <f>IFERROR(INDEX(D041_ClassFeatures!$D$2:$D$546,MATCH(C_Input!BC209,D041_ClassFeatures!$B$2:$B$546,0),1),"")</f>
        <v/>
      </c>
      <c r="BF209" s="165" t="str">
        <f t="shared" si="40"/>
        <v/>
      </c>
      <c r="BG209" s="202">
        <v>1</v>
      </c>
      <c r="BH209" s="165" t="str">
        <f t="shared" si="41"/>
        <v/>
      </c>
      <c r="BI209" s="165" t="str">
        <f t="shared" si="42"/>
        <v/>
      </c>
      <c r="BJ209" s="165">
        <f>IF(BG209=0,0,COUNTIF(BJ$160:$BJ208,"&gt;0")+1)</f>
        <v>50</v>
      </c>
    </row>
    <row r="210" spans="1:62" ht="15.95" customHeight="1" outlineLevel="1" x14ac:dyDescent="0.3">
      <c r="A210" s="713"/>
      <c r="B210" s="713"/>
      <c r="C210" s="713"/>
      <c r="D210" s="713"/>
      <c r="E210" s="713"/>
      <c r="F210" s="713"/>
      <c r="G210" s="713"/>
      <c r="H210" s="713"/>
      <c r="I210" s="713"/>
      <c r="J210" s="713"/>
      <c r="K210" s="713"/>
      <c r="L210" s="713"/>
      <c r="M210" s="713"/>
      <c r="N210" s="713"/>
      <c r="O210" s="713"/>
      <c r="P210" s="713"/>
      <c r="Q210" s="713"/>
      <c r="R210" s="713"/>
      <c r="S210" s="713"/>
      <c r="T210" s="713"/>
      <c r="AF210" s="171"/>
      <c r="AQ210" s="165">
        <f t="shared" si="64"/>
        <v>13</v>
      </c>
      <c r="AR210" s="165">
        <f t="shared" si="34"/>
        <v>0</v>
      </c>
      <c r="AS210" s="165">
        <v>51</v>
      </c>
      <c r="AT210" s="165" t="str">
        <f t="shared" si="55"/>
        <v/>
      </c>
      <c r="AU210" s="276">
        <f t="shared" si="35"/>
        <v>0</v>
      </c>
      <c r="AV210" s="276">
        <f>IF(AU210=0,0,COUNTIF(AV$160:$AV209,"&gt;0")+1)</f>
        <v>0</v>
      </c>
      <c r="AW210" s="165" t="str">
        <f t="shared" si="49"/>
        <v/>
      </c>
      <c r="AX210" s="165" t="str">
        <f t="shared" si="37"/>
        <v/>
      </c>
      <c r="AY210" s="165" t="str">
        <f>IFERROR(INDEX(D041_ClassFeatures!$L$2:$L$343,MATCH(C_Input!$AW210,D041_ClassFeatures!$B$2:$B$343,0),1),"")</f>
        <v/>
      </c>
      <c r="AZ210" s="165" t="str">
        <f>IFERROR(INDEX(D041_ClassFeatures!$L$2:$L$343,MATCH(C_Input!$AW210,D041_ClassFeatures!$B$2:$B$343,0),1),"")</f>
        <v/>
      </c>
      <c r="BA210" s="165">
        <f t="shared" si="38"/>
        <v>0</v>
      </c>
      <c r="BB210" s="165" t="str">
        <f t="array" ref="BB210">IFERROR(INDEX(D041_ClassFeatures!$B$2:$B$556,MATCH(C_Input!AW210&amp;INDEX(C_Variables!$O$4:$O$9,MATCH(INDEX($AR$160:$AR$239,MATCH(AW210,$AT$160:$AT$239,0),1),C_Variables!$M$4:$M$9,0),1),D041_ClassFeatures!$J$2:$J$556&amp;D041_ClassFeatures!$I$2:$I$556,0),1),"")</f>
        <v/>
      </c>
      <c r="BC210" s="165" t="str">
        <f t="shared" si="39"/>
        <v/>
      </c>
      <c r="BD210" s="165" t="str">
        <f>IFERROR(INDEX(D041_ClassFeatures!$C$2:$C$546,MATCH(C_Input!BC210,D041_ClassFeatures!$B$2:$B$546,0),1),"")</f>
        <v/>
      </c>
      <c r="BE210" s="165" t="str">
        <f>IFERROR(INDEX(D041_ClassFeatures!$D$2:$D$546,MATCH(C_Input!BC210,D041_ClassFeatures!$B$2:$B$546,0),1),"")</f>
        <v/>
      </c>
      <c r="BF210" s="165" t="str">
        <f t="shared" si="40"/>
        <v/>
      </c>
      <c r="BG210" s="202">
        <v>1</v>
      </c>
      <c r="BH210" s="165" t="str">
        <f t="shared" si="41"/>
        <v/>
      </c>
      <c r="BI210" s="165" t="str">
        <f t="shared" si="42"/>
        <v/>
      </c>
      <c r="BJ210" s="165">
        <f>IF(BG210=0,0,COUNTIF(BJ$160:$BJ209,"&gt;0")+1)</f>
        <v>51</v>
      </c>
    </row>
    <row r="211" spans="1:62" ht="15.95" customHeight="1" outlineLevel="1" x14ac:dyDescent="0.3">
      <c r="A211" s="713"/>
      <c r="B211" s="713"/>
      <c r="C211" s="713"/>
      <c r="D211" s="713"/>
      <c r="E211" s="713"/>
      <c r="F211" s="713"/>
      <c r="G211" s="713"/>
      <c r="H211" s="713"/>
      <c r="I211" s="713"/>
      <c r="J211" s="713"/>
      <c r="K211" s="713"/>
      <c r="L211" s="713"/>
      <c r="M211" s="713"/>
      <c r="N211" s="713"/>
      <c r="O211" s="713"/>
      <c r="P211" s="713"/>
      <c r="Q211" s="713"/>
      <c r="R211" s="713"/>
      <c r="S211" s="713"/>
      <c r="T211" s="713"/>
      <c r="AF211" s="171"/>
      <c r="AQ211" s="165">
        <f t="shared" si="64"/>
        <v>13</v>
      </c>
      <c r="AR211" s="165">
        <f t="shared" si="34"/>
        <v>0</v>
      </c>
      <c r="AS211" s="165">
        <v>52</v>
      </c>
      <c r="AT211" s="165" t="str">
        <f t="shared" si="55"/>
        <v/>
      </c>
      <c r="AU211" s="276">
        <f t="shared" si="35"/>
        <v>0</v>
      </c>
      <c r="AV211" s="276">
        <f>IF(AU211=0,0,COUNTIF(AV$160:$AV210,"&gt;0")+1)</f>
        <v>0</v>
      </c>
      <c r="AW211" s="165" t="str">
        <f t="shared" si="49"/>
        <v/>
      </c>
      <c r="AX211" s="165" t="str">
        <f t="shared" si="37"/>
        <v/>
      </c>
      <c r="AY211" s="165" t="str">
        <f>IFERROR(INDEX(D041_ClassFeatures!$L$2:$L$343,MATCH(C_Input!$AW211,D041_ClassFeatures!$B$2:$B$343,0),1),"")</f>
        <v/>
      </c>
      <c r="AZ211" s="165" t="str">
        <f>IFERROR(INDEX(D041_ClassFeatures!$L$2:$L$343,MATCH(C_Input!$AW211,D041_ClassFeatures!$B$2:$B$343,0),1),"")</f>
        <v/>
      </c>
      <c r="BA211" s="165">
        <f t="shared" si="38"/>
        <v>0</v>
      </c>
      <c r="BB211" s="165" t="str">
        <f t="array" ref="BB211">IFERROR(INDEX(D041_ClassFeatures!$B$2:$B$556,MATCH(C_Input!AW211&amp;INDEX(C_Variables!$O$4:$O$9,MATCH(INDEX($AR$160:$AR$239,MATCH(AW211,$AT$160:$AT$239,0),1),C_Variables!$M$4:$M$9,0),1),D041_ClassFeatures!$J$2:$J$556&amp;D041_ClassFeatures!$I$2:$I$556,0),1),"")</f>
        <v/>
      </c>
      <c r="BC211" s="165" t="str">
        <f t="shared" si="39"/>
        <v/>
      </c>
      <c r="BD211" s="165" t="str">
        <f>IFERROR(INDEX(D041_ClassFeatures!$C$2:$C$546,MATCH(C_Input!BC211,D041_ClassFeatures!$B$2:$B$546,0),1),"")</f>
        <v/>
      </c>
      <c r="BE211" s="165" t="str">
        <f>IFERROR(INDEX(D041_ClassFeatures!$D$2:$D$546,MATCH(C_Input!BC211,D041_ClassFeatures!$B$2:$B$546,0),1),"")</f>
        <v/>
      </c>
      <c r="BF211" s="165" t="str">
        <f t="shared" si="40"/>
        <v/>
      </c>
      <c r="BG211" s="202">
        <v>1</v>
      </c>
      <c r="BH211" s="165" t="str">
        <f t="shared" si="41"/>
        <v/>
      </c>
      <c r="BI211" s="165" t="str">
        <f t="shared" si="42"/>
        <v/>
      </c>
      <c r="BJ211" s="165">
        <f>IF(BG211=0,0,COUNTIF(BJ$160:$BJ210,"&gt;0")+1)</f>
        <v>52</v>
      </c>
    </row>
    <row r="212" spans="1:62" ht="15.95" customHeight="1" outlineLevel="1" x14ac:dyDescent="0.3">
      <c r="A212" s="713"/>
      <c r="B212" s="713"/>
      <c r="C212" s="713"/>
      <c r="D212" s="713"/>
      <c r="E212" s="713"/>
      <c r="F212" s="713"/>
      <c r="G212" s="713"/>
      <c r="H212" s="713"/>
      <c r="I212" s="713"/>
      <c r="J212" s="713"/>
      <c r="K212" s="713"/>
      <c r="L212" s="713"/>
      <c r="M212" s="713"/>
      <c r="N212" s="713"/>
      <c r="O212" s="713"/>
      <c r="P212" s="713"/>
      <c r="Q212" s="713"/>
      <c r="R212" s="713"/>
      <c r="S212" s="713"/>
      <c r="T212" s="713"/>
      <c r="AF212" s="171"/>
      <c r="AQ212" s="165">
        <f t="shared" ref="AQ212" si="65">AQ211+1</f>
        <v>14</v>
      </c>
      <c r="AR212" s="165">
        <f t="shared" si="34"/>
        <v>0</v>
      </c>
      <c r="AS212" s="165">
        <v>53</v>
      </c>
      <c r="AT212" s="165" t="str">
        <f t="shared" si="55"/>
        <v/>
      </c>
      <c r="AU212" s="276">
        <f t="shared" si="35"/>
        <v>0</v>
      </c>
      <c r="AV212" s="276">
        <f>IF(AU212=0,0,COUNTIF(AV$160:$AV211,"&gt;0")+1)</f>
        <v>0</v>
      </c>
      <c r="AW212" s="165" t="str">
        <f t="shared" si="49"/>
        <v/>
      </c>
      <c r="AX212" s="165" t="str">
        <f t="shared" si="37"/>
        <v/>
      </c>
      <c r="AY212" s="165" t="str">
        <f>IFERROR(INDEX(D041_ClassFeatures!$L$2:$L$343,MATCH(C_Input!$AW212,D041_ClassFeatures!$B$2:$B$343,0),1),"")</f>
        <v/>
      </c>
      <c r="AZ212" s="165" t="str">
        <f>IFERROR(INDEX(D041_ClassFeatures!$L$2:$L$343,MATCH(C_Input!$AW212,D041_ClassFeatures!$B$2:$B$343,0),1),"")</f>
        <v/>
      </c>
      <c r="BA212" s="165">
        <f t="shared" si="38"/>
        <v>0</v>
      </c>
      <c r="BB212" s="165" t="str">
        <f t="array" ref="BB212">IFERROR(INDEX(D041_ClassFeatures!$B$2:$B$556,MATCH(C_Input!AW212&amp;INDEX(C_Variables!$O$4:$O$9,MATCH(INDEX($AR$160:$AR$239,MATCH(AW212,$AT$160:$AT$239,0),1),C_Variables!$M$4:$M$9,0),1),D041_ClassFeatures!$J$2:$J$556&amp;D041_ClassFeatures!$I$2:$I$556,0),1),"")</f>
        <v/>
      </c>
      <c r="BC212" s="165" t="str">
        <f t="shared" si="39"/>
        <v/>
      </c>
      <c r="BD212" s="165" t="str">
        <f>IFERROR(INDEX(D041_ClassFeatures!$C$2:$C$546,MATCH(C_Input!BC212,D041_ClassFeatures!$B$2:$B$546,0),1),"")</f>
        <v/>
      </c>
      <c r="BE212" s="165" t="str">
        <f>IFERROR(INDEX(D041_ClassFeatures!$D$2:$D$546,MATCH(C_Input!BC212,D041_ClassFeatures!$B$2:$B$546,0),1),"")</f>
        <v/>
      </c>
      <c r="BF212" s="165" t="str">
        <f t="shared" si="40"/>
        <v/>
      </c>
      <c r="BG212" s="202">
        <v>1</v>
      </c>
      <c r="BH212" s="165" t="str">
        <f t="shared" si="41"/>
        <v/>
      </c>
      <c r="BI212" s="165" t="str">
        <f t="shared" si="42"/>
        <v/>
      </c>
      <c r="BJ212" s="165">
        <f>IF(BG212=0,0,COUNTIF(BJ$160:$BJ211,"&gt;0")+1)</f>
        <v>53</v>
      </c>
    </row>
    <row r="213" spans="1:62" ht="15.95" customHeight="1" outlineLevel="1" x14ac:dyDescent="0.3">
      <c r="A213" s="713"/>
      <c r="B213" s="713"/>
      <c r="C213" s="713"/>
      <c r="D213" s="713"/>
      <c r="E213" s="713"/>
      <c r="F213" s="713"/>
      <c r="G213" s="713"/>
      <c r="H213" s="713"/>
      <c r="I213" s="713"/>
      <c r="J213" s="713"/>
      <c r="K213" s="713"/>
      <c r="L213" s="713"/>
      <c r="M213" s="713"/>
      <c r="N213" s="713"/>
      <c r="O213" s="713"/>
      <c r="P213" s="713"/>
      <c r="Q213" s="713"/>
      <c r="R213" s="713"/>
      <c r="S213" s="713"/>
      <c r="T213" s="713"/>
      <c r="AF213" s="171"/>
      <c r="AQ213" s="165">
        <f t="shared" ref="AQ213:AQ215" si="66">AQ212</f>
        <v>14</v>
      </c>
      <c r="AR213" s="165">
        <f t="shared" si="34"/>
        <v>0</v>
      </c>
      <c r="AS213" s="165">
        <v>54</v>
      </c>
      <c r="AT213" s="165">
        <f t="shared" si="55"/>
        <v>0</v>
      </c>
      <c r="AU213" s="276">
        <f t="shared" si="35"/>
        <v>0</v>
      </c>
      <c r="AV213" s="276">
        <f>IF(AU213=0,0,COUNTIF(AV$160:$AV212,"&gt;0")+1)</f>
        <v>0</v>
      </c>
      <c r="AW213" s="165" t="str">
        <f t="shared" si="49"/>
        <v/>
      </c>
      <c r="AX213" s="165" t="str">
        <f t="shared" si="37"/>
        <v/>
      </c>
      <c r="AY213" s="165" t="str">
        <f>IFERROR(INDEX(D041_ClassFeatures!$L$2:$L$343,MATCH(C_Input!$AW213,D041_ClassFeatures!$B$2:$B$343,0),1),"")</f>
        <v/>
      </c>
      <c r="AZ213" s="165" t="str">
        <f>IFERROR(INDEX(D041_ClassFeatures!$L$2:$L$343,MATCH(C_Input!$AW213,D041_ClassFeatures!$B$2:$B$343,0),1),"")</f>
        <v/>
      </c>
      <c r="BA213" s="165">
        <f t="shared" si="38"/>
        <v>0</v>
      </c>
      <c r="BB213" s="165" t="str">
        <f t="array" ref="BB213">IFERROR(INDEX(D041_ClassFeatures!$B$2:$B$556,MATCH(C_Input!AW213&amp;INDEX(C_Variables!$O$4:$O$9,MATCH(INDEX($AR$160:$AR$239,MATCH(AW213,$AT$160:$AT$239,0),1),C_Variables!$M$4:$M$9,0),1),D041_ClassFeatures!$J$2:$J$556&amp;D041_ClassFeatures!$I$2:$I$556,0),1),"")</f>
        <v/>
      </c>
      <c r="BC213" s="165" t="str">
        <f t="shared" si="39"/>
        <v/>
      </c>
      <c r="BD213" s="165" t="str">
        <f>IFERROR(INDEX(D041_ClassFeatures!$C$2:$C$546,MATCH(C_Input!BC213,D041_ClassFeatures!$B$2:$B$546,0),1),"")</f>
        <v/>
      </c>
      <c r="BE213" s="165" t="str">
        <f>IFERROR(INDEX(D041_ClassFeatures!$D$2:$D$546,MATCH(C_Input!BC213,D041_ClassFeatures!$B$2:$B$546,0),1),"")</f>
        <v/>
      </c>
      <c r="BF213" s="165" t="str">
        <f t="shared" si="40"/>
        <v/>
      </c>
      <c r="BG213" s="202">
        <v>1</v>
      </c>
      <c r="BH213" s="165" t="str">
        <f t="shared" si="41"/>
        <v/>
      </c>
      <c r="BI213" s="165" t="str">
        <f t="shared" si="42"/>
        <v/>
      </c>
      <c r="BJ213" s="165">
        <f>IF(BG213=0,0,COUNTIF(BJ$160:$BJ212,"&gt;0")+1)</f>
        <v>54</v>
      </c>
    </row>
    <row r="214" spans="1:62" ht="15.95" customHeight="1" outlineLevel="1" x14ac:dyDescent="0.3">
      <c r="A214" s="713"/>
      <c r="B214" s="713"/>
      <c r="C214" s="713"/>
      <c r="D214" s="713"/>
      <c r="E214" s="713"/>
      <c r="F214" s="713"/>
      <c r="G214" s="713"/>
      <c r="H214" s="713"/>
      <c r="I214" s="713"/>
      <c r="J214" s="713"/>
      <c r="K214" s="713"/>
      <c r="L214" s="713"/>
      <c r="M214" s="713"/>
      <c r="N214" s="713"/>
      <c r="O214" s="713"/>
      <c r="P214" s="713"/>
      <c r="Q214" s="713"/>
      <c r="R214" s="713"/>
      <c r="S214" s="713"/>
      <c r="T214" s="713"/>
      <c r="AF214" s="171"/>
      <c r="AQ214" s="165">
        <f t="shared" si="66"/>
        <v>14</v>
      </c>
      <c r="AR214" s="165">
        <f t="shared" si="34"/>
        <v>0</v>
      </c>
      <c r="AS214" s="165">
        <v>55</v>
      </c>
      <c r="AT214" s="165" t="str">
        <f t="shared" si="55"/>
        <v/>
      </c>
      <c r="AU214" s="276">
        <f t="shared" si="35"/>
        <v>0</v>
      </c>
      <c r="AV214" s="276">
        <f>IF(AU214=0,0,COUNTIF(AV$160:$AV213,"&gt;0")+1)</f>
        <v>0</v>
      </c>
      <c r="AW214" s="165" t="str">
        <f t="shared" si="49"/>
        <v/>
      </c>
      <c r="AX214" s="165" t="str">
        <f t="shared" si="37"/>
        <v/>
      </c>
      <c r="AY214" s="165" t="str">
        <f>IFERROR(INDEX(D041_ClassFeatures!$L$2:$L$343,MATCH(C_Input!$AW214,D041_ClassFeatures!$B$2:$B$343,0),1),"")</f>
        <v/>
      </c>
      <c r="AZ214" s="165" t="str">
        <f>IFERROR(INDEX(D041_ClassFeatures!$L$2:$L$343,MATCH(C_Input!$AW214,D041_ClassFeatures!$B$2:$B$343,0),1),"")</f>
        <v/>
      </c>
      <c r="BA214" s="165">
        <f t="shared" si="38"/>
        <v>0</v>
      </c>
      <c r="BB214" s="165" t="str">
        <f t="array" ref="BB214">IFERROR(INDEX(D041_ClassFeatures!$B$2:$B$556,MATCH(C_Input!AW214&amp;INDEX(C_Variables!$O$4:$O$9,MATCH(INDEX($AR$160:$AR$239,MATCH(AW214,$AT$160:$AT$239,0),1),C_Variables!$M$4:$M$9,0),1),D041_ClassFeatures!$J$2:$J$556&amp;D041_ClassFeatures!$I$2:$I$556,0),1),"")</f>
        <v/>
      </c>
      <c r="BC214" s="165" t="str">
        <f t="shared" si="39"/>
        <v/>
      </c>
      <c r="BD214" s="165" t="str">
        <f>IFERROR(INDEX(D041_ClassFeatures!$C$2:$C$546,MATCH(C_Input!BC214,D041_ClassFeatures!$B$2:$B$546,0),1),"")</f>
        <v/>
      </c>
      <c r="BE214" s="165" t="str">
        <f>IFERROR(INDEX(D041_ClassFeatures!$D$2:$D$546,MATCH(C_Input!BC214,D041_ClassFeatures!$B$2:$B$546,0),1),"")</f>
        <v/>
      </c>
      <c r="BF214" s="165" t="str">
        <f t="shared" si="40"/>
        <v/>
      </c>
      <c r="BG214" s="202">
        <v>1</v>
      </c>
      <c r="BH214" s="165" t="str">
        <f t="shared" si="41"/>
        <v/>
      </c>
      <c r="BI214" s="165" t="str">
        <f t="shared" si="42"/>
        <v/>
      </c>
      <c r="BJ214" s="165">
        <f>IF(BG214=0,0,COUNTIF(BJ$160:$BJ213,"&gt;0")+1)</f>
        <v>55</v>
      </c>
    </row>
    <row r="215" spans="1:62" ht="15.95" customHeight="1" outlineLevel="1" x14ac:dyDescent="0.3">
      <c r="A215" s="713"/>
      <c r="B215" s="713"/>
      <c r="C215" s="713"/>
      <c r="D215" s="713"/>
      <c r="E215" s="713"/>
      <c r="F215" s="713"/>
      <c r="G215" s="713"/>
      <c r="H215" s="713"/>
      <c r="I215" s="713"/>
      <c r="J215" s="713"/>
      <c r="K215" s="713"/>
      <c r="L215" s="713"/>
      <c r="M215" s="713"/>
      <c r="N215" s="713"/>
      <c r="O215" s="713"/>
      <c r="P215" s="713"/>
      <c r="Q215" s="713"/>
      <c r="R215" s="713"/>
      <c r="S215" s="713"/>
      <c r="T215" s="713"/>
      <c r="AF215" s="171"/>
      <c r="AQ215" s="165">
        <f t="shared" si="66"/>
        <v>14</v>
      </c>
      <c r="AR215" s="165">
        <f t="shared" si="34"/>
        <v>0</v>
      </c>
      <c r="AS215" s="165">
        <v>56</v>
      </c>
      <c r="AT215" s="165" t="str">
        <f t="shared" si="55"/>
        <v/>
      </c>
      <c r="AU215" s="276">
        <f t="shared" si="35"/>
        <v>0</v>
      </c>
      <c r="AV215" s="276">
        <f>IF(AU215=0,0,COUNTIF(AV$160:$AV214,"&gt;0")+1)</f>
        <v>0</v>
      </c>
      <c r="AW215" s="165" t="str">
        <f t="shared" si="49"/>
        <v/>
      </c>
      <c r="AX215" s="165" t="str">
        <f t="shared" si="37"/>
        <v/>
      </c>
      <c r="AY215" s="165" t="str">
        <f>IFERROR(INDEX(D041_ClassFeatures!$L$2:$L$343,MATCH(C_Input!$AW215,D041_ClassFeatures!$B$2:$B$343,0),1),"")</f>
        <v/>
      </c>
      <c r="AZ215" s="165" t="str">
        <f>IFERROR(INDEX(D041_ClassFeatures!$L$2:$L$343,MATCH(C_Input!$AW215,D041_ClassFeatures!$B$2:$B$343,0),1),"")</f>
        <v/>
      </c>
      <c r="BA215" s="165">
        <f t="shared" si="38"/>
        <v>0</v>
      </c>
      <c r="BB215" s="165" t="str">
        <f t="array" ref="BB215">IFERROR(INDEX(D041_ClassFeatures!$B$2:$B$556,MATCH(C_Input!AW215&amp;INDEX(C_Variables!$O$4:$O$9,MATCH(INDEX($AR$160:$AR$239,MATCH(AW215,$AT$160:$AT$239,0),1),C_Variables!$M$4:$M$9,0),1),D041_ClassFeatures!$J$2:$J$556&amp;D041_ClassFeatures!$I$2:$I$556,0),1),"")</f>
        <v/>
      </c>
      <c r="BC215" s="165" t="str">
        <f t="shared" si="39"/>
        <v/>
      </c>
      <c r="BD215" s="165" t="str">
        <f>IFERROR(INDEX(D041_ClassFeatures!$C$2:$C$546,MATCH(C_Input!BC215,D041_ClassFeatures!$B$2:$B$546,0),1),"")</f>
        <v/>
      </c>
      <c r="BE215" s="165" t="str">
        <f>IFERROR(INDEX(D041_ClassFeatures!$D$2:$D$546,MATCH(C_Input!BC215,D041_ClassFeatures!$B$2:$B$546,0),1),"")</f>
        <v/>
      </c>
      <c r="BF215" s="165" t="str">
        <f t="shared" si="40"/>
        <v/>
      </c>
      <c r="BG215" s="202">
        <v>1</v>
      </c>
      <c r="BH215" s="165" t="str">
        <f t="shared" si="41"/>
        <v/>
      </c>
      <c r="BI215" s="165" t="str">
        <f t="shared" si="42"/>
        <v/>
      </c>
      <c r="BJ215" s="165">
        <f>IF(BG215=0,0,COUNTIF(BJ$160:$BJ214,"&gt;0")+1)</f>
        <v>56</v>
      </c>
    </row>
    <row r="216" spans="1:62" ht="15.95" customHeight="1" outlineLevel="1" x14ac:dyDescent="0.3">
      <c r="A216" s="713"/>
      <c r="B216" s="713"/>
      <c r="C216" s="713"/>
      <c r="D216" s="713"/>
      <c r="E216" s="713"/>
      <c r="F216" s="713"/>
      <c r="G216" s="713"/>
      <c r="H216" s="713"/>
      <c r="I216" s="713"/>
      <c r="J216" s="713"/>
      <c r="K216" s="713"/>
      <c r="L216" s="713"/>
      <c r="M216" s="713"/>
      <c r="N216" s="713"/>
      <c r="O216" s="713"/>
      <c r="P216" s="713"/>
      <c r="Q216" s="713"/>
      <c r="R216" s="713"/>
      <c r="S216" s="713"/>
      <c r="T216" s="713"/>
      <c r="AF216" s="171"/>
      <c r="AQ216" s="165">
        <f t="shared" ref="AQ216" si="67">AQ215+1</f>
        <v>15</v>
      </c>
      <c r="AR216" s="165">
        <f t="shared" si="34"/>
        <v>0</v>
      </c>
      <c r="AS216" s="165">
        <v>57</v>
      </c>
      <c r="AT216" s="165" t="str">
        <f t="shared" si="55"/>
        <v/>
      </c>
      <c r="AU216" s="276">
        <f t="shared" si="35"/>
        <v>0</v>
      </c>
      <c r="AV216" s="276">
        <f>IF(AU216=0,0,COUNTIF(AV$160:$AV215,"&gt;0")+1)</f>
        <v>0</v>
      </c>
      <c r="AW216" s="165" t="str">
        <f t="shared" si="49"/>
        <v/>
      </c>
      <c r="AX216" s="165" t="str">
        <f t="shared" si="37"/>
        <v/>
      </c>
      <c r="AY216" s="165" t="str">
        <f>IFERROR(INDEX(D041_ClassFeatures!$L$2:$L$343,MATCH(C_Input!$AW216,D041_ClassFeatures!$B$2:$B$343,0),1),"")</f>
        <v/>
      </c>
      <c r="AZ216" s="165" t="str">
        <f>IFERROR(INDEX(D041_ClassFeatures!$L$2:$L$343,MATCH(C_Input!$AW216,D041_ClassFeatures!$B$2:$B$343,0),1),"")</f>
        <v/>
      </c>
      <c r="BA216" s="165">
        <f t="shared" si="38"/>
        <v>0</v>
      </c>
      <c r="BB216" s="165" t="str">
        <f t="array" ref="BB216">IFERROR(INDEX(D041_ClassFeatures!$B$2:$B$556,MATCH(C_Input!AW216&amp;INDEX(C_Variables!$O$4:$O$9,MATCH(INDEX($AR$160:$AR$239,MATCH(AW216,$AT$160:$AT$239,0),1),C_Variables!$M$4:$M$9,0),1),D041_ClassFeatures!$J$2:$J$556&amp;D041_ClassFeatures!$I$2:$I$556,0),1),"")</f>
        <v/>
      </c>
      <c r="BC216" s="165" t="str">
        <f t="shared" si="39"/>
        <v/>
      </c>
      <c r="BD216" s="165" t="str">
        <f>IFERROR(INDEX(D041_ClassFeatures!$C$2:$C$546,MATCH(C_Input!BC216,D041_ClassFeatures!$B$2:$B$546,0),1),"")</f>
        <v/>
      </c>
      <c r="BE216" s="165" t="str">
        <f>IFERROR(INDEX(D041_ClassFeatures!$D$2:$D$546,MATCH(C_Input!BC216,D041_ClassFeatures!$B$2:$B$546,0),1),"")</f>
        <v/>
      </c>
      <c r="BF216" s="165" t="str">
        <f t="shared" si="40"/>
        <v/>
      </c>
      <c r="BG216" s="202">
        <v>1</v>
      </c>
      <c r="BH216" s="165" t="str">
        <f t="shared" si="41"/>
        <v/>
      </c>
      <c r="BI216" s="165" t="str">
        <f t="shared" si="42"/>
        <v/>
      </c>
      <c r="BJ216" s="165">
        <f>IF(BG216=0,0,COUNTIF(BJ$160:$BJ215,"&gt;0")+1)</f>
        <v>57</v>
      </c>
    </row>
    <row r="217" spans="1:62" ht="15.95" customHeight="1" outlineLevel="1" x14ac:dyDescent="0.3">
      <c r="A217" s="713"/>
      <c r="B217" s="713"/>
      <c r="C217" s="713"/>
      <c r="D217" s="713"/>
      <c r="E217" s="713"/>
      <c r="F217" s="713"/>
      <c r="G217" s="713"/>
      <c r="H217" s="713"/>
      <c r="I217" s="713"/>
      <c r="J217" s="713"/>
      <c r="K217" s="713"/>
      <c r="L217" s="713"/>
      <c r="M217" s="713"/>
      <c r="N217" s="713"/>
      <c r="O217" s="713"/>
      <c r="P217" s="713"/>
      <c r="Q217" s="713"/>
      <c r="R217" s="713"/>
      <c r="S217" s="713"/>
      <c r="T217" s="713"/>
      <c r="AF217" s="171"/>
      <c r="AQ217" s="165">
        <f t="shared" ref="AQ217:AQ219" si="68">AQ216</f>
        <v>15</v>
      </c>
      <c r="AR217" s="165">
        <f t="shared" si="34"/>
        <v>0</v>
      </c>
      <c r="AS217" s="165">
        <v>58</v>
      </c>
      <c r="AT217" s="165">
        <f t="shared" si="55"/>
        <v>0</v>
      </c>
      <c r="AU217" s="276">
        <f t="shared" si="35"/>
        <v>0</v>
      </c>
      <c r="AV217" s="276">
        <f>IF(AU217=0,0,COUNTIF(AV$160:$AV216,"&gt;0")+1)</f>
        <v>0</v>
      </c>
      <c r="AW217" s="165" t="str">
        <f t="shared" si="49"/>
        <v/>
      </c>
      <c r="AX217" s="165" t="str">
        <f t="shared" si="37"/>
        <v/>
      </c>
      <c r="AY217" s="165" t="str">
        <f>IFERROR(INDEX(D041_ClassFeatures!$L$2:$L$343,MATCH(C_Input!$AW217,D041_ClassFeatures!$B$2:$B$343,0),1),"")</f>
        <v/>
      </c>
      <c r="AZ217" s="165" t="str">
        <f>IFERROR(INDEX(D041_ClassFeatures!$L$2:$L$343,MATCH(C_Input!$AW217,D041_ClassFeatures!$B$2:$B$343,0),1),"")</f>
        <v/>
      </c>
      <c r="BA217" s="165">
        <f t="shared" si="38"/>
        <v>0</v>
      </c>
      <c r="BB217" s="165" t="str">
        <f t="array" ref="BB217">IFERROR(INDEX(D041_ClassFeatures!$B$2:$B$556,MATCH(C_Input!AW217&amp;INDEX(C_Variables!$O$4:$O$9,MATCH(INDEX($AR$160:$AR$239,MATCH(AW217,$AT$160:$AT$239,0),1),C_Variables!$M$4:$M$9,0),1),D041_ClassFeatures!$J$2:$J$556&amp;D041_ClassFeatures!$I$2:$I$556,0),1),"")</f>
        <v/>
      </c>
      <c r="BC217" s="165" t="str">
        <f t="shared" si="39"/>
        <v/>
      </c>
      <c r="BD217" s="165" t="str">
        <f>IFERROR(INDEX(D041_ClassFeatures!$C$2:$C$546,MATCH(C_Input!BC217,D041_ClassFeatures!$B$2:$B$546,0),1),"")</f>
        <v/>
      </c>
      <c r="BE217" s="165" t="str">
        <f>IFERROR(INDEX(D041_ClassFeatures!$D$2:$D$546,MATCH(C_Input!BC217,D041_ClassFeatures!$B$2:$B$546,0),1),"")</f>
        <v/>
      </c>
      <c r="BF217" s="165" t="str">
        <f t="shared" si="40"/>
        <v/>
      </c>
      <c r="BG217" s="202">
        <v>1</v>
      </c>
      <c r="BH217" s="165" t="str">
        <f t="shared" si="41"/>
        <v/>
      </c>
      <c r="BI217" s="165" t="str">
        <f t="shared" si="42"/>
        <v/>
      </c>
      <c r="BJ217" s="165">
        <f>IF(BG217=0,0,COUNTIF(BJ$160:$BJ216,"&gt;0")+1)</f>
        <v>58</v>
      </c>
    </row>
    <row r="218" spans="1:62" ht="15.95" customHeight="1" outlineLevel="1" x14ac:dyDescent="0.3">
      <c r="A218" s="713"/>
      <c r="B218" s="713"/>
      <c r="C218" s="713"/>
      <c r="D218" s="713"/>
      <c r="E218" s="713"/>
      <c r="F218" s="713"/>
      <c r="G218" s="713"/>
      <c r="H218" s="713"/>
      <c r="I218" s="713"/>
      <c r="J218" s="713"/>
      <c r="K218" s="713"/>
      <c r="L218" s="713"/>
      <c r="M218" s="713"/>
      <c r="N218" s="713"/>
      <c r="O218" s="713"/>
      <c r="P218" s="713"/>
      <c r="Q218" s="713"/>
      <c r="R218" s="713"/>
      <c r="S218" s="713"/>
      <c r="T218" s="713"/>
      <c r="AF218" s="171"/>
      <c r="AQ218" s="165">
        <f t="shared" si="68"/>
        <v>15</v>
      </c>
      <c r="AR218" s="165">
        <f t="shared" si="34"/>
        <v>0</v>
      </c>
      <c r="AS218" s="165">
        <v>59</v>
      </c>
      <c r="AT218" s="165" t="str">
        <f t="shared" si="55"/>
        <v/>
      </c>
      <c r="AU218" s="276">
        <f t="shared" si="35"/>
        <v>0</v>
      </c>
      <c r="AV218" s="276">
        <f>IF(AU218=0,0,COUNTIF(AV$160:$AV217,"&gt;0")+1)</f>
        <v>0</v>
      </c>
      <c r="AW218" s="165" t="str">
        <f t="shared" si="49"/>
        <v/>
      </c>
      <c r="AX218" s="165" t="str">
        <f t="shared" si="37"/>
        <v/>
      </c>
      <c r="AY218" s="165" t="str">
        <f>IFERROR(INDEX(D041_ClassFeatures!$L$2:$L$343,MATCH(C_Input!$AW218,D041_ClassFeatures!$B$2:$B$343,0),1),"")</f>
        <v/>
      </c>
      <c r="AZ218" s="165" t="str">
        <f>IFERROR(INDEX(D041_ClassFeatures!$L$2:$L$343,MATCH(C_Input!$AW218,D041_ClassFeatures!$B$2:$B$343,0),1),"")</f>
        <v/>
      </c>
      <c r="BA218" s="165">
        <f t="shared" si="38"/>
        <v>0</v>
      </c>
      <c r="BB218" s="165" t="str">
        <f t="array" ref="BB218">IFERROR(INDEX(D041_ClassFeatures!$B$2:$B$556,MATCH(C_Input!AW218&amp;INDEX(C_Variables!$O$4:$O$9,MATCH(INDEX($AR$160:$AR$239,MATCH(AW218,$AT$160:$AT$239,0),1),C_Variables!$M$4:$M$9,0),1),D041_ClassFeatures!$J$2:$J$556&amp;D041_ClassFeatures!$I$2:$I$556,0),1),"")</f>
        <v/>
      </c>
      <c r="BC218" s="165" t="str">
        <f t="shared" si="39"/>
        <v/>
      </c>
      <c r="BD218" s="165" t="str">
        <f>IFERROR(INDEX(D041_ClassFeatures!$C$2:$C$546,MATCH(C_Input!BC218,D041_ClassFeatures!$B$2:$B$546,0),1),"")</f>
        <v/>
      </c>
      <c r="BE218" s="165" t="str">
        <f>IFERROR(INDEX(D041_ClassFeatures!$D$2:$D$546,MATCH(C_Input!BC218,D041_ClassFeatures!$B$2:$B$546,0),1),"")</f>
        <v/>
      </c>
      <c r="BF218" s="165" t="str">
        <f t="shared" si="40"/>
        <v/>
      </c>
      <c r="BG218" s="202">
        <v>1</v>
      </c>
      <c r="BH218" s="165" t="str">
        <f t="shared" si="41"/>
        <v/>
      </c>
      <c r="BI218" s="165" t="str">
        <f t="shared" si="42"/>
        <v/>
      </c>
      <c r="BJ218" s="165">
        <f>IF(BG218=0,0,COUNTIF(BJ$160:$BJ217,"&gt;0")+1)</f>
        <v>59</v>
      </c>
    </row>
    <row r="219" spans="1:62" ht="15.95" customHeight="1" outlineLevel="1" x14ac:dyDescent="0.3">
      <c r="A219" s="713"/>
      <c r="B219" s="713"/>
      <c r="C219" s="713"/>
      <c r="D219" s="713"/>
      <c r="E219" s="713"/>
      <c r="F219" s="713"/>
      <c r="G219" s="713"/>
      <c r="H219" s="713"/>
      <c r="I219" s="713"/>
      <c r="J219" s="713"/>
      <c r="K219" s="713"/>
      <c r="L219" s="713"/>
      <c r="M219" s="713"/>
      <c r="N219" s="713"/>
      <c r="O219" s="713"/>
      <c r="P219" s="713"/>
      <c r="Q219" s="713"/>
      <c r="R219" s="713"/>
      <c r="S219" s="713"/>
      <c r="T219" s="713"/>
      <c r="AF219" s="171"/>
      <c r="AQ219" s="165">
        <f t="shared" si="68"/>
        <v>15</v>
      </c>
      <c r="AR219" s="165">
        <f t="shared" si="34"/>
        <v>0</v>
      </c>
      <c r="AS219" s="165">
        <v>60</v>
      </c>
      <c r="AT219" s="165" t="str">
        <f t="shared" si="55"/>
        <v/>
      </c>
      <c r="AU219" s="276">
        <f t="shared" si="35"/>
        <v>0</v>
      </c>
      <c r="AV219" s="276">
        <f>IF(AU219=0,0,COUNTIF(AV$160:$AV218,"&gt;0")+1)</f>
        <v>0</v>
      </c>
      <c r="AW219" s="165" t="str">
        <f t="shared" si="49"/>
        <v/>
      </c>
      <c r="AX219" s="165" t="str">
        <f t="shared" si="37"/>
        <v/>
      </c>
      <c r="AY219" s="165" t="str">
        <f>IFERROR(INDEX(D041_ClassFeatures!$L$2:$L$343,MATCH(C_Input!$AW219,D041_ClassFeatures!$B$2:$B$343,0),1),"")</f>
        <v/>
      </c>
      <c r="AZ219" s="165" t="str">
        <f>IFERROR(INDEX(D041_ClassFeatures!$L$2:$L$343,MATCH(C_Input!$AW219,D041_ClassFeatures!$B$2:$B$343,0),1),"")</f>
        <v/>
      </c>
      <c r="BA219" s="165">
        <f t="shared" si="38"/>
        <v>0</v>
      </c>
      <c r="BB219" s="165" t="str">
        <f t="array" ref="BB219">IFERROR(INDEX(D041_ClassFeatures!$B$2:$B$556,MATCH(C_Input!AW219&amp;INDEX(C_Variables!$O$4:$O$9,MATCH(INDEX($AR$160:$AR$239,MATCH(AW219,$AT$160:$AT$239,0),1),C_Variables!$M$4:$M$9,0),1),D041_ClassFeatures!$J$2:$J$556&amp;D041_ClassFeatures!$I$2:$I$556,0),1),"")</f>
        <v/>
      </c>
      <c r="BC219" s="165" t="str">
        <f t="shared" si="39"/>
        <v/>
      </c>
      <c r="BD219" s="165" t="str">
        <f>IFERROR(INDEX(D041_ClassFeatures!$C$2:$C$546,MATCH(C_Input!BC219,D041_ClassFeatures!$B$2:$B$546,0),1),"")</f>
        <v/>
      </c>
      <c r="BE219" s="165" t="str">
        <f>IFERROR(INDEX(D041_ClassFeatures!$D$2:$D$546,MATCH(C_Input!BC219,D041_ClassFeatures!$B$2:$B$546,0),1),"")</f>
        <v/>
      </c>
      <c r="BF219" s="165" t="str">
        <f t="shared" si="40"/>
        <v/>
      </c>
      <c r="BG219" s="202">
        <v>1</v>
      </c>
      <c r="BH219" s="165" t="str">
        <f t="shared" si="41"/>
        <v/>
      </c>
      <c r="BI219" s="165" t="str">
        <f t="shared" si="42"/>
        <v/>
      </c>
      <c r="BJ219" s="165">
        <f>IF(BG219=0,0,COUNTIF(BJ$160:$BJ218,"&gt;0")+1)</f>
        <v>60</v>
      </c>
    </row>
    <row r="220" spans="1:62" ht="15.95" customHeight="1" outlineLevel="1" x14ac:dyDescent="0.3">
      <c r="A220" s="713"/>
      <c r="B220" s="713"/>
      <c r="C220" s="713"/>
      <c r="D220" s="713"/>
      <c r="E220" s="713"/>
      <c r="F220" s="713"/>
      <c r="G220" s="713"/>
      <c r="H220" s="713"/>
      <c r="I220" s="713"/>
      <c r="J220" s="713"/>
      <c r="K220" s="713"/>
      <c r="L220" s="713"/>
      <c r="M220" s="713"/>
      <c r="N220" s="713"/>
      <c r="O220" s="713"/>
      <c r="P220" s="713"/>
      <c r="Q220" s="713"/>
      <c r="R220" s="713"/>
      <c r="S220" s="713"/>
      <c r="T220" s="713"/>
      <c r="AF220" s="171"/>
      <c r="AQ220" s="165">
        <f t="shared" ref="AQ220" si="69">AQ219+1</f>
        <v>16</v>
      </c>
      <c r="AR220" s="165">
        <f t="shared" si="34"/>
        <v>0</v>
      </c>
      <c r="AS220" s="165">
        <v>61</v>
      </c>
      <c r="AT220" s="165" t="str">
        <f t="shared" si="55"/>
        <v/>
      </c>
      <c r="AU220" s="276">
        <f t="shared" si="35"/>
        <v>0</v>
      </c>
      <c r="AV220" s="276">
        <f>IF(AU220=0,0,COUNTIF(AV$160:$AV219,"&gt;0")+1)</f>
        <v>0</v>
      </c>
      <c r="AW220" s="165" t="str">
        <f t="shared" si="49"/>
        <v/>
      </c>
      <c r="AX220" s="165" t="str">
        <f t="shared" si="37"/>
        <v/>
      </c>
      <c r="AY220" s="165" t="str">
        <f>IFERROR(INDEX(D041_ClassFeatures!$L$2:$L$343,MATCH(C_Input!$AW220,D041_ClassFeatures!$B$2:$B$343,0),1),"")</f>
        <v/>
      </c>
      <c r="AZ220" s="165" t="str">
        <f>IFERROR(INDEX(D041_ClassFeatures!$L$2:$L$343,MATCH(C_Input!$AW220,D041_ClassFeatures!$B$2:$B$343,0),1),"")</f>
        <v/>
      </c>
      <c r="BA220" s="165">
        <f t="shared" si="38"/>
        <v>0</v>
      </c>
      <c r="BB220" s="165" t="str">
        <f t="array" ref="BB220">IFERROR(INDEX(D041_ClassFeatures!$B$2:$B$556,MATCH(C_Input!AW220&amp;INDEX(C_Variables!$O$4:$O$9,MATCH(INDEX($AR$160:$AR$239,MATCH(AW220,$AT$160:$AT$239,0),1),C_Variables!$M$4:$M$9,0),1),D041_ClassFeatures!$J$2:$J$556&amp;D041_ClassFeatures!$I$2:$I$556,0),1),"")</f>
        <v/>
      </c>
      <c r="BC220" s="165" t="str">
        <f t="shared" si="39"/>
        <v/>
      </c>
      <c r="BD220" s="165" t="str">
        <f>IFERROR(INDEX(D041_ClassFeatures!$C$2:$C$546,MATCH(C_Input!BC220,D041_ClassFeatures!$B$2:$B$546,0),1),"")</f>
        <v/>
      </c>
      <c r="BE220" s="165" t="str">
        <f>IFERROR(INDEX(D041_ClassFeatures!$D$2:$D$546,MATCH(C_Input!BC220,D041_ClassFeatures!$B$2:$B$546,0),1),"")</f>
        <v/>
      </c>
      <c r="BF220" s="165" t="str">
        <f t="shared" si="40"/>
        <v/>
      </c>
      <c r="BG220" s="202">
        <v>1</v>
      </c>
      <c r="BH220" s="165" t="str">
        <f t="shared" si="41"/>
        <v/>
      </c>
      <c r="BI220" s="165" t="str">
        <f t="shared" si="42"/>
        <v/>
      </c>
      <c r="BJ220" s="165">
        <f>IF(BG220=0,0,COUNTIF(BJ$160:$BJ219,"&gt;0")+1)</f>
        <v>61</v>
      </c>
    </row>
    <row r="221" spans="1:62" ht="15.95" customHeight="1" outlineLevel="1" x14ac:dyDescent="0.3">
      <c r="A221" s="713"/>
      <c r="B221" s="713"/>
      <c r="C221" s="713"/>
      <c r="D221" s="713"/>
      <c r="E221" s="713"/>
      <c r="F221" s="713"/>
      <c r="G221" s="713"/>
      <c r="H221" s="713"/>
      <c r="I221" s="713"/>
      <c r="J221" s="713"/>
      <c r="K221" s="713"/>
      <c r="L221" s="713"/>
      <c r="M221" s="713"/>
      <c r="N221" s="713"/>
      <c r="O221" s="713"/>
      <c r="P221" s="713"/>
      <c r="Q221" s="713"/>
      <c r="R221" s="713"/>
      <c r="S221" s="713"/>
      <c r="T221" s="713"/>
      <c r="AF221" s="171"/>
      <c r="AQ221" s="165">
        <f t="shared" ref="AQ221:AQ223" si="70">AQ220</f>
        <v>16</v>
      </c>
      <c r="AR221" s="165">
        <f t="shared" si="34"/>
        <v>0</v>
      </c>
      <c r="AS221" s="165">
        <v>62</v>
      </c>
      <c r="AT221" s="165">
        <f t="shared" si="55"/>
        <v>0</v>
      </c>
      <c r="AU221" s="276">
        <f t="shared" si="35"/>
        <v>0</v>
      </c>
      <c r="AV221" s="276">
        <f>IF(AU221=0,0,COUNTIF(AV$160:$AV220,"&gt;0")+1)</f>
        <v>0</v>
      </c>
      <c r="AW221" s="165" t="str">
        <f t="shared" si="49"/>
        <v/>
      </c>
      <c r="AX221" s="165" t="str">
        <f t="shared" si="37"/>
        <v/>
      </c>
      <c r="AY221" s="165" t="str">
        <f>IFERROR(INDEX(D041_ClassFeatures!$L$2:$L$343,MATCH(C_Input!$AW221,D041_ClassFeatures!$B$2:$B$343,0),1),"")</f>
        <v/>
      </c>
      <c r="AZ221" s="165" t="str">
        <f>IFERROR(INDEX(D041_ClassFeatures!$L$2:$L$343,MATCH(C_Input!$AW221,D041_ClassFeatures!$B$2:$B$343,0),1),"")</f>
        <v/>
      </c>
      <c r="BA221" s="165">
        <f t="shared" si="38"/>
        <v>0</v>
      </c>
      <c r="BB221" s="165" t="str">
        <f t="array" ref="BB221">IFERROR(INDEX(D041_ClassFeatures!$B$2:$B$556,MATCH(C_Input!AW221&amp;INDEX(C_Variables!$O$4:$O$9,MATCH(INDEX($AR$160:$AR$239,MATCH(AW221,$AT$160:$AT$239,0),1),C_Variables!$M$4:$M$9,0),1),D041_ClassFeatures!$J$2:$J$556&amp;D041_ClassFeatures!$I$2:$I$556,0),1),"")</f>
        <v/>
      </c>
      <c r="BC221" s="165" t="str">
        <f t="shared" si="39"/>
        <v/>
      </c>
      <c r="BD221" s="165" t="str">
        <f>IFERROR(INDEX(D041_ClassFeatures!$C$2:$C$546,MATCH(C_Input!BC221,D041_ClassFeatures!$B$2:$B$546,0),1),"")</f>
        <v/>
      </c>
      <c r="BE221" s="165" t="str">
        <f>IFERROR(INDEX(D041_ClassFeatures!$D$2:$D$546,MATCH(C_Input!BC221,D041_ClassFeatures!$B$2:$B$546,0),1),"")</f>
        <v/>
      </c>
      <c r="BF221" s="165" t="str">
        <f t="shared" si="40"/>
        <v/>
      </c>
      <c r="BG221" s="202">
        <v>1</v>
      </c>
      <c r="BH221" s="165" t="str">
        <f t="shared" si="41"/>
        <v/>
      </c>
      <c r="BI221" s="165" t="str">
        <f t="shared" si="42"/>
        <v/>
      </c>
      <c r="BJ221" s="165">
        <f>IF(BG221=0,0,COUNTIF(BJ$160:$BJ220,"&gt;0")+1)</f>
        <v>62</v>
      </c>
    </row>
    <row r="222" spans="1:62" ht="15.95" customHeight="1" outlineLevel="1" x14ac:dyDescent="0.3">
      <c r="A222" s="713"/>
      <c r="B222" s="713"/>
      <c r="C222" s="713"/>
      <c r="D222" s="713"/>
      <c r="E222" s="713"/>
      <c r="F222" s="713"/>
      <c r="G222" s="713"/>
      <c r="H222" s="713"/>
      <c r="I222" s="713"/>
      <c r="J222" s="713"/>
      <c r="K222" s="713"/>
      <c r="L222" s="713"/>
      <c r="M222" s="713"/>
      <c r="N222" s="713"/>
      <c r="O222" s="713"/>
      <c r="P222" s="713"/>
      <c r="Q222" s="713"/>
      <c r="R222" s="713"/>
      <c r="S222" s="713"/>
      <c r="T222" s="713"/>
      <c r="AF222" s="171"/>
      <c r="AQ222" s="165">
        <f t="shared" si="70"/>
        <v>16</v>
      </c>
      <c r="AR222" s="165">
        <f t="shared" si="34"/>
        <v>0</v>
      </c>
      <c r="AS222" s="165">
        <v>63</v>
      </c>
      <c r="AT222" s="165" t="str">
        <f t="shared" si="55"/>
        <v/>
      </c>
      <c r="AU222" s="276">
        <f t="shared" si="35"/>
        <v>0</v>
      </c>
      <c r="AV222" s="276">
        <f>IF(AU222=0,0,COUNTIF(AV$160:$AV221,"&gt;0")+1)</f>
        <v>0</v>
      </c>
      <c r="AW222" s="165" t="str">
        <f t="shared" si="49"/>
        <v/>
      </c>
      <c r="AX222" s="165" t="str">
        <f t="shared" si="37"/>
        <v/>
      </c>
      <c r="AY222" s="165" t="str">
        <f>IFERROR(INDEX(D041_ClassFeatures!$L$2:$L$343,MATCH(C_Input!$AW222,D041_ClassFeatures!$B$2:$B$343,0),1),"")</f>
        <v/>
      </c>
      <c r="AZ222" s="165" t="str">
        <f>IFERROR(INDEX(D041_ClassFeatures!$L$2:$L$343,MATCH(C_Input!$AW222,D041_ClassFeatures!$B$2:$B$343,0),1),"")</f>
        <v/>
      </c>
      <c r="BA222" s="165">
        <f t="shared" si="38"/>
        <v>0</v>
      </c>
      <c r="BB222" s="165" t="str">
        <f t="array" ref="BB222">IFERROR(INDEX(D041_ClassFeatures!$B$2:$B$556,MATCH(C_Input!AW222&amp;INDEX(C_Variables!$O$4:$O$9,MATCH(INDEX($AR$160:$AR$239,MATCH(AW222,$AT$160:$AT$239,0),1),C_Variables!$M$4:$M$9,0),1),D041_ClassFeatures!$J$2:$J$556&amp;D041_ClassFeatures!$I$2:$I$556,0),1),"")</f>
        <v/>
      </c>
      <c r="BC222" s="165" t="str">
        <f t="shared" si="39"/>
        <v/>
      </c>
      <c r="BD222" s="165" t="str">
        <f>IFERROR(INDEX(D041_ClassFeatures!$C$2:$C$546,MATCH(C_Input!BC222,D041_ClassFeatures!$B$2:$B$546,0),1),"")</f>
        <v/>
      </c>
      <c r="BE222" s="165" t="str">
        <f>IFERROR(INDEX(D041_ClassFeatures!$D$2:$D$546,MATCH(C_Input!BC222,D041_ClassFeatures!$B$2:$B$546,0),1),"")</f>
        <v/>
      </c>
      <c r="BF222" s="165" t="str">
        <f t="shared" si="40"/>
        <v/>
      </c>
      <c r="BG222" s="202">
        <v>1</v>
      </c>
      <c r="BH222" s="165" t="str">
        <f t="shared" si="41"/>
        <v/>
      </c>
      <c r="BI222" s="165" t="str">
        <f t="shared" si="42"/>
        <v/>
      </c>
      <c r="BJ222" s="165">
        <f>IF(BG222=0,0,COUNTIF(BJ$160:$BJ221,"&gt;0")+1)</f>
        <v>63</v>
      </c>
    </row>
    <row r="223" spans="1:62" ht="15.95" customHeight="1" outlineLevel="1" x14ac:dyDescent="0.3">
      <c r="A223" s="713"/>
      <c r="B223" s="713"/>
      <c r="C223" s="713"/>
      <c r="D223" s="713"/>
      <c r="E223" s="713"/>
      <c r="F223" s="713"/>
      <c r="G223" s="713"/>
      <c r="H223" s="713"/>
      <c r="I223" s="713"/>
      <c r="J223" s="713"/>
      <c r="K223" s="713"/>
      <c r="L223" s="713"/>
      <c r="M223" s="713"/>
      <c r="N223" s="713"/>
      <c r="O223" s="713"/>
      <c r="P223" s="713"/>
      <c r="Q223" s="713"/>
      <c r="R223" s="713"/>
      <c r="S223" s="713"/>
      <c r="T223" s="713"/>
      <c r="AF223" s="171"/>
      <c r="AQ223" s="165">
        <f t="shared" si="70"/>
        <v>16</v>
      </c>
      <c r="AR223" s="165">
        <f t="shared" si="34"/>
        <v>0</v>
      </c>
      <c r="AS223" s="165">
        <v>64</v>
      </c>
      <c r="AT223" s="165" t="str">
        <f t="shared" si="55"/>
        <v/>
      </c>
      <c r="AU223" s="276">
        <f t="shared" si="35"/>
        <v>0</v>
      </c>
      <c r="AV223" s="276">
        <f>IF(AU223=0,0,COUNTIF(AV$160:$AV222,"&gt;0")+1)</f>
        <v>0</v>
      </c>
      <c r="AW223" s="165" t="str">
        <f t="shared" si="49"/>
        <v/>
      </c>
      <c r="AX223" s="165" t="str">
        <f t="shared" si="37"/>
        <v/>
      </c>
      <c r="AY223" s="165" t="str">
        <f>IFERROR(INDEX(D041_ClassFeatures!$L$2:$L$343,MATCH(C_Input!$AW223,D041_ClassFeatures!$B$2:$B$343,0),1),"")</f>
        <v/>
      </c>
      <c r="AZ223" s="165" t="str">
        <f>IFERROR(INDEX(D041_ClassFeatures!$L$2:$L$343,MATCH(C_Input!$AW223,D041_ClassFeatures!$B$2:$B$343,0),1),"")</f>
        <v/>
      </c>
      <c r="BA223" s="165">
        <f t="shared" si="38"/>
        <v>0</v>
      </c>
      <c r="BB223" s="165" t="str">
        <f t="array" ref="BB223">IFERROR(INDEX(D041_ClassFeatures!$B$2:$B$556,MATCH(C_Input!AW223&amp;INDEX(C_Variables!$O$4:$O$9,MATCH(INDEX($AR$160:$AR$239,MATCH(AW223,$AT$160:$AT$239,0),1),C_Variables!$M$4:$M$9,0),1),D041_ClassFeatures!$J$2:$J$556&amp;D041_ClassFeatures!$I$2:$I$556,0),1),"")</f>
        <v/>
      </c>
      <c r="BC223" s="165" t="str">
        <f t="shared" si="39"/>
        <v/>
      </c>
      <c r="BD223" s="165" t="str">
        <f>IFERROR(INDEX(D041_ClassFeatures!$C$2:$C$546,MATCH(C_Input!BC223,D041_ClassFeatures!$B$2:$B$546,0),1),"")</f>
        <v/>
      </c>
      <c r="BE223" s="165" t="str">
        <f>IFERROR(INDEX(D041_ClassFeatures!$D$2:$D$546,MATCH(C_Input!BC223,D041_ClassFeatures!$B$2:$B$546,0),1),"")</f>
        <v/>
      </c>
      <c r="BF223" s="165" t="str">
        <f t="shared" si="40"/>
        <v/>
      </c>
      <c r="BG223" s="202">
        <v>1</v>
      </c>
      <c r="BH223" s="165" t="str">
        <f t="shared" si="41"/>
        <v/>
      </c>
      <c r="BI223" s="165" t="str">
        <f t="shared" si="42"/>
        <v/>
      </c>
      <c r="BJ223" s="165">
        <f>IF(BG223=0,0,COUNTIF(BJ$160:$BJ222,"&gt;0")+1)</f>
        <v>64</v>
      </c>
    </row>
    <row r="224" spans="1:62" ht="15.95" customHeight="1" outlineLevel="1" x14ac:dyDescent="0.3">
      <c r="A224" s="713"/>
      <c r="B224" s="713"/>
      <c r="C224" s="713"/>
      <c r="D224" s="713"/>
      <c r="E224" s="713"/>
      <c r="F224" s="713"/>
      <c r="G224" s="713"/>
      <c r="H224" s="713"/>
      <c r="I224" s="713"/>
      <c r="J224" s="713"/>
      <c r="K224" s="713"/>
      <c r="L224" s="713"/>
      <c r="M224" s="713"/>
      <c r="N224" s="713"/>
      <c r="O224" s="713"/>
      <c r="P224" s="713"/>
      <c r="Q224" s="713"/>
      <c r="R224" s="713"/>
      <c r="S224" s="713"/>
      <c r="T224" s="713"/>
      <c r="AF224" s="171"/>
      <c r="AQ224" s="165">
        <f t="shared" ref="AQ224" si="71">AQ223+1</f>
        <v>17</v>
      </c>
      <c r="AR224" s="165">
        <f t="shared" si="34"/>
        <v>0</v>
      </c>
      <c r="AS224" s="165">
        <v>65</v>
      </c>
      <c r="AT224" s="165" t="str">
        <f t="shared" ref="AT224:AT239" si="72">INDEX($AM$160:$AP$179,CEILING((ROW(AT224)-ROW($AT$159))/4,1),CEILING(MOD((ROW(AT224)-ROW($AT$159)),4.00001),1))</f>
        <v/>
      </c>
      <c r="AU224" s="276">
        <f t="shared" si="35"/>
        <v>0</v>
      </c>
      <c r="AV224" s="276">
        <f>IF(AU224=0,0,COUNTIF(AV$160:$AV223,"&gt;0")+1)</f>
        <v>0</v>
      </c>
      <c r="AW224" s="165" t="str">
        <f t="shared" si="49"/>
        <v/>
      </c>
      <c r="AX224" s="165" t="str">
        <f t="shared" si="37"/>
        <v/>
      </c>
      <c r="AY224" s="165" t="str">
        <f>IFERROR(INDEX(D041_ClassFeatures!$L$2:$L$343,MATCH(C_Input!$AW224,D041_ClassFeatures!$B$2:$B$343,0),1),"")</f>
        <v/>
      </c>
      <c r="AZ224" s="165" t="str">
        <f>IFERROR(INDEX(D041_ClassFeatures!$L$2:$L$343,MATCH(C_Input!$AW224,D041_ClassFeatures!$B$2:$B$343,0),1),"")</f>
        <v/>
      </c>
      <c r="BA224" s="165">
        <f t="shared" si="38"/>
        <v>0</v>
      </c>
      <c r="BB224" s="165" t="str">
        <f t="array" ref="BB224">IFERROR(INDEX(D041_ClassFeatures!$B$2:$B$556,MATCH(C_Input!AW224&amp;INDEX(C_Variables!$O$4:$O$9,MATCH(INDEX($AR$160:$AR$239,MATCH(AW224,$AT$160:$AT$239,0),1),C_Variables!$M$4:$M$9,0),1),D041_ClassFeatures!$J$2:$J$556&amp;D041_ClassFeatures!$I$2:$I$556,0),1),"")</f>
        <v/>
      </c>
      <c r="BC224" s="165" t="str">
        <f t="shared" si="39"/>
        <v/>
      </c>
      <c r="BD224" s="165" t="str">
        <f>IFERROR(INDEX(D041_ClassFeatures!$C$2:$C$546,MATCH(C_Input!BC224,D041_ClassFeatures!$B$2:$B$546,0),1),"")</f>
        <v/>
      </c>
      <c r="BE224" s="165" t="str">
        <f>IFERROR(INDEX(D041_ClassFeatures!$D$2:$D$546,MATCH(C_Input!BC224,D041_ClassFeatures!$B$2:$B$546,0),1),"")</f>
        <v/>
      </c>
      <c r="BF224" s="165" t="str">
        <f t="shared" si="40"/>
        <v/>
      </c>
      <c r="BG224" s="202">
        <v>1</v>
      </c>
      <c r="BH224" s="165" t="str">
        <f t="shared" si="41"/>
        <v/>
      </c>
      <c r="BI224" s="165" t="str">
        <f t="shared" si="42"/>
        <v/>
      </c>
      <c r="BJ224" s="165">
        <f>IF(BG224=0,0,COUNTIF(BJ$160:$BJ223,"&gt;0")+1)</f>
        <v>65</v>
      </c>
    </row>
    <row r="225" spans="1:62" ht="15.95" customHeight="1" outlineLevel="1" x14ac:dyDescent="0.3">
      <c r="A225" s="713"/>
      <c r="B225" s="713"/>
      <c r="C225" s="713"/>
      <c r="D225" s="713"/>
      <c r="E225" s="713"/>
      <c r="F225" s="713"/>
      <c r="G225" s="713"/>
      <c r="H225" s="713"/>
      <c r="I225" s="713"/>
      <c r="J225" s="713"/>
      <c r="K225" s="713"/>
      <c r="L225" s="713"/>
      <c r="M225" s="713"/>
      <c r="N225" s="713"/>
      <c r="O225" s="713"/>
      <c r="P225" s="713"/>
      <c r="Q225" s="713"/>
      <c r="R225" s="713"/>
      <c r="S225" s="713"/>
      <c r="T225" s="713"/>
      <c r="AF225" s="171"/>
      <c r="AQ225" s="165">
        <f t="shared" ref="AQ225:AQ227" si="73">AQ224</f>
        <v>17</v>
      </c>
      <c r="AR225" s="165">
        <f t="shared" ref="AR225:AR239" si="74">INDEX($AI$160:$AI$179,MATCH(ROUNDDOWN(AS225/4-0.25,0)+1,$AH$160:$AH$179,0),1)</f>
        <v>0</v>
      </c>
      <c r="AS225" s="165">
        <v>66</v>
      </c>
      <c r="AT225" s="165">
        <f t="shared" si="72"/>
        <v>0</v>
      </c>
      <c r="AU225" s="276">
        <f t="shared" ref="AU225:AU239" si="75">IF(OR(AT225="",AT225=0),0,1)</f>
        <v>0</v>
      </c>
      <c r="AV225" s="276">
        <f>IF(AU225=0,0,COUNTIF(AV$160:$AV224,"&gt;0")+1)</f>
        <v>0</v>
      </c>
      <c r="AW225" s="165" t="str">
        <f t="shared" si="49"/>
        <v/>
      </c>
      <c r="AX225" s="165" t="str">
        <f t="shared" ref="AX225:AX239" si="76">IFERROR(INDEX($AQ$160:$AQ$239,MATCH(AS225,$AV$160:$AV$239,0),1),"")</f>
        <v/>
      </c>
      <c r="AY225" s="165" t="str">
        <f>IFERROR(INDEX(D041_ClassFeatures!$L$2:$L$343,MATCH(C_Input!$AW225,D041_ClassFeatures!$B$2:$B$343,0),1),"")</f>
        <v/>
      </c>
      <c r="AZ225" s="165" t="str">
        <f>IFERROR(INDEX(D041_ClassFeatures!$L$2:$L$343,MATCH(C_Input!$AW225,D041_ClassFeatures!$B$2:$B$343,0),1),"")</f>
        <v/>
      </c>
      <c r="BA225" s="165">
        <f t="shared" ref="BA225:BA239" si="77">IF(OR(AZ225=0,AZ225=""),0,1)</f>
        <v>0</v>
      </c>
      <c r="BB225" s="165" t="str">
        <f t="array" ref="BB225">IFERROR(INDEX(D041_ClassFeatures!$B$2:$B$556,MATCH(C_Input!AW225&amp;INDEX(C_Variables!$O$4:$O$9,MATCH(INDEX($AR$160:$AR$239,MATCH(AW225,$AT$160:$AT$239,0),1),C_Variables!$M$4:$M$9,0),1),D041_ClassFeatures!$J$2:$J$556&amp;D041_ClassFeatures!$I$2:$I$556,0),1),"")</f>
        <v/>
      </c>
      <c r="BC225" s="165" t="str">
        <f t="shared" ref="BC225:BC239" si="78">IF(BA225=0,AW225,BB225)</f>
        <v/>
      </c>
      <c r="BD225" s="165" t="str">
        <f>IFERROR(INDEX(D041_ClassFeatures!$C$2:$C$546,MATCH(C_Input!BC225,D041_ClassFeatures!$B$2:$B$546,0),1),"")</f>
        <v/>
      </c>
      <c r="BE225" s="165" t="str">
        <f>IFERROR(INDEX(D041_ClassFeatures!$D$2:$D$546,MATCH(C_Input!BC225,D041_ClassFeatures!$B$2:$B$546,0),1),"")</f>
        <v/>
      </c>
      <c r="BF225" s="165" t="str">
        <f t="shared" ref="BF225:BF239" si="79">IFERROR(IF(BC225="","",INDEX($AR$160:$AR$239,MATCH(AW225,$AT$160:$AT$239,0),1)),"")</f>
        <v/>
      </c>
      <c r="BG225" s="202">
        <v>1</v>
      </c>
      <c r="BH225" s="165" t="str">
        <f t="shared" ref="BH225:BH239" si="80">IF(BG225=1,IF(BD225&lt;&gt;"",BD225,""),"")</f>
        <v/>
      </c>
      <c r="BI225" s="165" t="str">
        <f t="shared" ref="BI225:BI239" si="81">IF(BH225="","",BE225)</f>
        <v/>
      </c>
      <c r="BJ225" s="165">
        <f>IF(BG225=0,0,COUNTIF(BJ$160:$BJ224,"&gt;0")+1)</f>
        <v>66</v>
      </c>
    </row>
    <row r="226" spans="1:62" ht="15.95" customHeight="1" outlineLevel="1" x14ac:dyDescent="0.3">
      <c r="A226" s="713"/>
      <c r="B226" s="713"/>
      <c r="C226" s="713"/>
      <c r="D226" s="713"/>
      <c r="E226" s="713"/>
      <c r="F226" s="713"/>
      <c r="G226" s="713"/>
      <c r="H226" s="713"/>
      <c r="I226" s="713"/>
      <c r="J226" s="713"/>
      <c r="K226" s="713"/>
      <c r="L226" s="713"/>
      <c r="M226" s="713"/>
      <c r="N226" s="713"/>
      <c r="O226" s="713"/>
      <c r="P226" s="713"/>
      <c r="Q226" s="713"/>
      <c r="R226" s="713"/>
      <c r="S226" s="713"/>
      <c r="T226" s="713"/>
      <c r="AF226" s="171"/>
      <c r="AQ226" s="165">
        <f t="shared" si="73"/>
        <v>17</v>
      </c>
      <c r="AR226" s="165">
        <f t="shared" si="74"/>
        <v>0</v>
      </c>
      <c r="AS226" s="165">
        <v>67</v>
      </c>
      <c r="AT226" s="165" t="str">
        <f t="shared" si="72"/>
        <v/>
      </c>
      <c r="AU226" s="276">
        <f t="shared" si="75"/>
        <v>0</v>
      </c>
      <c r="AV226" s="276">
        <f>IF(AU226=0,0,COUNTIF(AV$160:$AV225,"&gt;0")+1)</f>
        <v>0</v>
      </c>
      <c r="AW226" s="165" t="str">
        <f t="shared" si="49"/>
        <v/>
      </c>
      <c r="AX226" s="165" t="str">
        <f t="shared" si="76"/>
        <v/>
      </c>
      <c r="AY226" s="165" t="str">
        <f>IFERROR(INDEX(D041_ClassFeatures!$L$2:$L$343,MATCH(C_Input!$AW226,D041_ClassFeatures!$B$2:$B$343,0),1),"")</f>
        <v/>
      </c>
      <c r="AZ226" s="165" t="str">
        <f>IFERROR(INDEX(D041_ClassFeatures!$L$2:$L$343,MATCH(C_Input!$AW226,D041_ClassFeatures!$B$2:$B$343,0),1),"")</f>
        <v/>
      </c>
      <c r="BA226" s="165">
        <f t="shared" si="77"/>
        <v>0</v>
      </c>
      <c r="BB226" s="165" t="str">
        <f t="array" ref="BB226">IFERROR(INDEX(D041_ClassFeatures!$B$2:$B$556,MATCH(C_Input!AW226&amp;INDEX(C_Variables!$O$4:$O$9,MATCH(INDEX($AR$160:$AR$239,MATCH(AW226,$AT$160:$AT$239,0),1),C_Variables!$M$4:$M$9,0),1),D041_ClassFeatures!$J$2:$J$556&amp;D041_ClassFeatures!$I$2:$I$556,0),1),"")</f>
        <v/>
      </c>
      <c r="BC226" s="165" t="str">
        <f t="shared" si="78"/>
        <v/>
      </c>
      <c r="BD226" s="165" t="str">
        <f>IFERROR(INDEX(D041_ClassFeatures!$C$2:$C$546,MATCH(C_Input!BC226,D041_ClassFeatures!$B$2:$B$546,0),1),"")</f>
        <v/>
      </c>
      <c r="BE226" s="165" t="str">
        <f>IFERROR(INDEX(D041_ClassFeatures!$D$2:$D$546,MATCH(C_Input!BC226,D041_ClassFeatures!$B$2:$B$546,0),1),"")</f>
        <v/>
      </c>
      <c r="BF226" s="165" t="str">
        <f t="shared" si="79"/>
        <v/>
      </c>
      <c r="BG226" s="202">
        <v>1</v>
      </c>
      <c r="BH226" s="165" t="str">
        <f t="shared" si="80"/>
        <v/>
      </c>
      <c r="BI226" s="165" t="str">
        <f t="shared" si="81"/>
        <v/>
      </c>
      <c r="BJ226" s="165">
        <f>IF(BG226=0,0,COUNTIF(BJ$160:$BJ225,"&gt;0")+1)</f>
        <v>67</v>
      </c>
    </row>
    <row r="227" spans="1:62" ht="15.95" customHeight="1" outlineLevel="1" x14ac:dyDescent="0.3">
      <c r="A227" s="713"/>
      <c r="B227" s="713"/>
      <c r="C227" s="713"/>
      <c r="D227" s="713"/>
      <c r="E227" s="713"/>
      <c r="F227" s="713"/>
      <c r="G227" s="713"/>
      <c r="H227" s="713"/>
      <c r="I227" s="713"/>
      <c r="J227" s="713"/>
      <c r="K227" s="713"/>
      <c r="L227" s="713"/>
      <c r="M227" s="713"/>
      <c r="N227" s="713"/>
      <c r="O227" s="713"/>
      <c r="P227" s="713"/>
      <c r="Q227" s="713"/>
      <c r="R227" s="713"/>
      <c r="S227" s="713"/>
      <c r="T227" s="713"/>
      <c r="AF227" s="171"/>
      <c r="AQ227" s="165">
        <f t="shared" si="73"/>
        <v>17</v>
      </c>
      <c r="AR227" s="165">
        <f t="shared" si="74"/>
        <v>0</v>
      </c>
      <c r="AS227" s="165">
        <v>68</v>
      </c>
      <c r="AT227" s="165" t="str">
        <f t="shared" si="72"/>
        <v/>
      </c>
      <c r="AU227" s="276">
        <f t="shared" si="75"/>
        <v>0</v>
      </c>
      <c r="AV227" s="276">
        <f>IF(AU227=0,0,COUNTIF(AV$160:$AV226,"&gt;0")+1)</f>
        <v>0</v>
      </c>
      <c r="AW227" s="165" t="str">
        <f t="shared" si="49"/>
        <v/>
      </c>
      <c r="AX227" s="165" t="str">
        <f t="shared" si="76"/>
        <v/>
      </c>
      <c r="AY227" s="165" t="str">
        <f>IFERROR(INDEX(D041_ClassFeatures!$L$2:$L$343,MATCH(C_Input!$AW227,D041_ClassFeatures!$B$2:$B$343,0),1),"")</f>
        <v/>
      </c>
      <c r="AZ227" s="165" t="str">
        <f>IFERROR(INDEX(D041_ClassFeatures!$L$2:$L$343,MATCH(C_Input!$AW227,D041_ClassFeatures!$B$2:$B$343,0),1),"")</f>
        <v/>
      </c>
      <c r="BA227" s="165">
        <f t="shared" si="77"/>
        <v>0</v>
      </c>
      <c r="BB227" s="165" t="str">
        <f t="array" ref="BB227">IFERROR(INDEX(D041_ClassFeatures!$B$2:$B$556,MATCH(C_Input!AW227&amp;INDEX(C_Variables!$O$4:$O$9,MATCH(INDEX($AR$160:$AR$239,MATCH(AW227,$AT$160:$AT$239,0),1),C_Variables!$M$4:$M$9,0),1),D041_ClassFeatures!$J$2:$J$556&amp;D041_ClassFeatures!$I$2:$I$556,0),1),"")</f>
        <v/>
      </c>
      <c r="BC227" s="165" t="str">
        <f t="shared" si="78"/>
        <v/>
      </c>
      <c r="BD227" s="165" t="str">
        <f>IFERROR(INDEX(D041_ClassFeatures!$C$2:$C$546,MATCH(C_Input!BC227,D041_ClassFeatures!$B$2:$B$546,0),1),"")</f>
        <v/>
      </c>
      <c r="BE227" s="165" t="str">
        <f>IFERROR(INDEX(D041_ClassFeatures!$D$2:$D$546,MATCH(C_Input!BC227,D041_ClassFeatures!$B$2:$B$546,0),1),"")</f>
        <v/>
      </c>
      <c r="BF227" s="165" t="str">
        <f t="shared" si="79"/>
        <v/>
      </c>
      <c r="BG227" s="202">
        <v>1</v>
      </c>
      <c r="BH227" s="165" t="str">
        <f t="shared" si="80"/>
        <v/>
      </c>
      <c r="BI227" s="165" t="str">
        <f t="shared" si="81"/>
        <v/>
      </c>
      <c r="BJ227" s="165">
        <f>IF(BG227=0,0,COUNTIF(BJ$160:$BJ226,"&gt;0")+1)</f>
        <v>68</v>
      </c>
    </row>
    <row r="228" spans="1:62" ht="15.95" customHeight="1" outlineLevel="1" x14ac:dyDescent="0.3">
      <c r="A228" s="713"/>
      <c r="B228" s="713"/>
      <c r="C228" s="713"/>
      <c r="D228" s="713"/>
      <c r="E228" s="713"/>
      <c r="F228" s="713"/>
      <c r="G228" s="713"/>
      <c r="H228" s="713"/>
      <c r="I228" s="713"/>
      <c r="J228" s="713"/>
      <c r="K228" s="713"/>
      <c r="L228" s="713"/>
      <c r="M228" s="713"/>
      <c r="N228" s="713"/>
      <c r="O228" s="713"/>
      <c r="P228" s="713"/>
      <c r="Q228" s="713"/>
      <c r="R228" s="713"/>
      <c r="S228" s="713"/>
      <c r="T228" s="713"/>
      <c r="AF228" s="171"/>
      <c r="AQ228" s="165">
        <f t="shared" ref="AQ228" si="82">AQ227+1</f>
        <v>18</v>
      </c>
      <c r="AR228" s="165">
        <f t="shared" si="74"/>
        <v>0</v>
      </c>
      <c r="AS228" s="165">
        <v>69</v>
      </c>
      <c r="AT228" s="165" t="str">
        <f t="shared" si="72"/>
        <v/>
      </c>
      <c r="AU228" s="276">
        <f t="shared" si="75"/>
        <v>0</v>
      </c>
      <c r="AV228" s="276">
        <f>IF(AU228=0,0,COUNTIF(AV$160:$AV227,"&gt;0")+1)</f>
        <v>0</v>
      </c>
      <c r="AW228" s="165" t="str">
        <f t="shared" si="49"/>
        <v/>
      </c>
      <c r="AX228" s="165" t="str">
        <f t="shared" si="76"/>
        <v/>
      </c>
      <c r="AY228" s="165" t="str">
        <f>IFERROR(INDEX(D041_ClassFeatures!$L$2:$L$343,MATCH(C_Input!$AW228,D041_ClassFeatures!$B$2:$B$343,0),1),"")</f>
        <v/>
      </c>
      <c r="AZ228" s="165" t="str">
        <f>IFERROR(INDEX(D041_ClassFeatures!$L$2:$L$343,MATCH(C_Input!$AW228,D041_ClassFeatures!$B$2:$B$343,0),1),"")</f>
        <v/>
      </c>
      <c r="BA228" s="165">
        <f t="shared" si="77"/>
        <v>0</v>
      </c>
      <c r="BB228" s="165" t="str">
        <f t="array" ref="BB228">IFERROR(INDEX(D041_ClassFeatures!$B$2:$B$556,MATCH(C_Input!AW228&amp;INDEX(C_Variables!$O$4:$O$9,MATCH(INDEX($AR$160:$AR$239,MATCH(AW228,$AT$160:$AT$239,0),1),C_Variables!$M$4:$M$9,0),1),D041_ClassFeatures!$J$2:$J$556&amp;D041_ClassFeatures!$I$2:$I$556,0),1),"")</f>
        <v/>
      </c>
      <c r="BC228" s="165" t="str">
        <f t="shared" si="78"/>
        <v/>
      </c>
      <c r="BD228" s="165" t="str">
        <f>IFERROR(INDEX(D041_ClassFeatures!$C$2:$C$546,MATCH(C_Input!BC228,D041_ClassFeatures!$B$2:$B$546,0),1),"")</f>
        <v/>
      </c>
      <c r="BE228" s="165" t="str">
        <f>IFERROR(INDEX(D041_ClassFeatures!$D$2:$D$546,MATCH(C_Input!BC228,D041_ClassFeatures!$B$2:$B$546,0),1),"")</f>
        <v/>
      </c>
      <c r="BF228" s="165" t="str">
        <f t="shared" si="79"/>
        <v/>
      </c>
      <c r="BG228" s="202">
        <v>1</v>
      </c>
      <c r="BH228" s="165" t="str">
        <f t="shared" si="80"/>
        <v/>
      </c>
      <c r="BI228" s="165" t="str">
        <f t="shared" si="81"/>
        <v/>
      </c>
      <c r="BJ228" s="165">
        <f>IF(BG228=0,0,COUNTIF(BJ$160:$BJ227,"&gt;0")+1)</f>
        <v>69</v>
      </c>
    </row>
    <row r="229" spans="1:62" ht="15.95" customHeight="1" outlineLevel="1" x14ac:dyDescent="0.3">
      <c r="A229" s="713"/>
      <c r="B229" s="713"/>
      <c r="C229" s="713"/>
      <c r="D229" s="713"/>
      <c r="E229" s="713"/>
      <c r="F229" s="713"/>
      <c r="G229" s="713"/>
      <c r="H229" s="713"/>
      <c r="I229" s="713"/>
      <c r="J229" s="713"/>
      <c r="K229" s="713"/>
      <c r="L229" s="713"/>
      <c r="M229" s="713"/>
      <c r="N229" s="713"/>
      <c r="O229" s="713"/>
      <c r="P229" s="713"/>
      <c r="Q229" s="713"/>
      <c r="R229" s="713"/>
      <c r="S229" s="713"/>
      <c r="T229" s="713"/>
      <c r="AF229" s="171"/>
      <c r="AQ229" s="165">
        <f t="shared" ref="AQ229:AQ231" si="83">AQ228</f>
        <v>18</v>
      </c>
      <c r="AR229" s="165">
        <f t="shared" si="74"/>
        <v>0</v>
      </c>
      <c r="AS229" s="165">
        <v>70</v>
      </c>
      <c r="AT229" s="165">
        <f t="shared" si="72"/>
        <v>0</v>
      </c>
      <c r="AU229" s="276">
        <f t="shared" si="75"/>
        <v>0</v>
      </c>
      <c r="AV229" s="276">
        <f>IF(AU229=0,0,COUNTIF(AV$160:$AV228,"&gt;0")+1)</f>
        <v>0</v>
      </c>
      <c r="AW229" s="165" t="str">
        <f t="shared" si="49"/>
        <v/>
      </c>
      <c r="AX229" s="165" t="str">
        <f t="shared" si="76"/>
        <v/>
      </c>
      <c r="AY229" s="165" t="str">
        <f>IFERROR(INDEX(D041_ClassFeatures!$L$2:$L$343,MATCH(C_Input!$AW229,D041_ClassFeatures!$B$2:$B$343,0),1),"")</f>
        <v/>
      </c>
      <c r="AZ229" s="165" t="str">
        <f>IFERROR(INDEX(D041_ClassFeatures!$L$2:$L$343,MATCH(C_Input!$AW229,D041_ClassFeatures!$B$2:$B$343,0),1),"")</f>
        <v/>
      </c>
      <c r="BA229" s="165">
        <f t="shared" si="77"/>
        <v>0</v>
      </c>
      <c r="BB229" s="165" t="str">
        <f t="array" ref="BB229">IFERROR(INDEX(D041_ClassFeatures!$B$2:$B$556,MATCH(C_Input!AW229&amp;INDEX(C_Variables!$O$4:$O$9,MATCH(INDEX($AR$160:$AR$239,MATCH(AW229,$AT$160:$AT$239,0),1),C_Variables!$M$4:$M$9,0),1),D041_ClassFeatures!$J$2:$J$556&amp;D041_ClassFeatures!$I$2:$I$556,0),1),"")</f>
        <v/>
      </c>
      <c r="BC229" s="165" t="str">
        <f t="shared" si="78"/>
        <v/>
      </c>
      <c r="BD229" s="165" t="str">
        <f>IFERROR(INDEX(D041_ClassFeatures!$C$2:$C$546,MATCH(C_Input!BC229,D041_ClassFeatures!$B$2:$B$546,0),1),"")</f>
        <v/>
      </c>
      <c r="BE229" s="165" t="str">
        <f>IFERROR(INDEX(D041_ClassFeatures!$D$2:$D$546,MATCH(C_Input!BC229,D041_ClassFeatures!$B$2:$B$546,0),1),"")</f>
        <v/>
      </c>
      <c r="BF229" s="165" t="str">
        <f t="shared" si="79"/>
        <v/>
      </c>
      <c r="BG229" s="202">
        <v>1</v>
      </c>
      <c r="BH229" s="165" t="str">
        <f t="shared" si="80"/>
        <v/>
      </c>
      <c r="BI229" s="165" t="str">
        <f t="shared" si="81"/>
        <v/>
      </c>
      <c r="BJ229" s="165">
        <f>IF(BG229=0,0,COUNTIF(BJ$160:$BJ228,"&gt;0")+1)</f>
        <v>70</v>
      </c>
    </row>
    <row r="230" spans="1:62" ht="15.95" customHeight="1" outlineLevel="1" x14ac:dyDescent="0.3">
      <c r="A230" s="713"/>
      <c r="B230" s="713"/>
      <c r="C230" s="713"/>
      <c r="D230" s="713"/>
      <c r="E230" s="713"/>
      <c r="F230" s="713"/>
      <c r="G230" s="713"/>
      <c r="H230" s="713"/>
      <c r="I230" s="713"/>
      <c r="J230" s="713"/>
      <c r="K230" s="713"/>
      <c r="L230" s="713"/>
      <c r="M230" s="713"/>
      <c r="N230" s="713"/>
      <c r="O230" s="713"/>
      <c r="P230" s="713"/>
      <c r="Q230" s="713"/>
      <c r="R230" s="713"/>
      <c r="S230" s="713"/>
      <c r="T230" s="713"/>
      <c r="AF230" s="171"/>
      <c r="AQ230" s="165">
        <f t="shared" si="83"/>
        <v>18</v>
      </c>
      <c r="AR230" s="165">
        <f t="shared" si="74"/>
        <v>0</v>
      </c>
      <c r="AS230" s="165">
        <v>71</v>
      </c>
      <c r="AT230" s="165" t="str">
        <f t="shared" si="72"/>
        <v/>
      </c>
      <c r="AU230" s="276">
        <f t="shared" si="75"/>
        <v>0</v>
      </c>
      <c r="AV230" s="276">
        <f>IF(AU230=0,0,COUNTIF(AV$160:$AV229,"&gt;0")+1)</f>
        <v>0</v>
      </c>
      <c r="AW230" s="165" t="str">
        <f t="shared" si="49"/>
        <v/>
      </c>
      <c r="AX230" s="165" t="str">
        <f t="shared" si="76"/>
        <v/>
      </c>
      <c r="AY230" s="165" t="str">
        <f>IFERROR(INDEX(D041_ClassFeatures!$L$2:$L$343,MATCH(C_Input!$AW230,D041_ClassFeatures!$B$2:$B$343,0),1),"")</f>
        <v/>
      </c>
      <c r="AZ230" s="165" t="str">
        <f>IFERROR(INDEX(D041_ClassFeatures!$L$2:$L$343,MATCH(C_Input!$AW230,D041_ClassFeatures!$B$2:$B$343,0),1),"")</f>
        <v/>
      </c>
      <c r="BA230" s="165">
        <f t="shared" si="77"/>
        <v>0</v>
      </c>
      <c r="BB230" s="165" t="str">
        <f t="array" ref="BB230">IFERROR(INDEX(D041_ClassFeatures!$B$2:$B$556,MATCH(C_Input!AW230&amp;INDEX(C_Variables!$O$4:$O$9,MATCH(INDEX($AR$160:$AR$239,MATCH(AW230,$AT$160:$AT$239,0),1),C_Variables!$M$4:$M$9,0),1),D041_ClassFeatures!$J$2:$J$556&amp;D041_ClassFeatures!$I$2:$I$556,0),1),"")</f>
        <v/>
      </c>
      <c r="BC230" s="165" t="str">
        <f t="shared" si="78"/>
        <v/>
      </c>
      <c r="BD230" s="165" t="str">
        <f>IFERROR(INDEX(D041_ClassFeatures!$C$2:$C$546,MATCH(C_Input!BC230,D041_ClassFeatures!$B$2:$B$546,0),1),"")</f>
        <v/>
      </c>
      <c r="BE230" s="165" t="str">
        <f>IFERROR(INDEX(D041_ClassFeatures!$D$2:$D$546,MATCH(C_Input!BC230,D041_ClassFeatures!$B$2:$B$546,0),1),"")</f>
        <v/>
      </c>
      <c r="BF230" s="165" t="str">
        <f t="shared" si="79"/>
        <v/>
      </c>
      <c r="BG230" s="202">
        <v>1</v>
      </c>
      <c r="BH230" s="165" t="str">
        <f t="shared" si="80"/>
        <v/>
      </c>
      <c r="BI230" s="165" t="str">
        <f t="shared" si="81"/>
        <v/>
      </c>
      <c r="BJ230" s="165">
        <f>IF(BG230=0,0,COUNTIF(BJ$160:$BJ229,"&gt;0")+1)</f>
        <v>71</v>
      </c>
    </row>
    <row r="231" spans="1:62" ht="15.95" customHeight="1" x14ac:dyDescent="0.3">
      <c r="A231" s="713"/>
      <c r="B231" s="713"/>
      <c r="C231" s="713"/>
      <c r="D231" s="713"/>
      <c r="E231" s="713"/>
      <c r="F231" s="713"/>
      <c r="G231" s="713"/>
      <c r="H231" s="713"/>
      <c r="I231" s="713"/>
      <c r="J231" s="713"/>
      <c r="K231" s="713"/>
      <c r="L231" s="713"/>
      <c r="M231" s="713"/>
      <c r="N231" s="713"/>
      <c r="O231" s="713"/>
      <c r="P231" s="713"/>
      <c r="Q231" s="713"/>
      <c r="R231" s="713"/>
      <c r="S231" s="713"/>
      <c r="T231" s="713"/>
      <c r="AF231" s="171"/>
      <c r="AQ231" s="165">
        <f t="shared" si="83"/>
        <v>18</v>
      </c>
      <c r="AR231" s="165">
        <f t="shared" si="74"/>
        <v>0</v>
      </c>
      <c r="AS231" s="165">
        <v>72</v>
      </c>
      <c r="AT231" s="165" t="str">
        <f t="shared" si="72"/>
        <v/>
      </c>
      <c r="AU231" s="276">
        <f t="shared" si="75"/>
        <v>0</v>
      </c>
      <c r="AV231" s="276">
        <f>IF(AU231=0,0,COUNTIF(AV$160:$AV230,"&gt;0")+1)</f>
        <v>0</v>
      </c>
      <c r="AW231" s="165" t="str">
        <f t="shared" si="49"/>
        <v/>
      </c>
      <c r="AX231" s="165" t="str">
        <f t="shared" si="76"/>
        <v/>
      </c>
      <c r="AY231" s="165" t="str">
        <f>IFERROR(INDEX(D041_ClassFeatures!$L$2:$L$343,MATCH(C_Input!$AW231,D041_ClassFeatures!$B$2:$B$343,0),1),"")</f>
        <v/>
      </c>
      <c r="AZ231" s="165" t="str">
        <f>IFERROR(INDEX(D041_ClassFeatures!$L$2:$L$343,MATCH(C_Input!$AW231,D041_ClassFeatures!$B$2:$B$343,0),1),"")</f>
        <v/>
      </c>
      <c r="BA231" s="165">
        <f t="shared" si="77"/>
        <v>0</v>
      </c>
      <c r="BB231" s="165" t="str">
        <f t="array" ref="BB231">IFERROR(INDEX(D041_ClassFeatures!$B$2:$B$556,MATCH(C_Input!AW231&amp;INDEX(C_Variables!$O$4:$O$9,MATCH(INDEX($AR$160:$AR$239,MATCH(AW231,$AT$160:$AT$239,0),1),C_Variables!$M$4:$M$9,0),1),D041_ClassFeatures!$J$2:$J$556&amp;D041_ClassFeatures!$I$2:$I$556,0),1),"")</f>
        <v/>
      </c>
      <c r="BC231" s="165" t="str">
        <f t="shared" si="78"/>
        <v/>
      </c>
      <c r="BD231" s="165" t="str">
        <f>IFERROR(INDEX(D041_ClassFeatures!$C$2:$C$546,MATCH(C_Input!BC231,D041_ClassFeatures!$B$2:$B$546,0),1),"")</f>
        <v/>
      </c>
      <c r="BE231" s="165" t="str">
        <f>IFERROR(INDEX(D041_ClassFeatures!$D$2:$D$546,MATCH(C_Input!BC231,D041_ClassFeatures!$B$2:$B$546,0),1),"")</f>
        <v/>
      </c>
      <c r="BF231" s="165" t="str">
        <f t="shared" si="79"/>
        <v/>
      </c>
      <c r="BG231" s="202">
        <v>1</v>
      </c>
      <c r="BH231" s="165" t="str">
        <f t="shared" si="80"/>
        <v/>
      </c>
      <c r="BI231" s="165" t="str">
        <f t="shared" si="81"/>
        <v/>
      </c>
      <c r="BJ231" s="165">
        <f>IF(BG231=0,0,COUNTIF(BJ$160:$BJ230,"&gt;0")+1)</f>
        <v>72</v>
      </c>
    </row>
    <row r="232" spans="1:62" ht="15.95" customHeight="1" x14ac:dyDescent="0.3">
      <c r="A232" s="713"/>
      <c r="B232" s="713"/>
      <c r="C232" s="713"/>
      <c r="D232" s="713"/>
      <c r="E232" s="713"/>
      <c r="F232" s="713"/>
      <c r="G232" s="713"/>
      <c r="H232" s="713"/>
      <c r="I232" s="713"/>
      <c r="J232" s="713"/>
      <c r="K232" s="713"/>
      <c r="L232" s="713"/>
      <c r="M232" s="713"/>
      <c r="N232" s="713"/>
      <c r="O232" s="713"/>
      <c r="P232" s="713"/>
      <c r="Q232" s="713"/>
      <c r="R232" s="713"/>
      <c r="S232" s="713"/>
      <c r="T232" s="713"/>
      <c r="AF232" s="171"/>
      <c r="AQ232" s="165">
        <f t="shared" ref="AQ232" si="84">AQ231+1</f>
        <v>19</v>
      </c>
      <c r="AR232" s="165">
        <f t="shared" si="74"/>
        <v>0</v>
      </c>
      <c r="AS232" s="165">
        <v>73</v>
      </c>
      <c r="AT232" s="165" t="str">
        <f t="shared" si="72"/>
        <v/>
      </c>
      <c r="AU232" s="276">
        <f t="shared" si="75"/>
        <v>0</v>
      </c>
      <c r="AV232" s="276">
        <f>IF(AU232=0,0,COUNTIF(AV$160:$AV231,"&gt;0")+1)</f>
        <v>0</v>
      </c>
      <c r="AW232" s="165" t="str">
        <f t="shared" si="49"/>
        <v/>
      </c>
      <c r="AX232" s="165" t="str">
        <f t="shared" si="76"/>
        <v/>
      </c>
      <c r="AY232" s="165" t="str">
        <f>IFERROR(INDEX(D041_ClassFeatures!$L$2:$L$343,MATCH(C_Input!$AW232,D041_ClassFeatures!$B$2:$B$343,0),1),"")</f>
        <v/>
      </c>
      <c r="AZ232" s="165" t="str">
        <f>IFERROR(INDEX(D041_ClassFeatures!$L$2:$L$343,MATCH(C_Input!$AW232,D041_ClassFeatures!$B$2:$B$343,0),1),"")</f>
        <v/>
      </c>
      <c r="BA232" s="165">
        <f t="shared" si="77"/>
        <v>0</v>
      </c>
      <c r="BB232" s="165" t="str">
        <f t="array" ref="BB232">IFERROR(INDEX(D041_ClassFeatures!$B$2:$B$556,MATCH(C_Input!AW232&amp;INDEX(C_Variables!$O$4:$O$9,MATCH(INDEX($AR$160:$AR$239,MATCH(AW232,$AT$160:$AT$239,0),1),C_Variables!$M$4:$M$9,0),1),D041_ClassFeatures!$J$2:$J$556&amp;D041_ClassFeatures!$I$2:$I$556,0),1),"")</f>
        <v/>
      </c>
      <c r="BC232" s="165" t="str">
        <f t="shared" si="78"/>
        <v/>
      </c>
      <c r="BD232" s="165" t="str">
        <f>IFERROR(INDEX(D041_ClassFeatures!$C$2:$C$546,MATCH(C_Input!BC232,D041_ClassFeatures!$B$2:$B$546,0),1),"")</f>
        <v/>
      </c>
      <c r="BE232" s="165" t="str">
        <f>IFERROR(INDEX(D041_ClassFeatures!$D$2:$D$546,MATCH(C_Input!BC232,D041_ClassFeatures!$B$2:$B$546,0),1),"")</f>
        <v/>
      </c>
      <c r="BF232" s="165" t="str">
        <f t="shared" si="79"/>
        <v/>
      </c>
      <c r="BG232" s="202">
        <v>1</v>
      </c>
      <c r="BH232" s="165" t="str">
        <f t="shared" si="80"/>
        <v/>
      </c>
      <c r="BI232" s="165" t="str">
        <f t="shared" si="81"/>
        <v/>
      </c>
      <c r="BJ232" s="165">
        <f>IF(BG232=0,0,COUNTIF(BJ$160:$BJ231,"&gt;0")+1)</f>
        <v>73</v>
      </c>
    </row>
    <row r="233" spans="1:62" ht="15.95" customHeight="1" outlineLevel="1" x14ac:dyDescent="0.3">
      <c r="A233" s="713"/>
      <c r="B233" s="713"/>
      <c r="C233" s="713"/>
      <c r="D233" s="713"/>
      <c r="E233" s="713"/>
      <c r="F233" s="713"/>
      <c r="G233" s="713"/>
      <c r="H233" s="713"/>
      <c r="I233" s="713"/>
      <c r="J233" s="713"/>
      <c r="K233" s="713"/>
      <c r="L233" s="713"/>
      <c r="M233" s="713"/>
      <c r="N233" s="713"/>
      <c r="O233" s="713"/>
      <c r="P233" s="713"/>
      <c r="Q233" s="713"/>
      <c r="R233" s="713"/>
      <c r="S233" s="713"/>
      <c r="T233" s="713"/>
      <c r="AF233" s="171"/>
      <c r="AQ233" s="165">
        <f t="shared" ref="AQ233:AQ235" si="85">AQ232</f>
        <v>19</v>
      </c>
      <c r="AR233" s="165">
        <f t="shared" si="74"/>
        <v>0</v>
      </c>
      <c r="AS233" s="165">
        <v>74</v>
      </c>
      <c r="AT233" s="165">
        <f t="shared" si="72"/>
        <v>0</v>
      </c>
      <c r="AU233" s="276">
        <f t="shared" si="75"/>
        <v>0</v>
      </c>
      <c r="AV233" s="276">
        <f>IF(AU233=0,0,COUNTIF(AV$160:$AV232,"&gt;0")+1)</f>
        <v>0</v>
      </c>
      <c r="AW233" s="165" t="str">
        <f t="shared" si="49"/>
        <v/>
      </c>
      <c r="AX233" s="165" t="str">
        <f t="shared" si="76"/>
        <v/>
      </c>
      <c r="AY233" s="165" t="str">
        <f>IFERROR(INDEX(D041_ClassFeatures!$L$2:$L$343,MATCH(C_Input!$AW233,D041_ClassFeatures!$B$2:$B$343,0),1),"")</f>
        <v/>
      </c>
      <c r="AZ233" s="165" t="str">
        <f>IFERROR(INDEX(D041_ClassFeatures!$L$2:$L$343,MATCH(C_Input!$AW233,D041_ClassFeatures!$B$2:$B$343,0),1),"")</f>
        <v/>
      </c>
      <c r="BA233" s="165">
        <f t="shared" si="77"/>
        <v>0</v>
      </c>
      <c r="BB233" s="165" t="str">
        <f t="array" ref="BB233">IFERROR(INDEX(D041_ClassFeatures!$B$2:$B$556,MATCH(C_Input!AW233&amp;INDEX(C_Variables!$O$4:$O$9,MATCH(INDEX($AR$160:$AR$239,MATCH(AW233,$AT$160:$AT$239,0),1),C_Variables!$M$4:$M$9,0),1),D041_ClassFeatures!$J$2:$J$556&amp;D041_ClassFeatures!$I$2:$I$556,0),1),"")</f>
        <v/>
      </c>
      <c r="BC233" s="165" t="str">
        <f t="shared" si="78"/>
        <v/>
      </c>
      <c r="BD233" s="165" t="str">
        <f>IFERROR(INDEX(D041_ClassFeatures!$C$2:$C$546,MATCH(C_Input!BC233,D041_ClassFeatures!$B$2:$B$546,0),1),"")</f>
        <v/>
      </c>
      <c r="BE233" s="165" t="str">
        <f>IFERROR(INDEX(D041_ClassFeatures!$D$2:$D$546,MATCH(C_Input!BC233,D041_ClassFeatures!$B$2:$B$546,0),1),"")</f>
        <v/>
      </c>
      <c r="BF233" s="165" t="str">
        <f t="shared" si="79"/>
        <v/>
      </c>
      <c r="BG233" s="202">
        <v>1</v>
      </c>
      <c r="BH233" s="165" t="str">
        <f t="shared" si="80"/>
        <v/>
      </c>
      <c r="BI233" s="165" t="str">
        <f t="shared" si="81"/>
        <v/>
      </c>
      <c r="BJ233" s="165">
        <f>IF(BG233=0,0,COUNTIF(BJ$160:$BJ232,"&gt;0")+1)</f>
        <v>74</v>
      </c>
    </row>
    <row r="234" spans="1:62" ht="15.95" customHeight="1" outlineLevel="1" x14ac:dyDescent="0.3">
      <c r="A234" s="713"/>
      <c r="B234" s="713"/>
      <c r="C234" s="713"/>
      <c r="D234" s="713"/>
      <c r="E234" s="713"/>
      <c r="F234" s="713"/>
      <c r="G234" s="713"/>
      <c r="H234" s="713"/>
      <c r="I234" s="713"/>
      <c r="J234" s="713"/>
      <c r="K234" s="713"/>
      <c r="L234" s="713"/>
      <c r="M234" s="713"/>
      <c r="N234" s="713"/>
      <c r="O234" s="713"/>
      <c r="P234" s="713"/>
      <c r="Q234" s="713"/>
      <c r="R234" s="713"/>
      <c r="S234" s="713"/>
      <c r="T234" s="713"/>
      <c r="AF234" s="171"/>
      <c r="AQ234" s="165">
        <f t="shared" si="85"/>
        <v>19</v>
      </c>
      <c r="AR234" s="165">
        <f t="shared" si="74"/>
        <v>0</v>
      </c>
      <c r="AS234" s="165">
        <v>75</v>
      </c>
      <c r="AT234" s="165" t="str">
        <f t="shared" si="72"/>
        <v/>
      </c>
      <c r="AU234" s="276">
        <f t="shared" si="75"/>
        <v>0</v>
      </c>
      <c r="AV234" s="276">
        <f>IF(AU234=0,0,COUNTIF(AV$160:$AV233,"&gt;0")+1)</f>
        <v>0</v>
      </c>
      <c r="AW234" s="165" t="str">
        <f t="shared" si="49"/>
        <v/>
      </c>
      <c r="AX234" s="165" t="str">
        <f t="shared" si="76"/>
        <v/>
      </c>
      <c r="AY234" s="165" t="str">
        <f>IFERROR(INDEX(D041_ClassFeatures!$L$2:$L$343,MATCH(C_Input!$AW234,D041_ClassFeatures!$B$2:$B$343,0),1),"")</f>
        <v/>
      </c>
      <c r="AZ234" s="165" t="str">
        <f>IFERROR(INDEX(D041_ClassFeatures!$L$2:$L$343,MATCH(C_Input!$AW234,D041_ClassFeatures!$B$2:$B$343,0),1),"")</f>
        <v/>
      </c>
      <c r="BA234" s="165">
        <f t="shared" si="77"/>
        <v>0</v>
      </c>
      <c r="BB234" s="165" t="str">
        <f t="array" ref="BB234">IFERROR(INDEX(D041_ClassFeatures!$B$2:$B$556,MATCH(C_Input!AW234&amp;INDEX(C_Variables!$O$4:$O$9,MATCH(INDEX($AR$160:$AR$239,MATCH(AW234,$AT$160:$AT$239,0),1),C_Variables!$M$4:$M$9,0),1),D041_ClassFeatures!$J$2:$J$556&amp;D041_ClassFeatures!$I$2:$I$556,0),1),"")</f>
        <v/>
      </c>
      <c r="BC234" s="165" t="str">
        <f t="shared" si="78"/>
        <v/>
      </c>
      <c r="BD234" s="165" t="str">
        <f>IFERROR(INDEX(D041_ClassFeatures!$C$2:$C$546,MATCH(C_Input!BC234,D041_ClassFeatures!$B$2:$B$546,0),1),"")</f>
        <v/>
      </c>
      <c r="BE234" s="165" t="str">
        <f>IFERROR(INDEX(D041_ClassFeatures!$D$2:$D$546,MATCH(C_Input!BC234,D041_ClassFeatures!$B$2:$B$546,0),1),"")</f>
        <v/>
      </c>
      <c r="BF234" s="165" t="str">
        <f t="shared" si="79"/>
        <v/>
      </c>
      <c r="BG234" s="202">
        <v>1</v>
      </c>
      <c r="BH234" s="165" t="str">
        <f t="shared" si="80"/>
        <v/>
      </c>
      <c r="BI234" s="165" t="str">
        <f t="shared" si="81"/>
        <v/>
      </c>
      <c r="BJ234" s="165">
        <f>IF(BG234=0,0,COUNTIF(BJ$160:$BJ233,"&gt;0")+1)</f>
        <v>75</v>
      </c>
    </row>
    <row r="235" spans="1:62" ht="15.95" customHeight="1" outlineLevel="1" x14ac:dyDescent="0.3">
      <c r="A235" s="713"/>
      <c r="B235" s="713"/>
      <c r="C235" s="713"/>
      <c r="D235" s="713"/>
      <c r="E235" s="713"/>
      <c r="F235" s="713"/>
      <c r="G235" s="713"/>
      <c r="H235" s="713"/>
      <c r="I235" s="713"/>
      <c r="J235" s="713"/>
      <c r="K235" s="713"/>
      <c r="L235" s="713"/>
      <c r="M235" s="713"/>
      <c r="N235" s="713"/>
      <c r="O235" s="713"/>
      <c r="P235" s="713"/>
      <c r="Q235" s="713"/>
      <c r="R235" s="713"/>
      <c r="S235" s="713"/>
      <c r="T235" s="713"/>
      <c r="AF235" s="171"/>
      <c r="AQ235" s="165">
        <f t="shared" si="85"/>
        <v>19</v>
      </c>
      <c r="AR235" s="165">
        <f t="shared" si="74"/>
        <v>0</v>
      </c>
      <c r="AS235" s="165">
        <v>76</v>
      </c>
      <c r="AT235" s="165" t="str">
        <f t="shared" si="72"/>
        <v/>
      </c>
      <c r="AU235" s="276">
        <f t="shared" si="75"/>
        <v>0</v>
      </c>
      <c r="AV235" s="276">
        <f>IF(AU235=0,0,COUNTIF(AV$160:$AV234,"&gt;0")+1)</f>
        <v>0</v>
      </c>
      <c r="AW235" s="165" t="str">
        <f t="shared" si="49"/>
        <v/>
      </c>
      <c r="AX235" s="165" t="str">
        <f t="shared" si="76"/>
        <v/>
      </c>
      <c r="AY235" s="165" t="str">
        <f>IFERROR(INDEX(D041_ClassFeatures!$L$2:$L$343,MATCH(C_Input!$AW235,D041_ClassFeatures!$B$2:$B$343,0),1),"")</f>
        <v/>
      </c>
      <c r="AZ235" s="165" t="str">
        <f>IFERROR(INDEX(D041_ClassFeatures!$L$2:$L$343,MATCH(C_Input!$AW235,D041_ClassFeatures!$B$2:$B$343,0),1),"")</f>
        <v/>
      </c>
      <c r="BA235" s="165">
        <f t="shared" si="77"/>
        <v>0</v>
      </c>
      <c r="BB235" s="165" t="str">
        <f t="array" ref="BB235">IFERROR(INDEX(D041_ClassFeatures!$B$2:$B$556,MATCH(C_Input!AW235&amp;INDEX(C_Variables!$O$4:$O$9,MATCH(INDEX($AR$160:$AR$239,MATCH(AW235,$AT$160:$AT$239,0),1),C_Variables!$M$4:$M$9,0),1),D041_ClassFeatures!$J$2:$J$556&amp;D041_ClassFeatures!$I$2:$I$556,0),1),"")</f>
        <v/>
      </c>
      <c r="BC235" s="165" t="str">
        <f t="shared" si="78"/>
        <v/>
      </c>
      <c r="BD235" s="165" t="str">
        <f>IFERROR(INDEX(D041_ClassFeatures!$C$2:$C$546,MATCH(C_Input!BC235,D041_ClassFeatures!$B$2:$B$546,0),1),"")</f>
        <v/>
      </c>
      <c r="BE235" s="165" t="str">
        <f>IFERROR(INDEX(D041_ClassFeatures!$D$2:$D$546,MATCH(C_Input!BC235,D041_ClassFeatures!$B$2:$B$546,0),1),"")</f>
        <v/>
      </c>
      <c r="BF235" s="165" t="str">
        <f t="shared" si="79"/>
        <v/>
      </c>
      <c r="BG235" s="202">
        <v>1</v>
      </c>
      <c r="BH235" s="165" t="str">
        <f t="shared" si="80"/>
        <v/>
      </c>
      <c r="BI235" s="165" t="str">
        <f t="shared" si="81"/>
        <v/>
      </c>
      <c r="BJ235" s="165">
        <f>IF(BG235=0,0,COUNTIF(BJ$160:$BJ234,"&gt;0")+1)</f>
        <v>76</v>
      </c>
    </row>
    <row r="236" spans="1:62" ht="15.95" customHeight="1" outlineLevel="1" x14ac:dyDescent="0.3">
      <c r="A236" s="713"/>
      <c r="B236" s="713"/>
      <c r="C236" s="713"/>
      <c r="D236" s="713"/>
      <c r="E236" s="713"/>
      <c r="F236" s="713"/>
      <c r="G236" s="713"/>
      <c r="H236" s="713"/>
      <c r="I236" s="713"/>
      <c r="J236" s="713"/>
      <c r="K236" s="713"/>
      <c r="L236" s="713"/>
      <c r="M236" s="713"/>
      <c r="N236" s="713"/>
      <c r="O236" s="713"/>
      <c r="P236" s="713"/>
      <c r="Q236" s="713"/>
      <c r="R236" s="713"/>
      <c r="S236" s="713"/>
      <c r="T236" s="713"/>
      <c r="AF236" s="171"/>
      <c r="AQ236" s="165">
        <f t="shared" ref="AQ236" si="86">AQ235+1</f>
        <v>20</v>
      </c>
      <c r="AR236" s="165">
        <f t="shared" si="74"/>
        <v>0</v>
      </c>
      <c r="AS236" s="165">
        <v>77</v>
      </c>
      <c r="AT236" s="165" t="str">
        <f t="shared" si="72"/>
        <v/>
      </c>
      <c r="AU236" s="276">
        <f t="shared" si="75"/>
        <v>0</v>
      </c>
      <c r="AV236" s="276">
        <f>IF(AU236=0,0,COUNTIF(AV$160:$AV235,"&gt;0")+1)</f>
        <v>0</v>
      </c>
      <c r="AW236" s="165" t="str">
        <f t="shared" si="49"/>
        <v/>
      </c>
      <c r="AX236" s="165" t="str">
        <f t="shared" si="76"/>
        <v/>
      </c>
      <c r="AY236" s="165" t="str">
        <f>IFERROR(INDEX(D041_ClassFeatures!$L$2:$L$343,MATCH(C_Input!$AW236,D041_ClassFeatures!$B$2:$B$343,0),1),"")</f>
        <v/>
      </c>
      <c r="AZ236" s="165" t="str">
        <f>IFERROR(INDEX(D041_ClassFeatures!$L$2:$L$343,MATCH(C_Input!$AW236,D041_ClassFeatures!$B$2:$B$343,0),1),"")</f>
        <v/>
      </c>
      <c r="BA236" s="165">
        <f t="shared" si="77"/>
        <v>0</v>
      </c>
      <c r="BB236" s="165" t="str">
        <f t="array" ref="BB236">IFERROR(INDEX(D041_ClassFeatures!$B$2:$B$556,MATCH(C_Input!AW236&amp;INDEX(C_Variables!$O$4:$O$9,MATCH(INDEX($AR$160:$AR$239,MATCH(AW236,$AT$160:$AT$239,0),1),C_Variables!$M$4:$M$9,0),1),D041_ClassFeatures!$J$2:$J$556&amp;D041_ClassFeatures!$I$2:$I$556,0),1),"")</f>
        <v/>
      </c>
      <c r="BC236" s="165" t="str">
        <f t="shared" si="78"/>
        <v/>
      </c>
      <c r="BD236" s="165" t="str">
        <f>IFERROR(INDEX(D041_ClassFeatures!$C$2:$C$546,MATCH(C_Input!BC236,D041_ClassFeatures!$B$2:$B$546,0),1),"")</f>
        <v/>
      </c>
      <c r="BE236" s="165" t="str">
        <f>IFERROR(INDEX(D041_ClassFeatures!$D$2:$D$546,MATCH(C_Input!BC236,D041_ClassFeatures!$B$2:$B$546,0),1),"")</f>
        <v/>
      </c>
      <c r="BF236" s="165" t="str">
        <f t="shared" si="79"/>
        <v/>
      </c>
      <c r="BG236" s="202">
        <v>1</v>
      </c>
      <c r="BH236" s="165" t="str">
        <f t="shared" si="80"/>
        <v/>
      </c>
      <c r="BI236" s="165" t="str">
        <f t="shared" si="81"/>
        <v/>
      </c>
      <c r="BJ236" s="165">
        <f>IF(BG236=0,0,COUNTIF(BJ$160:$BJ235,"&gt;0")+1)</f>
        <v>77</v>
      </c>
    </row>
    <row r="237" spans="1:62" ht="15.95" customHeight="1" outlineLevel="1" x14ac:dyDescent="0.3">
      <c r="A237" s="902" t="s">
        <v>4135</v>
      </c>
      <c r="B237" s="898"/>
      <c r="C237" s="898"/>
      <c r="D237" s="898"/>
      <c r="E237" s="898"/>
      <c r="F237" s="898"/>
      <c r="G237" s="898"/>
      <c r="H237" s="898"/>
      <c r="I237" s="898"/>
      <c r="J237" s="898"/>
      <c r="K237" s="898"/>
      <c r="L237" s="898"/>
      <c r="M237" s="898"/>
      <c r="N237" s="898"/>
      <c r="O237" s="898"/>
      <c r="P237" s="898"/>
      <c r="Q237" s="898"/>
      <c r="R237" s="898"/>
      <c r="S237" s="903"/>
      <c r="AF237" s="171"/>
      <c r="AQ237" s="165">
        <f t="shared" ref="AQ237:AQ239" si="87">AQ236</f>
        <v>20</v>
      </c>
      <c r="AR237" s="165">
        <f t="shared" si="74"/>
        <v>0</v>
      </c>
      <c r="AS237" s="165">
        <v>78</v>
      </c>
      <c r="AT237" s="165">
        <f t="shared" si="72"/>
        <v>0</v>
      </c>
      <c r="AU237" s="276">
        <f t="shared" si="75"/>
        <v>0</v>
      </c>
      <c r="AV237" s="276">
        <f>IF(AU237=0,0,COUNTIF(AV$160:$AV236,"&gt;0")+1)</f>
        <v>0</v>
      </c>
      <c r="AW237" s="165" t="str">
        <f t="shared" si="49"/>
        <v/>
      </c>
      <c r="AX237" s="165" t="str">
        <f t="shared" si="76"/>
        <v/>
      </c>
      <c r="AY237" s="165" t="str">
        <f>IFERROR(INDEX(D041_ClassFeatures!$L$2:$L$343,MATCH(C_Input!$AW237,D041_ClassFeatures!$B$2:$B$343,0),1),"")</f>
        <v/>
      </c>
      <c r="AZ237" s="165" t="str">
        <f>IFERROR(INDEX(D041_ClassFeatures!$L$2:$L$343,MATCH(C_Input!$AW237,D041_ClassFeatures!$B$2:$B$343,0),1),"")</f>
        <v/>
      </c>
      <c r="BA237" s="165">
        <f t="shared" si="77"/>
        <v>0</v>
      </c>
      <c r="BB237" s="165" t="str">
        <f t="array" ref="BB237">IFERROR(INDEX(D041_ClassFeatures!$B$2:$B$556,MATCH(C_Input!AW237&amp;INDEX(C_Variables!$O$4:$O$9,MATCH(INDEX($AR$160:$AR$239,MATCH(AW237,$AT$160:$AT$239,0),1),C_Variables!$M$4:$M$9,0),1),D041_ClassFeatures!$J$2:$J$556&amp;D041_ClassFeatures!$I$2:$I$556,0),1),"")</f>
        <v/>
      </c>
      <c r="BC237" s="165" t="str">
        <f t="shared" si="78"/>
        <v/>
      </c>
      <c r="BD237" s="165" t="str">
        <f>IFERROR(INDEX(D041_ClassFeatures!$C$2:$C$546,MATCH(C_Input!BC237,D041_ClassFeatures!$B$2:$B$546,0),1),"")</f>
        <v/>
      </c>
      <c r="BE237" s="165" t="str">
        <f>IFERROR(INDEX(D041_ClassFeatures!$D$2:$D$546,MATCH(C_Input!BC237,D041_ClassFeatures!$B$2:$B$546,0),1),"")</f>
        <v/>
      </c>
      <c r="BF237" s="165" t="str">
        <f t="shared" si="79"/>
        <v/>
      </c>
      <c r="BG237" s="202">
        <v>1</v>
      </c>
      <c r="BH237" s="165" t="str">
        <f t="shared" si="80"/>
        <v/>
      </c>
      <c r="BI237" s="165" t="str">
        <f t="shared" si="81"/>
        <v/>
      </c>
      <c r="BJ237" s="165">
        <f>IF(BG237=0,0,COUNTIF(BJ$160:$BJ236,"&gt;0")+1)</f>
        <v>78</v>
      </c>
    </row>
    <row r="238" spans="1:62" ht="15.95" customHeight="1" outlineLevel="1" x14ac:dyDescent="0.3">
      <c r="A238" s="902"/>
      <c r="B238" s="898"/>
      <c r="C238" s="898"/>
      <c r="D238" s="898"/>
      <c r="E238" s="898"/>
      <c r="F238" s="898"/>
      <c r="G238" s="898"/>
      <c r="H238" s="898"/>
      <c r="I238" s="898"/>
      <c r="J238" s="898"/>
      <c r="K238" s="898"/>
      <c r="L238" s="898"/>
      <c r="M238" s="898"/>
      <c r="N238" s="898"/>
      <c r="O238" s="898"/>
      <c r="P238" s="898"/>
      <c r="Q238" s="898"/>
      <c r="R238" s="898"/>
      <c r="S238" s="903"/>
      <c r="U238" s="152"/>
      <c r="V238" s="152"/>
      <c r="W238" s="152"/>
      <c r="X238" s="152"/>
      <c r="Y238" s="152"/>
      <c r="Z238" s="152"/>
      <c r="AA238" s="152"/>
      <c r="AB238" s="152"/>
      <c r="AC238" s="152"/>
      <c r="AD238" s="152"/>
      <c r="AF238" s="171"/>
      <c r="AQ238" s="165">
        <f t="shared" si="87"/>
        <v>20</v>
      </c>
      <c r="AR238" s="165">
        <f t="shared" si="74"/>
        <v>0</v>
      </c>
      <c r="AS238" s="165">
        <v>79</v>
      </c>
      <c r="AT238" s="165" t="str">
        <f t="shared" si="72"/>
        <v/>
      </c>
      <c r="AU238" s="276">
        <f t="shared" si="75"/>
        <v>0</v>
      </c>
      <c r="AV238" s="276">
        <f>IF(AU238=0,0,COUNTIF(AV$160:$AV237,"&gt;0")+1)</f>
        <v>0</v>
      </c>
      <c r="AW238" s="165" t="str">
        <f t="shared" si="49"/>
        <v/>
      </c>
      <c r="AX238" s="165" t="str">
        <f t="shared" si="76"/>
        <v/>
      </c>
      <c r="AY238" s="165" t="str">
        <f>IFERROR(INDEX(D041_ClassFeatures!$L$2:$L$343,MATCH(C_Input!$AW238,D041_ClassFeatures!$B$2:$B$343,0),1),"")</f>
        <v/>
      </c>
      <c r="AZ238" s="165" t="str">
        <f>IFERROR(INDEX(D041_ClassFeatures!$L$2:$L$343,MATCH(C_Input!$AW238,D041_ClassFeatures!$B$2:$B$343,0),1),"")</f>
        <v/>
      </c>
      <c r="BA238" s="165">
        <f t="shared" si="77"/>
        <v>0</v>
      </c>
      <c r="BB238" s="165" t="str">
        <f t="array" ref="BB238">IFERROR(INDEX(D041_ClassFeatures!$B$2:$B$556,MATCH(C_Input!AW238&amp;INDEX(C_Variables!$O$4:$O$9,MATCH(INDEX($AR$160:$AR$239,MATCH(AW238,$AT$160:$AT$239,0),1),C_Variables!$M$4:$M$9,0),1),D041_ClassFeatures!$J$2:$J$556&amp;D041_ClassFeatures!$I$2:$I$556,0),1),"")</f>
        <v/>
      </c>
      <c r="BC238" s="165" t="str">
        <f t="shared" si="78"/>
        <v/>
      </c>
      <c r="BD238" s="165" t="str">
        <f>IFERROR(INDEX(D041_ClassFeatures!$C$2:$C$546,MATCH(C_Input!BC238,D041_ClassFeatures!$B$2:$B$546,0),1),"")</f>
        <v/>
      </c>
      <c r="BE238" s="165" t="str">
        <f>IFERROR(INDEX(D041_ClassFeatures!$D$2:$D$546,MATCH(C_Input!BC238,D041_ClassFeatures!$B$2:$B$546,0),1),"")</f>
        <v/>
      </c>
      <c r="BF238" s="165" t="str">
        <f t="shared" si="79"/>
        <v/>
      </c>
      <c r="BG238" s="202">
        <v>1</v>
      </c>
      <c r="BH238" s="165" t="str">
        <f t="shared" si="80"/>
        <v/>
      </c>
      <c r="BI238" s="165" t="str">
        <f t="shared" si="81"/>
        <v/>
      </c>
      <c r="BJ238" s="165">
        <f>IF(BG238=0,0,COUNTIF(BJ$160:$BJ237,"&gt;0")+1)</f>
        <v>79</v>
      </c>
    </row>
    <row r="239" spans="1:62" ht="15.95" customHeight="1" outlineLevel="1" x14ac:dyDescent="0.3">
      <c r="A239" s="283"/>
      <c r="B239" s="283"/>
      <c r="C239" s="283"/>
      <c r="D239" s="283"/>
      <c r="E239" s="283"/>
      <c r="F239" s="283"/>
      <c r="G239" s="283"/>
      <c r="H239" s="283"/>
      <c r="I239" s="283"/>
      <c r="J239" s="283"/>
      <c r="K239" s="283"/>
      <c r="L239" s="283"/>
      <c r="M239" s="283"/>
      <c r="N239" s="283"/>
      <c r="O239" s="283"/>
      <c r="P239" s="283"/>
      <c r="Q239" s="283"/>
      <c r="R239" s="283"/>
      <c r="S239" s="283"/>
      <c r="U239" s="152"/>
      <c r="V239" s="152"/>
      <c r="W239" s="152"/>
      <c r="X239" s="152"/>
      <c r="Y239" s="152"/>
      <c r="Z239" s="152"/>
      <c r="AA239" s="152"/>
      <c r="AB239" s="152"/>
      <c r="AC239" s="152"/>
      <c r="AD239" s="152"/>
      <c r="AF239" s="171"/>
      <c r="AQ239" s="165">
        <f t="shared" si="87"/>
        <v>20</v>
      </c>
      <c r="AR239" s="165">
        <f t="shared" si="74"/>
        <v>0</v>
      </c>
      <c r="AS239" s="165">
        <v>80</v>
      </c>
      <c r="AT239" s="165" t="str">
        <f t="shared" si="72"/>
        <v/>
      </c>
      <c r="AU239" s="276">
        <f t="shared" si="75"/>
        <v>0</v>
      </c>
      <c r="AV239" s="276">
        <f>IF(AU239=0,0,COUNTIF(AV$160:$AV238,"&gt;0")+1)</f>
        <v>0</v>
      </c>
      <c r="AW239" s="165" t="str">
        <f t="shared" si="49"/>
        <v/>
      </c>
      <c r="AX239" s="165" t="str">
        <f t="shared" si="76"/>
        <v/>
      </c>
      <c r="AY239" s="165" t="str">
        <f>IFERROR(INDEX(D041_ClassFeatures!$L$2:$L$343,MATCH(C_Input!$AW239,D041_ClassFeatures!$B$2:$B$343,0),1),"")</f>
        <v/>
      </c>
      <c r="AZ239" s="165" t="str">
        <f>IFERROR(INDEX(D041_ClassFeatures!$L$2:$L$343,MATCH(C_Input!$AW239,D041_ClassFeatures!$B$2:$B$343,0),1),"")</f>
        <v/>
      </c>
      <c r="BA239" s="165">
        <f t="shared" si="77"/>
        <v>0</v>
      </c>
      <c r="BB239" s="165" t="str">
        <f t="array" ref="BB239">IFERROR(INDEX(D041_ClassFeatures!$B$2:$B$556,MATCH(C_Input!AW239&amp;INDEX(C_Variables!$O$4:$O$9,MATCH(INDEX($AR$160:$AR$239,MATCH(AW239,$AT$160:$AT$239,0),1),C_Variables!$M$4:$M$9,0),1),D041_ClassFeatures!$J$2:$J$556&amp;D041_ClassFeatures!$I$2:$I$556,0),1),"")</f>
        <v/>
      </c>
      <c r="BC239" s="165" t="str">
        <f t="shared" si="78"/>
        <v/>
      </c>
      <c r="BD239" s="165" t="str">
        <f>IFERROR(INDEX(D041_ClassFeatures!$C$2:$C$546,MATCH(C_Input!BC239,D041_ClassFeatures!$B$2:$B$546,0),1),"")</f>
        <v/>
      </c>
      <c r="BE239" s="165" t="str">
        <f>IFERROR(INDEX(D041_ClassFeatures!$D$2:$D$546,MATCH(C_Input!BC239,D041_ClassFeatures!$B$2:$B$546,0),1),"")</f>
        <v/>
      </c>
      <c r="BF239" s="165" t="str">
        <f t="shared" si="79"/>
        <v/>
      </c>
      <c r="BG239" s="202">
        <v>1</v>
      </c>
      <c r="BH239" s="165" t="str">
        <f t="shared" si="80"/>
        <v/>
      </c>
      <c r="BI239" s="165" t="str">
        <f t="shared" si="81"/>
        <v/>
      </c>
      <c r="BJ239" s="165">
        <f>IF(BG239=0,0,COUNTIF(BJ$160:$BJ238,"&gt;0")+1)</f>
        <v>80</v>
      </c>
    </row>
    <row r="240" spans="1:62" ht="15.95" customHeight="1" outlineLevel="1" x14ac:dyDescent="0.3">
      <c r="A240" s="715" t="s">
        <v>4177</v>
      </c>
      <c r="B240" s="715"/>
      <c r="C240" s="715"/>
      <c r="D240" s="715"/>
      <c r="E240" s="715"/>
      <c r="F240" s="714">
        <f>G240-COUNTA(C242:E273)</f>
        <v>0</v>
      </c>
      <c r="G240" s="923">
        <f>COUNTIF(C306:E345,"Ability Score Improvement")+COUNTIF(C346:E385,"Ability Score Improvement")+IF(SubRace="Human (Variant)",1,0)</f>
        <v>0</v>
      </c>
      <c r="H240" s="715" t="s">
        <v>4135</v>
      </c>
      <c r="I240" s="715"/>
      <c r="J240" s="714">
        <f>FeatsTotal-N240</f>
        <v>0</v>
      </c>
      <c r="K240" s="283"/>
      <c r="L240" s="715" t="s">
        <v>7160</v>
      </c>
      <c r="M240" s="715"/>
      <c r="N240" s="714">
        <f>COUNTIF(C242:E273,"Ability Score Improvement")</f>
        <v>0</v>
      </c>
      <c r="O240" s="283"/>
      <c r="P240" s="283"/>
      <c r="Q240" s="283"/>
      <c r="R240" s="283"/>
      <c r="S240" s="283"/>
      <c r="U240" s="152"/>
      <c r="V240" s="152"/>
      <c r="W240" s="152"/>
      <c r="X240" s="152"/>
      <c r="Y240" s="152"/>
      <c r="Z240" s="152"/>
      <c r="AA240" s="152"/>
      <c r="AB240" s="152"/>
      <c r="AC240" s="152"/>
      <c r="AD240" s="152"/>
      <c r="AF240" s="171"/>
    </row>
    <row r="241" spans="1:32" ht="15.95" customHeight="1" outlineLevel="1" x14ac:dyDescent="0.3">
      <c r="A241" s="715"/>
      <c r="B241" s="715"/>
      <c r="C241" s="715"/>
      <c r="D241" s="715"/>
      <c r="E241" s="715"/>
      <c r="F241" s="714"/>
      <c r="G241" s="923"/>
      <c r="H241" s="715"/>
      <c r="I241" s="715"/>
      <c r="J241" s="714"/>
      <c r="K241" s="283"/>
      <c r="L241" s="715"/>
      <c r="M241" s="715"/>
      <c r="N241" s="714"/>
      <c r="O241" s="283"/>
      <c r="P241" s="283"/>
      <c r="Q241" s="283"/>
      <c r="R241" s="283"/>
      <c r="S241" s="283"/>
      <c r="AC241" s="152"/>
      <c r="AD241" s="152"/>
      <c r="AF241" s="171"/>
    </row>
    <row r="242" spans="1:32" ht="15.95" customHeight="1" outlineLevel="1" x14ac:dyDescent="0.3">
      <c r="A242" s="717"/>
      <c r="B242" s="717"/>
      <c r="C242" s="905"/>
      <c r="D242" s="905"/>
      <c r="E242" s="905"/>
      <c r="F242" s="906" t="str">
        <f>IFERROR(INDEX(D05_Feats!$C$3:$C$450,MATCH(C_Input!C242,D05_Feats!$A$3:$A$450,0),1),"")</f>
        <v/>
      </c>
      <c r="G242" s="906"/>
      <c r="H242" s="906"/>
      <c r="I242" s="906"/>
      <c r="J242" s="906"/>
      <c r="K242" s="906"/>
      <c r="L242" s="906"/>
      <c r="M242" s="906"/>
      <c r="N242" s="906"/>
      <c r="O242" s="906"/>
      <c r="P242" s="906"/>
      <c r="Q242" s="906"/>
      <c r="R242" s="906"/>
      <c r="S242" s="906"/>
      <c r="AC242" s="152"/>
      <c r="AD242" s="152"/>
      <c r="AF242" s="171"/>
    </row>
    <row r="243" spans="1:32" ht="15.95" customHeight="1" outlineLevel="1" x14ac:dyDescent="0.3">
      <c r="A243" s="717"/>
      <c r="B243" s="717"/>
      <c r="C243" s="905"/>
      <c r="D243" s="905"/>
      <c r="E243" s="905"/>
      <c r="F243" s="906"/>
      <c r="G243" s="906"/>
      <c r="H243" s="906"/>
      <c r="I243" s="906"/>
      <c r="J243" s="906"/>
      <c r="K243" s="906"/>
      <c r="L243" s="906"/>
      <c r="M243" s="906"/>
      <c r="N243" s="906"/>
      <c r="O243" s="906"/>
      <c r="P243" s="906"/>
      <c r="Q243" s="906"/>
      <c r="R243" s="906"/>
      <c r="S243" s="906"/>
      <c r="AC243" s="152"/>
      <c r="AD243" s="152"/>
      <c r="AF243" s="171"/>
    </row>
    <row r="244" spans="1:32" ht="15.95" customHeight="1" outlineLevel="1" x14ac:dyDescent="0.3">
      <c r="A244" s="717"/>
      <c r="B244" s="717"/>
      <c r="C244" s="905"/>
      <c r="D244" s="905"/>
      <c r="E244" s="905"/>
      <c r="F244" s="906"/>
      <c r="G244" s="906"/>
      <c r="H244" s="906"/>
      <c r="I244" s="906"/>
      <c r="J244" s="906"/>
      <c r="K244" s="906"/>
      <c r="L244" s="906"/>
      <c r="M244" s="906"/>
      <c r="N244" s="906"/>
      <c r="O244" s="906"/>
      <c r="P244" s="906"/>
      <c r="Q244" s="906"/>
      <c r="R244" s="906"/>
      <c r="S244" s="906"/>
      <c r="AC244" s="152"/>
      <c r="AD244" s="152"/>
      <c r="AF244" s="171"/>
    </row>
    <row r="245" spans="1:32" ht="15.95" customHeight="1" outlineLevel="1" x14ac:dyDescent="0.3">
      <c r="A245" s="717"/>
      <c r="B245" s="717"/>
      <c r="C245" s="905"/>
      <c r="D245" s="905"/>
      <c r="E245" s="905"/>
      <c r="F245" s="906"/>
      <c r="G245" s="906"/>
      <c r="H245" s="906"/>
      <c r="I245" s="906"/>
      <c r="J245" s="906"/>
      <c r="K245" s="906"/>
      <c r="L245" s="906"/>
      <c r="M245" s="906"/>
      <c r="N245" s="906"/>
      <c r="O245" s="906"/>
      <c r="P245" s="906"/>
      <c r="Q245" s="906"/>
      <c r="R245" s="906"/>
      <c r="S245" s="906"/>
      <c r="AC245" s="152"/>
      <c r="AD245" s="152"/>
      <c r="AF245" s="171"/>
    </row>
    <row r="246" spans="1:32" ht="15.95" customHeight="1" outlineLevel="1" x14ac:dyDescent="0.3">
      <c r="A246" s="717"/>
      <c r="B246" s="717"/>
      <c r="C246" s="905"/>
      <c r="D246" s="905"/>
      <c r="E246" s="905"/>
      <c r="F246" s="777" t="str">
        <f>IFERROR(INDEX(D05_Feats!$C$3:$C$450,MATCH(C_Input!C246,D05_Feats!$A$3:$A$450,0),1),"")</f>
        <v/>
      </c>
      <c r="G246" s="777"/>
      <c r="H246" s="777"/>
      <c r="I246" s="777"/>
      <c r="J246" s="777"/>
      <c r="K246" s="777"/>
      <c r="L246" s="777"/>
      <c r="M246" s="777"/>
      <c r="N246" s="777"/>
      <c r="O246" s="777"/>
      <c r="P246" s="777"/>
      <c r="Q246" s="777"/>
      <c r="R246" s="777"/>
      <c r="S246" s="777"/>
      <c r="AC246" s="152"/>
      <c r="AD246" s="152"/>
      <c r="AF246" s="171"/>
    </row>
    <row r="247" spans="1:32" ht="15.95" customHeight="1" outlineLevel="1" x14ac:dyDescent="0.3">
      <c r="A247" s="717"/>
      <c r="B247" s="717"/>
      <c r="C247" s="905"/>
      <c r="D247" s="905"/>
      <c r="E247" s="905"/>
      <c r="F247" s="777"/>
      <c r="G247" s="777"/>
      <c r="H247" s="777"/>
      <c r="I247" s="777"/>
      <c r="J247" s="777"/>
      <c r="K247" s="777"/>
      <c r="L247" s="777"/>
      <c r="M247" s="777"/>
      <c r="N247" s="777"/>
      <c r="O247" s="777"/>
      <c r="P247" s="777"/>
      <c r="Q247" s="777"/>
      <c r="R247" s="777"/>
      <c r="S247" s="777"/>
      <c r="AC247" s="152"/>
      <c r="AD247" s="152"/>
      <c r="AF247" s="171"/>
    </row>
    <row r="248" spans="1:32" ht="15.95" customHeight="1" outlineLevel="1" x14ac:dyDescent="0.3">
      <c r="A248" s="717"/>
      <c r="B248" s="717"/>
      <c r="C248" s="905"/>
      <c r="D248" s="905"/>
      <c r="E248" s="905"/>
      <c r="F248" s="777"/>
      <c r="G248" s="777"/>
      <c r="H248" s="777"/>
      <c r="I248" s="777"/>
      <c r="J248" s="777"/>
      <c r="K248" s="777"/>
      <c r="L248" s="777"/>
      <c r="M248" s="777"/>
      <c r="N248" s="777"/>
      <c r="O248" s="777"/>
      <c r="P248" s="777"/>
      <c r="Q248" s="777"/>
      <c r="R248" s="777"/>
      <c r="S248" s="777"/>
      <c r="AC248" s="152"/>
      <c r="AD248" s="152"/>
      <c r="AF248" s="171"/>
    </row>
    <row r="249" spans="1:32" ht="15.95" customHeight="1" outlineLevel="1" x14ac:dyDescent="0.3">
      <c r="A249" s="717"/>
      <c r="B249" s="717"/>
      <c r="C249" s="905"/>
      <c r="D249" s="905"/>
      <c r="E249" s="905"/>
      <c r="F249" s="777"/>
      <c r="G249" s="777"/>
      <c r="H249" s="777"/>
      <c r="I249" s="777"/>
      <c r="J249" s="777"/>
      <c r="K249" s="777"/>
      <c r="L249" s="777"/>
      <c r="M249" s="777"/>
      <c r="N249" s="777"/>
      <c r="O249" s="777"/>
      <c r="P249" s="777"/>
      <c r="Q249" s="777"/>
      <c r="R249" s="777"/>
      <c r="S249" s="777"/>
      <c r="AC249" s="152"/>
      <c r="AD249" s="152"/>
      <c r="AF249" s="171"/>
    </row>
    <row r="250" spans="1:32" ht="15.95" customHeight="1" outlineLevel="1" x14ac:dyDescent="0.3">
      <c r="A250" s="717"/>
      <c r="B250" s="717"/>
      <c r="C250" s="905"/>
      <c r="D250" s="905"/>
      <c r="E250" s="905"/>
      <c r="F250" s="777" t="str">
        <f>IFERROR(INDEX(D05_Feats!$C$3:$C$450,MATCH(C_Input!C250,D05_Feats!$A$3:$A$450,0),1),"")</f>
        <v/>
      </c>
      <c r="G250" s="777"/>
      <c r="H250" s="777"/>
      <c r="I250" s="777"/>
      <c r="J250" s="777"/>
      <c r="K250" s="777"/>
      <c r="L250" s="777"/>
      <c r="M250" s="777"/>
      <c r="N250" s="777"/>
      <c r="O250" s="777"/>
      <c r="P250" s="777"/>
      <c r="Q250" s="777"/>
      <c r="R250" s="777"/>
      <c r="S250" s="777"/>
      <c r="AC250" s="152"/>
      <c r="AD250" s="152"/>
      <c r="AF250" s="171"/>
    </row>
    <row r="251" spans="1:32" ht="15.95" customHeight="1" outlineLevel="1" x14ac:dyDescent="0.3">
      <c r="A251" s="717"/>
      <c r="B251" s="717"/>
      <c r="C251" s="905"/>
      <c r="D251" s="905"/>
      <c r="E251" s="905"/>
      <c r="F251" s="777"/>
      <c r="G251" s="777"/>
      <c r="H251" s="777"/>
      <c r="I251" s="777"/>
      <c r="J251" s="777"/>
      <c r="K251" s="777"/>
      <c r="L251" s="777"/>
      <c r="M251" s="777"/>
      <c r="N251" s="777"/>
      <c r="O251" s="777"/>
      <c r="P251" s="777"/>
      <c r="Q251" s="777"/>
      <c r="R251" s="777"/>
      <c r="S251" s="777"/>
      <c r="U251" s="152"/>
      <c r="V251" s="152"/>
      <c r="W251" s="152"/>
      <c r="X251" s="152"/>
      <c r="Y251" s="152"/>
      <c r="Z251" s="152"/>
      <c r="AA251" s="152"/>
      <c r="AB251" s="152"/>
      <c r="AC251" s="152"/>
      <c r="AD251" s="152"/>
      <c r="AF251" s="171"/>
    </row>
    <row r="252" spans="1:32" ht="15.95" customHeight="1" outlineLevel="1" x14ac:dyDescent="0.3">
      <c r="A252" s="717"/>
      <c r="B252" s="717"/>
      <c r="C252" s="905"/>
      <c r="D252" s="905"/>
      <c r="E252" s="905"/>
      <c r="F252" s="777"/>
      <c r="G252" s="777"/>
      <c r="H252" s="777"/>
      <c r="I252" s="777"/>
      <c r="J252" s="777"/>
      <c r="K252" s="777"/>
      <c r="L252" s="777"/>
      <c r="M252" s="777"/>
      <c r="N252" s="777"/>
      <c r="O252" s="777"/>
      <c r="P252" s="777"/>
      <c r="Q252" s="777"/>
      <c r="R252" s="777"/>
      <c r="S252" s="777"/>
      <c r="U252" s="152"/>
      <c r="V252" s="152"/>
      <c r="W252" s="152"/>
      <c r="X252" s="152"/>
      <c r="Y252" s="152"/>
      <c r="Z252" s="152"/>
      <c r="AA252" s="152"/>
      <c r="AB252" s="152"/>
      <c r="AC252" s="152"/>
      <c r="AD252" s="152"/>
      <c r="AF252" s="171"/>
    </row>
    <row r="253" spans="1:32" ht="15.95" customHeight="1" outlineLevel="1" x14ac:dyDescent="0.3">
      <c r="A253" s="717"/>
      <c r="B253" s="717"/>
      <c r="C253" s="905"/>
      <c r="D253" s="905"/>
      <c r="E253" s="905"/>
      <c r="F253" s="777"/>
      <c r="G253" s="777"/>
      <c r="H253" s="777"/>
      <c r="I253" s="777"/>
      <c r="J253" s="777"/>
      <c r="K253" s="777"/>
      <c r="L253" s="777"/>
      <c r="M253" s="777"/>
      <c r="N253" s="777"/>
      <c r="O253" s="777"/>
      <c r="P253" s="777"/>
      <c r="Q253" s="777"/>
      <c r="R253" s="777"/>
      <c r="S253" s="777"/>
      <c r="U253" s="152"/>
      <c r="V253" s="152"/>
      <c r="W253" s="152"/>
      <c r="X253" s="152"/>
      <c r="Y253" s="152"/>
      <c r="Z253" s="152"/>
      <c r="AA253" s="152"/>
      <c r="AB253" s="152"/>
      <c r="AC253" s="152"/>
      <c r="AD253" s="152"/>
      <c r="AF253" s="171"/>
    </row>
    <row r="254" spans="1:32" ht="15.95" customHeight="1" outlineLevel="1" x14ac:dyDescent="0.3">
      <c r="A254" s="717"/>
      <c r="B254" s="717"/>
      <c r="C254" s="900"/>
      <c r="D254" s="900"/>
      <c r="E254" s="900"/>
      <c r="F254" s="777" t="str">
        <f>IFERROR(INDEX(D05_Feats!$C$3:$C$450,MATCH(C_Input!C254,D05_Feats!$A$3:$A$450,0),1),"")</f>
        <v/>
      </c>
      <c r="G254" s="777"/>
      <c r="H254" s="777"/>
      <c r="I254" s="777"/>
      <c r="J254" s="777"/>
      <c r="K254" s="777"/>
      <c r="L254" s="777"/>
      <c r="M254" s="777"/>
      <c r="N254" s="777"/>
      <c r="O254" s="777"/>
      <c r="P254" s="777"/>
      <c r="Q254" s="777"/>
      <c r="R254" s="777"/>
      <c r="S254" s="777"/>
      <c r="U254" s="152"/>
      <c r="V254" s="152"/>
      <c r="W254" s="152"/>
      <c r="X254" s="152"/>
      <c r="Y254" s="152"/>
      <c r="Z254" s="152"/>
      <c r="AA254" s="152"/>
      <c r="AB254" s="152"/>
      <c r="AC254" s="152"/>
      <c r="AD254" s="152"/>
      <c r="AF254" s="171"/>
    </row>
    <row r="255" spans="1:32" ht="15.95" customHeight="1" outlineLevel="1" x14ac:dyDescent="0.3">
      <c r="A255" s="717"/>
      <c r="B255" s="717"/>
      <c r="C255" s="900"/>
      <c r="D255" s="900"/>
      <c r="E255" s="900"/>
      <c r="F255" s="777"/>
      <c r="G255" s="777"/>
      <c r="H255" s="777"/>
      <c r="I255" s="777"/>
      <c r="J255" s="777"/>
      <c r="K255" s="777"/>
      <c r="L255" s="777"/>
      <c r="M255" s="777"/>
      <c r="N255" s="777"/>
      <c r="O255" s="777"/>
      <c r="P255" s="777"/>
      <c r="Q255" s="777"/>
      <c r="R255" s="777"/>
      <c r="S255" s="777"/>
      <c r="U255" s="152"/>
      <c r="V255" s="152"/>
      <c r="W255" s="152"/>
      <c r="X255" s="152"/>
      <c r="Y255" s="152"/>
      <c r="Z255" s="152"/>
      <c r="AA255" s="152"/>
      <c r="AB255" s="152"/>
      <c r="AC255" s="152"/>
      <c r="AD255" s="152"/>
      <c r="AF255" s="171"/>
    </row>
    <row r="256" spans="1:32" ht="15.95" customHeight="1" outlineLevel="1" x14ac:dyDescent="0.3">
      <c r="A256" s="717"/>
      <c r="B256" s="717"/>
      <c r="C256" s="900"/>
      <c r="D256" s="900"/>
      <c r="E256" s="900"/>
      <c r="F256" s="777"/>
      <c r="G256" s="777"/>
      <c r="H256" s="777"/>
      <c r="I256" s="777"/>
      <c r="J256" s="777"/>
      <c r="K256" s="777"/>
      <c r="L256" s="777"/>
      <c r="M256" s="777"/>
      <c r="N256" s="777"/>
      <c r="O256" s="777"/>
      <c r="P256" s="777"/>
      <c r="Q256" s="777"/>
      <c r="R256" s="777"/>
      <c r="S256" s="777"/>
      <c r="U256" s="152"/>
      <c r="V256" s="152"/>
      <c r="W256" s="152"/>
      <c r="X256" s="152"/>
      <c r="Y256" s="152"/>
      <c r="Z256" s="152"/>
      <c r="AA256" s="152"/>
      <c r="AB256" s="152"/>
      <c r="AC256" s="152"/>
      <c r="AD256" s="152"/>
      <c r="AF256" s="171"/>
    </row>
    <row r="257" spans="1:32" ht="15.95" customHeight="1" outlineLevel="1" x14ac:dyDescent="0.3">
      <c r="A257" s="717"/>
      <c r="B257" s="717"/>
      <c r="C257" s="900"/>
      <c r="D257" s="900"/>
      <c r="E257" s="900"/>
      <c r="F257" s="777"/>
      <c r="G257" s="777"/>
      <c r="H257" s="777"/>
      <c r="I257" s="777"/>
      <c r="J257" s="777"/>
      <c r="K257" s="777"/>
      <c r="L257" s="777"/>
      <c r="M257" s="777"/>
      <c r="N257" s="777"/>
      <c r="O257" s="777"/>
      <c r="P257" s="777"/>
      <c r="Q257" s="777"/>
      <c r="R257" s="777"/>
      <c r="S257" s="777"/>
      <c r="U257" s="152"/>
      <c r="V257" s="152"/>
      <c r="W257" s="152"/>
      <c r="X257" s="152"/>
      <c r="Y257" s="152"/>
      <c r="Z257" s="152"/>
      <c r="AA257" s="152"/>
      <c r="AB257" s="152"/>
      <c r="AC257" s="152"/>
      <c r="AD257" s="152"/>
      <c r="AF257" s="171"/>
    </row>
    <row r="258" spans="1:32" ht="15.95" customHeight="1" outlineLevel="1" x14ac:dyDescent="0.3">
      <c r="A258" s="717"/>
      <c r="B258" s="717"/>
      <c r="C258" s="900"/>
      <c r="D258" s="900"/>
      <c r="E258" s="900"/>
      <c r="F258" s="777" t="str">
        <f>IFERROR(INDEX(D05_Feats!$C$3:$C$450,MATCH(C_Input!C258,D05_Feats!$A$3:$A$450,0),1),"")</f>
        <v/>
      </c>
      <c r="G258" s="777"/>
      <c r="H258" s="777"/>
      <c r="I258" s="777"/>
      <c r="J258" s="777"/>
      <c r="K258" s="777"/>
      <c r="L258" s="777"/>
      <c r="M258" s="777"/>
      <c r="N258" s="777"/>
      <c r="O258" s="777"/>
      <c r="P258" s="777"/>
      <c r="Q258" s="777"/>
      <c r="R258" s="777"/>
      <c r="S258" s="777"/>
      <c r="U258" s="152"/>
      <c r="V258" s="152"/>
      <c r="W258" s="152"/>
      <c r="X258" s="152"/>
      <c r="Y258" s="152"/>
      <c r="Z258" s="152"/>
      <c r="AA258" s="152"/>
      <c r="AB258" s="152"/>
      <c r="AC258" s="152"/>
      <c r="AD258" s="152"/>
      <c r="AF258" s="171"/>
    </row>
    <row r="259" spans="1:32" ht="15.95" customHeight="1" outlineLevel="1" x14ac:dyDescent="0.3">
      <c r="A259" s="717"/>
      <c r="B259" s="717"/>
      <c r="C259" s="900"/>
      <c r="D259" s="900"/>
      <c r="E259" s="900"/>
      <c r="F259" s="777"/>
      <c r="G259" s="777"/>
      <c r="H259" s="777"/>
      <c r="I259" s="777"/>
      <c r="J259" s="777"/>
      <c r="K259" s="777"/>
      <c r="L259" s="777"/>
      <c r="M259" s="777"/>
      <c r="N259" s="777"/>
      <c r="O259" s="777"/>
      <c r="P259" s="777"/>
      <c r="Q259" s="777"/>
      <c r="R259" s="777"/>
      <c r="S259" s="777"/>
      <c r="U259" s="152"/>
      <c r="V259" s="152"/>
      <c r="W259" s="152"/>
      <c r="X259" s="152"/>
      <c r="Y259" s="152"/>
      <c r="Z259" s="152"/>
      <c r="AA259" s="152"/>
      <c r="AB259" s="152"/>
      <c r="AC259" s="152"/>
      <c r="AD259" s="152"/>
      <c r="AF259" s="171"/>
    </row>
    <row r="260" spans="1:32" ht="15.95" customHeight="1" outlineLevel="1" x14ac:dyDescent="0.3">
      <c r="A260" s="717"/>
      <c r="B260" s="717"/>
      <c r="C260" s="900"/>
      <c r="D260" s="900"/>
      <c r="E260" s="900"/>
      <c r="F260" s="777"/>
      <c r="G260" s="777"/>
      <c r="H260" s="777"/>
      <c r="I260" s="777"/>
      <c r="J260" s="777"/>
      <c r="K260" s="777"/>
      <c r="L260" s="777"/>
      <c r="M260" s="777"/>
      <c r="N260" s="777"/>
      <c r="O260" s="777"/>
      <c r="P260" s="777"/>
      <c r="Q260" s="777"/>
      <c r="R260" s="777"/>
      <c r="S260" s="777"/>
      <c r="U260" s="152"/>
      <c r="V260" s="152"/>
      <c r="W260" s="152"/>
      <c r="X260" s="152"/>
      <c r="Y260" s="152"/>
      <c r="Z260" s="152"/>
      <c r="AA260" s="152"/>
      <c r="AB260" s="152"/>
      <c r="AC260" s="152"/>
      <c r="AD260" s="152"/>
      <c r="AF260" s="171"/>
    </row>
    <row r="261" spans="1:32" ht="15.95" customHeight="1" outlineLevel="1" x14ac:dyDescent="0.3">
      <c r="A261" s="717"/>
      <c r="B261" s="717"/>
      <c r="C261" s="900"/>
      <c r="D261" s="900"/>
      <c r="E261" s="900"/>
      <c r="F261" s="777"/>
      <c r="G261" s="777"/>
      <c r="H261" s="777"/>
      <c r="I261" s="777"/>
      <c r="J261" s="777"/>
      <c r="K261" s="777"/>
      <c r="L261" s="777"/>
      <c r="M261" s="777"/>
      <c r="N261" s="777"/>
      <c r="O261" s="777"/>
      <c r="P261" s="777"/>
      <c r="Q261" s="777"/>
      <c r="R261" s="777"/>
      <c r="S261" s="777"/>
      <c r="U261" s="152"/>
      <c r="V261" s="152"/>
      <c r="W261" s="152"/>
      <c r="X261" s="152"/>
      <c r="Y261" s="152"/>
      <c r="Z261" s="152"/>
      <c r="AA261" s="152"/>
      <c r="AB261" s="152"/>
      <c r="AC261" s="152"/>
      <c r="AD261" s="152"/>
      <c r="AF261" s="171"/>
    </row>
    <row r="262" spans="1:32" ht="15.95" customHeight="1" outlineLevel="1" x14ac:dyDescent="0.3">
      <c r="A262" s="717"/>
      <c r="B262" s="717"/>
      <c r="C262" s="900"/>
      <c r="D262" s="900"/>
      <c r="E262" s="900"/>
      <c r="F262" s="777" t="str">
        <f>IFERROR(INDEX(D05_Feats!$C$3:$C$450,MATCH(C_Input!C262,D05_Feats!$A$3:$A$450,0),1),"")</f>
        <v/>
      </c>
      <c r="G262" s="777"/>
      <c r="H262" s="777"/>
      <c r="I262" s="777"/>
      <c r="J262" s="777"/>
      <c r="K262" s="777"/>
      <c r="L262" s="777"/>
      <c r="M262" s="777"/>
      <c r="N262" s="777"/>
      <c r="O262" s="777"/>
      <c r="P262" s="777"/>
      <c r="Q262" s="777"/>
      <c r="R262" s="777"/>
      <c r="S262" s="777"/>
      <c r="U262" s="152"/>
      <c r="V262" s="152"/>
      <c r="W262" s="152"/>
      <c r="X262" s="152"/>
      <c r="Y262" s="152"/>
      <c r="Z262" s="152"/>
      <c r="AA262" s="152"/>
      <c r="AB262" s="152"/>
      <c r="AC262" s="152"/>
      <c r="AD262" s="152"/>
      <c r="AF262" s="171"/>
    </row>
    <row r="263" spans="1:32" ht="15.95" customHeight="1" outlineLevel="1" x14ac:dyDescent="0.3">
      <c r="A263" s="717"/>
      <c r="B263" s="717"/>
      <c r="C263" s="900"/>
      <c r="D263" s="900"/>
      <c r="E263" s="900"/>
      <c r="F263" s="777"/>
      <c r="G263" s="777"/>
      <c r="H263" s="777"/>
      <c r="I263" s="777"/>
      <c r="J263" s="777"/>
      <c r="K263" s="777"/>
      <c r="L263" s="777"/>
      <c r="M263" s="777"/>
      <c r="N263" s="777"/>
      <c r="O263" s="777"/>
      <c r="P263" s="777"/>
      <c r="Q263" s="777"/>
      <c r="R263" s="777"/>
      <c r="S263" s="777"/>
      <c r="U263" s="152"/>
      <c r="V263" s="152"/>
      <c r="W263" s="152"/>
      <c r="X263" s="152"/>
      <c r="Y263" s="152"/>
      <c r="Z263" s="152"/>
      <c r="AA263" s="152"/>
      <c r="AB263" s="152"/>
      <c r="AC263" s="152"/>
      <c r="AD263" s="152"/>
      <c r="AF263" s="171"/>
    </row>
    <row r="264" spans="1:32" ht="15.95" customHeight="1" outlineLevel="1" x14ac:dyDescent="0.3">
      <c r="A264" s="717"/>
      <c r="B264" s="717"/>
      <c r="C264" s="900"/>
      <c r="D264" s="900"/>
      <c r="E264" s="900"/>
      <c r="F264" s="777"/>
      <c r="G264" s="777"/>
      <c r="H264" s="777"/>
      <c r="I264" s="777"/>
      <c r="J264" s="777"/>
      <c r="K264" s="777"/>
      <c r="L264" s="777"/>
      <c r="M264" s="777"/>
      <c r="N264" s="777"/>
      <c r="O264" s="777"/>
      <c r="P264" s="777"/>
      <c r="Q264" s="777"/>
      <c r="R264" s="777"/>
      <c r="S264" s="777"/>
      <c r="U264" s="152"/>
      <c r="V264" s="152"/>
      <c r="W264" s="152"/>
      <c r="X264" s="152"/>
      <c r="Y264" s="152"/>
      <c r="Z264" s="152"/>
      <c r="AA264" s="152"/>
      <c r="AB264" s="152"/>
      <c r="AC264" s="152"/>
      <c r="AD264" s="152"/>
      <c r="AF264" s="171"/>
    </row>
    <row r="265" spans="1:32" ht="15.95" customHeight="1" outlineLevel="1" x14ac:dyDescent="0.3">
      <c r="A265" s="717"/>
      <c r="B265" s="717"/>
      <c r="C265" s="900"/>
      <c r="D265" s="900"/>
      <c r="E265" s="900"/>
      <c r="F265" s="777"/>
      <c r="G265" s="777"/>
      <c r="H265" s="777"/>
      <c r="I265" s="777"/>
      <c r="J265" s="777"/>
      <c r="K265" s="777"/>
      <c r="L265" s="777"/>
      <c r="M265" s="777"/>
      <c r="N265" s="777"/>
      <c r="O265" s="777"/>
      <c r="P265" s="777"/>
      <c r="Q265" s="777"/>
      <c r="R265" s="777"/>
      <c r="S265" s="777"/>
      <c r="U265" s="152"/>
      <c r="V265" s="152"/>
      <c r="W265" s="152"/>
      <c r="X265" s="152"/>
      <c r="Y265" s="152"/>
      <c r="Z265" s="152"/>
      <c r="AA265" s="152"/>
      <c r="AB265" s="152"/>
      <c r="AC265" s="152"/>
      <c r="AD265" s="152"/>
      <c r="AF265" s="171"/>
    </row>
    <row r="266" spans="1:32" ht="15.95" customHeight="1" outlineLevel="1" x14ac:dyDescent="0.3">
      <c r="A266" s="717"/>
      <c r="B266" s="717"/>
      <c r="C266" s="900"/>
      <c r="D266" s="900"/>
      <c r="E266" s="900"/>
      <c r="F266" s="777" t="str">
        <f>IFERROR(INDEX(D05_Feats!$C$3:$C$450,MATCH(C_Input!C266,D05_Feats!$A$3:$A$450,0),1),"")</f>
        <v/>
      </c>
      <c r="G266" s="777"/>
      <c r="H266" s="777"/>
      <c r="I266" s="777"/>
      <c r="J266" s="777"/>
      <c r="K266" s="777"/>
      <c r="L266" s="777"/>
      <c r="M266" s="777"/>
      <c r="N266" s="777"/>
      <c r="O266" s="777"/>
      <c r="P266" s="777"/>
      <c r="Q266" s="777"/>
      <c r="R266" s="777"/>
      <c r="S266" s="777"/>
      <c r="U266" s="152"/>
      <c r="V266" s="152"/>
      <c r="W266" s="152"/>
      <c r="X266" s="152"/>
      <c r="Y266" s="152"/>
      <c r="Z266" s="152"/>
      <c r="AA266" s="152"/>
      <c r="AB266" s="152"/>
      <c r="AC266" s="152"/>
      <c r="AD266" s="152"/>
      <c r="AF266" s="171"/>
    </row>
    <row r="267" spans="1:32" ht="15.95" customHeight="1" outlineLevel="1" x14ac:dyDescent="0.3">
      <c r="A267" s="717"/>
      <c r="B267" s="717"/>
      <c r="C267" s="900"/>
      <c r="D267" s="900"/>
      <c r="E267" s="900"/>
      <c r="F267" s="777"/>
      <c r="G267" s="777"/>
      <c r="H267" s="777"/>
      <c r="I267" s="777"/>
      <c r="J267" s="777"/>
      <c r="K267" s="777"/>
      <c r="L267" s="777"/>
      <c r="M267" s="777"/>
      <c r="N267" s="777"/>
      <c r="O267" s="777"/>
      <c r="P267" s="777"/>
      <c r="Q267" s="777"/>
      <c r="R267" s="777"/>
      <c r="S267" s="777"/>
      <c r="U267" s="152"/>
      <c r="V267" s="152"/>
      <c r="W267" s="152"/>
      <c r="X267" s="152"/>
      <c r="Y267" s="152"/>
      <c r="Z267" s="152"/>
      <c r="AA267" s="152"/>
      <c r="AB267" s="152"/>
      <c r="AC267" s="152"/>
      <c r="AD267" s="152"/>
      <c r="AF267" s="171"/>
    </row>
    <row r="268" spans="1:32" ht="15.95" customHeight="1" outlineLevel="1" x14ac:dyDescent="0.3">
      <c r="A268" s="717"/>
      <c r="B268" s="717"/>
      <c r="C268" s="900"/>
      <c r="D268" s="900"/>
      <c r="E268" s="900"/>
      <c r="F268" s="777"/>
      <c r="G268" s="777"/>
      <c r="H268" s="777"/>
      <c r="I268" s="777"/>
      <c r="J268" s="777"/>
      <c r="K268" s="777"/>
      <c r="L268" s="777"/>
      <c r="M268" s="777"/>
      <c r="N268" s="777"/>
      <c r="O268" s="777"/>
      <c r="P268" s="777"/>
      <c r="Q268" s="777"/>
      <c r="R268" s="777"/>
      <c r="S268" s="777"/>
      <c r="U268" s="152"/>
      <c r="V268" s="152"/>
      <c r="W268" s="152"/>
      <c r="X268" s="152"/>
      <c r="Y268" s="152"/>
      <c r="Z268" s="152"/>
      <c r="AA268" s="152"/>
      <c r="AB268" s="152"/>
      <c r="AC268" s="152"/>
      <c r="AD268" s="152"/>
      <c r="AF268" s="171"/>
    </row>
    <row r="269" spans="1:32" ht="15.95" customHeight="1" outlineLevel="1" x14ac:dyDescent="0.3">
      <c r="A269" s="717"/>
      <c r="B269" s="717"/>
      <c r="C269" s="900"/>
      <c r="D269" s="900"/>
      <c r="E269" s="900"/>
      <c r="F269" s="777"/>
      <c r="G269" s="777"/>
      <c r="H269" s="777"/>
      <c r="I269" s="777"/>
      <c r="J269" s="777"/>
      <c r="K269" s="777"/>
      <c r="L269" s="777"/>
      <c r="M269" s="777"/>
      <c r="N269" s="777"/>
      <c r="O269" s="777"/>
      <c r="P269" s="777"/>
      <c r="Q269" s="777"/>
      <c r="R269" s="777"/>
      <c r="S269" s="777"/>
      <c r="U269" s="152"/>
      <c r="V269" s="152"/>
      <c r="W269" s="152"/>
      <c r="X269" s="152"/>
      <c r="Y269" s="152"/>
      <c r="Z269" s="152"/>
      <c r="AA269" s="152"/>
      <c r="AB269" s="152"/>
      <c r="AC269" s="152"/>
      <c r="AD269" s="152"/>
      <c r="AF269" s="171"/>
    </row>
    <row r="270" spans="1:32" ht="15.95" customHeight="1" outlineLevel="1" x14ac:dyDescent="0.3">
      <c r="A270" s="717"/>
      <c r="B270" s="717"/>
      <c r="C270" s="900"/>
      <c r="D270" s="900"/>
      <c r="E270" s="900"/>
      <c r="F270" s="777" t="str">
        <f>IFERROR(INDEX(D05_Feats!$C$3:$C$450,MATCH(C_Input!C270,D05_Feats!$A$3:$A$450,0),1),"")</f>
        <v/>
      </c>
      <c r="G270" s="777"/>
      <c r="H270" s="777"/>
      <c r="I270" s="777"/>
      <c r="J270" s="777"/>
      <c r="K270" s="777"/>
      <c r="L270" s="777"/>
      <c r="M270" s="777"/>
      <c r="N270" s="777"/>
      <c r="O270" s="777"/>
      <c r="P270" s="777"/>
      <c r="Q270" s="777"/>
      <c r="R270" s="777"/>
      <c r="S270" s="777"/>
      <c r="U270" s="152"/>
      <c r="V270" s="152"/>
      <c r="W270" s="152"/>
      <c r="X270" s="152"/>
      <c r="Y270" s="152"/>
      <c r="Z270" s="152"/>
      <c r="AA270" s="152"/>
      <c r="AB270" s="152"/>
      <c r="AC270" s="152"/>
      <c r="AD270" s="152"/>
      <c r="AF270" s="171"/>
    </row>
    <row r="271" spans="1:32" ht="15.95" customHeight="1" outlineLevel="1" x14ac:dyDescent="0.3">
      <c r="A271" s="717"/>
      <c r="B271" s="717"/>
      <c r="C271" s="900"/>
      <c r="D271" s="900"/>
      <c r="E271" s="900"/>
      <c r="F271" s="777"/>
      <c r="G271" s="777"/>
      <c r="H271" s="777"/>
      <c r="I271" s="777"/>
      <c r="J271" s="777"/>
      <c r="K271" s="777"/>
      <c r="L271" s="777"/>
      <c r="M271" s="777"/>
      <c r="N271" s="777"/>
      <c r="O271" s="777"/>
      <c r="P271" s="777"/>
      <c r="Q271" s="777"/>
      <c r="R271" s="777"/>
      <c r="S271" s="777"/>
      <c r="U271" s="152"/>
      <c r="V271" s="152"/>
      <c r="W271" s="152"/>
      <c r="X271" s="152"/>
      <c r="Y271" s="152"/>
      <c r="Z271" s="152"/>
      <c r="AA271" s="152"/>
      <c r="AB271" s="152"/>
      <c r="AC271" s="152"/>
      <c r="AD271" s="152"/>
      <c r="AF271" s="171"/>
    </row>
    <row r="272" spans="1:32" ht="15.95" customHeight="1" outlineLevel="1" x14ac:dyDescent="0.3">
      <c r="A272" s="717"/>
      <c r="B272" s="717"/>
      <c r="C272" s="900"/>
      <c r="D272" s="900"/>
      <c r="E272" s="900"/>
      <c r="F272" s="777"/>
      <c r="G272" s="777"/>
      <c r="H272" s="777"/>
      <c r="I272" s="777"/>
      <c r="J272" s="777"/>
      <c r="K272" s="777"/>
      <c r="L272" s="777"/>
      <c r="M272" s="777"/>
      <c r="N272" s="777"/>
      <c r="O272" s="777"/>
      <c r="P272" s="777"/>
      <c r="Q272" s="777"/>
      <c r="R272" s="777"/>
      <c r="S272" s="777"/>
      <c r="U272" s="152"/>
      <c r="V272" s="152"/>
      <c r="W272" s="152"/>
      <c r="X272" s="152"/>
      <c r="Y272" s="152"/>
      <c r="Z272" s="152"/>
      <c r="AA272" s="152"/>
      <c r="AB272" s="152"/>
      <c r="AC272" s="152"/>
      <c r="AD272" s="152"/>
      <c r="AF272" s="171"/>
    </row>
    <row r="273" spans="1:32" ht="15.95" customHeight="1" outlineLevel="1" x14ac:dyDescent="0.3">
      <c r="A273" s="717"/>
      <c r="B273" s="717"/>
      <c r="C273" s="900"/>
      <c r="D273" s="900"/>
      <c r="E273" s="900"/>
      <c r="F273" s="777"/>
      <c r="G273" s="777"/>
      <c r="H273" s="777"/>
      <c r="I273" s="777"/>
      <c r="J273" s="777"/>
      <c r="K273" s="777"/>
      <c r="L273" s="777"/>
      <c r="M273" s="777"/>
      <c r="N273" s="777"/>
      <c r="O273" s="777"/>
      <c r="P273" s="777"/>
      <c r="Q273" s="777"/>
      <c r="R273" s="777"/>
      <c r="S273" s="777"/>
      <c r="U273" s="152"/>
      <c r="V273" s="152"/>
      <c r="W273" s="152"/>
      <c r="X273" s="152"/>
      <c r="Y273" s="152"/>
      <c r="Z273" s="152"/>
      <c r="AA273" s="152"/>
      <c r="AB273" s="152"/>
      <c r="AC273" s="152"/>
      <c r="AD273" s="152"/>
      <c r="AF273" s="171"/>
    </row>
    <row r="274" spans="1:32" ht="15.95" customHeight="1" outlineLevel="1" x14ac:dyDescent="0.3">
      <c r="U274" s="152"/>
      <c r="V274" s="152"/>
      <c r="W274" s="152"/>
      <c r="X274" s="152"/>
      <c r="Y274" s="152"/>
      <c r="Z274" s="152"/>
      <c r="AA274" s="152"/>
      <c r="AB274" s="152"/>
      <c r="AC274" s="152"/>
      <c r="AD274" s="152"/>
      <c r="AF274" s="171"/>
    </row>
    <row r="275" spans="1:32" ht="15.95" customHeight="1" outlineLevel="1" x14ac:dyDescent="0.3">
      <c r="U275" s="152"/>
      <c r="V275" s="152"/>
      <c r="W275" s="152"/>
      <c r="X275" s="152"/>
      <c r="Y275" s="152"/>
      <c r="Z275" s="152"/>
      <c r="AA275" s="152"/>
      <c r="AB275" s="152"/>
      <c r="AC275" s="152"/>
      <c r="AD275" s="152"/>
      <c r="AF275" s="171"/>
    </row>
    <row r="276" spans="1:32" ht="15.95" customHeight="1" outlineLevel="1" x14ac:dyDescent="0.3">
      <c r="U276" s="152"/>
      <c r="V276" s="152"/>
      <c r="W276" s="152"/>
      <c r="X276" s="152"/>
      <c r="Y276" s="152"/>
      <c r="Z276" s="152"/>
      <c r="AA276" s="152"/>
      <c r="AB276" s="152"/>
      <c r="AC276" s="152"/>
      <c r="AD276" s="152"/>
      <c r="AF276" s="171"/>
    </row>
    <row r="277" spans="1:32" ht="15.95" customHeight="1" outlineLevel="1" x14ac:dyDescent="0.3">
      <c r="U277" s="152"/>
      <c r="V277" s="152"/>
      <c r="W277" s="152"/>
      <c r="X277" s="152"/>
      <c r="Y277" s="152"/>
      <c r="Z277" s="152"/>
      <c r="AA277" s="152"/>
      <c r="AB277" s="152"/>
      <c r="AC277" s="152"/>
      <c r="AD277" s="152"/>
      <c r="AF277" s="171"/>
    </row>
    <row r="278" spans="1:32" ht="15.95" customHeight="1" outlineLevel="1" x14ac:dyDescent="0.3">
      <c r="U278" s="152"/>
      <c r="V278" s="152"/>
      <c r="W278" s="152"/>
      <c r="X278" s="152"/>
      <c r="Y278" s="152"/>
      <c r="Z278" s="152"/>
      <c r="AA278" s="152"/>
      <c r="AB278" s="152"/>
      <c r="AC278" s="152"/>
      <c r="AD278" s="152"/>
      <c r="AF278" s="171"/>
    </row>
    <row r="279" spans="1:32" ht="15.95" customHeight="1" outlineLevel="1" x14ac:dyDescent="0.3">
      <c r="U279" s="152"/>
      <c r="V279" s="152"/>
      <c r="W279" s="152"/>
      <c r="X279" s="152"/>
      <c r="Y279" s="152"/>
      <c r="Z279" s="152"/>
      <c r="AA279" s="152"/>
      <c r="AB279" s="152"/>
      <c r="AC279" s="152"/>
      <c r="AD279" s="152"/>
      <c r="AF279" s="171"/>
    </row>
    <row r="280" spans="1:32" ht="15.95" customHeight="1" outlineLevel="1" x14ac:dyDescent="0.3">
      <c r="U280" s="152"/>
      <c r="V280" s="152"/>
      <c r="W280" s="152"/>
      <c r="X280" s="152"/>
      <c r="Y280" s="152"/>
      <c r="Z280" s="152"/>
      <c r="AA280" s="152"/>
      <c r="AB280" s="152"/>
      <c r="AC280" s="152"/>
      <c r="AD280" s="152"/>
      <c r="AF280" s="171"/>
    </row>
    <row r="281" spans="1:32" ht="15.95" customHeight="1" outlineLevel="1" x14ac:dyDescent="0.3">
      <c r="U281" s="152"/>
      <c r="V281" s="152"/>
      <c r="W281" s="152"/>
      <c r="X281" s="152"/>
      <c r="Y281" s="152"/>
      <c r="Z281" s="152"/>
      <c r="AA281" s="152"/>
      <c r="AB281" s="152"/>
      <c r="AC281" s="152"/>
      <c r="AD281" s="152"/>
      <c r="AF281" s="171"/>
    </row>
    <row r="282" spans="1:32" ht="15.95" customHeight="1" outlineLevel="1" x14ac:dyDescent="0.3">
      <c r="U282" s="152"/>
      <c r="V282" s="152"/>
      <c r="W282" s="152"/>
      <c r="X282" s="152"/>
      <c r="Y282" s="152"/>
      <c r="Z282" s="152"/>
      <c r="AA282" s="152"/>
      <c r="AB282" s="152"/>
      <c r="AC282" s="152"/>
      <c r="AD282" s="152"/>
      <c r="AF282" s="171"/>
    </row>
    <row r="283" spans="1:32" ht="15.95" customHeight="1" outlineLevel="1" x14ac:dyDescent="0.3">
      <c r="U283" s="152"/>
      <c r="V283" s="152"/>
      <c r="W283" s="152"/>
      <c r="X283" s="152"/>
      <c r="Y283" s="152"/>
      <c r="Z283" s="152"/>
      <c r="AA283" s="152"/>
      <c r="AB283" s="152"/>
      <c r="AC283" s="152"/>
      <c r="AD283" s="152"/>
      <c r="AF283" s="171"/>
    </row>
    <row r="284" spans="1:32" ht="15.95" customHeight="1" outlineLevel="1" x14ac:dyDescent="0.3">
      <c r="U284" s="152"/>
      <c r="V284" s="152"/>
      <c r="W284" s="152"/>
      <c r="X284" s="152"/>
      <c r="Y284" s="152"/>
      <c r="Z284" s="152"/>
      <c r="AA284" s="152"/>
      <c r="AB284" s="152"/>
      <c r="AC284" s="152"/>
      <c r="AD284" s="152"/>
      <c r="AF284" s="171"/>
    </row>
    <row r="285" spans="1:32" ht="15.95" customHeight="1" outlineLevel="1" x14ac:dyDescent="0.3">
      <c r="U285" s="152"/>
      <c r="V285" s="152"/>
      <c r="W285" s="152"/>
      <c r="X285" s="152"/>
      <c r="Y285" s="152"/>
      <c r="Z285" s="152"/>
      <c r="AA285" s="152"/>
      <c r="AB285" s="152"/>
      <c r="AC285" s="152"/>
      <c r="AD285" s="152"/>
      <c r="AF285" s="171"/>
    </row>
    <row r="286" spans="1:32" ht="15.95" customHeight="1" outlineLevel="1" x14ac:dyDescent="0.3">
      <c r="U286" s="152"/>
      <c r="V286" s="152"/>
      <c r="W286" s="152"/>
      <c r="X286" s="152"/>
      <c r="Y286" s="152"/>
      <c r="Z286" s="152"/>
      <c r="AA286" s="152"/>
      <c r="AB286" s="152"/>
      <c r="AC286" s="152"/>
      <c r="AD286" s="152"/>
      <c r="AF286" s="171"/>
    </row>
    <row r="287" spans="1:32" ht="15.95" customHeight="1" outlineLevel="1" x14ac:dyDescent="0.3">
      <c r="U287" s="152"/>
      <c r="V287" s="152"/>
      <c r="W287" s="152"/>
      <c r="X287" s="152"/>
      <c r="Y287" s="152"/>
      <c r="Z287" s="152"/>
      <c r="AA287" s="152"/>
      <c r="AB287" s="152"/>
      <c r="AC287" s="152"/>
      <c r="AD287" s="152"/>
      <c r="AF287" s="171"/>
    </row>
    <row r="288" spans="1:32" ht="15.95" customHeight="1" outlineLevel="1" x14ac:dyDescent="0.3">
      <c r="U288" s="152"/>
      <c r="V288" s="152"/>
      <c r="W288" s="152"/>
      <c r="X288" s="152"/>
      <c r="Y288" s="152"/>
      <c r="Z288" s="152"/>
      <c r="AA288" s="152"/>
      <c r="AB288" s="152"/>
      <c r="AC288" s="152"/>
      <c r="AD288" s="152"/>
      <c r="AF288" s="171"/>
    </row>
    <row r="289" spans="1:32" ht="15.95" customHeight="1" outlineLevel="1" x14ac:dyDescent="0.3">
      <c r="U289" s="152"/>
      <c r="V289" s="152"/>
      <c r="W289" s="152"/>
      <c r="X289" s="152"/>
      <c r="Y289" s="152"/>
      <c r="Z289" s="152"/>
      <c r="AA289" s="152"/>
      <c r="AB289" s="152"/>
      <c r="AC289" s="152"/>
      <c r="AD289" s="152"/>
      <c r="AF289" s="171"/>
    </row>
    <row r="290" spans="1:32" ht="15.95" customHeight="1" outlineLevel="1" x14ac:dyDescent="0.3">
      <c r="U290" s="152"/>
      <c r="V290" s="152"/>
      <c r="W290" s="152"/>
      <c r="X290" s="152"/>
      <c r="Y290" s="152"/>
      <c r="Z290" s="152"/>
      <c r="AA290" s="152"/>
      <c r="AB290" s="152"/>
      <c r="AC290" s="152"/>
      <c r="AD290" s="152"/>
      <c r="AF290" s="171"/>
    </row>
    <row r="291" spans="1:32" ht="15.95" customHeight="1" outlineLevel="1" x14ac:dyDescent="0.3">
      <c r="U291" s="152"/>
      <c r="V291" s="152"/>
      <c r="W291" s="152"/>
      <c r="X291" s="152"/>
      <c r="Y291" s="152"/>
      <c r="Z291" s="152"/>
      <c r="AA291" s="152"/>
      <c r="AB291" s="152"/>
      <c r="AC291" s="152"/>
      <c r="AD291" s="152"/>
      <c r="AF291" s="171"/>
    </row>
    <row r="292" spans="1:32" ht="15.95" customHeight="1" outlineLevel="1" x14ac:dyDescent="0.3">
      <c r="U292" s="152"/>
      <c r="V292" s="152"/>
      <c r="W292" s="152"/>
      <c r="X292" s="152"/>
      <c r="Y292" s="152"/>
      <c r="Z292" s="152"/>
      <c r="AA292" s="152"/>
      <c r="AB292" s="152"/>
      <c r="AC292" s="152"/>
      <c r="AD292" s="152"/>
      <c r="AF292" s="171"/>
    </row>
    <row r="293" spans="1:32" ht="15.95" customHeight="1" outlineLevel="1" x14ac:dyDescent="0.3">
      <c r="U293" s="152"/>
      <c r="V293" s="152"/>
      <c r="W293" s="152"/>
      <c r="X293" s="152"/>
      <c r="Y293" s="152"/>
      <c r="Z293" s="152"/>
      <c r="AA293" s="152"/>
      <c r="AB293" s="152"/>
      <c r="AC293" s="152"/>
      <c r="AD293" s="152"/>
      <c r="AF293" s="171"/>
    </row>
    <row r="294" spans="1:32" ht="15.95" customHeight="1" outlineLevel="1" x14ac:dyDescent="0.3">
      <c r="U294" s="152"/>
      <c r="V294" s="152"/>
      <c r="W294" s="152"/>
      <c r="X294" s="152"/>
      <c r="Y294" s="152"/>
      <c r="Z294" s="152"/>
      <c r="AA294" s="152"/>
      <c r="AB294" s="152"/>
      <c r="AC294" s="152"/>
      <c r="AD294" s="152"/>
      <c r="AF294" s="171"/>
    </row>
    <row r="295" spans="1:32" ht="15.95" customHeight="1" outlineLevel="1" x14ac:dyDescent="0.3">
      <c r="U295" s="152"/>
      <c r="V295" s="152"/>
      <c r="W295" s="152"/>
      <c r="X295" s="152"/>
      <c r="Y295" s="152"/>
      <c r="Z295" s="152"/>
      <c r="AA295" s="152"/>
      <c r="AB295" s="152"/>
      <c r="AC295" s="152"/>
      <c r="AD295" s="152"/>
      <c r="AF295" s="171"/>
    </row>
    <row r="296" spans="1:32" ht="15.95" customHeight="1" outlineLevel="1" x14ac:dyDescent="0.3">
      <c r="U296" s="152"/>
      <c r="V296" s="152"/>
      <c r="W296" s="152"/>
      <c r="X296" s="152"/>
      <c r="Y296" s="152"/>
      <c r="Z296" s="152"/>
      <c r="AA296" s="152"/>
      <c r="AB296" s="152"/>
      <c r="AC296" s="152"/>
      <c r="AD296" s="152"/>
      <c r="AF296" s="171"/>
    </row>
    <row r="297" spans="1:32" ht="15.95" customHeight="1" x14ac:dyDescent="0.3">
      <c r="U297" s="152"/>
      <c r="V297" s="152"/>
      <c r="W297" s="152"/>
      <c r="X297" s="152"/>
      <c r="Y297" s="152"/>
      <c r="Z297" s="152"/>
      <c r="AA297" s="152"/>
      <c r="AB297" s="152"/>
      <c r="AC297" s="152"/>
      <c r="AD297" s="152"/>
      <c r="AF297" s="171"/>
    </row>
    <row r="298" spans="1:32" ht="15.95" customHeight="1" x14ac:dyDescent="0.3">
      <c r="U298" s="152"/>
      <c r="V298" s="152"/>
      <c r="W298" s="152"/>
      <c r="X298" s="152"/>
      <c r="Y298" s="152"/>
      <c r="Z298" s="152"/>
      <c r="AA298" s="152"/>
      <c r="AB298" s="152"/>
      <c r="AC298" s="152"/>
      <c r="AD298" s="152"/>
      <c r="AF298" s="171"/>
    </row>
    <row r="299" spans="1:32" ht="15.95" customHeight="1" x14ac:dyDescent="0.3">
      <c r="U299" s="152"/>
      <c r="V299" s="152"/>
      <c r="W299" s="152"/>
      <c r="X299" s="152"/>
      <c r="Y299" s="152"/>
      <c r="Z299" s="152"/>
      <c r="AA299" s="152"/>
      <c r="AB299" s="152"/>
      <c r="AC299" s="152"/>
      <c r="AD299" s="152"/>
      <c r="AF299" s="171"/>
    </row>
    <row r="300" spans="1:32" ht="15.95" customHeight="1" x14ac:dyDescent="0.3">
      <c r="U300" s="152"/>
      <c r="V300" s="152"/>
      <c r="W300" s="152"/>
      <c r="X300" s="152"/>
      <c r="Y300" s="152"/>
      <c r="Z300" s="152"/>
      <c r="AA300" s="152"/>
      <c r="AB300" s="152"/>
      <c r="AC300" s="152"/>
      <c r="AD300" s="152"/>
      <c r="AF300" s="171"/>
    </row>
    <row r="301" spans="1:32" ht="15.95" customHeight="1" x14ac:dyDescent="0.3">
      <c r="U301" s="152"/>
      <c r="V301" s="152"/>
      <c r="W301" s="152"/>
      <c r="X301" s="152"/>
      <c r="Y301" s="152"/>
      <c r="Z301" s="152"/>
      <c r="AA301" s="152"/>
      <c r="AB301" s="152"/>
      <c r="AC301" s="152"/>
      <c r="AD301" s="152"/>
      <c r="AF301" s="171"/>
    </row>
    <row r="302" spans="1:32" ht="15.95" customHeight="1" thickBot="1" x14ac:dyDescent="0.35">
      <c r="U302" s="152"/>
      <c r="V302" s="152"/>
      <c r="W302" s="152"/>
      <c r="X302" s="152"/>
      <c r="Y302" s="152"/>
      <c r="Z302" s="152"/>
      <c r="AA302" s="152"/>
      <c r="AB302" s="152"/>
      <c r="AC302" s="152"/>
      <c r="AD302" s="152"/>
      <c r="AF302" s="171"/>
    </row>
    <row r="303" spans="1:32" ht="15.95" customHeight="1" x14ac:dyDescent="0.3">
      <c r="A303" s="879" t="s">
        <v>6937</v>
      </c>
      <c r="B303" s="880"/>
      <c r="C303" s="880"/>
      <c r="D303" s="880"/>
      <c r="E303" s="880"/>
      <c r="F303" s="880"/>
      <c r="G303" s="880"/>
      <c r="H303" s="880"/>
      <c r="I303" s="880"/>
      <c r="J303" s="880"/>
      <c r="K303" s="880"/>
      <c r="L303" s="880"/>
      <c r="M303" s="880"/>
      <c r="N303" s="880"/>
      <c r="O303" s="880"/>
      <c r="P303" s="880"/>
      <c r="Q303" s="880"/>
      <c r="R303" s="880"/>
      <c r="S303" s="881"/>
      <c r="T303" s="152"/>
      <c r="U303" s="152"/>
      <c r="V303" s="152"/>
      <c r="W303" s="152"/>
      <c r="X303" s="152"/>
      <c r="Y303" s="152"/>
      <c r="Z303" s="152"/>
      <c r="AA303" s="152"/>
      <c r="AB303" s="152"/>
      <c r="AC303" s="152"/>
      <c r="AD303" s="152"/>
      <c r="AF303" s="171"/>
    </row>
    <row r="304" spans="1:32" ht="15.95" customHeight="1" thickBot="1" x14ac:dyDescent="0.35">
      <c r="A304" s="882"/>
      <c r="B304" s="883"/>
      <c r="C304" s="883"/>
      <c r="D304" s="883"/>
      <c r="E304" s="883"/>
      <c r="F304" s="883"/>
      <c r="G304" s="883"/>
      <c r="H304" s="883"/>
      <c r="I304" s="883"/>
      <c r="J304" s="883"/>
      <c r="K304" s="883"/>
      <c r="L304" s="883"/>
      <c r="M304" s="883"/>
      <c r="N304" s="883"/>
      <c r="O304" s="883"/>
      <c r="P304" s="883"/>
      <c r="Q304" s="883"/>
      <c r="R304" s="883"/>
      <c r="S304" s="884"/>
      <c r="T304" s="152"/>
      <c r="U304" s="152"/>
      <c r="V304" s="152"/>
      <c r="W304" s="152"/>
      <c r="X304" s="152"/>
      <c r="Y304" s="152"/>
      <c r="Z304" s="152"/>
      <c r="AA304" s="152"/>
      <c r="AB304" s="152"/>
      <c r="AC304" s="152"/>
      <c r="AD304" s="152"/>
      <c r="AF304" s="171"/>
    </row>
    <row r="305" spans="1:32" ht="15.95" customHeight="1" outlineLevel="1" x14ac:dyDescent="0.3">
      <c r="A305" s="152"/>
      <c r="B305" s="152"/>
      <c r="C305" s="152"/>
      <c r="D305" s="152"/>
      <c r="E305" s="152"/>
      <c r="F305" s="152"/>
      <c r="G305" s="152"/>
      <c r="H305" s="152"/>
      <c r="I305" s="152"/>
      <c r="J305" s="152"/>
      <c r="K305" s="152"/>
      <c r="L305" s="152"/>
      <c r="M305" s="152"/>
      <c r="N305" s="152"/>
      <c r="O305" s="152"/>
      <c r="P305" s="152"/>
      <c r="Q305" s="152"/>
      <c r="R305" s="152"/>
      <c r="S305" s="152"/>
      <c r="T305" s="152"/>
      <c r="U305" s="152"/>
      <c r="V305" s="152"/>
      <c r="W305" s="152"/>
      <c r="X305" s="152"/>
      <c r="Y305" s="152"/>
      <c r="Z305" s="152"/>
      <c r="AA305" s="152"/>
      <c r="AB305" s="152"/>
      <c r="AC305" s="152"/>
      <c r="AD305" s="152"/>
      <c r="AF305" s="171"/>
    </row>
    <row r="306" spans="1:32" ht="15.95" customHeight="1" outlineLevel="1" x14ac:dyDescent="0.3">
      <c r="A306" s="717" t="str">
        <f>IFERROR(INDEX($BF$160:$BF$239,MATCH((ROW()-ROW($C$306))/4+1,$BJ$160:$BJ$239,0),1),"")</f>
        <v/>
      </c>
      <c r="B306" s="717"/>
      <c r="C306" s="901" t="str">
        <f>IFERROR(INDEX($BD$160:$BD$239,MATCH((ROW()-ROW($C$306))/4+1,$BJ$160:$BJ$239,0),1),"")</f>
        <v/>
      </c>
      <c r="D306" s="901"/>
      <c r="E306" s="901"/>
      <c r="F306" s="928" t="str">
        <f>IFERROR(INDEX($BE$160:$BE$239,MATCH((ROW()-ROW($C$306))/4+1,$BJ$160:$BJ$239,0),1),"")</f>
        <v/>
      </c>
      <c r="G306" s="928"/>
      <c r="H306" s="928"/>
      <c r="I306" s="928"/>
      <c r="J306" s="928"/>
      <c r="K306" s="928"/>
      <c r="L306" s="928"/>
      <c r="M306" s="928"/>
      <c r="N306" s="928"/>
      <c r="O306" s="928"/>
      <c r="P306" s="928"/>
      <c r="Q306" s="928"/>
      <c r="R306" s="928"/>
      <c r="S306" s="928"/>
      <c r="T306" s="152"/>
      <c r="U306" s="152"/>
      <c r="V306" s="152"/>
      <c r="W306" s="152"/>
      <c r="X306" s="152"/>
      <c r="Y306" s="152"/>
      <c r="Z306" s="152"/>
      <c r="AA306" s="152"/>
      <c r="AB306" s="152"/>
      <c r="AC306" s="152"/>
      <c r="AD306" s="152"/>
      <c r="AF306" s="171"/>
    </row>
    <row r="307" spans="1:32" ht="15.95" customHeight="1" outlineLevel="1" x14ac:dyDescent="0.3">
      <c r="A307" s="717"/>
      <c r="B307" s="717"/>
      <c r="C307" s="901"/>
      <c r="D307" s="901"/>
      <c r="E307" s="901"/>
      <c r="F307" s="928"/>
      <c r="G307" s="928"/>
      <c r="H307" s="928"/>
      <c r="I307" s="928"/>
      <c r="J307" s="928"/>
      <c r="K307" s="928"/>
      <c r="L307" s="928"/>
      <c r="M307" s="928"/>
      <c r="N307" s="928"/>
      <c r="O307" s="928"/>
      <c r="P307" s="928"/>
      <c r="Q307" s="928"/>
      <c r="R307" s="928"/>
      <c r="S307" s="928"/>
      <c r="T307" s="152"/>
      <c r="U307" s="152"/>
      <c r="V307" s="152"/>
      <c r="W307" s="152"/>
      <c r="X307" s="152"/>
      <c r="Y307" s="152"/>
      <c r="Z307" s="152"/>
      <c r="AA307" s="152"/>
      <c r="AB307" s="152"/>
      <c r="AC307" s="152"/>
      <c r="AD307" s="152"/>
      <c r="AF307" s="171"/>
    </row>
    <row r="308" spans="1:32" ht="15.95" customHeight="1" outlineLevel="1" x14ac:dyDescent="0.3">
      <c r="A308" s="717"/>
      <c r="B308" s="717"/>
      <c r="C308" s="901"/>
      <c r="D308" s="901"/>
      <c r="E308" s="901"/>
      <c r="F308" s="928"/>
      <c r="G308" s="928"/>
      <c r="H308" s="928"/>
      <c r="I308" s="928"/>
      <c r="J308" s="928"/>
      <c r="K308" s="928"/>
      <c r="L308" s="928"/>
      <c r="M308" s="928"/>
      <c r="N308" s="928"/>
      <c r="O308" s="928"/>
      <c r="P308" s="928"/>
      <c r="Q308" s="928"/>
      <c r="R308" s="928"/>
      <c r="S308" s="928"/>
      <c r="T308" s="152"/>
      <c r="U308" s="152"/>
      <c r="V308" s="152"/>
      <c r="W308" s="152"/>
      <c r="X308" s="152"/>
      <c r="Y308" s="152"/>
      <c r="Z308" s="152"/>
      <c r="AA308" s="152"/>
      <c r="AB308" s="152"/>
      <c r="AC308" s="152"/>
      <c r="AD308" s="152"/>
      <c r="AF308" s="171"/>
    </row>
    <row r="309" spans="1:32" ht="15.95" customHeight="1" outlineLevel="1" x14ac:dyDescent="0.3">
      <c r="A309" s="717"/>
      <c r="B309" s="717"/>
      <c r="C309" s="901"/>
      <c r="D309" s="901"/>
      <c r="E309" s="901"/>
      <c r="F309" s="928"/>
      <c r="G309" s="928"/>
      <c r="H309" s="928"/>
      <c r="I309" s="928"/>
      <c r="J309" s="928"/>
      <c r="K309" s="928"/>
      <c r="L309" s="928"/>
      <c r="M309" s="928"/>
      <c r="N309" s="928"/>
      <c r="O309" s="928"/>
      <c r="P309" s="928"/>
      <c r="Q309" s="928"/>
      <c r="R309" s="928"/>
      <c r="S309" s="928"/>
      <c r="T309" s="152"/>
      <c r="U309" s="152"/>
      <c r="V309" s="152"/>
      <c r="W309" s="152"/>
      <c r="X309" s="152"/>
      <c r="Y309" s="152"/>
      <c r="Z309" s="152"/>
      <c r="AA309" s="152"/>
      <c r="AB309" s="152"/>
      <c r="AC309" s="152"/>
      <c r="AD309" s="152"/>
      <c r="AF309" s="171"/>
    </row>
    <row r="310" spans="1:32" ht="15.95" customHeight="1" outlineLevel="1" x14ac:dyDescent="0.3">
      <c r="A310" s="717" t="str">
        <f>IFERROR(INDEX($BF$160:$BF$239,MATCH((ROW()-ROW($C$306))/4+1,$BJ$160:$BJ$239,0),1),"")</f>
        <v/>
      </c>
      <c r="B310" s="717"/>
      <c r="C310" s="901" t="str">
        <f>IFERROR(INDEX($BD$160:$BD$239,MATCH((ROW()-ROW($C$306))/4+1,$BJ$160:$BJ$239,0),1),"")</f>
        <v/>
      </c>
      <c r="D310" s="901"/>
      <c r="E310" s="901"/>
      <c r="F310" s="928" t="str">
        <f>IFERROR(INDEX($BE$160:$BE$239,MATCH((ROW()-ROW($C$306))/4+1,$BJ$160:$BJ$239,0),1),"")</f>
        <v/>
      </c>
      <c r="G310" s="928"/>
      <c r="H310" s="928"/>
      <c r="I310" s="928"/>
      <c r="J310" s="928"/>
      <c r="K310" s="928"/>
      <c r="L310" s="928"/>
      <c r="M310" s="928"/>
      <c r="N310" s="928"/>
      <c r="O310" s="928"/>
      <c r="P310" s="928"/>
      <c r="Q310" s="928"/>
      <c r="R310" s="928"/>
      <c r="S310" s="928"/>
      <c r="T310" s="152"/>
      <c r="U310" s="152"/>
      <c r="V310" s="152"/>
      <c r="W310" s="152"/>
      <c r="X310" s="152"/>
      <c r="Y310" s="152"/>
      <c r="Z310" s="152"/>
      <c r="AA310" s="152"/>
      <c r="AB310" s="152"/>
      <c r="AC310" s="152"/>
      <c r="AD310" s="152"/>
      <c r="AF310" s="171"/>
    </row>
    <row r="311" spans="1:32" ht="15.95" customHeight="1" outlineLevel="1" x14ac:dyDescent="0.3">
      <c r="A311" s="717"/>
      <c r="B311" s="717"/>
      <c r="C311" s="901"/>
      <c r="D311" s="901"/>
      <c r="E311" s="901"/>
      <c r="F311" s="928"/>
      <c r="G311" s="928"/>
      <c r="H311" s="928"/>
      <c r="I311" s="928"/>
      <c r="J311" s="928"/>
      <c r="K311" s="928"/>
      <c r="L311" s="928"/>
      <c r="M311" s="928"/>
      <c r="N311" s="928"/>
      <c r="O311" s="928"/>
      <c r="P311" s="928"/>
      <c r="Q311" s="928"/>
      <c r="R311" s="928"/>
      <c r="S311" s="928"/>
      <c r="T311" s="152"/>
      <c r="U311" s="152"/>
      <c r="V311" s="152"/>
      <c r="W311" s="152"/>
      <c r="X311" s="152"/>
      <c r="Y311" s="152"/>
      <c r="Z311" s="152"/>
      <c r="AA311" s="152"/>
      <c r="AB311" s="152"/>
      <c r="AC311" s="152"/>
      <c r="AD311" s="152"/>
      <c r="AF311" s="171"/>
    </row>
    <row r="312" spans="1:32" ht="15.95" customHeight="1" outlineLevel="1" x14ac:dyDescent="0.3">
      <c r="A312" s="717"/>
      <c r="B312" s="717"/>
      <c r="C312" s="901"/>
      <c r="D312" s="901"/>
      <c r="E312" s="901"/>
      <c r="F312" s="928"/>
      <c r="G312" s="928"/>
      <c r="H312" s="928"/>
      <c r="I312" s="928"/>
      <c r="J312" s="928"/>
      <c r="K312" s="928"/>
      <c r="L312" s="928"/>
      <c r="M312" s="928"/>
      <c r="N312" s="928"/>
      <c r="O312" s="928"/>
      <c r="P312" s="928"/>
      <c r="Q312" s="928"/>
      <c r="R312" s="928"/>
      <c r="S312" s="928"/>
      <c r="T312" s="152"/>
      <c r="U312" s="152"/>
      <c r="V312" s="152"/>
      <c r="W312" s="152"/>
      <c r="X312" s="152"/>
      <c r="Y312" s="152"/>
      <c r="Z312" s="152"/>
      <c r="AA312" s="152"/>
      <c r="AB312" s="152"/>
      <c r="AC312" s="152"/>
      <c r="AD312" s="152"/>
    </row>
    <row r="313" spans="1:32" ht="15.95" customHeight="1" outlineLevel="1" x14ac:dyDescent="0.3">
      <c r="A313" s="717"/>
      <c r="B313" s="717"/>
      <c r="C313" s="901"/>
      <c r="D313" s="901"/>
      <c r="E313" s="901"/>
      <c r="F313" s="928"/>
      <c r="G313" s="928"/>
      <c r="H313" s="928"/>
      <c r="I313" s="928"/>
      <c r="J313" s="928"/>
      <c r="K313" s="928"/>
      <c r="L313" s="928"/>
      <c r="M313" s="928"/>
      <c r="N313" s="928"/>
      <c r="O313" s="928"/>
      <c r="P313" s="928"/>
      <c r="Q313" s="928"/>
      <c r="R313" s="928"/>
      <c r="S313" s="928"/>
      <c r="T313" s="152"/>
      <c r="U313" s="152"/>
      <c r="V313" s="152"/>
      <c r="W313" s="152"/>
      <c r="X313" s="152"/>
      <c r="Y313" s="152"/>
      <c r="Z313" s="152"/>
      <c r="AA313" s="152"/>
      <c r="AB313" s="152"/>
      <c r="AC313" s="152"/>
      <c r="AD313" s="152"/>
    </row>
    <row r="314" spans="1:32" ht="15.95" customHeight="1" outlineLevel="1" x14ac:dyDescent="0.3">
      <c r="A314" s="717" t="str">
        <f>IFERROR(INDEX($BF$160:$BF$239,MATCH((ROW()-ROW($C$306))/4+1,$BJ$160:$BJ$239,0),1),"")</f>
        <v/>
      </c>
      <c r="B314" s="717"/>
      <c r="C314" s="901" t="str">
        <f>IFERROR(INDEX($BD$160:$BD$239,MATCH((ROW()-ROW($C$306))/4+1,$BJ$160:$BJ$239,0),1),"")</f>
        <v/>
      </c>
      <c r="D314" s="901"/>
      <c r="E314" s="901"/>
      <c r="F314" s="928" t="str">
        <f>IFERROR(INDEX($BE$160:$BE$239,MATCH((ROW()-ROW($C$306))/4+1,$BJ$160:$BJ$239,0),1),"")</f>
        <v/>
      </c>
      <c r="G314" s="928"/>
      <c r="H314" s="928"/>
      <c r="I314" s="928"/>
      <c r="J314" s="928"/>
      <c r="K314" s="928"/>
      <c r="L314" s="928"/>
      <c r="M314" s="928"/>
      <c r="N314" s="928"/>
      <c r="O314" s="928"/>
      <c r="P314" s="928"/>
      <c r="Q314" s="928"/>
      <c r="R314" s="928"/>
      <c r="S314" s="928"/>
      <c r="T314" s="152"/>
      <c r="U314" s="152"/>
      <c r="V314" s="152"/>
      <c r="W314" s="152"/>
      <c r="X314" s="152"/>
      <c r="Y314" s="152"/>
      <c r="Z314" s="152"/>
      <c r="AA314" s="152"/>
      <c r="AB314" s="152"/>
      <c r="AC314" s="152"/>
      <c r="AD314" s="152"/>
    </row>
    <row r="315" spans="1:32" ht="15.95" customHeight="1" outlineLevel="1" x14ac:dyDescent="0.3">
      <c r="A315" s="717"/>
      <c r="B315" s="717"/>
      <c r="C315" s="901"/>
      <c r="D315" s="901"/>
      <c r="E315" s="901"/>
      <c r="F315" s="928"/>
      <c r="G315" s="928"/>
      <c r="H315" s="928"/>
      <c r="I315" s="928"/>
      <c r="J315" s="928"/>
      <c r="K315" s="928"/>
      <c r="L315" s="928"/>
      <c r="M315" s="928"/>
      <c r="N315" s="928"/>
      <c r="O315" s="928"/>
      <c r="P315" s="928"/>
      <c r="Q315" s="928"/>
      <c r="R315" s="928"/>
      <c r="S315" s="928"/>
      <c r="T315" s="152"/>
      <c r="U315" s="152"/>
      <c r="V315" s="152"/>
      <c r="W315" s="152"/>
      <c r="X315" s="152"/>
      <c r="Y315" s="152"/>
      <c r="Z315" s="152"/>
      <c r="AA315" s="152"/>
      <c r="AB315" s="152"/>
      <c r="AC315" s="152"/>
      <c r="AD315" s="152"/>
    </row>
    <row r="316" spans="1:32" ht="15.95" customHeight="1" outlineLevel="1" x14ac:dyDescent="0.3">
      <c r="A316" s="717"/>
      <c r="B316" s="717"/>
      <c r="C316" s="901"/>
      <c r="D316" s="901"/>
      <c r="E316" s="901"/>
      <c r="F316" s="928"/>
      <c r="G316" s="928"/>
      <c r="H316" s="928"/>
      <c r="I316" s="928"/>
      <c r="J316" s="928"/>
      <c r="K316" s="928"/>
      <c r="L316" s="928"/>
      <c r="M316" s="928"/>
      <c r="N316" s="928"/>
      <c r="O316" s="928"/>
      <c r="P316" s="928"/>
      <c r="Q316" s="928"/>
      <c r="R316" s="928"/>
      <c r="S316" s="928"/>
      <c r="T316" s="152"/>
      <c r="U316" s="152"/>
      <c r="V316" s="152"/>
      <c r="W316" s="152"/>
      <c r="X316" s="152"/>
      <c r="Y316" s="152"/>
      <c r="Z316" s="152"/>
      <c r="AA316" s="152"/>
      <c r="AB316" s="152"/>
      <c r="AC316" s="152"/>
      <c r="AD316" s="152"/>
    </row>
    <row r="317" spans="1:32" ht="15.95" customHeight="1" outlineLevel="1" x14ac:dyDescent="0.3">
      <c r="A317" s="717"/>
      <c r="B317" s="717"/>
      <c r="C317" s="901"/>
      <c r="D317" s="901"/>
      <c r="E317" s="901"/>
      <c r="F317" s="928"/>
      <c r="G317" s="928"/>
      <c r="H317" s="928"/>
      <c r="I317" s="928"/>
      <c r="J317" s="928"/>
      <c r="K317" s="928"/>
      <c r="L317" s="928"/>
      <c r="M317" s="928"/>
      <c r="N317" s="928"/>
      <c r="O317" s="928"/>
      <c r="P317" s="928"/>
      <c r="Q317" s="928"/>
      <c r="R317" s="928"/>
      <c r="S317" s="928"/>
      <c r="T317" s="152"/>
      <c r="U317" s="152"/>
      <c r="V317" s="152"/>
      <c r="W317" s="152"/>
      <c r="X317" s="152"/>
      <c r="Y317" s="152"/>
      <c r="Z317" s="152"/>
      <c r="AA317" s="152"/>
      <c r="AB317" s="152"/>
      <c r="AC317" s="152"/>
      <c r="AD317" s="152"/>
    </row>
    <row r="318" spans="1:32" ht="15.95" customHeight="1" outlineLevel="1" x14ac:dyDescent="0.3">
      <c r="A318" s="717" t="str">
        <f>IFERROR(INDEX($BF$160:$BF$239,MATCH((ROW()-ROW($C$306))/4+1,$BJ$160:$BJ$239,0),1),"")</f>
        <v/>
      </c>
      <c r="B318" s="717"/>
      <c r="C318" s="901" t="str">
        <f>IFERROR(INDEX($BD$160:$BD$239,MATCH((ROW()-ROW($C$306))/4+1,$BJ$160:$BJ$239,0),1),"")</f>
        <v/>
      </c>
      <c r="D318" s="901"/>
      <c r="E318" s="901"/>
      <c r="F318" s="928" t="str">
        <f>IFERROR(INDEX($BE$160:$BE$239,MATCH((ROW()-ROW($C$306))/4+1,$BJ$160:$BJ$239,0),1),"")</f>
        <v/>
      </c>
      <c r="G318" s="928"/>
      <c r="H318" s="928"/>
      <c r="I318" s="928"/>
      <c r="J318" s="928"/>
      <c r="K318" s="928"/>
      <c r="L318" s="928"/>
      <c r="M318" s="928"/>
      <c r="N318" s="928"/>
      <c r="O318" s="928"/>
      <c r="P318" s="928"/>
      <c r="Q318" s="928"/>
      <c r="R318" s="928"/>
      <c r="S318" s="928"/>
      <c r="T318" s="152"/>
      <c r="U318" s="152"/>
      <c r="V318" s="200"/>
      <c r="W318" s="200"/>
      <c r="X318" s="200"/>
      <c r="Y318" s="200"/>
      <c r="Z318" s="200"/>
      <c r="AA318" s="200"/>
      <c r="AB318" s="200"/>
      <c r="AC318" s="200"/>
      <c r="AD318" s="200"/>
    </row>
    <row r="319" spans="1:32" ht="15.95" customHeight="1" outlineLevel="1" x14ac:dyDescent="0.3">
      <c r="A319" s="717"/>
      <c r="B319" s="717"/>
      <c r="C319" s="901"/>
      <c r="D319" s="901"/>
      <c r="E319" s="901"/>
      <c r="F319" s="928"/>
      <c r="G319" s="928"/>
      <c r="H319" s="928"/>
      <c r="I319" s="928"/>
      <c r="J319" s="928"/>
      <c r="K319" s="928"/>
      <c r="L319" s="928"/>
      <c r="M319" s="928"/>
      <c r="N319" s="928"/>
      <c r="O319" s="928"/>
      <c r="P319" s="928"/>
      <c r="Q319" s="928"/>
      <c r="R319" s="928"/>
      <c r="S319" s="928"/>
      <c r="T319" s="152"/>
      <c r="U319" s="152"/>
      <c r="V319" s="200"/>
      <c r="W319" s="200"/>
      <c r="X319" s="200"/>
      <c r="Y319" s="200"/>
      <c r="Z319" s="200"/>
      <c r="AA319" s="200"/>
      <c r="AB319" s="200"/>
      <c r="AC319" s="200"/>
      <c r="AD319" s="200"/>
    </row>
    <row r="320" spans="1:32" ht="15.95" customHeight="1" outlineLevel="1" x14ac:dyDescent="0.3">
      <c r="A320" s="717"/>
      <c r="B320" s="717"/>
      <c r="C320" s="901"/>
      <c r="D320" s="901"/>
      <c r="E320" s="901"/>
      <c r="F320" s="928"/>
      <c r="G320" s="928"/>
      <c r="H320" s="928"/>
      <c r="I320" s="928"/>
      <c r="J320" s="928"/>
      <c r="K320" s="928"/>
      <c r="L320" s="928"/>
      <c r="M320" s="928"/>
      <c r="N320" s="928"/>
      <c r="O320" s="928"/>
      <c r="P320" s="928"/>
      <c r="Q320" s="928"/>
      <c r="R320" s="928"/>
      <c r="S320" s="928"/>
      <c r="T320" s="152"/>
      <c r="U320" s="152"/>
      <c r="V320" s="200"/>
      <c r="W320" s="200"/>
      <c r="X320" s="200"/>
      <c r="Y320" s="200"/>
      <c r="Z320" s="200"/>
      <c r="AA320" s="200"/>
      <c r="AB320" s="200"/>
      <c r="AC320" s="200"/>
      <c r="AD320" s="200"/>
    </row>
    <row r="321" spans="1:30" ht="15.95" customHeight="1" outlineLevel="1" x14ac:dyDescent="0.3">
      <c r="A321" s="717"/>
      <c r="B321" s="717"/>
      <c r="C321" s="901"/>
      <c r="D321" s="901"/>
      <c r="E321" s="901"/>
      <c r="F321" s="928"/>
      <c r="G321" s="928"/>
      <c r="H321" s="928"/>
      <c r="I321" s="928"/>
      <c r="J321" s="928"/>
      <c r="K321" s="928"/>
      <c r="L321" s="928"/>
      <c r="M321" s="928"/>
      <c r="N321" s="928"/>
      <c r="O321" s="928"/>
      <c r="P321" s="928"/>
      <c r="Q321" s="928"/>
      <c r="R321" s="928"/>
      <c r="S321" s="928"/>
      <c r="T321" s="152"/>
      <c r="U321" s="152"/>
      <c r="V321" s="200"/>
      <c r="W321" s="200"/>
      <c r="X321" s="200"/>
      <c r="Y321" s="200"/>
      <c r="Z321" s="200"/>
      <c r="AA321" s="200"/>
      <c r="AB321" s="200"/>
      <c r="AC321" s="200"/>
      <c r="AD321" s="200"/>
    </row>
    <row r="322" spans="1:30" ht="15.95" customHeight="1" outlineLevel="1" x14ac:dyDescent="0.3">
      <c r="A322" s="717" t="str">
        <f>IFERROR(INDEX($BF$160:$BF$239,MATCH((ROW()-ROW($C$306))/4+1,$BJ$160:$BJ$239,0),1),"")</f>
        <v/>
      </c>
      <c r="B322" s="717"/>
      <c r="C322" s="901" t="str">
        <f>IFERROR(INDEX($BD$160:$BD$239,MATCH((ROW()-ROW($C$306))/4+1,$BJ$160:$BJ$239,0),1),"")</f>
        <v/>
      </c>
      <c r="D322" s="901"/>
      <c r="E322" s="901"/>
      <c r="F322" s="928" t="str">
        <f>IFERROR(INDEX($BE$160:$BE$239,MATCH((ROW()-ROW($C$306))/4+1,$BJ$160:$BJ$239,0),1),"")</f>
        <v/>
      </c>
      <c r="G322" s="928"/>
      <c r="H322" s="928"/>
      <c r="I322" s="928"/>
      <c r="J322" s="928"/>
      <c r="K322" s="928"/>
      <c r="L322" s="928"/>
      <c r="M322" s="928"/>
      <c r="N322" s="928"/>
      <c r="O322" s="928"/>
      <c r="P322" s="928"/>
      <c r="Q322" s="928"/>
      <c r="R322" s="928"/>
      <c r="S322" s="928"/>
      <c r="T322" s="152"/>
      <c r="U322" s="152"/>
      <c r="V322" s="200"/>
      <c r="W322" s="200"/>
      <c r="X322" s="200"/>
      <c r="Y322" s="200"/>
      <c r="Z322" s="200"/>
      <c r="AA322" s="200"/>
      <c r="AB322" s="200"/>
      <c r="AC322" s="200"/>
      <c r="AD322" s="200"/>
    </row>
    <row r="323" spans="1:30" ht="15.95" customHeight="1" outlineLevel="1" x14ac:dyDescent="0.3">
      <c r="A323" s="717"/>
      <c r="B323" s="717"/>
      <c r="C323" s="901"/>
      <c r="D323" s="901"/>
      <c r="E323" s="901"/>
      <c r="F323" s="928"/>
      <c r="G323" s="928"/>
      <c r="H323" s="928"/>
      <c r="I323" s="928"/>
      <c r="J323" s="928"/>
      <c r="K323" s="928"/>
      <c r="L323" s="928"/>
      <c r="M323" s="928"/>
      <c r="N323" s="928"/>
      <c r="O323" s="928"/>
      <c r="P323" s="928"/>
      <c r="Q323" s="928"/>
      <c r="R323" s="928"/>
      <c r="S323" s="928"/>
      <c r="T323" s="152"/>
      <c r="U323" s="152"/>
      <c r="V323" s="200"/>
      <c r="W323" s="200"/>
      <c r="X323" s="200"/>
      <c r="Y323" s="200"/>
      <c r="Z323" s="200"/>
      <c r="AA323" s="200"/>
      <c r="AB323" s="200"/>
      <c r="AC323" s="200"/>
      <c r="AD323" s="200"/>
    </row>
    <row r="324" spans="1:30" ht="15.95" customHeight="1" outlineLevel="1" x14ac:dyDescent="0.3">
      <c r="A324" s="717"/>
      <c r="B324" s="717"/>
      <c r="C324" s="901"/>
      <c r="D324" s="901"/>
      <c r="E324" s="901"/>
      <c r="F324" s="928"/>
      <c r="G324" s="928"/>
      <c r="H324" s="928"/>
      <c r="I324" s="928"/>
      <c r="J324" s="928"/>
      <c r="K324" s="928"/>
      <c r="L324" s="928"/>
      <c r="M324" s="928"/>
      <c r="N324" s="928"/>
      <c r="O324" s="928"/>
      <c r="P324" s="928"/>
      <c r="Q324" s="928"/>
      <c r="R324" s="928"/>
      <c r="S324" s="928"/>
      <c r="T324" s="152"/>
      <c r="U324" s="152"/>
      <c r="V324" s="200"/>
      <c r="W324" s="200"/>
      <c r="X324" s="200"/>
      <c r="Y324" s="200"/>
      <c r="Z324" s="200"/>
      <c r="AA324" s="200"/>
      <c r="AB324" s="200"/>
      <c r="AC324" s="200"/>
      <c r="AD324" s="200"/>
    </row>
    <row r="325" spans="1:30" ht="15.95" customHeight="1" outlineLevel="1" x14ac:dyDescent="0.3">
      <c r="A325" s="717"/>
      <c r="B325" s="717"/>
      <c r="C325" s="901"/>
      <c r="D325" s="901"/>
      <c r="E325" s="901"/>
      <c r="F325" s="928"/>
      <c r="G325" s="928"/>
      <c r="H325" s="928"/>
      <c r="I325" s="928"/>
      <c r="J325" s="928"/>
      <c r="K325" s="928"/>
      <c r="L325" s="928"/>
      <c r="M325" s="928"/>
      <c r="N325" s="928"/>
      <c r="O325" s="928"/>
      <c r="P325" s="928"/>
      <c r="Q325" s="928"/>
      <c r="R325" s="928"/>
      <c r="S325" s="928"/>
      <c r="T325" s="152"/>
      <c r="U325" s="152"/>
      <c r="V325" s="200"/>
      <c r="W325" s="200"/>
      <c r="X325" s="200"/>
      <c r="Y325" s="200"/>
      <c r="Z325" s="200"/>
      <c r="AA325" s="200"/>
      <c r="AB325" s="200"/>
      <c r="AC325" s="200"/>
      <c r="AD325" s="200"/>
    </row>
    <row r="326" spans="1:30" ht="15.95" customHeight="1" outlineLevel="1" x14ac:dyDescent="0.3">
      <c r="A326" s="717" t="str">
        <f>IFERROR(INDEX($BF$160:$BF$239,MATCH((ROW()-ROW($C$306))/4+1,$BJ$160:$BJ$239,0),1),"")</f>
        <v/>
      </c>
      <c r="B326" s="717"/>
      <c r="C326" s="901" t="str">
        <f>IFERROR(INDEX($BD$160:$BD$239,MATCH((ROW()-ROW($C$306))/4+1,$BJ$160:$BJ$239,0),1),"")</f>
        <v/>
      </c>
      <c r="D326" s="901"/>
      <c r="E326" s="901"/>
      <c r="F326" s="928" t="str">
        <f>IFERROR(INDEX($BE$160:$BE$239,MATCH((ROW()-ROW($C$306))/4+1,$BJ$160:$BJ$239,0),1),"")</f>
        <v/>
      </c>
      <c r="G326" s="928"/>
      <c r="H326" s="928"/>
      <c r="I326" s="928"/>
      <c r="J326" s="928"/>
      <c r="K326" s="928"/>
      <c r="L326" s="928"/>
      <c r="M326" s="928"/>
      <c r="N326" s="928"/>
      <c r="O326" s="928"/>
      <c r="P326" s="928"/>
      <c r="Q326" s="928"/>
      <c r="R326" s="928"/>
      <c r="S326" s="928"/>
      <c r="T326" s="152"/>
      <c r="U326" s="152"/>
      <c r="V326" s="200"/>
      <c r="W326" s="200"/>
      <c r="X326" s="200"/>
      <c r="Y326" s="200"/>
      <c r="Z326" s="200"/>
      <c r="AA326" s="200"/>
      <c r="AB326" s="200"/>
      <c r="AC326" s="200"/>
      <c r="AD326" s="200"/>
    </row>
    <row r="327" spans="1:30" ht="15.95" customHeight="1" outlineLevel="1" x14ac:dyDescent="0.3">
      <c r="A327" s="717"/>
      <c r="B327" s="717"/>
      <c r="C327" s="901"/>
      <c r="D327" s="901"/>
      <c r="E327" s="901"/>
      <c r="F327" s="928"/>
      <c r="G327" s="928"/>
      <c r="H327" s="928"/>
      <c r="I327" s="928"/>
      <c r="J327" s="928"/>
      <c r="K327" s="928"/>
      <c r="L327" s="928"/>
      <c r="M327" s="928"/>
      <c r="N327" s="928"/>
      <c r="O327" s="928"/>
      <c r="P327" s="928"/>
      <c r="Q327" s="928"/>
      <c r="R327" s="928"/>
      <c r="S327" s="928"/>
      <c r="T327" s="152"/>
      <c r="U327" s="152"/>
      <c r="V327" s="200"/>
      <c r="W327" s="200"/>
      <c r="X327" s="200"/>
      <c r="Y327" s="200"/>
      <c r="Z327" s="200"/>
      <c r="AA327" s="200"/>
      <c r="AB327" s="200"/>
      <c r="AC327" s="200"/>
      <c r="AD327" s="200"/>
    </row>
    <row r="328" spans="1:30" ht="15.95" customHeight="1" outlineLevel="1" x14ac:dyDescent="0.3">
      <c r="A328" s="717"/>
      <c r="B328" s="717"/>
      <c r="C328" s="901"/>
      <c r="D328" s="901"/>
      <c r="E328" s="901"/>
      <c r="F328" s="928"/>
      <c r="G328" s="928"/>
      <c r="H328" s="928"/>
      <c r="I328" s="928"/>
      <c r="J328" s="928"/>
      <c r="K328" s="928"/>
      <c r="L328" s="928"/>
      <c r="M328" s="928"/>
      <c r="N328" s="928"/>
      <c r="O328" s="928"/>
      <c r="P328" s="928"/>
      <c r="Q328" s="928"/>
      <c r="R328" s="928"/>
      <c r="S328" s="928"/>
      <c r="T328" s="152"/>
      <c r="U328" s="152"/>
      <c r="V328" s="200"/>
      <c r="W328" s="200"/>
      <c r="X328" s="200"/>
      <c r="Y328" s="200"/>
      <c r="Z328" s="200"/>
      <c r="AA328" s="200"/>
      <c r="AB328" s="200"/>
      <c r="AC328" s="200"/>
      <c r="AD328" s="200"/>
    </row>
    <row r="329" spans="1:30" ht="15.95" customHeight="1" outlineLevel="1" x14ac:dyDescent="0.3">
      <c r="A329" s="717"/>
      <c r="B329" s="717"/>
      <c r="C329" s="901"/>
      <c r="D329" s="901"/>
      <c r="E329" s="901"/>
      <c r="F329" s="928"/>
      <c r="G329" s="928"/>
      <c r="H329" s="928"/>
      <c r="I329" s="928"/>
      <c r="J329" s="928"/>
      <c r="K329" s="928"/>
      <c r="L329" s="928"/>
      <c r="M329" s="928"/>
      <c r="N329" s="928"/>
      <c r="O329" s="928"/>
      <c r="P329" s="928"/>
      <c r="Q329" s="928"/>
      <c r="R329" s="928"/>
      <c r="S329" s="928"/>
      <c r="T329" s="152"/>
      <c r="U329" s="152"/>
      <c r="V329" s="152"/>
      <c r="W329" s="152"/>
      <c r="X329" s="152"/>
      <c r="Y329" s="152"/>
      <c r="Z329" s="152"/>
      <c r="AA329" s="152"/>
      <c r="AB329" s="152"/>
      <c r="AC329" s="152"/>
      <c r="AD329" s="152"/>
    </row>
    <row r="330" spans="1:30" ht="15.95" customHeight="1" outlineLevel="1" x14ac:dyDescent="0.3">
      <c r="A330" s="717" t="str">
        <f>IFERROR(INDEX($BF$160:$BF$239,MATCH((ROW()-ROW($C$306))/4+1,$BJ$160:$BJ$239,0),1),"")</f>
        <v/>
      </c>
      <c r="B330" s="717"/>
      <c r="C330" s="901" t="str">
        <f>IFERROR(INDEX($BD$160:$BD$239,MATCH((ROW()-ROW($C$306))/4+1,$BJ$160:$BJ$239,0),1),"")</f>
        <v/>
      </c>
      <c r="D330" s="901"/>
      <c r="E330" s="901"/>
      <c r="F330" s="928" t="str">
        <f>IFERROR(INDEX($BE$160:$BE$239,MATCH((ROW()-ROW($C$306))/4+1,$BJ$160:$BJ$239,0),1),"")</f>
        <v/>
      </c>
      <c r="G330" s="928"/>
      <c r="H330" s="928"/>
      <c r="I330" s="928"/>
      <c r="J330" s="928"/>
      <c r="K330" s="928"/>
      <c r="L330" s="928"/>
      <c r="M330" s="928"/>
      <c r="N330" s="928"/>
      <c r="O330" s="928"/>
      <c r="P330" s="928"/>
      <c r="Q330" s="928"/>
      <c r="R330" s="928"/>
      <c r="S330" s="928"/>
      <c r="T330" s="152"/>
      <c r="U330" s="152"/>
      <c r="V330" s="152"/>
      <c r="W330" s="152"/>
      <c r="X330" s="152"/>
      <c r="Y330" s="152"/>
      <c r="Z330" s="152"/>
      <c r="AA330" s="152"/>
      <c r="AB330" s="152"/>
      <c r="AC330" s="152"/>
      <c r="AD330" s="152"/>
    </row>
    <row r="331" spans="1:30" ht="15.95" customHeight="1" outlineLevel="1" x14ac:dyDescent="0.3">
      <c r="A331" s="717"/>
      <c r="B331" s="717"/>
      <c r="C331" s="901"/>
      <c r="D331" s="901"/>
      <c r="E331" s="901"/>
      <c r="F331" s="928"/>
      <c r="G331" s="928"/>
      <c r="H331" s="928"/>
      <c r="I331" s="928"/>
      <c r="J331" s="928"/>
      <c r="K331" s="928"/>
      <c r="L331" s="928"/>
      <c r="M331" s="928"/>
      <c r="N331" s="928"/>
      <c r="O331" s="928"/>
      <c r="P331" s="928"/>
      <c r="Q331" s="928"/>
      <c r="R331" s="928"/>
      <c r="S331" s="928"/>
      <c r="T331" s="152"/>
      <c r="U331" s="152"/>
      <c r="V331" s="152"/>
      <c r="W331" s="152"/>
      <c r="X331" s="152"/>
      <c r="Y331" s="152"/>
      <c r="Z331" s="152"/>
      <c r="AA331" s="152"/>
      <c r="AB331" s="152"/>
      <c r="AC331" s="152"/>
      <c r="AD331" s="152"/>
    </row>
    <row r="332" spans="1:30" ht="15.95" customHeight="1" outlineLevel="1" x14ac:dyDescent="0.3">
      <c r="A332" s="717"/>
      <c r="B332" s="717"/>
      <c r="C332" s="901"/>
      <c r="D332" s="901"/>
      <c r="E332" s="901"/>
      <c r="F332" s="928"/>
      <c r="G332" s="928"/>
      <c r="H332" s="928"/>
      <c r="I332" s="928"/>
      <c r="J332" s="928"/>
      <c r="K332" s="928"/>
      <c r="L332" s="928"/>
      <c r="M332" s="928"/>
      <c r="N332" s="928"/>
      <c r="O332" s="928"/>
      <c r="P332" s="928"/>
      <c r="Q332" s="928"/>
      <c r="R332" s="928"/>
      <c r="S332" s="928"/>
      <c r="T332" s="152"/>
      <c r="U332" s="152"/>
      <c r="V332" s="152"/>
      <c r="W332" s="152"/>
      <c r="X332" s="152"/>
      <c r="Y332" s="152"/>
      <c r="Z332" s="152"/>
      <c r="AA332" s="152"/>
      <c r="AB332" s="152"/>
      <c r="AC332" s="152"/>
      <c r="AD332" s="152"/>
    </row>
    <row r="333" spans="1:30" ht="15.95" customHeight="1" outlineLevel="1" x14ac:dyDescent="0.3">
      <c r="A333" s="717"/>
      <c r="B333" s="717"/>
      <c r="C333" s="901"/>
      <c r="D333" s="901"/>
      <c r="E333" s="901"/>
      <c r="F333" s="928"/>
      <c r="G333" s="928"/>
      <c r="H333" s="928"/>
      <c r="I333" s="928"/>
      <c r="J333" s="928"/>
      <c r="K333" s="928"/>
      <c r="L333" s="928"/>
      <c r="M333" s="928"/>
      <c r="N333" s="928"/>
      <c r="O333" s="928"/>
      <c r="P333" s="928"/>
      <c r="Q333" s="928"/>
      <c r="R333" s="928"/>
      <c r="S333" s="928"/>
      <c r="T333" s="152"/>
      <c r="U333" s="152"/>
      <c r="V333" s="152"/>
      <c r="W333" s="152"/>
      <c r="X333" s="152"/>
      <c r="Y333" s="152"/>
      <c r="Z333" s="152"/>
      <c r="AA333" s="152"/>
      <c r="AB333" s="152"/>
      <c r="AC333" s="152"/>
      <c r="AD333" s="152"/>
    </row>
    <row r="334" spans="1:30" ht="15.95" customHeight="1" outlineLevel="1" x14ac:dyDescent="0.3">
      <c r="A334" s="717" t="str">
        <f>IFERROR(INDEX($BF$160:$BF$239,MATCH((ROW()-ROW($C$306))/4+1,$BJ$160:$BJ$239,0),1),"")</f>
        <v/>
      </c>
      <c r="B334" s="717"/>
      <c r="C334" s="901" t="str">
        <f>IFERROR(INDEX($BD$160:$BD$239,MATCH((ROW()-ROW($C$306))/4+1,$BJ$160:$BJ$239,0),1),"")</f>
        <v/>
      </c>
      <c r="D334" s="901"/>
      <c r="E334" s="901"/>
      <c r="F334" s="928" t="str">
        <f>IFERROR(INDEX($BE$160:$BE$239,MATCH((ROW()-ROW($C$306))/4+1,$BJ$160:$BJ$239,0),1),"")</f>
        <v/>
      </c>
      <c r="G334" s="928"/>
      <c r="H334" s="928"/>
      <c r="I334" s="928"/>
      <c r="J334" s="928"/>
      <c r="K334" s="928"/>
      <c r="L334" s="928"/>
      <c r="M334" s="928"/>
      <c r="N334" s="928"/>
      <c r="O334" s="928"/>
      <c r="P334" s="928"/>
      <c r="Q334" s="928"/>
      <c r="R334" s="928"/>
      <c r="S334" s="928"/>
      <c r="T334" s="152"/>
      <c r="U334" s="152"/>
      <c r="V334" s="152"/>
      <c r="W334" s="152"/>
      <c r="X334" s="152"/>
      <c r="Y334" s="152"/>
      <c r="Z334" s="152"/>
      <c r="AA334" s="152"/>
      <c r="AB334" s="152"/>
      <c r="AC334" s="152"/>
      <c r="AD334" s="152"/>
    </row>
    <row r="335" spans="1:30" ht="15.95" customHeight="1" outlineLevel="1" x14ac:dyDescent="0.3">
      <c r="A335" s="717"/>
      <c r="B335" s="717"/>
      <c r="C335" s="901"/>
      <c r="D335" s="901"/>
      <c r="E335" s="901"/>
      <c r="F335" s="928"/>
      <c r="G335" s="928"/>
      <c r="H335" s="928"/>
      <c r="I335" s="928"/>
      <c r="J335" s="928"/>
      <c r="K335" s="928"/>
      <c r="L335" s="928"/>
      <c r="M335" s="928"/>
      <c r="N335" s="928"/>
      <c r="O335" s="928"/>
      <c r="P335" s="928"/>
      <c r="Q335" s="928"/>
      <c r="R335" s="928"/>
      <c r="S335" s="928"/>
      <c r="T335" s="152"/>
      <c r="U335" s="152"/>
      <c r="V335" s="152"/>
      <c r="W335" s="152"/>
      <c r="X335" s="152"/>
      <c r="Y335" s="152"/>
      <c r="Z335" s="152"/>
      <c r="AA335" s="152"/>
      <c r="AB335" s="152"/>
      <c r="AC335" s="152"/>
      <c r="AD335" s="152"/>
    </row>
    <row r="336" spans="1:30" ht="15.95" customHeight="1" outlineLevel="1" x14ac:dyDescent="0.3">
      <c r="A336" s="717"/>
      <c r="B336" s="717"/>
      <c r="C336" s="901"/>
      <c r="D336" s="901"/>
      <c r="E336" s="901"/>
      <c r="F336" s="928"/>
      <c r="G336" s="928"/>
      <c r="H336" s="928"/>
      <c r="I336" s="928"/>
      <c r="J336" s="928"/>
      <c r="K336" s="928"/>
      <c r="L336" s="928"/>
      <c r="M336" s="928"/>
      <c r="N336" s="928"/>
      <c r="O336" s="928"/>
      <c r="P336" s="928"/>
      <c r="Q336" s="928"/>
      <c r="R336" s="928"/>
      <c r="S336" s="928"/>
      <c r="T336" s="152"/>
      <c r="U336" s="152"/>
      <c r="V336" s="152"/>
      <c r="W336" s="152"/>
      <c r="X336" s="152"/>
      <c r="Y336" s="152"/>
      <c r="Z336" s="152"/>
      <c r="AA336" s="152"/>
      <c r="AB336" s="152"/>
      <c r="AC336" s="152"/>
      <c r="AD336" s="152"/>
    </row>
    <row r="337" spans="1:30" ht="15.95" customHeight="1" outlineLevel="1" x14ac:dyDescent="0.3">
      <c r="A337" s="717"/>
      <c r="B337" s="717"/>
      <c r="C337" s="901"/>
      <c r="D337" s="901"/>
      <c r="E337" s="901"/>
      <c r="F337" s="928"/>
      <c r="G337" s="928"/>
      <c r="H337" s="928"/>
      <c r="I337" s="928"/>
      <c r="J337" s="928"/>
      <c r="K337" s="928"/>
      <c r="L337" s="928"/>
      <c r="M337" s="928"/>
      <c r="N337" s="928"/>
      <c r="O337" s="928"/>
      <c r="P337" s="928"/>
      <c r="Q337" s="928"/>
      <c r="R337" s="928"/>
      <c r="S337" s="928"/>
      <c r="T337" s="152"/>
      <c r="U337" s="152"/>
      <c r="V337" s="152"/>
      <c r="W337" s="152"/>
      <c r="X337" s="152"/>
      <c r="Y337" s="152"/>
      <c r="Z337" s="152"/>
      <c r="AA337" s="152"/>
      <c r="AB337" s="152"/>
      <c r="AC337" s="152"/>
      <c r="AD337" s="152"/>
    </row>
    <row r="338" spans="1:30" ht="15.95" customHeight="1" outlineLevel="1" x14ac:dyDescent="0.3">
      <c r="A338" s="717" t="str">
        <f>IFERROR(INDEX($BF$160:$BF$239,MATCH((ROW()-ROW($C$306))/4+1,$BJ$160:$BJ$239,0),1),"")</f>
        <v/>
      </c>
      <c r="B338" s="717"/>
      <c r="C338" s="901" t="str">
        <f>IFERROR(INDEX($BD$160:$BD$239,MATCH((ROW()-ROW($C$306))/4+1,$BJ$160:$BJ$239,0),1),"")</f>
        <v/>
      </c>
      <c r="D338" s="901"/>
      <c r="E338" s="901"/>
      <c r="F338" s="928" t="str">
        <f>IFERROR(INDEX($BE$160:$BE$239,MATCH((ROW()-ROW($C$306))/4+1,$BJ$160:$BJ$239,0),1),"")</f>
        <v/>
      </c>
      <c r="G338" s="928"/>
      <c r="H338" s="928"/>
      <c r="I338" s="928"/>
      <c r="J338" s="928"/>
      <c r="K338" s="928"/>
      <c r="L338" s="928"/>
      <c r="M338" s="928"/>
      <c r="N338" s="928"/>
      <c r="O338" s="928"/>
      <c r="P338" s="928"/>
      <c r="Q338" s="928"/>
      <c r="R338" s="928"/>
      <c r="S338" s="928"/>
      <c r="T338" s="152"/>
      <c r="U338" s="152"/>
      <c r="V338" s="152"/>
      <c r="W338" s="152"/>
      <c r="X338" s="152"/>
      <c r="Y338" s="152"/>
      <c r="Z338" s="152"/>
      <c r="AA338" s="152"/>
      <c r="AB338" s="152"/>
      <c r="AC338" s="152"/>
      <c r="AD338" s="152"/>
    </row>
    <row r="339" spans="1:30" ht="15.95" customHeight="1" outlineLevel="1" x14ac:dyDescent="0.3">
      <c r="A339" s="717"/>
      <c r="B339" s="717"/>
      <c r="C339" s="901"/>
      <c r="D339" s="901"/>
      <c r="E339" s="901"/>
      <c r="F339" s="928"/>
      <c r="G339" s="928"/>
      <c r="H339" s="928"/>
      <c r="I339" s="928"/>
      <c r="J339" s="928"/>
      <c r="K339" s="928"/>
      <c r="L339" s="928"/>
      <c r="M339" s="928"/>
      <c r="N339" s="928"/>
      <c r="O339" s="928"/>
      <c r="P339" s="928"/>
      <c r="Q339" s="928"/>
      <c r="R339" s="928"/>
      <c r="S339" s="928"/>
      <c r="T339" s="152"/>
      <c r="U339" s="152"/>
      <c r="V339" s="152"/>
      <c r="W339" s="152"/>
      <c r="X339" s="152"/>
      <c r="Y339" s="152"/>
      <c r="Z339" s="152"/>
      <c r="AA339" s="152"/>
      <c r="AB339" s="152"/>
      <c r="AC339" s="152"/>
      <c r="AD339" s="152"/>
    </row>
    <row r="340" spans="1:30" ht="15.95" customHeight="1" outlineLevel="1" x14ac:dyDescent="0.3">
      <c r="A340" s="717"/>
      <c r="B340" s="717"/>
      <c r="C340" s="901"/>
      <c r="D340" s="901"/>
      <c r="E340" s="901"/>
      <c r="F340" s="928"/>
      <c r="G340" s="928"/>
      <c r="H340" s="928"/>
      <c r="I340" s="928"/>
      <c r="J340" s="928"/>
      <c r="K340" s="928"/>
      <c r="L340" s="928"/>
      <c r="M340" s="928"/>
      <c r="N340" s="928"/>
      <c r="O340" s="928"/>
      <c r="P340" s="928"/>
      <c r="Q340" s="928"/>
      <c r="R340" s="928"/>
      <c r="S340" s="928"/>
      <c r="T340" s="152"/>
      <c r="U340" s="152"/>
      <c r="V340" s="152"/>
      <c r="W340" s="152"/>
      <c r="X340" s="152"/>
      <c r="Y340" s="152"/>
      <c r="Z340" s="152"/>
      <c r="AA340" s="152"/>
      <c r="AB340" s="152"/>
      <c r="AC340" s="152"/>
      <c r="AD340" s="152"/>
    </row>
    <row r="341" spans="1:30" ht="15.95" customHeight="1" outlineLevel="1" x14ac:dyDescent="0.3">
      <c r="A341" s="717"/>
      <c r="B341" s="717"/>
      <c r="C341" s="901"/>
      <c r="D341" s="901"/>
      <c r="E341" s="901"/>
      <c r="F341" s="928"/>
      <c r="G341" s="928"/>
      <c r="H341" s="928"/>
      <c r="I341" s="928"/>
      <c r="J341" s="928"/>
      <c r="K341" s="928"/>
      <c r="L341" s="928"/>
      <c r="M341" s="928"/>
      <c r="N341" s="928"/>
      <c r="O341" s="928"/>
      <c r="P341" s="928"/>
      <c r="Q341" s="928"/>
      <c r="R341" s="928"/>
      <c r="S341" s="928"/>
      <c r="T341" s="152"/>
      <c r="U341" s="152"/>
      <c r="V341" s="152"/>
      <c r="W341" s="152"/>
      <c r="X341" s="152"/>
      <c r="Y341" s="152"/>
      <c r="Z341" s="152"/>
      <c r="AA341" s="152"/>
      <c r="AB341" s="152"/>
      <c r="AC341" s="152"/>
      <c r="AD341" s="152"/>
    </row>
    <row r="342" spans="1:30" ht="15.95" customHeight="1" outlineLevel="1" x14ac:dyDescent="0.3">
      <c r="A342" s="717" t="str">
        <f>IFERROR(INDEX($BF$160:$BF$239,MATCH((ROW()-ROW($C$306))/4+1,$BJ$160:$BJ$239,0),1),"")</f>
        <v/>
      </c>
      <c r="B342" s="717"/>
      <c r="C342" s="901" t="str">
        <f>IFERROR(INDEX($BD$160:$BD$239,MATCH((ROW()-ROW($C$306))/4+1,$BJ$160:$BJ$239,0),1),"")</f>
        <v/>
      </c>
      <c r="D342" s="901"/>
      <c r="E342" s="901"/>
      <c r="F342" s="928" t="str">
        <f>IFERROR(INDEX($BE$160:$BE$239,MATCH((ROW()-ROW($C$306))/4+1,$BJ$160:$BJ$239,0),1),"")</f>
        <v/>
      </c>
      <c r="G342" s="928"/>
      <c r="H342" s="928"/>
      <c r="I342" s="928"/>
      <c r="J342" s="928"/>
      <c r="K342" s="928"/>
      <c r="L342" s="928"/>
      <c r="M342" s="928"/>
      <c r="N342" s="928"/>
      <c r="O342" s="928"/>
      <c r="P342" s="928"/>
      <c r="Q342" s="928"/>
      <c r="R342" s="928"/>
      <c r="S342" s="928"/>
      <c r="T342" s="152"/>
      <c r="U342" s="152"/>
      <c r="V342" s="152"/>
      <c r="W342" s="152"/>
      <c r="X342" s="152"/>
      <c r="Y342" s="152"/>
      <c r="Z342" s="152"/>
      <c r="AA342" s="152"/>
      <c r="AB342" s="152"/>
      <c r="AC342" s="152"/>
      <c r="AD342" s="152"/>
    </row>
    <row r="343" spans="1:30" ht="15.95" customHeight="1" outlineLevel="1" x14ac:dyDescent="0.3">
      <c r="A343" s="717"/>
      <c r="B343" s="717"/>
      <c r="C343" s="901"/>
      <c r="D343" s="901"/>
      <c r="E343" s="901"/>
      <c r="F343" s="928"/>
      <c r="G343" s="928"/>
      <c r="H343" s="928"/>
      <c r="I343" s="928"/>
      <c r="J343" s="928"/>
      <c r="K343" s="928"/>
      <c r="L343" s="928"/>
      <c r="M343" s="928"/>
      <c r="N343" s="928"/>
      <c r="O343" s="928"/>
      <c r="P343" s="928"/>
      <c r="Q343" s="928"/>
      <c r="R343" s="928"/>
      <c r="S343" s="928"/>
      <c r="T343" s="152"/>
      <c r="U343" s="152"/>
      <c r="V343" s="152"/>
      <c r="W343" s="152"/>
      <c r="X343" s="152"/>
      <c r="Y343" s="152"/>
      <c r="Z343" s="152"/>
      <c r="AA343" s="152"/>
      <c r="AB343" s="152"/>
      <c r="AC343" s="152"/>
      <c r="AD343" s="152"/>
    </row>
    <row r="344" spans="1:30" ht="15.95" customHeight="1" outlineLevel="1" x14ac:dyDescent="0.3">
      <c r="A344" s="717"/>
      <c r="B344" s="717"/>
      <c r="C344" s="901"/>
      <c r="D344" s="901"/>
      <c r="E344" s="901"/>
      <c r="F344" s="928"/>
      <c r="G344" s="928"/>
      <c r="H344" s="928"/>
      <c r="I344" s="928"/>
      <c r="J344" s="928"/>
      <c r="K344" s="928"/>
      <c r="L344" s="928"/>
      <c r="M344" s="928"/>
      <c r="N344" s="928"/>
      <c r="O344" s="928"/>
      <c r="P344" s="928"/>
      <c r="Q344" s="928"/>
      <c r="R344" s="928"/>
      <c r="S344" s="928"/>
      <c r="T344" s="152"/>
      <c r="U344" s="152"/>
      <c r="V344" s="152"/>
      <c r="W344" s="152"/>
      <c r="X344" s="152"/>
      <c r="Y344" s="152"/>
      <c r="Z344" s="152"/>
      <c r="AA344" s="152"/>
      <c r="AB344" s="152"/>
      <c r="AC344" s="152"/>
      <c r="AD344" s="152"/>
    </row>
    <row r="345" spans="1:30" ht="15.95" customHeight="1" outlineLevel="1" x14ac:dyDescent="0.3">
      <c r="A345" s="717"/>
      <c r="B345" s="717"/>
      <c r="C345" s="901"/>
      <c r="D345" s="901"/>
      <c r="E345" s="901"/>
      <c r="F345" s="928"/>
      <c r="G345" s="928"/>
      <c r="H345" s="928"/>
      <c r="I345" s="928"/>
      <c r="J345" s="928"/>
      <c r="K345" s="928"/>
      <c r="L345" s="928"/>
      <c r="M345" s="928"/>
      <c r="N345" s="928"/>
      <c r="O345" s="928"/>
      <c r="P345" s="928"/>
      <c r="Q345" s="928"/>
      <c r="R345" s="928"/>
      <c r="S345" s="928"/>
      <c r="T345" s="152"/>
      <c r="U345" s="152"/>
      <c r="V345" s="152"/>
      <c r="W345" s="152"/>
      <c r="X345" s="152"/>
      <c r="Y345" s="152"/>
      <c r="Z345" s="152"/>
      <c r="AA345" s="152"/>
      <c r="AB345" s="152"/>
      <c r="AC345" s="152"/>
      <c r="AD345" s="152"/>
    </row>
    <row r="346" spans="1:30" ht="15.95" customHeight="1" outlineLevel="1" x14ac:dyDescent="0.3">
      <c r="A346" s="717" t="str">
        <f>IFERROR(INDEX($BF$160:$BF$239,MATCH((ROW()-ROW($C$306))/4+1,$BJ$160:$BJ$239,0),1),"")</f>
        <v/>
      </c>
      <c r="B346" s="717"/>
      <c r="C346" s="901" t="str">
        <f>IFERROR(INDEX($BD$160:$BD$239,MATCH((ROW()-ROW($C$306))/4+1,$BJ$160:$BJ$239,0),1),"")</f>
        <v/>
      </c>
      <c r="D346" s="901"/>
      <c r="E346" s="901"/>
      <c r="F346" s="928" t="str">
        <f>IFERROR(INDEX($BE$160:$BE$239,MATCH((ROW()-ROW($C$306))/4+1,$BJ$160:$BJ$239,0),1),"")</f>
        <v/>
      </c>
      <c r="G346" s="928"/>
      <c r="H346" s="928"/>
      <c r="I346" s="928"/>
      <c r="J346" s="928"/>
      <c r="K346" s="928"/>
      <c r="L346" s="928"/>
      <c r="M346" s="928"/>
      <c r="N346" s="928"/>
      <c r="O346" s="928"/>
      <c r="P346" s="928"/>
      <c r="Q346" s="928"/>
      <c r="R346" s="928"/>
      <c r="S346" s="928"/>
      <c r="T346" s="152"/>
      <c r="U346" s="152"/>
      <c r="V346" s="152"/>
      <c r="W346" s="152"/>
      <c r="X346" s="152"/>
      <c r="Y346" s="152"/>
      <c r="Z346" s="152"/>
      <c r="AA346" s="152"/>
      <c r="AB346" s="152"/>
      <c r="AC346" s="152"/>
      <c r="AD346" s="152"/>
    </row>
    <row r="347" spans="1:30" ht="15.95" customHeight="1" outlineLevel="1" x14ac:dyDescent="0.3">
      <c r="A347" s="717"/>
      <c r="B347" s="717"/>
      <c r="C347" s="901"/>
      <c r="D347" s="901"/>
      <c r="E347" s="901"/>
      <c r="F347" s="928"/>
      <c r="G347" s="928"/>
      <c r="H347" s="928"/>
      <c r="I347" s="928"/>
      <c r="J347" s="928"/>
      <c r="K347" s="928"/>
      <c r="L347" s="928"/>
      <c r="M347" s="928"/>
      <c r="N347" s="928"/>
      <c r="O347" s="928"/>
      <c r="P347" s="928"/>
      <c r="Q347" s="928"/>
      <c r="R347" s="928"/>
      <c r="S347" s="928"/>
      <c r="U347" s="152"/>
      <c r="V347" s="152"/>
    </row>
    <row r="348" spans="1:30" ht="15.95" customHeight="1" outlineLevel="1" x14ac:dyDescent="0.3">
      <c r="A348" s="717"/>
      <c r="B348" s="717"/>
      <c r="C348" s="901"/>
      <c r="D348" s="901"/>
      <c r="E348" s="901"/>
      <c r="F348" s="928"/>
      <c r="G348" s="928"/>
      <c r="H348" s="928"/>
      <c r="I348" s="928"/>
      <c r="J348" s="928"/>
      <c r="K348" s="928"/>
      <c r="L348" s="928"/>
      <c r="M348" s="928"/>
      <c r="N348" s="928"/>
      <c r="O348" s="928"/>
      <c r="P348" s="928"/>
      <c r="Q348" s="928"/>
      <c r="R348" s="928"/>
      <c r="S348" s="928"/>
      <c r="U348" s="152"/>
      <c r="V348" s="152"/>
    </row>
    <row r="349" spans="1:30" ht="15.95" customHeight="1" outlineLevel="1" x14ac:dyDescent="0.3">
      <c r="A349" s="717"/>
      <c r="B349" s="717"/>
      <c r="C349" s="901"/>
      <c r="D349" s="901"/>
      <c r="E349" s="901"/>
      <c r="F349" s="928"/>
      <c r="G349" s="928"/>
      <c r="H349" s="928"/>
      <c r="I349" s="928"/>
      <c r="J349" s="928"/>
      <c r="K349" s="928"/>
      <c r="L349" s="928"/>
      <c r="M349" s="928"/>
      <c r="N349" s="928"/>
      <c r="O349" s="928"/>
      <c r="P349" s="928"/>
      <c r="Q349" s="928"/>
      <c r="R349" s="928"/>
      <c r="S349" s="928"/>
      <c r="U349" s="152"/>
      <c r="V349" s="152"/>
    </row>
    <row r="350" spans="1:30" ht="15.95" customHeight="1" outlineLevel="1" x14ac:dyDescent="0.3">
      <c r="A350" s="717" t="str">
        <f>IFERROR(INDEX($BF$160:$BF$239,MATCH((ROW()-ROW($C$306))/4+1,$BJ$160:$BJ$239,0),1),"")</f>
        <v/>
      </c>
      <c r="B350" s="717"/>
      <c r="C350" s="901" t="str">
        <f>IFERROR(INDEX($BD$160:$BD$239,MATCH((ROW()-ROW($C$306))/4+1,$BJ$160:$BJ$239,0),1),"")</f>
        <v/>
      </c>
      <c r="D350" s="901"/>
      <c r="E350" s="901"/>
      <c r="F350" s="928" t="str">
        <f>IFERROR(INDEX($BE$160:$BE$239,MATCH((ROW()-ROW($C$306))/4+1,$BJ$160:$BJ$239,0),1),"")</f>
        <v/>
      </c>
      <c r="G350" s="928"/>
      <c r="H350" s="928"/>
      <c r="I350" s="928"/>
      <c r="J350" s="928"/>
      <c r="K350" s="928"/>
      <c r="L350" s="928"/>
      <c r="M350" s="928"/>
      <c r="N350" s="928"/>
      <c r="O350" s="928"/>
      <c r="P350" s="928"/>
      <c r="Q350" s="928"/>
      <c r="R350" s="928"/>
      <c r="S350" s="928"/>
      <c r="U350" s="152"/>
      <c r="V350" s="152"/>
    </row>
    <row r="351" spans="1:30" ht="15.95" customHeight="1" outlineLevel="1" x14ac:dyDescent="0.3">
      <c r="A351" s="717"/>
      <c r="B351" s="717"/>
      <c r="C351" s="901"/>
      <c r="D351" s="901"/>
      <c r="E351" s="901"/>
      <c r="F351" s="928"/>
      <c r="G351" s="928"/>
      <c r="H351" s="928"/>
      <c r="I351" s="928"/>
      <c r="J351" s="928"/>
      <c r="K351" s="928"/>
      <c r="L351" s="928"/>
      <c r="M351" s="928"/>
      <c r="N351" s="928"/>
      <c r="O351" s="928"/>
      <c r="P351" s="928"/>
      <c r="Q351" s="928"/>
      <c r="R351" s="928"/>
      <c r="S351" s="928"/>
      <c r="U351" s="152"/>
      <c r="V351" s="152"/>
    </row>
    <row r="352" spans="1:30" ht="15.95" customHeight="1" outlineLevel="1" x14ac:dyDescent="0.3">
      <c r="A352" s="717"/>
      <c r="B352" s="717"/>
      <c r="C352" s="901"/>
      <c r="D352" s="901"/>
      <c r="E352" s="901"/>
      <c r="F352" s="928"/>
      <c r="G352" s="928"/>
      <c r="H352" s="928"/>
      <c r="I352" s="928"/>
      <c r="J352" s="928"/>
      <c r="K352" s="928"/>
      <c r="L352" s="928"/>
      <c r="M352" s="928"/>
      <c r="N352" s="928"/>
      <c r="O352" s="928"/>
      <c r="P352" s="928"/>
      <c r="Q352" s="928"/>
      <c r="R352" s="928"/>
      <c r="S352" s="928"/>
      <c r="U352" s="152"/>
      <c r="V352" s="152"/>
    </row>
    <row r="353" spans="1:22" ht="15.95" customHeight="1" outlineLevel="1" x14ac:dyDescent="0.3">
      <c r="A353" s="717"/>
      <c r="B353" s="717"/>
      <c r="C353" s="901"/>
      <c r="D353" s="901"/>
      <c r="E353" s="901"/>
      <c r="F353" s="928"/>
      <c r="G353" s="928"/>
      <c r="H353" s="928"/>
      <c r="I353" s="928"/>
      <c r="J353" s="928"/>
      <c r="K353" s="928"/>
      <c r="L353" s="928"/>
      <c r="M353" s="928"/>
      <c r="N353" s="928"/>
      <c r="O353" s="928"/>
      <c r="P353" s="928"/>
      <c r="Q353" s="928"/>
      <c r="R353" s="928"/>
      <c r="S353" s="928"/>
      <c r="U353" s="152"/>
      <c r="V353" s="152"/>
    </row>
    <row r="354" spans="1:22" ht="15.95" customHeight="1" outlineLevel="1" x14ac:dyDescent="0.3">
      <c r="A354" s="717" t="str">
        <f>IFERROR(INDEX($BF$160:$BF$239,MATCH((ROW()-ROW($C$306))/4+1,$BJ$160:$BJ$239,0),1),"")</f>
        <v/>
      </c>
      <c r="B354" s="717"/>
      <c r="C354" s="901" t="str">
        <f>IFERROR(INDEX($BD$160:$BD$239,MATCH((ROW()-ROW($C$306))/4+1,$BJ$160:$BJ$239,0),1),"")</f>
        <v/>
      </c>
      <c r="D354" s="901"/>
      <c r="E354" s="901"/>
      <c r="F354" s="928" t="str">
        <f>IFERROR(INDEX($BE$160:$BE$239,MATCH((ROW()-ROW($C$306))/4+1,$BJ$160:$BJ$239,0),1),"")</f>
        <v/>
      </c>
      <c r="G354" s="928"/>
      <c r="H354" s="928"/>
      <c r="I354" s="928"/>
      <c r="J354" s="928"/>
      <c r="K354" s="928"/>
      <c r="L354" s="928"/>
      <c r="M354" s="928"/>
      <c r="N354" s="928"/>
      <c r="O354" s="928"/>
      <c r="P354" s="928"/>
      <c r="Q354" s="928"/>
      <c r="R354" s="928"/>
      <c r="S354" s="928"/>
      <c r="U354" s="152"/>
      <c r="V354" s="152"/>
    </row>
    <row r="355" spans="1:22" ht="15.95" customHeight="1" outlineLevel="1" x14ac:dyDescent="0.3">
      <c r="A355" s="717"/>
      <c r="B355" s="717"/>
      <c r="C355" s="901"/>
      <c r="D355" s="901"/>
      <c r="E355" s="901"/>
      <c r="F355" s="928"/>
      <c r="G355" s="928"/>
      <c r="H355" s="928"/>
      <c r="I355" s="928"/>
      <c r="J355" s="928"/>
      <c r="K355" s="928"/>
      <c r="L355" s="928"/>
      <c r="M355" s="928"/>
      <c r="N355" s="928"/>
      <c r="O355" s="928"/>
      <c r="P355" s="928"/>
      <c r="Q355" s="928"/>
      <c r="R355" s="928"/>
      <c r="S355" s="928"/>
      <c r="U355" s="152"/>
      <c r="V355" s="152"/>
    </row>
    <row r="356" spans="1:22" ht="15.95" customHeight="1" outlineLevel="1" collapsed="1" x14ac:dyDescent="0.3">
      <c r="A356" s="717"/>
      <c r="B356" s="717"/>
      <c r="C356" s="901"/>
      <c r="D356" s="901"/>
      <c r="E356" s="901"/>
      <c r="F356" s="928"/>
      <c r="G356" s="928"/>
      <c r="H356" s="928"/>
      <c r="I356" s="928"/>
      <c r="J356" s="928"/>
      <c r="K356" s="928"/>
      <c r="L356" s="928"/>
      <c r="M356" s="928"/>
      <c r="N356" s="928"/>
      <c r="O356" s="928"/>
      <c r="P356" s="928"/>
      <c r="Q356" s="928"/>
      <c r="R356" s="928"/>
      <c r="S356" s="928"/>
      <c r="U356" s="152"/>
      <c r="V356" s="152"/>
    </row>
    <row r="357" spans="1:22" ht="15.95" customHeight="1" outlineLevel="1" x14ac:dyDescent="0.3">
      <c r="A357" s="717"/>
      <c r="B357" s="717"/>
      <c r="C357" s="901"/>
      <c r="D357" s="901"/>
      <c r="E357" s="901"/>
      <c r="F357" s="928"/>
      <c r="G357" s="928"/>
      <c r="H357" s="928"/>
      <c r="I357" s="928"/>
      <c r="J357" s="928"/>
      <c r="K357" s="928"/>
      <c r="L357" s="928"/>
      <c r="M357" s="928"/>
      <c r="N357" s="928"/>
      <c r="O357" s="928"/>
      <c r="P357" s="928"/>
      <c r="Q357" s="928"/>
      <c r="R357" s="928"/>
      <c r="S357" s="928"/>
      <c r="U357" s="152"/>
      <c r="V357" s="152"/>
    </row>
    <row r="358" spans="1:22" ht="15.95" customHeight="1" outlineLevel="1" x14ac:dyDescent="0.3">
      <c r="A358" s="717" t="str">
        <f>IFERROR(INDEX($BF$160:$BF$239,MATCH((ROW()-ROW($C$306))/4+1,$BJ$160:$BJ$239,0),1),"")</f>
        <v/>
      </c>
      <c r="B358" s="717"/>
      <c r="C358" s="901" t="str">
        <f>IFERROR(INDEX($BD$160:$BD$239,MATCH((ROW()-ROW($C$306))/4+1,$BJ$160:$BJ$239,0),1),"")</f>
        <v/>
      </c>
      <c r="D358" s="901"/>
      <c r="E358" s="901"/>
      <c r="F358" s="928" t="str">
        <f>IFERROR(INDEX($BE$160:$BE$239,MATCH((ROW()-ROW($C$306))/4+1,$BJ$160:$BJ$239,0),1),"")</f>
        <v/>
      </c>
      <c r="G358" s="928"/>
      <c r="H358" s="928"/>
      <c r="I358" s="928"/>
      <c r="J358" s="928"/>
      <c r="K358" s="928"/>
      <c r="L358" s="928"/>
      <c r="M358" s="928"/>
      <c r="N358" s="928"/>
      <c r="O358" s="928"/>
      <c r="P358" s="928"/>
      <c r="Q358" s="928"/>
      <c r="R358" s="928"/>
      <c r="S358" s="928"/>
      <c r="U358" s="152"/>
      <c r="V358" s="152"/>
    </row>
    <row r="359" spans="1:22" ht="15.95" customHeight="1" outlineLevel="1" x14ac:dyDescent="0.3">
      <c r="A359" s="717"/>
      <c r="B359" s="717"/>
      <c r="C359" s="901"/>
      <c r="D359" s="901"/>
      <c r="E359" s="901"/>
      <c r="F359" s="928"/>
      <c r="G359" s="928"/>
      <c r="H359" s="928"/>
      <c r="I359" s="928"/>
      <c r="J359" s="928"/>
      <c r="K359" s="928"/>
      <c r="L359" s="928"/>
      <c r="M359" s="928"/>
      <c r="N359" s="928"/>
      <c r="O359" s="928"/>
      <c r="P359" s="928"/>
      <c r="Q359" s="928"/>
      <c r="R359" s="928"/>
      <c r="S359" s="928"/>
    </row>
    <row r="360" spans="1:22" ht="15.95" customHeight="1" outlineLevel="1" x14ac:dyDescent="0.3">
      <c r="A360" s="717"/>
      <c r="B360" s="717"/>
      <c r="C360" s="901"/>
      <c r="D360" s="901"/>
      <c r="E360" s="901"/>
      <c r="F360" s="928"/>
      <c r="G360" s="928"/>
      <c r="H360" s="928"/>
      <c r="I360" s="928"/>
      <c r="J360" s="928"/>
      <c r="K360" s="928"/>
      <c r="L360" s="928"/>
      <c r="M360" s="928"/>
      <c r="N360" s="928"/>
      <c r="O360" s="928"/>
      <c r="P360" s="928"/>
      <c r="Q360" s="928"/>
      <c r="R360" s="928"/>
      <c r="S360" s="928"/>
    </row>
    <row r="361" spans="1:22" ht="15.95" customHeight="1" outlineLevel="1" x14ac:dyDescent="0.3">
      <c r="A361" s="717"/>
      <c r="B361" s="717"/>
      <c r="C361" s="901"/>
      <c r="D361" s="901"/>
      <c r="E361" s="901"/>
      <c r="F361" s="928"/>
      <c r="G361" s="928"/>
      <c r="H361" s="928"/>
      <c r="I361" s="928"/>
      <c r="J361" s="928"/>
      <c r="K361" s="928"/>
      <c r="L361" s="928"/>
      <c r="M361" s="928"/>
      <c r="N361" s="928"/>
      <c r="O361" s="928"/>
      <c r="P361" s="928"/>
      <c r="Q361" s="928"/>
      <c r="R361" s="928"/>
      <c r="S361" s="928"/>
    </row>
    <row r="362" spans="1:22" ht="15.95" customHeight="1" outlineLevel="1" x14ac:dyDescent="0.3">
      <c r="A362" s="717" t="str">
        <f>IFERROR(INDEX($BF$160:$BF$239,MATCH((ROW()-ROW($C$306))/4+1,$BJ$160:$BJ$239,0),1),"")</f>
        <v/>
      </c>
      <c r="B362" s="717"/>
      <c r="C362" s="901" t="str">
        <f>IFERROR(INDEX($BD$160:$BD$239,MATCH((ROW()-ROW($C$306))/4+1,$BJ$160:$BJ$239,0),1),"")</f>
        <v/>
      </c>
      <c r="D362" s="901"/>
      <c r="E362" s="901"/>
      <c r="F362" s="928" t="str">
        <f>IFERROR(INDEX($BE$160:$BE$239,MATCH((ROW()-ROW($C$306))/4+1,$BJ$160:$BJ$239,0),1),"")</f>
        <v/>
      </c>
      <c r="G362" s="928"/>
      <c r="H362" s="928"/>
      <c r="I362" s="928"/>
      <c r="J362" s="928"/>
      <c r="K362" s="928"/>
      <c r="L362" s="928"/>
      <c r="M362" s="928"/>
      <c r="N362" s="928"/>
      <c r="O362" s="928"/>
      <c r="P362" s="928"/>
      <c r="Q362" s="928"/>
      <c r="R362" s="928"/>
      <c r="S362" s="928"/>
    </row>
    <row r="363" spans="1:22" ht="15.95" customHeight="1" outlineLevel="1" x14ac:dyDescent="0.3">
      <c r="A363" s="717"/>
      <c r="B363" s="717"/>
      <c r="C363" s="901"/>
      <c r="D363" s="901"/>
      <c r="E363" s="901"/>
      <c r="F363" s="928"/>
      <c r="G363" s="928"/>
      <c r="H363" s="928"/>
      <c r="I363" s="928"/>
      <c r="J363" s="928"/>
      <c r="K363" s="928"/>
      <c r="L363" s="928"/>
      <c r="M363" s="928"/>
      <c r="N363" s="928"/>
      <c r="O363" s="928"/>
      <c r="P363" s="928"/>
      <c r="Q363" s="928"/>
      <c r="R363" s="928"/>
      <c r="S363" s="928"/>
    </row>
    <row r="364" spans="1:22" ht="15.95" customHeight="1" outlineLevel="1" x14ac:dyDescent="0.3">
      <c r="A364" s="717"/>
      <c r="B364" s="717"/>
      <c r="C364" s="901"/>
      <c r="D364" s="901"/>
      <c r="E364" s="901"/>
      <c r="F364" s="928"/>
      <c r="G364" s="928"/>
      <c r="H364" s="928"/>
      <c r="I364" s="928"/>
      <c r="J364" s="928"/>
      <c r="K364" s="928"/>
      <c r="L364" s="928"/>
      <c r="M364" s="928"/>
      <c r="N364" s="928"/>
      <c r="O364" s="928"/>
      <c r="P364" s="928"/>
      <c r="Q364" s="928"/>
      <c r="R364" s="928"/>
      <c r="S364" s="928"/>
    </row>
    <row r="365" spans="1:22" ht="15.95" customHeight="1" outlineLevel="1" x14ac:dyDescent="0.3">
      <c r="A365" s="717"/>
      <c r="B365" s="717"/>
      <c r="C365" s="901"/>
      <c r="D365" s="901"/>
      <c r="E365" s="901"/>
      <c r="F365" s="928"/>
      <c r="G365" s="928"/>
      <c r="H365" s="928"/>
      <c r="I365" s="928"/>
      <c r="J365" s="928"/>
      <c r="K365" s="928"/>
      <c r="L365" s="928"/>
      <c r="M365" s="928"/>
      <c r="N365" s="928"/>
      <c r="O365" s="928"/>
      <c r="P365" s="928"/>
      <c r="Q365" s="928"/>
      <c r="R365" s="928"/>
      <c r="S365" s="928"/>
    </row>
    <row r="366" spans="1:22" ht="15.95" customHeight="1" outlineLevel="1" x14ac:dyDescent="0.3">
      <c r="A366" s="717" t="str">
        <f>IFERROR(INDEX($BF$160:$BF$239,MATCH((ROW()-ROW($C$306))/4+1,$BJ$160:$BJ$239,0),1),"")</f>
        <v/>
      </c>
      <c r="B366" s="717"/>
      <c r="C366" s="901" t="str">
        <f>IFERROR(INDEX($BD$160:$BD$239,MATCH((ROW()-ROW($C$306))/4+1,$BJ$160:$BJ$239,0),1),"")</f>
        <v/>
      </c>
      <c r="D366" s="901"/>
      <c r="E366" s="901"/>
      <c r="F366" s="928" t="str">
        <f>IFERROR(INDEX($BE$160:$BE$239,MATCH((ROW()-ROW($C$306))/4+1,$BJ$160:$BJ$239,0),1),"")</f>
        <v/>
      </c>
      <c r="G366" s="928"/>
      <c r="H366" s="928"/>
      <c r="I366" s="928"/>
      <c r="J366" s="928"/>
      <c r="K366" s="928"/>
      <c r="L366" s="928"/>
      <c r="M366" s="928"/>
      <c r="N366" s="928"/>
      <c r="O366" s="928"/>
      <c r="P366" s="928"/>
      <c r="Q366" s="928"/>
      <c r="R366" s="928"/>
      <c r="S366" s="928"/>
    </row>
    <row r="367" spans="1:22" ht="15.95" customHeight="1" outlineLevel="1" x14ac:dyDescent="0.3">
      <c r="A367" s="717"/>
      <c r="B367" s="717"/>
      <c r="C367" s="901"/>
      <c r="D367" s="901"/>
      <c r="E367" s="901"/>
      <c r="F367" s="928"/>
      <c r="G367" s="928"/>
      <c r="H367" s="928"/>
      <c r="I367" s="928"/>
      <c r="J367" s="928"/>
      <c r="K367" s="928"/>
      <c r="L367" s="928"/>
      <c r="M367" s="928"/>
      <c r="N367" s="928"/>
      <c r="O367" s="928"/>
      <c r="P367" s="928"/>
      <c r="Q367" s="928"/>
      <c r="R367" s="928"/>
      <c r="S367" s="928"/>
    </row>
    <row r="368" spans="1:22" ht="15.95" customHeight="1" outlineLevel="1" x14ac:dyDescent="0.3">
      <c r="A368" s="717"/>
      <c r="B368" s="717"/>
      <c r="C368" s="901"/>
      <c r="D368" s="901"/>
      <c r="E368" s="901"/>
      <c r="F368" s="928"/>
      <c r="G368" s="928"/>
      <c r="H368" s="928"/>
      <c r="I368" s="928"/>
      <c r="J368" s="928"/>
      <c r="K368" s="928"/>
      <c r="L368" s="928"/>
      <c r="M368" s="928"/>
      <c r="N368" s="928"/>
      <c r="O368" s="928"/>
      <c r="P368" s="928"/>
      <c r="Q368" s="928"/>
      <c r="R368" s="928"/>
      <c r="S368" s="928"/>
    </row>
    <row r="369" spans="1:22" ht="15.95" customHeight="1" outlineLevel="1" x14ac:dyDescent="0.3">
      <c r="A369" s="717"/>
      <c r="B369" s="717"/>
      <c r="C369" s="901"/>
      <c r="D369" s="901"/>
      <c r="E369" s="901"/>
      <c r="F369" s="928"/>
      <c r="G369" s="928"/>
      <c r="H369" s="928"/>
      <c r="I369" s="928"/>
      <c r="J369" s="928"/>
      <c r="K369" s="928"/>
      <c r="L369" s="928"/>
      <c r="M369" s="928"/>
      <c r="N369" s="928"/>
      <c r="O369" s="928"/>
      <c r="P369" s="928"/>
      <c r="Q369" s="928"/>
      <c r="R369" s="928"/>
      <c r="S369" s="928"/>
      <c r="V369" s="152"/>
    </row>
    <row r="370" spans="1:22" ht="15.95" customHeight="1" outlineLevel="1" x14ac:dyDescent="0.3">
      <c r="A370" s="717" t="str">
        <f>IFERROR(INDEX($BF$160:$BF$239,MATCH((ROW()-ROW($C$306))/4+1,$BJ$160:$BJ$239,0),1),"")</f>
        <v/>
      </c>
      <c r="B370" s="717"/>
      <c r="C370" s="901" t="str">
        <f>IFERROR(INDEX($BD$160:$BD$239,MATCH((ROW()-ROW($C$306))/4+1,$BJ$160:$BJ$239,0),1),"")</f>
        <v/>
      </c>
      <c r="D370" s="901"/>
      <c r="E370" s="901"/>
      <c r="F370" s="928" t="str">
        <f>IFERROR(INDEX($BE$160:$BE$239,MATCH((ROW()-ROW($C$306))/4+1,$BJ$160:$BJ$239,0),1),"")</f>
        <v/>
      </c>
      <c r="G370" s="928"/>
      <c r="H370" s="928"/>
      <c r="I370" s="928"/>
      <c r="J370" s="928"/>
      <c r="K370" s="928"/>
      <c r="L370" s="928"/>
      <c r="M370" s="928"/>
      <c r="N370" s="928"/>
      <c r="O370" s="928"/>
      <c r="P370" s="928"/>
      <c r="Q370" s="928"/>
      <c r="R370" s="928"/>
      <c r="S370" s="928"/>
    </row>
    <row r="371" spans="1:22" ht="15.95" customHeight="1" outlineLevel="1" x14ac:dyDescent="0.3">
      <c r="A371" s="717"/>
      <c r="B371" s="717"/>
      <c r="C371" s="901"/>
      <c r="D371" s="901"/>
      <c r="E371" s="901"/>
      <c r="F371" s="928"/>
      <c r="G371" s="928"/>
      <c r="H371" s="928"/>
      <c r="I371" s="928"/>
      <c r="J371" s="928"/>
      <c r="K371" s="928"/>
      <c r="L371" s="928"/>
      <c r="M371" s="928"/>
      <c r="N371" s="928"/>
      <c r="O371" s="928"/>
      <c r="P371" s="928"/>
      <c r="Q371" s="928"/>
      <c r="R371" s="928"/>
      <c r="S371" s="928"/>
    </row>
    <row r="372" spans="1:22" ht="15.95" customHeight="1" outlineLevel="1" x14ac:dyDescent="0.3">
      <c r="A372" s="717"/>
      <c r="B372" s="717"/>
      <c r="C372" s="901"/>
      <c r="D372" s="901"/>
      <c r="E372" s="901"/>
      <c r="F372" s="928"/>
      <c r="G372" s="928"/>
      <c r="H372" s="928"/>
      <c r="I372" s="928"/>
      <c r="J372" s="928"/>
      <c r="K372" s="928"/>
      <c r="L372" s="928"/>
      <c r="M372" s="928"/>
      <c r="N372" s="928"/>
      <c r="O372" s="928"/>
      <c r="P372" s="928"/>
      <c r="Q372" s="928"/>
      <c r="R372" s="928"/>
      <c r="S372" s="928"/>
    </row>
    <row r="373" spans="1:22" ht="15.95" customHeight="1" outlineLevel="1" x14ac:dyDescent="0.3">
      <c r="A373" s="717"/>
      <c r="B373" s="717"/>
      <c r="C373" s="901"/>
      <c r="D373" s="901"/>
      <c r="E373" s="901"/>
      <c r="F373" s="928"/>
      <c r="G373" s="928"/>
      <c r="H373" s="928"/>
      <c r="I373" s="928"/>
      <c r="J373" s="928"/>
      <c r="K373" s="928"/>
      <c r="L373" s="928"/>
      <c r="M373" s="928"/>
      <c r="N373" s="928"/>
      <c r="O373" s="928"/>
      <c r="P373" s="928"/>
      <c r="Q373" s="928"/>
      <c r="R373" s="928"/>
      <c r="S373" s="928"/>
    </row>
    <row r="374" spans="1:22" ht="15.95" customHeight="1" outlineLevel="1" x14ac:dyDescent="0.3">
      <c r="A374" s="717" t="str">
        <f>IFERROR(INDEX($BF$160:$BF$239,MATCH((ROW()-ROW($C$306))/4+1,$BJ$160:$BJ$239,0),1),"")</f>
        <v/>
      </c>
      <c r="B374" s="717"/>
      <c r="C374" s="901" t="str">
        <f>IFERROR(INDEX($BD$160:$BD$239,MATCH((ROW()-ROW($C$306))/4+1,$BJ$160:$BJ$239,0),1),"")</f>
        <v/>
      </c>
      <c r="D374" s="901"/>
      <c r="E374" s="901"/>
      <c r="F374" s="928" t="str">
        <f>IFERROR(INDEX($BE$160:$BE$239,MATCH((ROW()-ROW($C$306))/4+1,$BJ$160:$BJ$239,0),1),"")</f>
        <v/>
      </c>
      <c r="G374" s="928"/>
      <c r="H374" s="928"/>
      <c r="I374" s="928"/>
      <c r="J374" s="928"/>
      <c r="K374" s="928"/>
      <c r="L374" s="928"/>
      <c r="M374" s="928"/>
      <c r="N374" s="928"/>
      <c r="O374" s="928"/>
      <c r="P374" s="928"/>
      <c r="Q374" s="928"/>
      <c r="R374" s="928"/>
      <c r="S374" s="928"/>
    </row>
    <row r="375" spans="1:22" ht="15.95" customHeight="1" outlineLevel="1" x14ac:dyDescent="0.3">
      <c r="A375" s="717"/>
      <c r="B375" s="717"/>
      <c r="C375" s="901"/>
      <c r="D375" s="901"/>
      <c r="E375" s="901"/>
      <c r="F375" s="928"/>
      <c r="G375" s="928"/>
      <c r="H375" s="928"/>
      <c r="I375" s="928"/>
      <c r="J375" s="928"/>
      <c r="K375" s="928"/>
      <c r="L375" s="928"/>
      <c r="M375" s="928"/>
      <c r="N375" s="928"/>
      <c r="O375" s="928"/>
      <c r="P375" s="928"/>
      <c r="Q375" s="928"/>
      <c r="R375" s="928"/>
      <c r="S375" s="928"/>
    </row>
    <row r="376" spans="1:22" ht="15.95" customHeight="1" outlineLevel="1" x14ac:dyDescent="0.3">
      <c r="A376" s="717"/>
      <c r="B376" s="717"/>
      <c r="C376" s="901"/>
      <c r="D376" s="901"/>
      <c r="E376" s="901"/>
      <c r="F376" s="928"/>
      <c r="G376" s="928"/>
      <c r="H376" s="928"/>
      <c r="I376" s="928"/>
      <c r="J376" s="928"/>
      <c r="K376" s="928"/>
      <c r="L376" s="928"/>
      <c r="M376" s="928"/>
      <c r="N376" s="928"/>
      <c r="O376" s="928"/>
      <c r="P376" s="928"/>
      <c r="Q376" s="928"/>
      <c r="R376" s="928"/>
      <c r="S376" s="928"/>
    </row>
    <row r="377" spans="1:22" ht="15.95" customHeight="1" outlineLevel="1" x14ac:dyDescent="0.3">
      <c r="A377" s="717"/>
      <c r="B377" s="717"/>
      <c r="C377" s="901"/>
      <c r="D377" s="901"/>
      <c r="E377" s="901"/>
      <c r="F377" s="928"/>
      <c r="G377" s="928"/>
      <c r="H377" s="928"/>
      <c r="I377" s="928"/>
      <c r="J377" s="928"/>
      <c r="K377" s="928"/>
      <c r="L377" s="928"/>
      <c r="M377" s="928"/>
      <c r="N377" s="928"/>
      <c r="O377" s="928"/>
      <c r="P377" s="928"/>
      <c r="Q377" s="928"/>
      <c r="R377" s="928"/>
      <c r="S377" s="928"/>
    </row>
    <row r="378" spans="1:22" ht="15.95" customHeight="1" outlineLevel="1" x14ac:dyDescent="0.3">
      <c r="A378" s="717" t="str">
        <f>IFERROR(INDEX($BF$160:$BF$239,MATCH((ROW()-ROW($C$306))/4+1,$BJ$160:$BJ$239,0),1),"")</f>
        <v/>
      </c>
      <c r="B378" s="717"/>
      <c r="C378" s="901" t="str">
        <f>IFERROR(INDEX($BD$160:$BD$239,MATCH((ROW()-ROW($C$306))/4+1,$BJ$160:$BJ$239,0),1),"")</f>
        <v/>
      </c>
      <c r="D378" s="901"/>
      <c r="E378" s="901"/>
      <c r="F378" s="928" t="str">
        <f>IFERROR(INDEX($BE$160:$BE$239,MATCH((ROW()-ROW($C$306))/4+1,$BJ$160:$BJ$239,0),1),"")</f>
        <v/>
      </c>
      <c r="G378" s="928"/>
      <c r="H378" s="928"/>
      <c r="I378" s="928"/>
      <c r="J378" s="928"/>
      <c r="K378" s="928"/>
      <c r="L378" s="928"/>
      <c r="M378" s="928"/>
      <c r="N378" s="928"/>
      <c r="O378" s="928"/>
      <c r="P378" s="928"/>
      <c r="Q378" s="928"/>
      <c r="R378" s="928"/>
      <c r="S378" s="928"/>
    </row>
    <row r="379" spans="1:22" ht="15.95" customHeight="1" outlineLevel="1" x14ac:dyDescent="0.3">
      <c r="A379" s="717"/>
      <c r="B379" s="717"/>
      <c r="C379" s="901"/>
      <c r="D379" s="901"/>
      <c r="E379" s="901"/>
      <c r="F379" s="928"/>
      <c r="G379" s="928"/>
      <c r="H379" s="928"/>
      <c r="I379" s="928"/>
      <c r="J379" s="928"/>
      <c r="K379" s="928"/>
      <c r="L379" s="928"/>
      <c r="M379" s="928"/>
      <c r="N379" s="928"/>
      <c r="O379" s="928"/>
      <c r="P379" s="928"/>
      <c r="Q379" s="928"/>
      <c r="R379" s="928"/>
      <c r="S379" s="928"/>
    </row>
    <row r="380" spans="1:22" ht="15.95" customHeight="1" outlineLevel="1" x14ac:dyDescent="0.3">
      <c r="A380" s="717"/>
      <c r="B380" s="717"/>
      <c r="C380" s="901"/>
      <c r="D380" s="901"/>
      <c r="E380" s="901"/>
      <c r="F380" s="928"/>
      <c r="G380" s="928"/>
      <c r="H380" s="928"/>
      <c r="I380" s="928"/>
      <c r="J380" s="928"/>
      <c r="K380" s="928"/>
      <c r="L380" s="928"/>
      <c r="M380" s="928"/>
      <c r="N380" s="928"/>
      <c r="O380" s="928"/>
      <c r="P380" s="928"/>
      <c r="Q380" s="928"/>
      <c r="R380" s="928"/>
      <c r="S380" s="928"/>
    </row>
    <row r="381" spans="1:22" ht="15.95" customHeight="1" outlineLevel="1" x14ac:dyDescent="0.3">
      <c r="A381" s="717"/>
      <c r="B381" s="717"/>
      <c r="C381" s="901"/>
      <c r="D381" s="901"/>
      <c r="E381" s="901"/>
      <c r="F381" s="928"/>
      <c r="G381" s="928"/>
      <c r="H381" s="928"/>
      <c r="I381" s="928"/>
      <c r="J381" s="928"/>
      <c r="K381" s="928"/>
      <c r="L381" s="928"/>
      <c r="M381" s="928"/>
      <c r="N381" s="928"/>
      <c r="O381" s="928"/>
      <c r="P381" s="928"/>
      <c r="Q381" s="928"/>
      <c r="R381" s="928"/>
      <c r="S381" s="928"/>
    </row>
    <row r="382" spans="1:22" ht="15.95" customHeight="1" outlineLevel="1" x14ac:dyDescent="0.3">
      <c r="A382" s="717" t="str">
        <f>IFERROR(INDEX($BF$160:$BF$239,MATCH((ROW()-ROW($C$306))/4+1,$BJ$160:$BJ$239,0),1),"")</f>
        <v/>
      </c>
      <c r="B382" s="717"/>
      <c r="C382" s="901" t="str">
        <f>IFERROR(INDEX($BD$160:$BD$239,MATCH((ROW()-ROW($C$306))/4+1,$BJ$160:$BJ$239,0),1),"")</f>
        <v/>
      </c>
      <c r="D382" s="901"/>
      <c r="E382" s="901"/>
      <c r="F382" s="928" t="str">
        <f>IFERROR(INDEX($BE$160:$BE$239,MATCH((ROW()-ROW($C$306))/4+1,$BJ$160:$BJ$239,0),1),"")</f>
        <v/>
      </c>
      <c r="G382" s="928"/>
      <c r="H382" s="928"/>
      <c r="I382" s="928"/>
      <c r="J382" s="928"/>
      <c r="K382" s="928"/>
      <c r="L382" s="928"/>
      <c r="M382" s="928"/>
      <c r="N382" s="928"/>
      <c r="O382" s="928"/>
      <c r="P382" s="928"/>
      <c r="Q382" s="928"/>
      <c r="R382" s="928"/>
      <c r="S382" s="928"/>
    </row>
    <row r="383" spans="1:22" ht="15.95" customHeight="1" outlineLevel="1" x14ac:dyDescent="0.3">
      <c r="A383" s="717"/>
      <c r="B383" s="717"/>
      <c r="C383" s="901"/>
      <c r="D383" s="901"/>
      <c r="E383" s="901"/>
      <c r="F383" s="928"/>
      <c r="G383" s="928"/>
      <c r="H383" s="928"/>
      <c r="I383" s="928"/>
      <c r="J383" s="928"/>
      <c r="K383" s="928"/>
      <c r="L383" s="928"/>
      <c r="M383" s="928"/>
      <c r="N383" s="928"/>
      <c r="O383" s="928"/>
      <c r="P383" s="928"/>
      <c r="Q383" s="928"/>
      <c r="R383" s="928"/>
      <c r="S383" s="928"/>
    </row>
    <row r="384" spans="1:22" ht="15.95" customHeight="1" outlineLevel="1" x14ac:dyDescent="0.3">
      <c r="A384" s="717"/>
      <c r="B384" s="717"/>
      <c r="C384" s="901"/>
      <c r="D384" s="901"/>
      <c r="E384" s="901"/>
      <c r="F384" s="928"/>
      <c r="G384" s="928"/>
      <c r="H384" s="928"/>
      <c r="I384" s="928"/>
      <c r="J384" s="928"/>
      <c r="K384" s="928"/>
      <c r="L384" s="928"/>
      <c r="M384" s="928"/>
      <c r="N384" s="928"/>
      <c r="O384" s="928"/>
      <c r="P384" s="928"/>
      <c r="Q384" s="928"/>
      <c r="R384" s="928"/>
      <c r="S384" s="928"/>
    </row>
    <row r="385" spans="1:19" ht="15.95" customHeight="1" outlineLevel="1" x14ac:dyDescent="0.3">
      <c r="A385" s="717"/>
      <c r="B385" s="717"/>
      <c r="C385" s="901"/>
      <c r="D385" s="901"/>
      <c r="E385" s="901"/>
      <c r="F385" s="928"/>
      <c r="G385" s="928"/>
      <c r="H385" s="928"/>
      <c r="I385" s="928"/>
      <c r="J385" s="928"/>
      <c r="K385" s="928"/>
      <c r="L385" s="928"/>
      <c r="M385" s="928"/>
      <c r="N385" s="928"/>
      <c r="O385" s="928"/>
      <c r="P385" s="928"/>
      <c r="Q385" s="928"/>
      <c r="R385" s="928"/>
      <c r="S385" s="928"/>
    </row>
    <row r="386" spans="1:19" ht="15.95" customHeight="1" outlineLevel="1" x14ac:dyDescent="0.3">
      <c r="A386" s="717" t="str">
        <f>IFERROR(INDEX($BF$160:$BF$239,MATCH((ROW()-ROW($C$306))/4+1,$BJ$160:$BJ$239,0),1),"")</f>
        <v/>
      </c>
      <c r="B386" s="717"/>
      <c r="C386" s="901" t="str">
        <f>IFERROR(INDEX($BD$160:$BD$239,MATCH((ROW()-ROW($C$306))/4+1,$BJ$160:$BJ$239,0),1),"")</f>
        <v/>
      </c>
      <c r="D386" s="901"/>
      <c r="E386" s="901"/>
      <c r="F386" s="928" t="str">
        <f>IFERROR(INDEX($BE$160:$BE$239,MATCH((ROW()-ROW($C$306))/4+1,$BJ$160:$BJ$239,0),1),"")</f>
        <v/>
      </c>
      <c r="G386" s="928"/>
      <c r="H386" s="928"/>
      <c r="I386" s="928"/>
      <c r="J386" s="928"/>
      <c r="K386" s="928"/>
      <c r="L386" s="928"/>
      <c r="M386" s="928"/>
      <c r="N386" s="928"/>
      <c r="O386" s="928"/>
      <c r="P386" s="928"/>
      <c r="Q386" s="928"/>
      <c r="R386" s="928"/>
      <c r="S386" s="928"/>
    </row>
    <row r="387" spans="1:19" ht="15.95" customHeight="1" outlineLevel="1" x14ac:dyDescent="0.3">
      <c r="A387" s="717"/>
      <c r="B387" s="717"/>
      <c r="C387" s="901"/>
      <c r="D387" s="901"/>
      <c r="E387" s="901"/>
      <c r="F387" s="928"/>
      <c r="G387" s="928"/>
      <c r="H387" s="928"/>
      <c r="I387" s="928"/>
      <c r="J387" s="928"/>
      <c r="K387" s="928"/>
      <c r="L387" s="928"/>
      <c r="M387" s="928"/>
      <c r="N387" s="928"/>
      <c r="O387" s="928"/>
      <c r="P387" s="928"/>
      <c r="Q387" s="928"/>
      <c r="R387" s="928"/>
      <c r="S387" s="928"/>
    </row>
    <row r="388" spans="1:19" ht="15.95" customHeight="1" outlineLevel="1" x14ac:dyDescent="0.3">
      <c r="A388" s="717"/>
      <c r="B388" s="717"/>
      <c r="C388" s="901"/>
      <c r="D388" s="901"/>
      <c r="E388" s="901"/>
      <c r="F388" s="928"/>
      <c r="G388" s="928"/>
      <c r="H388" s="928"/>
      <c r="I388" s="928"/>
      <c r="J388" s="928"/>
      <c r="K388" s="928"/>
      <c r="L388" s="928"/>
      <c r="M388" s="928"/>
      <c r="N388" s="928"/>
      <c r="O388" s="928"/>
      <c r="P388" s="928"/>
      <c r="Q388" s="928"/>
      <c r="R388" s="928"/>
      <c r="S388" s="928"/>
    </row>
    <row r="389" spans="1:19" ht="15.95" customHeight="1" outlineLevel="1" x14ac:dyDescent="0.3">
      <c r="A389" s="717"/>
      <c r="B389" s="717"/>
      <c r="C389" s="901"/>
      <c r="D389" s="901"/>
      <c r="E389" s="901"/>
      <c r="F389" s="928"/>
      <c r="G389" s="928"/>
      <c r="H389" s="928"/>
      <c r="I389" s="928"/>
      <c r="J389" s="928"/>
      <c r="K389" s="928"/>
      <c r="L389" s="928"/>
      <c r="M389" s="928"/>
      <c r="N389" s="928"/>
      <c r="O389" s="928"/>
      <c r="P389" s="928"/>
      <c r="Q389" s="928"/>
      <c r="R389" s="928"/>
      <c r="S389" s="928"/>
    </row>
    <row r="390" spans="1:19" ht="15.95" customHeight="1" outlineLevel="1" x14ac:dyDescent="0.3">
      <c r="A390" s="717" t="str">
        <f>IFERROR(INDEX($BF$160:$BF$239,MATCH((ROW()-ROW($C$306))/4+1,$BJ$160:$BJ$239,0),1),"")</f>
        <v/>
      </c>
      <c r="B390" s="717"/>
      <c r="C390" s="901" t="str">
        <f>IFERROR(INDEX($BD$160:$BD$239,MATCH((ROW()-ROW($C$306))/4+1,$BJ$160:$BJ$239,0),1),"")</f>
        <v/>
      </c>
      <c r="D390" s="901"/>
      <c r="E390" s="901"/>
      <c r="F390" s="928" t="str">
        <f>IFERROR(INDEX($BE$160:$BE$239,MATCH((ROW()-ROW($C$306))/4+1,$BJ$160:$BJ$239,0),1),"")</f>
        <v/>
      </c>
      <c r="G390" s="928"/>
      <c r="H390" s="928"/>
      <c r="I390" s="928"/>
      <c r="J390" s="928"/>
      <c r="K390" s="928"/>
      <c r="L390" s="928"/>
      <c r="M390" s="928"/>
      <c r="N390" s="928"/>
      <c r="O390" s="928"/>
      <c r="P390" s="928"/>
      <c r="Q390" s="928"/>
      <c r="R390" s="928"/>
      <c r="S390" s="928"/>
    </row>
    <row r="391" spans="1:19" ht="15.95" customHeight="1" outlineLevel="1" x14ac:dyDescent="0.3">
      <c r="A391" s="717"/>
      <c r="B391" s="717"/>
      <c r="C391" s="901"/>
      <c r="D391" s="901"/>
      <c r="E391" s="901"/>
      <c r="F391" s="928"/>
      <c r="G391" s="928"/>
      <c r="H391" s="928"/>
      <c r="I391" s="928"/>
      <c r="J391" s="928"/>
      <c r="K391" s="928"/>
      <c r="L391" s="928"/>
      <c r="M391" s="928"/>
      <c r="N391" s="928"/>
      <c r="O391" s="928"/>
      <c r="P391" s="928"/>
      <c r="Q391" s="928"/>
      <c r="R391" s="928"/>
      <c r="S391" s="928"/>
    </row>
    <row r="392" spans="1:19" ht="15.95" customHeight="1" outlineLevel="1" x14ac:dyDescent="0.3">
      <c r="A392" s="717"/>
      <c r="B392" s="717"/>
      <c r="C392" s="901"/>
      <c r="D392" s="901"/>
      <c r="E392" s="901"/>
      <c r="F392" s="928"/>
      <c r="G392" s="928"/>
      <c r="H392" s="928"/>
      <c r="I392" s="928"/>
      <c r="J392" s="928"/>
      <c r="K392" s="928"/>
      <c r="L392" s="928"/>
      <c r="M392" s="928"/>
      <c r="N392" s="928"/>
      <c r="O392" s="928"/>
      <c r="P392" s="928"/>
      <c r="Q392" s="928"/>
      <c r="R392" s="928"/>
      <c r="S392" s="928"/>
    </row>
    <row r="393" spans="1:19" ht="15.95" customHeight="1" outlineLevel="1" x14ac:dyDescent="0.3">
      <c r="A393" s="717"/>
      <c r="B393" s="717"/>
      <c r="C393" s="901"/>
      <c r="D393" s="901"/>
      <c r="E393" s="901"/>
      <c r="F393" s="928"/>
      <c r="G393" s="928"/>
      <c r="H393" s="928"/>
      <c r="I393" s="928"/>
      <c r="J393" s="928"/>
      <c r="K393" s="928"/>
      <c r="L393" s="928"/>
      <c r="M393" s="928"/>
      <c r="N393" s="928"/>
      <c r="O393" s="928"/>
      <c r="P393" s="928"/>
      <c r="Q393" s="928"/>
      <c r="R393" s="928"/>
      <c r="S393" s="928"/>
    </row>
    <row r="394" spans="1:19" ht="15.95" customHeight="1" outlineLevel="1" x14ac:dyDescent="0.3">
      <c r="A394" s="717" t="str">
        <f>IFERROR(INDEX($BF$160:$BF$239,MATCH((ROW()-ROW($C$306))/4+1,$BJ$160:$BJ$239,0),1),"")</f>
        <v/>
      </c>
      <c r="B394" s="717"/>
      <c r="C394" s="901" t="str">
        <f>IFERROR(INDEX($BD$160:$BD$239,MATCH((ROW()-ROW($C$306))/4+1,$BJ$160:$BJ$239,0),1),"")</f>
        <v/>
      </c>
      <c r="D394" s="901"/>
      <c r="E394" s="901"/>
      <c r="F394" s="928" t="str">
        <f>IFERROR(INDEX($BE$160:$BE$239,MATCH((ROW()-ROW($C$306))/4+1,$BJ$160:$BJ$239,0),1),"")</f>
        <v/>
      </c>
      <c r="G394" s="928"/>
      <c r="H394" s="928"/>
      <c r="I394" s="928"/>
      <c r="J394" s="928"/>
      <c r="K394" s="928"/>
      <c r="L394" s="928"/>
      <c r="M394" s="928"/>
      <c r="N394" s="928"/>
      <c r="O394" s="928"/>
      <c r="P394" s="928"/>
      <c r="Q394" s="928"/>
      <c r="R394" s="928"/>
      <c r="S394" s="928"/>
    </row>
    <row r="395" spans="1:19" ht="15.95" customHeight="1" outlineLevel="1" x14ac:dyDescent="0.3">
      <c r="A395" s="717"/>
      <c r="B395" s="717"/>
      <c r="C395" s="901"/>
      <c r="D395" s="901"/>
      <c r="E395" s="901"/>
      <c r="F395" s="928"/>
      <c r="G395" s="928"/>
      <c r="H395" s="928"/>
      <c r="I395" s="928"/>
      <c r="J395" s="928"/>
      <c r="K395" s="928"/>
      <c r="L395" s="928"/>
      <c r="M395" s="928"/>
      <c r="N395" s="928"/>
      <c r="O395" s="928"/>
      <c r="P395" s="928"/>
      <c r="Q395" s="928"/>
      <c r="R395" s="928"/>
      <c r="S395" s="928"/>
    </row>
    <row r="396" spans="1:19" ht="15.95" customHeight="1" outlineLevel="1" x14ac:dyDescent="0.3">
      <c r="A396" s="717"/>
      <c r="B396" s="717"/>
      <c r="C396" s="901"/>
      <c r="D396" s="901"/>
      <c r="E396" s="901"/>
      <c r="F396" s="928"/>
      <c r="G396" s="928"/>
      <c r="H396" s="928"/>
      <c r="I396" s="928"/>
      <c r="J396" s="928"/>
      <c r="K396" s="928"/>
      <c r="L396" s="928"/>
      <c r="M396" s="928"/>
      <c r="N396" s="928"/>
      <c r="O396" s="928"/>
      <c r="P396" s="928"/>
      <c r="Q396" s="928"/>
      <c r="R396" s="928"/>
      <c r="S396" s="928"/>
    </row>
    <row r="397" spans="1:19" ht="15.95" customHeight="1" outlineLevel="1" x14ac:dyDescent="0.3">
      <c r="A397" s="717"/>
      <c r="B397" s="717"/>
      <c r="C397" s="901"/>
      <c r="D397" s="901"/>
      <c r="E397" s="901"/>
      <c r="F397" s="928"/>
      <c r="G397" s="928"/>
      <c r="H397" s="928"/>
      <c r="I397" s="928"/>
      <c r="J397" s="928"/>
      <c r="K397" s="928"/>
      <c r="L397" s="928"/>
      <c r="M397" s="928"/>
      <c r="N397" s="928"/>
      <c r="O397" s="928"/>
      <c r="P397" s="928"/>
      <c r="Q397" s="928"/>
      <c r="R397" s="928"/>
      <c r="S397" s="928"/>
    </row>
    <row r="398" spans="1:19" ht="15.95" customHeight="1" outlineLevel="1" x14ac:dyDescent="0.3">
      <c r="A398" s="717" t="str">
        <f>IFERROR(INDEX($BF$160:$BF$239,MATCH((ROW()-ROW($C$306))/4+1,$BJ$160:$BJ$239,0),1),"")</f>
        <v/>
      </c>
      <c r="B398" s="717"/>
      <c r="C398" s="901" t="str">
        <f>IFERROR(INDEX($BD$160:$BD$239,MATCH((ROW()-ROW($C$306))/4+1,$BJ$160:$BJ$239,0),1),"")</f>
        <v/>
      </c>
      <c r="D398" s="901"/>
      <c r="E398" s="901"/>
      <c r="F398" s="928" t="str">
        <f>IFERROR(INDEX($BE$160:$BE$239,MATCH((ROW()-ROW($C$306))/4+1,$BJ$160:$BJ$239,0),1),"")</f>
        <v/>
      </c>
      <c r="G398" s="928"/>
      <c r="H398" s="928"/>
      <c r="I398" s="928"/>
      <c r="J398" s="928"/>
      <c r="K398" s="928"/>
      <c r="L398" s="928"/>
      <c r="M398" s="928"/>
      <c r="N398" s="928"/>
      <c r="O398" s="928"/>
      <c r="P398" s="928"/>
      <c r="Q398" s="928"/>
      <c r="R398" s="928"/>
      <c r="S398" s="928"/>
    </row>
    <row r="399" spans="1:19" ht="15.95" customHeight="1" outlineLevel="1" x14ac:dyDescent="0.3">
      <c r="A399" s="717"/>
      <c r="B399" s="717"/>
      <c r="C399" s="901"/>
      <c r="D399" s="901"/>
      <c r="E399" s="901"/>
      <c r="F399" s="928"/>
      <c r="G399" s="928"/>
      <c r="H399" s="928"/>
      <c r="I399" s="928"/>
      <c r="J399" s="928"/>
      <c r="K399" s="928"/>
      <c r="L399" s="928"/>
      <c r="M399" s="928"/>
      <c r="N399" s="928"/>
      <c r="O399" s="928"/>
      <c r="P399" s="928"/>
      <c r="Q399" s="928"/>
      <c r="R399" s="928"/>
      <c r="S399" s="928"/>
    </row>
    <row r="400" spans="1:19" ht="15.95" customHeight="1" outlineLevel="1" x14ac:dyDescent="0.3">
      <c r="A400" s="717"/>
      <c r="B400" s="717"/>
      <c r="C400" s="901"/>
      <c r="D400" s="901"/>
      <c r="E400" s="901"/>
      <c r="F400" s="928"/>
      <c r="G400" s="928"/>
      <c r="H400" s="928"/>
      <c r="I400" s="928"/>
      <c r="J400" s="928"/>
      <c r="K400" s="928"/>
      <c r="L400" s="928"/>
      <c r="M400" s="928"/>
      <c r="N400" s="928"/>
      <c r="O400" s="928"/>
      <c r="P400" s="928"/>
      <c r="Q400" s="928"/>
      <c r="R400" s="928"/>
      <c r="S400" s="928"/>
    </row>
    <row r="401" spans="1:19" ht="15.95" customHeight="1" outlineLevel="1" x14ac:dyDescent="0.3">
      <c r="A401" s="717"/>
      <c r="B401" s="717"/>
      <c r="C401" s="901"/>
      <c r="D401" s="901"/>
      <c r="E401" s="901"/>
      <c r="F401" s="928"/>
      <c r="G401" s="928"/>
      <c r="H401" s="928"/>
      <c r="I401" s="928"/>
      <c r="J401" s="928"/>
      <c r="K401" s="928"/>
      <c r="L401" s="928"/>
      <c r="M401" s="928"/>
      <c r="N401" s="928"/>
      <c r="O401" s="928"/>
      <c r="P401" s="928"/>
      <c r="Q401" s="928"/>
      <c r="R401" s="928"/>
      <c r="S401" s="928"/>
    </row>
    <row r="402" spans="1:19" ht="15.95" customHeight="1" outlineLevel="1" x14ac:dyDescent="0.3">
      <c r="A402" s="717" t="str">
        <f>IFERROR(INDEX($BF$160:$BF$239,MATCH((ROW()-ROW($C$306))/4+1,$BJ$160:$BJ$239,0),1),"")</f>
        <v/>
      </c>
      <c r="B402" s="717"/>
      <c r="C402" s="901" t="str">
        <f>IFERROR(INDEX($BD$160:$BD$239,MATCH((ROW()-ROW($C$306))/4+1,$BJ$160:$BJ$239,0),1),"")</f>
        <v/>
      </c>
      <c r="D402" s="901"/>
      <c r="E402" s="901"/>
      <c r="F402" s="928" t="str">
        <f>IFERROR(INDEX($BE$160:$BE$239,MATCH((ROW()-ROW($C$306))/4+1,$BJ$160:$BJ$239,0),1),"")</f>
        <v/>
      </c>
      <c r="G402" s="928"/>
      <c r="H402" s="928"/>
      <c r="I402" s="928"/>
      <c r="J402" s="928"/>
      <c r="K402" s="928"/>
      <c r="L402" s="928"/>
      <c r="M402" s="928"/>
      <c r="N402" s="928"/>
      <c r="O402" s="928"/>
      <c r="P402" s="928"/>
      <c r="Q402" s="928"/>
      <c r="R402" s="928"/>
      <c r="S402" s="928"/>
    </row>
    <row r="403" spans="1:19" ht="15.95" customHeight="1" outlineLevel="1" x14ac:dyDescent="0.3">
      <c r="A403" s="717"/>
      <c r="B403" s="717"/>
      <c r="C403" s="901"/>
      <c r="D403" s="901"/>
      <c r="E403" s="901"/>
      <c r="F403" s="928"/>
      <c r="G403" s="928"/>
      <c r="H403" s="928"/>
      <c r="I403" s="928"/>
      <c r="J403" s="928"/>
      <c r="K403" s="928"/>
      <c r="L403" s="928"/>
      <c r="M403" s="928"/>
      <c r="N403" s="928"/>
      <c r="O403" s="928"/>
      <c r="P403" s="928"/>
      <c r="Q403" s="928"/>
      <c r="R403" s="928"/>
      <c r="S403" s="928"/>
    </row>
    <row r="404" spans="1:19" ht="15.95" customHeight="1" outlineLevel="1" x14ac:dyDescent="0.3">
      <c r="A404" s="717"/>
      <c r="B404" s="717"/>
      <c r="C404" s="901"/>
      <c r="D404" s="901"/>
      <c r="E404" s="901"/>
      <c r="F404" s="928"/>
      <c r="G404" s="928"/>
      <c r="H404" s="928"/>
      <c r="I404" s="928"/>
      <c r="J404" s="928"/>
      <c r="K404" s="928"/>
      <c r="L404" s="928"/>
      <c r="M404" s="928"/>
      <c r="N404" s="928"/>
      <c r="O404" s="928"/>
      <c r="P404" s="928"/>
      <c r="Q404" s="928"/>
      <c r="R404" s="928"/>
      <c r="S404" s="928"/>
    </row>
    <row r="405" spans="1:19" ht="15.95" customHeight="1" outlineLevel="1" x14ac:dyDescent="0.3">
      <c r="A405" s="717"/>
      <c r="B405" s="717"/>
      <c r="C405" s="901"/>
      <c r="D405" s="901"/>
      <c r="E405" s="901"/>
      <c r="F405" s="928"/>
      <c r="G405" s="928"/>
      <c r="H405" s="928"/>
      <c r="I405" s="928"/>
      <c r="J405" s="928"/>
      <c r="K405" s="928"/>
      <c r="L405" s="928"/>
      <c r="M405" s="928"/>
      <c r="N405" s="928"/>
      <c r="O405" s="928"/>
      <c r="P405" s="928"/>
      <c r="Q405" s="928"/>
      <c r="R405" s="928"/>
      <c r="S405" s="928"/>
    </row>
    <row r="406" spans="1:19" ht="15.95" customHeight="1" outlineLevel="1" x14ac:dyDescent="0.3">
      <c r="A406" s="717" t="str">
        <f>IFERROR(INDEX($BF$160:$BF$239,MATCH((ROW()-ROW($C$306))/4+1,$BJ$160:$BJ$239,0),1),"")</f>
        <v/>
      </c>
      <c r="B406" s="717"/>
      <c r="C406" s="901" t="str">
        <f>IFERROR(INDEX($BD$160:$BD$239,MATCH((ROW()-ROW($C$306))/4+1,$BJ$160:$BJ$239,0),1),"")</f>
        <v/>
      </c>
      <c r="D406" s="901"/>
      <c r="E406" s="901"/>
      <c r="F406" s="928" t="str">
        <f>IFERROR(INDEX($BE$160:$BE$239,MATCH((ROW()-ROW($C$306))/4+1,$BJ$160:$BJ$239,0),1),"")</f>
        <v/>
      </c>
      <c r="G406" s="928"/>
      <c r="H406" s="928"/>
      <c r="I406" s="928"/>
      <c r="J406" s="928"/>
      <c r="K406" s="928"/>
      <c r="L406" s="928"/>
      <c r="M406" s="928"/>
      <c r="N406" s="928"/>
      <c r="O406" s="928"/>
      <c r="P406" s="928"/>
      <c r="Q406" s="928"/>
      <c r="R406" s="928"/>
      <c r="S406" s="928"/>
    </row>
    <row r="407" spans="1:19" ht="15.95" customHeight="1" outlineLevel="1" x14ac:dyDescent="0.3">
      <c r="A407" s="717"/>
      <c r="B407" s="717"/>
      <c r="C407" s="901"/>
      <c r="D407" s="901"/>
      <c r="E407" s="901"/>
      <c r="F407" s="928"/>
      <c r="G407" s="928"/>
      <c r="H407" s="928"/>
      <c r="I407" s="928"/>
      <c r="J407" s="928"/>
      <c r="K407" s="928"/>
      <c r="L407" s="928"/>
      <c r="M407" s="928"/>
      <c r="N407" s="928"/>
      <c r="O407" s="928"/>
      <c r="P407" s="928"/>
      <c r="Q407" s="928"/>
      <c r="R407" s="928"/>
      <c r="S407" s="928"/>
    </row>
    <row r="408" spans="1:19" ht="15.95" customHeight="1" outlineLevel="1" x14ac:dyDescent="0.3">
      <c r="A408" s="717"/>
      <c r="B408" s="717"/>
      <c r="C408" s="901"/>
      <c r="D408" s="901"/>
      <c r="E408" s="901"/>
      <c r="F408" s="928"/>
      <c r="G408" s="928"/>
      <c r="H408" s="928"/>
      <c r="I408" s="928"/>
      <c r="J408" s="928"/>
      <c r="K408" s="928"/>
      <c r="L408" s="928"/>
      <c r="M408" s="928"/>
      <c r="N408" s="928"/>
      <c r="O408" s="928"/>
      <c r="P408" s="928"/>
      <c r="Q408" s="928"/>
      <c r="R408" s="928"/>
      <c r="S408" s="928"/>
    </row>
    <row r="409" spans="1:19" ht="15.95" customHeight="1" outlineLevel="1" x14ac:dyDescent="0.3">
      <c r="A409" s="717"/>
      <c r="B409" s="717"/>
      <c r="C409" s="901"/>
      <c r="D409" s="901"/>
      <c r="E409" s="901"/>
      <c r="F409" s="928"/>
      <c r="G409" s="928"/>
      <c r="H409" s="928"/>
      <c r="I409" s="928"/>
      <c r="J409" s="928"/>
      <c r="K409" s="928"/>
      <c r="L409" s="928"/>
      <c r="M409" s="928"/>
      <c r="N409" s="928"/>
      <c r="O409" s="928"/>
      <c r="P409" s="928"/>
      <c r="Q409" s="928"/>
      <c r="R409" s="928"/>
      <c r="S409" s="928"/>
    </row>
    <row r="410" spans="1:19" ht="15.95" customHeight="1" outlineLevel="1" x14ac:dyDescent="0.3">
      <c r="A410" s="717" t="str">
        <f>IFERROR(INDEX($BF$160:$BF$239,MATCH((ROW()-ROW($C$306))/4+1,$BJ$160:$BJ$239,0),1),"")</f>
        <v/>
      </c>
      <c r="B410" s="717"/>
      <c r="C410" s="901" t="str">
        <f>IFERROR(INDEX($BD$160:$BD$239,MATCH((ROW()-ROW($C$306))/4+1,$BJ$160:$BJ$239,0),1),"")</f>
        <v/>
      </c>
      <c r="D410" s="901"/>
      <c r="E410" s="901"/>
      <c r="F410" s="928" t="str">
        <f>IFERROR(INDEX($BE$160:$BE$239,MATCH((ROW()-ROW($C$306))/4+1,$BJ$160:$BJ$239,0),1),"")</f>
        <v/>
      </c>
      <c r="G410" s="928"/>
      <c r="H410" s="928"/>
      <c r="I410" s="928"/>
      <c r="J410" s="928"/>
      <c r="K410" s="928"/>
      <c r="L410" s="928"/>
      <c r="M410" s="928"/>
      <c r="N410" s="928"/>
      <c r="O410" s="928"/>
      <c r="P410" s="928"/>
      <c r="Q410" s="928"/>
      <c r="R410" s="928"/>
      <c r="S410" s="928"/>
    </row>
    <row r="411" spans="1:19" ht="15.95" customHeight="1" outlineLevel="1" x14ac:dyDescent="0.3">
      <c r="A411" s="717"/>
      <c r="B411" s="717"/>
      <c r="C411" s="901"/>
      <c r="D411" s="901"/>
      <c r="E411" s="901"/>
      <c r="F411" s="928"/>
      <c r="G411" s="928"/>
      <c r="H411" s="928"/>
      <c r="I411" s="928"/>
      <c r="J411" s="928"/>
      <c r="K411" s="928"/>
      <c r="L411" s="928"/>
      <c r="M411" s="928"/>
      <c r="N411" s="928"/>
      <c r="O411" s="928"/>
      <c r="P411" s="928"/>
      <c r="Q411" s="928"/>
      <c r="R411" s="928"/>
      <c r="S411" s="928"/>
    </row>
    <row r="412" spans="1:19" ht="15.95" customHeight="1" outlineLevel="1" x14ac:dyDescent="0.3">
      <c r="A412" s="717"/>
      <c r="B412" s="717"/>
      <c r="C412" s="901"/>
      <c r="D412" s="901"/>
      <c r="E412" s="901"/>
      <c r="F412" s="928"/>
      <c r="G412" s="928"/>
      <c r="H412" s="928"/>
      <c r="I412" s="928"/>
      <c r="J412" s="928"/>
      <c r="K412" s="928"/>
      <c r="L412" s="928"/>
      <c r="M412" s="928"/>
      <c r="N412" s="928"/>
      <c r="O412" s="928"/>
      <c r="P412" s="928"/>
      <c r="Q412" s="928"/>
      <c r="R412" s="928"/>
      <c r="S412" s="928"/>
    </row>
    <row r="413" spans="1:19" ht="15.95" customHeight="1" outlineLevel="1" x14ac:dyDescent="0.3">
      <c r="A413" s="717"/>
      <c r="B413" s="717"/>
      <c r="C413" s="901"/>
      <c r="D413" s="901"/>
      <c r="E413" s="901"/>
      <c r="F413" s="928"/>
      <c r="G413" s="928"/>
      <c r="H413" s="928"/>
      <c r="I413" s="928"/>
      <c r="J413" s="928"/>
      <c r="K413" s="928"/>
      <c r="L413" s="928"/>
      <c r="M413" s="928"/>
      <c r="N413" s="928"/>
      <c r="O413" s="928"/>
      <c r="P413" s="928"/>
      <c r="Q413" s="928"/>
      <c r="R413" s="928"/>
      <c r="S413" s="928"/>
    </row>
    <row r="414" spans="1:19" ht="15.95" customHeight="1" outlineLevel="1" x14ac:dyDescent="0.3">
      <c r="A414" s="717" t="str">
        <f>IFERROR(INDEX($BF$160:$BF$239,MATCH((ROW()-ROW($C$306))/4+1,$BJ$160:$BJ$239,0),1),"")</f>
        <v/>
      </c>
      <c r="B414" s="717"/>
      <c r="C414" s="901" t="str">
        <f>IFERROR(INDEX($BD$160:$BD$239,MATCH((ROW()-ROW($C$306))/4+1,$BJ$160:$BJ$239,0),1),"")</f>
        <v/>
      </c>
      <c r="D414" s="901"/>
      <c r="E414" s="901"/>
      <c r="F414" s="928" t="str">
        <f>IFERROR(INDEX($BE$160:$BE$239,MATCH((ROW()-ROW($C$306))/4+1,$BJ$160:$BJ$239,0),1),"")</f>
        <v/>
      </c>
      <c r="G414" s="928"/>
      <c r="H414" s="928"/>
      <c r="I414" s="928"/>
      <c r="J414" s="928"/>
      <c r="K414" s="928"/>
      <c r="L414" s="928"/>
      <c r="M414" s="928"/>
      <c r="N414" s="928"/>
      <c r="O414" s="928"/>
      <c r="P414" s="928"/>
      <c r="Q414" s="928"/>
      <c r="R414" s="928"/>
      <c r="S414" s="928"/>
    </row>
    <row r="415" spans="1:19" ht="15.95" customHeight="1" outlineLevel="1" x14ac:dyDescent="0.3">
      <c r="A415" s="717"/>
      <c r="B415" s="717"/>
      <c r="C415" s="901"/>
      <c r="D415" s="901"/>
      <c r="E415" s="901"/>
      <c r="F415" s="928"/>
      <c r="G415" s="928"/>
      <c r="H415" s="928"/>
      <c r="I415" s="928"/>
      <c r="J415" s="928"/>
      <c r="K415" s="928"/>
      <c r="L415" s="928"/>
      <c r="M415" s="928"/>
      <c r="N415" s="928"/>
      <c r="O415" s="928"/>
      <c r="P415" s="928"/>
      <c r="Q415" s="928"/>
      <c r="R415" s="928"/>
      <c r="S415" s="928"/>
    </row>
    <row r="416" spans="1:19" ht="15.95" customHeight="1" outlineLevel="1" x14ac:dyDescent="0.3">
      <c r="A416" s="717"/>
      <c r="B416" s="717"/>
      <c r="C416" s="901"/>
      <c r="D416" s="901"/>
      <c r="E416" s="901"/>
      <c r="F416" s="928"/>
      <c r="G416" s="928"/>
      <c r="H416" s="928"/>
      <c r="I416" s="928"/>
      <c r="J416" s="928"/>
      <c r="K416" s="928"/>
      <c r="L416" s="928"/>
      <c r="M416" s="928"/>
      <c r="N416" s="928"/>
      <c r="O416" s="928"/>
      <c r="P416" s="928"/>
      <c r="Q416" s="928"/>
      <c r="R416" s="928"/>
      <c r="S416" s="928"/>
    </row>
    <row r="417" spans="1:19" ht="15.95" customHeight="1" outlineLevel="1" x14ac:dyDescent="0.3">
      <c r="A417" s="717"/>
      <c r="B417" s="717"/>
      <c r="C417" s="901"/>
      <c r="D417" s="901"/>
      <c r="E417" s="901"/>
      <c r="F417" s="928"/>
      <c r="G417" s="928"/>
      <c r="H417" s="928"/>
      <c r="I417" s="928"/>
      <c r="J417" s="928"/>
      <c r="K417" s="928"/>
      <c r="L417" s="928"/>
      <c r="M417" s="928"/>
      <c r="N417" s="928"/>
      <c r="O417" s="928"/>
      <c r="P417" s="928"/>
      <c r="Q417" s="928"/>
      <c r="R417" s="928"/>
      <c r="S417" s="928"/>
    </row>
    <row r="418" spans="1:19" ht="15.95" customHeight="1" outlineLevel="1" x14ac:dyDescent="0.3">
      <c r="A418" s="717" t="str">
        <f>IFERROR(INDEX($BF$160:$BF$239,MATCH((ROW()-ROW($C$306))/4+1,$BJ$160:$BJ$239,0),1),"")</f>
        <v/>
      </c>
      <c r="B418" s="717"/>
      <c r="C418" s="901" t="str">
        <f>IFERROR(INDEX($BD$160:$BD$239,MATCH((ROW()-ROW($C$306))/4+1,$BJ$160:$BJ$239,0),1),"")</f>
        <v/>
      </c>
      <c r="D418" s="901"/>
      <c r="E418" s="901"/>
      <c r="F418" s="928" t="str">
        <f>IFERROR(INDEX($BE$160:$BE$239,MATCH((ROW()-ROW($C$306))/4+1,$BJ$160:$BJ$239,0),1),"")</f>
        <v/>
      </c>
      <c r="G418" s="928"/>
      <c r="H418" s="928"/>
      <c r="I418" s="928"/>
      <c r="J418" s="928"/>
      <c r="K418" s="928"/>
      <c r="L418" s="928"/>
      <c r="M418" s="928"/>
      <c r="N418" s="928"/>
      <c r="O418" s="928"/>
      <c r="P418" s="928"/>
      <c r="Q418" s="928"/>
      <c r="R418" s="928"/>
      <c r="S418" s="928"/>
    </row>
    <row r="419" spans="1:19" ht="15.95" customHeight="1" outlineLevel="1" x14ac:dyDescent="0.3">
      <c r="A419" s="717"/>
      <c r="B419" s="717"/>
      <c r="C419" s="901"/>
      <c r="D419" s="901"/>
      <c r="E419" s="901"/>
      <c r="F419" s="928"/>
      <c r="G419" s="928"/>
      <c r="H419" s="928"/>
      <c r="I419" s="928"/>
      <c r="J419" s="928"/>
      <c r="K419" s="928"/>
      <c r="L419" s="928"/>
      <c r="M419" s="928"/>
      <c r="N419" s="928"/>
      <c r="O419" s="928"/>
      <c r="P419" s="928"/>
      <c r="Q419" s="928"/>
      <c r="R419" s="928"/>
      <c r="S419" s="928"/>
    </row>
    <row r="420" spans="1:19" ht="15.95" customHeight="1" outlineLevel="1" x14ac:dyDescent="0.3">
      <c r="A420" s="717"/>
      <c r="B420" s="717"/>
      <c r="C420" s="901"/>
      <c r="D420" s="901"/>
      <c r="E420" s="901"/>
      <c r="F420" s="928"/>
      <c r="G420" s="928"/>
      <c r="H420" s="928"/>
      <c r="I420" s="928"/>
      <c r="J420" s="928"/>
      <c r="K420" s="928"/>
      <c r="L420" s="928"/>
      <c r="M420" s="928"/>
      <c r="N420" s="928"/>
      <c r="O420" s="928"/>
      <c r="P420" s="928"/>
      <c r="Q420" s="928"/>
      <c r="R420" s="928"/>
      <c r="S420" s="928"/>
    </row>
    <row r="421" spans="1:19" ht="15.95" customHeight="1" outlineLevel="1" x14ac:dyDescent="0.3">
      <c r="A421" s="717"/>
      <c r="B421" s="717"/>
      <c r="C421" s="901"/>
      <c r="D421" s="901"/>
      <c r="E421" s="901"/>
      <c r="F421" s="928"/>
      <c r="G421" s="928"/>
      <c r="H421" s="928"/>
      <c r="I421" s="928"/>
      <c r="J421" s="928"/>
      <c r="K421" s="928"/>
      <c r="L421" s="928"/>
      <c r="M421" s="928"/>
      <c r="N421" s="928"/>
      <c r="O421" s="928"/>
      <c r="P421" s="928"/>
      <c r="Q421" s="928"/>
      <c r="R421" s="928"/>
      <c r="S421" s="928"/>
    </row>
    <row r="422" spans="1:19" ht="15.95" customHeight="1" outlineLevel="1" x14ac:dyDescent="0.3">
      <c r="A422" s="717" t="str">
        <f>IFERROR(INDEX($BF$160:$BF$239,MATCH((ROW()-ROW($C$306))/4+1,$BJ$160:$BJ$239,0),1),"")</f>
        <v/>
      </c>
      <c r="B422" s="717"/>
      <c r="C422" s="901" t="str">
        <f>IFERROR(INDEX($BD$160:$BD$239,MATCH((ROW()-ROW($C$306))/4+1,$BJ$160:$BJ$239,0),1),"")</f>
        <v/>
      </c>
      <c r="D422" s="901"/>
      <c r="E422" s="901"/>
      <c r="F422" s="928" t="str">
        <f>IFERROR(INDEX($BE$160:$BE$239,MATCH((ROW()-ROW($C$306))/4+1,$BJ$160:$BJ$239,0),1),"")</f>
        <v/>
      </c>
      <c r="G422" s="928"/>
      <c r="H422" s="928"/>
      <c r="I422" s="928"/>
      <c r="J422" s="928"/>
      <c r="K422" s="928"/>
      <c r="L422" s="928"/>
      <c r="M422" s="928"/>
      <c r="N422" s="928"/>
      <c r="O422" s="928"/>
      <c r="P422" s="928"/>
      <c r="Q422" s="928"/>
      <c r="R422" s="928"/>
      <c r="S422" s="928"/>
    </row>
    <row r="423" spans="1:19" ht="15.95" customHeight="1" outlineLevel="1" x14ac:dyDescent="0.3">
      <c r="A423" s="717"/>
      <c r="B423" s="717"/>
      <c r="C423" s="901"/>
      <c r="D423" s="901"/>
      <c r="E423" s="901"/>
      <c r="F423" s="928"/>
      <c r="G423" s="928"/>
      <c r="H423" s="928"/>
      <c r="I423" s="928"/>
      <c r="J423" s="928"/>
      <c r="K423" s="928"/>
      <c r="L423" s="928"/>
      <c r="M423" s="928"/>
      <c r="N423" s="928"/>
      <c r="O423" s="928"/>
      <c r="P423" s="928"/>
      <c r="Q423" s="928"/>
      <c r="R423" s="928"/>
      <c r="S423" s="928"/>
    </row>
    <row r="424" spans="1:19" ht="15.95" customHeight="1" outlineLevel="1" x14ac:dyDescent="0.3">
      <c r="A424" s="717"/>
      <c r="B424" s="717"/>
      <c r="C424" s="901"/>
      <c r="D424" s="901"/>
      <c r="E424" s="901"/>
      <c r="F424" s="928"/>
      <c r="G424" s="928"/>
      <c r="H424" s="928"/>
      <c r="I424" s="928"/>
      <c r="J424" s="928"/>
      <c r="K424" s="928"/>
      <c r="L424" s="928"/>
      <c r="M424" s="928"/>
      <c r="N424" s="928"/>
      <c r="O424" s="928"/>
      <c r="P424" s="928"/>
      <c r="Q424" s="928"/>
      <c r="R424" s="928"/>
      <c r="S424" s="928"/>
    </row>
    <row r="425" spans="1:19" ht="15.95" customHeight="1" outlineLevel="1" x14ac:dyDescent="0.3">
      <c r="A425" s="717"/>
      <c r="B425" s="717"/>
      <c r="C425" s="901"/>
      <c r="D425" s="901"/>
      <c r="E425" s="901"/>
      <c r="F425" s="928"/>
      <c r="G425" s="928"/>
      <c r="H425" s="928"/>
      <c r="I425" s="928"/>
      <c r="J425" s="928"/>
      <c r="K425" s="928"/>
      <c r="L425" s="928"/>
      <c r="M425" s="928"/>
      <c r="N425" s="928"/>
      <c r="O425" s="928"/>
      <c r="P425" s="928"/>
      <c r="Q425" s="928"/>
      <c r="R425" s="928"/>
      <c r="S425" s="928"/>
    </row>
    <row r="426" spans="1:19" ht="15.95" customHeight="1" outlineLevel="1" x14ac:dyDescent="0.3">
      <c r="A426" s="717" t="str">
        <f>IFERROR(INDEX($BF$160:$BF$239,MATCH((ROW()-ROW($C$306))/4+1,$BJ$160:$BJ$239,0),1),"")</f>
        <v/>
      </c>
      <c r="B426" s="717"/>
      <c r="C426" s="901" t="str">
        <f>IFERROR(INDEX($BD$160:$BD$239,MATCH((ROW()-ROW($C$306))/4+1,$BJ$160:$BJ$239,0),1),"")</f>
        <v/>
      </c>
      <c r="D426" s="901"/>
      <c r="E426" s="901"/>
      <c r="F426" s="928" t="str">
        <f>IFERROR(INDEX($BE$160:$BE$239,MATCH((ROW()-ROW($C$306))/4+1,$BJ$160:$BJ$239,0),1),"")</f>
        <v/>
      </c>
      <c r="G426" s="928"/>
      <c r="H426" s="928"/>
      <c r="I426" s="928"/>
      <c r="J426" s="928"/>
      <c r="K426" s="928"/>
      <c r="L426" s="928"/>
      <c r="M426" s="928"/>
      <c r="N426" s="928"/>
      <c r="O426" s="928"/>
      <c r="P426" s="928"/>
      <c r="Q426" s="928"/>
      <c r="R426" s="928"/>
      <c r="S426" s="928"/>
    </row>
    <row r="427" spans="1:19" ht="15.95" customHeight="1" outlineLevel="1" x14ac:dyDescent="0.3">
      <c r="A427" s="717"/>
      <c r="B427" s="717"/>
      <c r="C427" s="901"/>
      <c r="D427" s="901"/>
      <c r="E427" s="901"/>
      <c r="F427" s="928"/>
      <c r="G427" s="928"/>
      <c r="H427" s="928"/>
      <c r="I427" s="928"/>
      <c r="J427" s="928"/>
      <c r="K427" s="928"/>
      <c r="L427" s="928"/>
      <c r="M427" s="928"/>
      <c r="N427" s="928"/>
      <c r="O427" s="928"/>
      <c r="P427" s="928"/>
      <c r="Q427" s="928"/>
      <c r="R427" s="928"/>
      <c r="S427" s="928"/>
    </row>
    <row r="428" spans="1:19" ht="15.95" customHeight="1" outlineLevel="1" x14ac:dyDescent="0.3">
      <c r="A428" s="717"/>
      <c r="B428" s="717"/>
      <c r="C428" s="901"/>
      <c r="D428" s="901"/>
      <c r="E428" s="901"/>
      <c r="F428" s="928"/>
      <c r="G428" s="928"/>
      <c r="H428" s="928"/>
      <c r="I428" s="928"/>
      <c r="J428" s="928"/>
      <c r="K428" s="928"/>
      <c r="L428" s="928"/>
      <c r="M428" s="928"/>
      <c r="N428" s="928"/>
      <c r="O428" s="928"/>
      <c r="P428" s="928"/>
      <c r="Q428" s="928"/>
      <c r="R428" s="928"/>
      <c r="S428" s="928"/>
    </row>
    <row r="429" spans="1:19" ht="15.95" customHeight="1" outlineLevel="1" x14ac:dyDescent="0.3">
      <c r="A429" s="717"/>
      <c r="B429" s="717"/>
      <c r="C429" s="901"/>
      <c r="D429" s="901"/>
      <c r="E429" s="901"/>
      <c r="F429" s="928"/>
      <c r="G429" s="928"/>
      <c r="H429" s="928"/>
      <c r="I429" s="928"/>
      <c r="J429" s="928"/>
      <c r="K429" s="928"/>
      <c r="L429" s="928"/>
      <c r="M429" s="928"/>
      <c r="N429" s="928"/>
      <c r="O429" s="928"/>
      <c r="P429" s="928"/>
      <c r="Q429" s="928"/>
      <c r="R429" s="928"/>
      <c r="S429" s="928"/>
    </row>
    <row r="430" spans="1:19" ht="15.95" customHeight="1" outlineLevel="1" x14ac:dyDescent="0.3">
      <c r="A430" s="717" t="str">
        <f>IFERROR(INDEX($BF$160:$BF$239,MATCH((ROW()-ROW($C$306))/4+1,$BJ$160:$BJ$239,0),1),"")</f>
        <v/>
      </c>
      <c r="B430" s="717"/>
      <c r="C430" s="901" t="str">
        <f>IFERROR(INDEX($BD$160:$BD$239,MATCH((ROW()-ROW($C$306))/4+1,$BJ$160:$BJ$239,0),1),"")</f>
        <v/>
      </c>
      <c r="D430" s="901"/>
      <c r="E430" s="901"/>
      <c r="F430" s="928" t="str">
        <f>IFERROR(INDEX($BE$160:$BE$239,MATCH((ROW()-ROW($C$306))/4+1,$BJ$160:$BJ$239,0),1),"")</f>
        <v/>
      </c>
      <c r="G430" s="928"/>
      <c r="H430" s="928"/>
      <c r="I430" s="928"/>
      <c r="J430" s="928"/>
      <c r="K430" s="928"/>
      <c r="L430" s="928"/>
      <c r="M430" s="928"/>
      <c r="N430" s="928"/>
      <c r="O430" s="928"/>
      <c r="P430" s="928"/>
      <c r="Q430" s="928"/>
      <c r="R430" s="928"/>
      <c r="S430" s="928"/>
    </row>
    <row r="431" spans="1:19" ht="15.95" customHeight="1" outlineLevel="1" x14ac:dyDescent="0.3">
      <c r="A431" s="717"/>
      <c r="B431" s="717"/>
      <c r="C431" s="901"/>
      <c r="D431" s="901"/>
      <c r="E431" s="901"/>
      <c r="F431" s="928"/>
      <c r="G431" s="928"/>
      <c r="H431" s="928"/>
      <c r="I431" s="928"/>
      <c r="J431" s="928"/>
      <c r="K431" s="928"/>
      <c r="L431" s="928"/>
      <c r="M431" s="928"/>
      <c r="N431" s="928"/>
      <c r="O431" s="928"/>
      <c r="P431" s="928"/>
      <c r="Q431" s="928"/>
      <c r="R431" s="928"/>
      <c r="S431" s="928"/>
    </row>
    <row r="432" spans="1:19" ht="15.95" customHeight="1" outlineLevel="1" x14ac:dyDescent="0.3">
      <c r="A432" s="717"/>
      <c r="B432" s="717"/>
      <c r="C432" s="901"/>
      <c r="D432" s="901"/>
      <c r="E432" s="901"/>
      <c r="F432" s="928"/>
      <c r="G432" s="928"/>
      <c r="H432" s="928"/>
      <c r="I432" s="928"/>
      <c r="J432" s="928"/>
      <c r="K432" s="928"/>
      <c r="L432" s="928"/>
      <c r="M432" s="928"/>
      <c r="N432" s="928"/>
      <c r="O432" s="928"/>
      <c r="P432" s="928"/>
      <c r="Q432" s="928"/>
      <c r="R432" s="928"/>
      <c r="S432" s="928"/>
    </row>
    <row r="433" spans="1:19" ht="15.95" customHeight="1" outlineLevel="1" x14ac:dyDescent="0.3">
      <c r="A433" s="717"/>
      <c r="B433" s="717"/>
      <c r="C433" s="901"/>
      <c r="D433" s="901"/>
      <c r="E433" s="901"/>
      <c r="F433" s="928"/>
      <c r="G433" s="928"/>
      <c r="H433" s="928"/>
      <c r="I433" s="928"/>
      <c r="J433" s="928"/>
      <c r="K433" s="928"/>
      <c r="L433" s="928"/>
      <c r="M433" s="928"/>
      <c r="N433" s="928"/>
      <c r="O433" s="928"/>
      <c r="P433" s="928"/>
      <c r="Q433" s="928"/>
      <c r="R433" s="928"/>
      <c r="S433" s="928"/>
    </row>
    <row r="434" spans="1:19" ht="15.95" customHeight="1" outlineLevel="1" x14ac:dyDescent="0.3">
      <c r="A434" s="717" t="str">
        <f>IFERROR(INDEX($BF$160:$BF$239,MATCH((ROW()-ROW($C$306))/4+1,$BJ$160:$BJ$239,0),1),"")</f>
        <v/>
      </c>
      <c r="B434" s="717"/>
      <c r="C434" s="901" t="str">
        <f>IFERROR(INDEX($BD$160:$BD$239,MATCH((ROW()-ROW($C$306))/4+1,$BJ$160:$BJ$239,0),1),"")</f>
        <v/>
      </c>
      <c r="D434" s="901"/>
      <c r="E434" s="901"/>
      <c r="F434" s="928" t="str">
        <f>IFERROR(INDEX($BE$160:$BE$239,MATCH((ROW()-ROW($C$306))/4+1,$BJ$160:$BJ$239,0),1),"")</f>
        <v/>
      </c>
      <c r="G434" s="928"/>
      <c r="H434" s="928"/>
      <c r="I434" s="928"/>
      <c r="J434" s="928"/>
      <c r="K434" s="928"/>
      <c r="L434" s="928"/>
      <c r="M434" s="928"/>
      <c r="N434" s="928"/>
      <c r="O434" s="928"/>
      <c r="P434" s="928"/>
      <c r="Q434" s="928"/>
      <c r="R434" s="928"/>
      <c r="S434" s="928"/>
    </row>
    <row r="435" spans="1:19" ht="15.95" customHeight="1" outlineLevel="1" x14ac:dyDescent="0.3">
      <c r="A435" s="717"/>
      <c r="B435" s="717"/>
      <c r="C435" s="901"/>
      <c r="D435" s="901"/>
      <c r="E435" s="901"/>
      <c r="F435" s="928"/>
      <c r="G435" s="928"/>
      <c r="H435" s="928"/>
      <c r="I435" s="928"/>
      <c r="J435" s="928"/>
      <c r="K435" s="928"/>
      <c r="L435" s="928"/>
      <c r="M435" s="928"/>
      <c r="N435" s="928"/>
      <c r="O435" s="928"/>
      <c r="P435" s="928"/>
      <c r="Q435" s="928"/>
      <c r="R435" s="928"/>
      <c r="S435" s="928"/>
    </row>
    <row r="436" spans="1:19" ht="15.95" customHeight="1" outlineLevel="1" x14ac:dyDescent="0.3">
      <c r="A436" s="717"/>
      <c r="B436" s="717"/>
      <c r="C436" s="901"/>
      <c r="D436" s="901"/>
      <c r="E436" s="901"/>
      <c r="F436" s="928"/>
      <c r="G436" s="928"/>
      <c r="H436" s="928"/>
      <c r="I436" s="928"/>
      <c r="J436" s="928"/>
      <c r="K436" s="928"/>
      <c r="L436" s="928"/>
      <c r="M436" s="928"/>
      <c r="N436" s="928"/>
      <c r="O436" s="928"/>
      <c r="P436" s="928"/>
      <c r="Q436" s="928"/>
      <c r="R436" s="928"/>
      <c r="S436" s="928"/>
    </row>
    <row r="437" spans="1:19" ht="15.95" customHeight="1" outlineLevel="1" x14ac:dyDescent="0.3">
      <c r="A437" s="717"/>
      <c r="B437" s="717"/>
      <c r="C437" s="901"/>
      <c r="D437" s="901"/>
      <c r="E437" s="901"/>
      <c r="F437" s="928"/>
      <c r="G437" s="928"/>
      <c r="H437" s="928"/>
      <c r="I437" s="928"/>
      <c r="J437" s="928"/>
      <c r="K437" s="928"/>
      <c r="L437" s="928"/>
      <c r="M437" s="928"/>
      <c r="N437" s="928"/>
      <c r="O437" s="928"/>
      <c r="P437" s="928"/>
      <c r="Q437" s="928"/>
      <c r="R437" s="928"/>
      <c r="S437" s="928"/>
    </row>
    <row r="438" spans="1:19" ht="15.95" customHeight="1" outlineLevel="1" x14ac:dyDescent="0.3">
      <c r="A438" s="717" t="str">
        <f>IFERROR(INDEX($BF$160:$BF$239,MATCH((ROW()-ROW($C$306))/4+1,$BJ$160:$BJ$239,0),1),"")</f>
        <v/>
      </c>
      <c r="B438" s="717"/>
      <c r="C438" s="901" t="str">
        <f>IFERROR(INDEX($BD$160:$BD$239,MATCH((ROW()-ROW($C$306))/4+1,$BJ$160:$BJ$239,0),1),"")</f>
        <v/>
      </c>
      <c r="D438" s="901"/>
      <c r="E438" s="901"/>
      <c r="F438" s="928" t="str">
        <f>IFERROR(INDEX($BE$160:$BE$239,MATCH((ROW()-ROW($C$306))/4+1,$BJ$160:$BJ$239,0),1),"")</f>
        <v/>
      </c>
      <c r="G438" s="928"/>
      <c r="H438" s="928"/>
      <c r="I438" s="928"/>
      <c r="J438" s="928"/>
      <c r="K438" s="928"/>
      <c r="L438" s="928"/>
      <c r="M438" s="928"/>
      <c r="N438" s="928"/>
      <c r="O438" s="928"/>
      <c r="P438" s="928"/>
      <c r="Q438" s="928"/>
      <c r="R438" s="928"/>
      <c r="S438" s="928"/>
    </row>
    <row r="439" spans="1:19" ht="15.95" customHeight="1" outlineLevel="1" x14ac:dyDescent="0.3">
      <c r="A439" s="717"/>
      <c r="B439" s="717"/>
      <c r="C439" s="901"/>
      <c r="D439" s="901"/>
      <c r="E439" s="901"/>
      <c r="F439" s="928"/>
      <c r="G439" s="928"/>
      <c r="H439" s="928"/>
      <c r="I439" s="928"/>
      <c r="J439" s="928"/>
      <c r="K439" s="928"/>
      <c r="L439" s="928"/>
      <c r="M439" s="928"/>
      <c r="N439" s="928"/>
      <c r="O439" s="928"/>
      <c r="P439" s="928"/>
      <c r="Q439" s="928"/>
      <c r="R439" s="928"/>
      <c r="S439" s="928"/>
    </row>
    <row r="440" spans="1:19" ht="15.95" customHeight="1" outlineLevel="1" x14ac:dyDescent="0.3">
      <c r="A440" s="717"/>
      <c r="B440" s="717"/>
      <c r="C440" s="901"/>
      <c r="D440" s="901"/>
      <c r="E440" s="901"/>
      <c r="F440" s="928"/>
      <c r="G440" s="928"/>
      <c r="H440" s="928"/>
      <c r="I440" s="928"/>
      <c r="J440" s="928"/>
      <c r="K440" s="928"/>
      <c r="L440" s="928"/>
      <c r="M440" s="928"/>
      <c r="N440" s="928"/>
      <c r="O440" s="928"/>
      <c r="P440" s="928"/>
      <c r="Q440" s="928"/>
      <c r="R440" s="928"/>
      <c r="S440" s="928"/>
    </row>
    <row r="441" spans="1:19" ht="15.95" customHeight="1" outlineLevel="1" x14ac:dyDescent="0.3">
      <c r="A441" s="717"/>
      <c r="B441" s="717"/>
      <c r="C441" s="901"/>
      <c r="D441" s="901"/>
      <c r="E441" s="901"/>
      <c r="F441" s="928"/>
      <c r="G441" s="928"/>
      <c r="H441" s="928"/>
      <c r="I441" s="928"/>
      <c r="J441" s="928"/>
      <c r="K441" s="928"/>
      <c r="L441" s="928"/>
      <c r="M441" s="928"/>
      <c r="N441" s="928"/>
      <c r="O441" s="928"/>
      <c r="P441" s="928"/>
      <c r="Q441" s="928"/>
      <c r="R441" s="928"/>
      <c r="S441" s="928"/>
    </row>
    <row r="442" spans="1:19" ht="15.95" customHeight="1" outlineLevel="1" x14ac:dyDescent="0.3">
      <c r="A442" s="717" t="str">
        <f>IFERROR(INDEX($BF$160:$BF$239,MATCH((ROW()-ROW($C$306))/4+1,$BJ$160:$BJ$239,0),1),"")</f>
        <v/>
      </c>
      <c r="B442" s="717"/>
      <c r="C442" s="901" t="str">
        <f>IFERROR(INDEX($BD$160:$BD$239,MATCH((ROW()-ROW($C$306))/4+1,$BJ$160:$BJ$239,0),1),"")</f>
        <v/>
      </c>
      <c r="D442" s="901"/>
      <c r="E442" s="901"/>
      <c r="F442" s="928" t="str">
        <f>IFERROR(INDEX($BE$160:$BE$239,MATCH((ROW()-ROW($C$306))/4+1,$BJ$160:$BJ$239,0),1),"")</f>
        <v/>
      </c>
      <c r="G442" s="928"/>
      <c r="H442" s="928"/>
      <c r="I442" s="928"/>
      <c r="J442" s="928"/>
      <c r="K442" s="928"/>
      <c r="L442" s="928"/>
      <c r="M442" s="928"/>
      <c r="N442" s="928"/>
      <c r="O442" s="928"/>
      <c r="P442" s="928"/>
      <c r="Q442" s="928"/>
      <c r="R442" s="928"/>
      <c r="S442" s="928"/>
    </row>
    <row r="443" spans="1:19" ht="15.95" customHeight="1" outlineLevel="1" x14ac:dyDescent="0.3">
      <c r="A443" s="717"/>
      <c r="B443" s="717"/>
      <c r="C443" s="901"/>
      <c r="D443" s="901"/>
      <c r="E443" s="901"/>
      <c r="F443" s="928"/>
      <c r="G443" s="928"/>
      <c r="H443" s="928"/>
      <c r="I443" s="928"/>
      <c r="J443" s="928"/>
      <c r="K443" s="928"/>
      <c r="L443" s="928"/>
      <c r="M443" s="928"/>
      <c r="N443" s="928"/>
      <c r="O443" s="928"/>
      <c r="P443" s="928"/>
      <c r="Q443" s="928"/>
      <c r="R443" s="928"/>
      <c r="S443" s="928"/>
    </row>
    <row r="444" spans="1:19" ht="15.95" customHeight="1" outlineLevel="1" x14ac:dyDescent="0.3">
      <c r="A444" s="717"/>
      <c r="B444" s="717"/>
      <c r="C444" s="901"/>
      <c r="D444" s="901"/>
      <c r="E444" s="901"/>
      <c r="F444" s="928"/>
      <c r="G444" s="928"/>
      <c r="H444" s="928"/>
      <c r="I444" s="928"/>
      <c r="J444" s="928"/>
      <c r="K444" s="928"/>
      <c r="L444" s="928"/>
      <c r="M444" s="928"/>
      <c r="N444" s="928"/>
      <c r="O444" s="928"/>
      <c r="P444" s="928"/>
      <c r="Q444" s="928"/>
      <c r="R444" s="928"/>
      <c r="S444" s="928"/>
    </row>
    <row r="445" spans="1:19" ht="15.95" customHeight="1" outlineLevel="1" x14ac:dyDescent="0.3">
      <c r="A445" s="717"/>
      <c r="B445" s="717"/>
      <c r="C445" s="901"/>
      <c r="D445" s="901"/>
      <c r="E445" s="901"/>
      <c r="F445" s="928"/>
      <c r="G445" s="928"/>
      <c r="H445" s="928"/>
      <c r="I445" s="928"/>
      <c r="J445" s="928"/>
      <c r="K445" s="928"/>
      <c r="L445" s="928"/>
      <c r="M445" s="928"/>
      <c r="N445" s="928"/>
      <c r="O445" s="928"/>
      <c r="P445" s="928"/>
      <c r="Q445" s="928"/>
      <c r="R445" s="928"/>
      <c r="S445" s="928"/>
    </row>
    <row r="446" spans="1:19" ht="15.95" customHeight="1" outlineLevel="1" x14ac:dyDescent="0.3">
      <c r="A446" s="717" t="str">
        <f>IFERROR(INDEX($BF$160:$BF$239,MATCH((ROW()-ROW($C$306))/4+1,$BJ$160:$BJ$239,0),1),"")</f>
        <v/>
      </c>
      <c r="B446" s="717"/>
      <c r="C446" s="901" t="str">
        <f>IFERROR(INDEX($BD$160:$BD$239,MATCH((ROW()-ROW($C$306))/4+1,$BJ$160:$BJ$239,0),1),"")</f>
        <v/>
      </c>
      <c r="D446" s="901"/>
      <c r="E446" s="901"/>
      <c r="F446" s="928" t="str">
        <f>IFERROR(INDEX($BE$160:$BE$239,MATCH((ROW()-ROW($C$306))/4+1,$BJ$160:$BJ$239,0),1),"")</f>
        <v/>
      </c>
      <c r="G446" s="928"/>
      <c r="H446" s="928"/>
      <c r="I446" s="928"/>
      <c r="J446" s="928"/>
      <c r="K446" s="928"/>
      <c r="L446" s="928"/>
      <c r="M446" s="928"/>
      <c r="N446" s="928"/>
      <c r="O446" s="928"/>
      <c r="P446" s="928"/>
      <c r="Q446" s="928"/>
      <c r="R446" s="928"/>
      <c r="S446" s="928"/>
    </row>
    <row r="447" spans="1:19" ht="15.95" customHeight="1" outlineLevel="1" x14ac:dyDescent="0.3">
      <c r="A447" s="717"/>
      <c r="B447" s="717"/>
      <c r="C447" s="901"/>
      <c r="D447" s="901"/>
      <c r="E447" s="901"/>
      <c r="F447" s="928"/>
      <c r="G447" s="928"/>
      <c r="H447" s="928"/>
      <c r="I447" s="928"/>
      <c r="J447" s="928"/>
      <c r="K447" s="928"/>
      <c r="L447" s="928"/>
      <c r="M447" s="928"/>
      <c r="N447" s="928"/>
      <c r="O447" s="928"/>
      <c r="P447" s="928"/>
      <c r="Q447" s="928"/>
      <c r="R447" s="928"/>
      <c r="S447" s="928"/>
    </row>
    <row r="448" spans="1:19" ht="15.95" customHeight="1" outlineLevel="1" x14ac:dyDescent="0.3">
      <c r="A448" s="717"/>
      <c r="B448" s="717"/>
      <c r="C448" s="901"/>
      <c r="D448" s="901"/>
      <c r="E448" s="901"/>
      <c r="F448" s="928"/>
      <c r="G448" s="928"/>
      <c r="H448" s="928"/>
      <c r="I448" s="928"/>
      <c r="J448" s="928"/>
      <c r="K448" s="928"/>
      <c r="L448" s="928"/>
      <c r="M448" s="928"/>
      <c r="N448" s="928"/>
      <c r="O448" s="928"/>
      <c r="P448" s="928"/>
      <c r="Q448" s="928"/>
      <c r="R448" s="928"/>
      <c r="S448" s="928"/>
    </row>
    <row r="449" spans="1:19" ht="15.95" customHeight="1" outlineLevel="1" x14ac:dyDescent="0.3">
      <c r="A449" s="717"/>
      <c r="B449" s="717"/>
      <c r="C449" s="901"/>
      <c r="D449" s="901"/>
      <c r="E449" s="901"/>
      <c r="F449" s="928"/>
      <c r="G449" s="928"/>
      <c r="H449" s="928"/>
      <c r="I449" s="928"/>
      <c r="J449" s="928"/>
      <c r="K449" s="928"/>
      <c r="L449" s="928"/>
      <c r="M449" s="928"/>
      <c r="N449" s="928"/>
      <c r="O449" s="928"/>
      <c r="P449" s="928"/>
      <c r="Q449" s="928"/>
      <c r="R449" s="928"/>
      <c r="S449" s="928"/>
    </row>
    <row r="450" spans="1:19" ht="15.95" customHeight="1" outlineLevel="1" x14ac:dyDescent="0.3">
      <c r="A450" s="717" t="str">
        <f>IFERROR(INDEX($BF$160:$BF$239,MATCH((ROW()-ROW($C$306))/4+1,$BJ$160:$BJ$239,0),1),"")</f>
        <v/>
      </c>
      <c r="B450" s="717"/>
      <c r="C450" s="901" t="str">
        <f>IFERROR(INDEX($BD$160:$BD$239,MATCH((ROW()-ROW($C$306))/4+1,$BJ$160:$BJ$239,0),1),"")</f>
        <v/>
      </c>
      <c r="D450" s="901"/>
      <c r="E450" s="901"/>
      <c r="F450" s="928" t="str">
        <f>IFERROR(INDEX($BE$160:$BE$239,MATCH((ROW()-ROW($C$306))/4+1,$BJ$160:$BJ$239,0),1),"")</f>
        <v/>
      </c>
      <c r="G450" s="928"/>
      <c r="H450" s="928"/>
      <c r="I450" s="928"/>
      <c r="J450" s="928"/>
      <c r="K450" s="928"/>
      <c r="L450" s="928"/>
      <c r="M450" s="928"/>
      <c r="N450" s="928"/>
      <c r="O450" s="928"/>
      <c r="P450" s="928"/>
      <c r="Q450" s="928"/>
      <c r="R450" s="928"/>
      <c r="S450" s="928"/>
    </row>
    <row r="451" spans="1:19" ht="15.95" customHeight="1" outlineLevel="1" x14ac:dyDescent="0.3">
      <c r="A451" s="717"/>
      <c r="B451" s="717"/>
      <c r="C451" s="901"/>
      <c r="D451" s="901"/>
      <c r="E451" s="901"/>
      <c r="F451" s="928"/>
      <c r="G451" s="928"/>
      <c r="H451" s="928"/>
      <c r="I451" s="928"/>
      <c r="J451" s="928"/>
      <c r="K451" s="928"/>
      <c r="L451" s="928"/>
      <c r="M451" s="928"/>
      <c r="N451" s="928"/>
      <c r="O451" s="928"/>
      <c r="P451" s="928"/>
      <c r="Q451" s="928"/>
      <c r="R451" s="928"/>
      <c r="S451" s="928"/>
    </row>
    <row r="452" spans="1:19" ht="15.95" customHeight="1" outlineLevel="1" x14ac:dyDescent="0.3">
      <c r="A452" s="717"/>
      <c r="B452" s="717"/>
      <c r="C452" s="901"/>
      <c r="D452" s="901"/>
      <c r="E452" s="901"/>
      <c r="F452" s="928"/>
      <c r="G452" s="928"/>
      <c r="H452" s="928"/>
      <c r="I452" s="928"/>
      <c r="J452" s="928"/>
      <c r="K452" s="928"/>
      <c r="L452" s="928"/>
      <c r="M452" s="928"/>
      <c r="N452" s="928"/>
      <c r="O452" s="928"/>
      <c r="P452" s="928"/>
      <c r="Q452" s="928"/>
      <c r="R452" s="928"/>
      <c r="S452" s="928"/>
    </row>
    <row r="453" spans="1:19" ht="15.95" customHeight="1" outlineLevel="1" x14ac:dyDescent="0.3">
      <c r="A453" s="717"/>
      <c r="B453" s="717"/>
      <c r="C453" s="901"/>
      <c r="D453" s="901"/>
      <c r="E453" s="901"/>
      <c r="F453" s="928"/>
      <c r="G453" s="928"/>
      <c r="H453" s="928"/>
      <c r="I453" s="928"/>
      <c r="J453" s="928"/>
      <c r="K453" s="928"/>
      <c r="L453" s="928"/>
      <c r="M453" s="928"/>
      <c r="N453" s="928"/>
      <c r="O453" s="928"/>
      <c r="P453" s="928"/>
      <c r="Q453" s="928"/>
      <c r="R453" s="928"/>
      <c r="S453" s="928"/>
    </row>
    <row r="454" spans="1:19" ht="15.95" customHeight="1" outlineLevel="1" x14ac:dyDescent="0.3">
      <c r="A454" s="717" t="str">
        <f>IFERROR(INDEX($BF$160:$BF$239,MATCH((ROW()-ROW($C$306))/4+1,$BJ$160:$BJ$239,0),1),"")</f>
        <v/>
      </c>
      <c r="B454" s="717"/>
      <c r="C454" s="901" t="str">
        <f>IFERROR(INDEX($BD$160:$BD$239,MATCH((ROW()-ROW($C$306))/4+1,$BJ$160:$BJ$239,0),1),"")</f>
        <v/>
      </c>
      <c r="D454" s="901"/>
      <c r="E454" s="901"/>
      <c r="F454" s="928" t="str">
        <f>IFERROR(INDEX($BE$160:$BE$239,MATCH((ROW()-ROW($C$306))/4+1,$BJ$160:$BJ$239,0),1),"")</f>
        <v/>
      </c>
      <c r="G454" s="928"/>
      <c r="H454" s="928"/>
      <c r="I454" s="928"/>
      <c r="J454" s="928"/>
      <c r="K454" s="928"/>
      <c r="L454" s="928"/>
      <c r="M454" s="928"/>
      <c r="N454" s="928"/>
      <c r="O454" s="928"/>
      <c r="P454" s="928"/>
      <c r="Q454" s="928"/>
      <c r="R454" s="928"/>
      <c r="S454" s="928"/>
    </row>
    <row r="455" spans="1:19" ht="15.95" customHeight="1" outlineLevel="1" x14ac:dyDescent="0.3">
      <c r="A455" s="717"/>
      <c r="B455" s="717"/>
      <c r="C455" s="901"/>
      <c r="D455" s="901"/>
      <c r="E455" s="901"/>
      <c r="F455" s="928"/>
      <c r="G455" s="928"/>
      <c r="H455" s="928"/>
      <c r="I455" s="928"/>
      <c r="J455" s="928"/>
      <c r="K455" s="928"/>
      <c r="L455" s="928"/>
      <c r="M455" s="928"/>
      <c r="N455" s="928"/>
      <c r="O455" s="928"/>
      <c r="P455" s="928"/>
      <c r="Q455" s="928"/>
      <c r="R455" s="928"/>
      <c r="S455" s="928"/>
    </row>
    <row r="456" spans="1:19" ht="15.95" customHeight="1" outlineLevel="1" x14ac:dyDescent="0.3">
      <c r="A456" s="717"/>
      <c r="B456" s="717"/>
      <c r="C456" s="901"/>
      <c r="D456" s="901"/>
      <c r="E456" s="901"/>
      <c r="F456" s="928"/>
      <c r="G456" s="928"/>
      <c r="H456" s="928"/>
      <c r="I456" s="928"/>
      <c r="J456" s="928"/>
      <c r="K456" s="928"/>
      <c r="L456" s="928"/>
      <c r="M456" s="928"/>
      <c r="N456" s="928"/>
      <c r="O456" s="928"/>
      <c r="P456" s="928"/>
      <c r="Q456" s="928"/>
      <c r="R456" s="928"/>
      <c r="S456" s="928"/>
    </row>
    <row r="457" spans="1:19" ht="15.95" customHeight="1" outlineLevel="1" x14ac:dyDescent="0.3">
      <c r="A457" s="717"/>
      <c r="B457" s="717"/>
      <c r="C457" s="901"/>
      <c r="D457" s="901"/>
      <c r="E457" s="901"/>
      <c r="F457" s="928"/>
      <c r="G457" s="928"/>
      <c r="H457" s="928"/>
      <c r="I457" s="928"/>
      <c r="J457" s="928"/>
      <c r="K457" s="928"/>
      <c r="L457" s="928"/>
      <c r="M457" s="928"/>
      <c r="N457" s="928"/>
      <c r="O457" s="928"/>
      <c r="P457" s="928"/>
      <c r="Q457" s="928"/>
      <c r="R457" s="928"/>
      <c r="S457" s="928"/>
    </row>
    <row r="458" spans="1:19" ht="15.95" customHeight="1" outlineLevel="1" x14ac:dyDescent="0.3">
      <c r="A458" s="717" t="str">
        <f>IFERROR(INDEX($BF$160:$BF$239,MATCH((ROW()-ROW($C$306))/4+1,$BJ$160:$BJ$239,0),1),"")</f>
        <v/>
      </c>
      <c r="B458" s="717"/>
      <c r="C458" s="901" t="str">
        <f>IFERROR(INDEX($BD$160:$BD$239,MATCH((ROW()-ROW($C$306))/4+1,$BJ$160:$BJ$239,0),1),"")</f>
        <v/>
      </c>
      <c r="D458" s="901"/>
      <c r="E458" s="901"/>
      <c r="F458" s="928" t="str">
        <f>IFERROR(INDEX($BE$160:$BE$239,MATCH((ROW()-ROW($C$306))/4+1,$BJ$160:$BJ$239,0),1),"")</f>
        <v/>
      </c>
      <c r="G458" s="928"/>
      <c r="H458" s="928"/>
      <c r="I458" s="928"/>
      <c r="J458" s="928"/>
      <c r="K458" s="928"/>
      <c r="L458" s="928"/>
      <c r="M458" s="928"/>
      <c r="N458" s="928"/>
      <c r="O458" s="928"/>
      <c r="P458" s="928"/>
      <c r="Q458" s="928"/>
      <c r="R458" s="928"/>
      <c r="S458" s="928"/>
    </row>
    <row r="459" spans="1:19" ht="15.95" customHeight="1" outlineLevel="1" x14ac:dyDescent="0.3">
      <c r="A459" s="717"/>
      <c r="B459" s="717"/>
      <c r="C459" s="901"/>
      <c r="D459" s="901"/>
      <c r="E459" s="901"/>
      <c r="F459" s="928"/>
      <c r="G459" s="928"/>
      <c r="H459" s="928"/>
      <c r="I459" s="928"/>
      <c r="J459" s="928"/>
      <c r="K459" s="928"/>
      <c r="L459" s="928"/>
      <c r="M459" s="928"/>
      <c r="N459" s="928"/>
      <c r="O459" s="928"/>
      <c r="P459" s="928"/>
      <c r="Q459" s="928"/>
      <c r="R459" s="928"/>
      <c r="S459" s="928"/>
    </row>
    <row r="460" spans="1:19" ht="15.95" customHeight="1" outlineLevel="1" x14ac:dyDescent="0.3">
      <c r="A460" s="717"/>
      <c r="B460" s="717"/>
      <c r="C460" s="901"/>
      <c r="D460" s="901"/>
      <c r="E460" s="901"/>
      <c r="F460" s="928"/>
      <c r="G460" s="928"/>
      <c r="H460" s="928"/>
      <c r="I460" s="928"/>
      <c r="J460" s="928"/>
      <c r="K460" s="928"/>
      <c r="L460" s="928"/>
      <c r="M460" s="928"/>
      <c r="N460" s="928"/>
      <c r="O460" s="928"/>
      <c r="P460" s="928"/>
      <c r="Q460" s="928"/>
      <c r="R460" s="928"/>
      <c r="S460" s="928"/>
    </row>
    <row r="461" spans="1:19" ht="15.95" customHeight="1" outlineLevel="1" x14ac:dyDescent="0.3">
      <c r="A461" s="717"/>
      <c r="B461" s="717"/>
      <c r="C461" s="901"/>
      <c r="D461" s="901"/>
      <c r="E461" s="901"/>
      <c r="F461" s="928"/>
      <c r="G461" s="928"/>
      <c r="H461" s="928"/>
      <c r="I461" s="928"/>
      <c r="J461" s="928"/>
      <c r="K461" s="928"/>
      <c r="L461" s="928"/>
      <c r="M461" s="928"/>
      <c r="N461" s="928"/>
      <c r="O461" s="928"/>
      <c r="P461" s="928"/>
      <c r="Q461" s="928"/>
      <c r="R461" s="928"/>
      <c r="S461" s="928"/>
    </row>
    <row r="462" spans="1:19" ht="15.95" customHeight="1" outlineLevel="1" x14ac:dyDescent="0.3">
      <c r="A462" s="717" t="str">
        <f t="shared" ref="A462" si="88">IFERROR(INDEX($BF$160:$BF$239,MATCH((ROW()-ROW($C$306))/4+1,$BJ$160:$BJ$239,0),1),"")</f>
        <v/>
      </c>
      <c r="B462" s="717"/>
      <c r="C462" s="901" t="str">
        <f t="shared" ref="C462" si="89">IFERROR(INDEX($BD$160:$BD$239,MATCH((ROW()-ROW($C$306))/4+1,$BJ$160:$BJ$239,0),1),"")</f>
        <v/>
      </c>
      <c r="D462" s="901"/>
      <c r="E462" s="901"/>
      <c r="F462" s="928" t="str">
        <f t="shared" ref="F462" si="90">IFERROR(INDEX($BE$160:$BE$239,MATCH((ROW()-ROW($C$306))/4+1,$BJ$160:$BJ$239,0),1),"")</f>
        <v/>
      </c>
      <c r="G462" s="928"/>
      <c r="H462" s="928"/>
      <c r="I462" s="928"/>
      <c r="J462" s="928"/>
      <c r="K462" s="928"/>
      <c r="L462" s="928"/>
      <c r="M462" s="928"/>
      <c r="N462" s="928"/>
      <c r="O462" s="928"/>
      <c r="P462" s="928"/>
      <c r="Q462" s="928"/>
      <c r="R462" s="928"/>
      <c r="S462" s="928"/>
    </row>
    <row r="463" spans="1:19" ht="15.95" customHeight="1" outlineLevel="1" x14ac:dyDescent="0.3">
      <c r="A463" s="717"/>
      <c r="B463" s="717"/>
      <c r="C463" s="901"/>
      <c r="D463" s="901"/>
      <c r="E463" s="901"/>
      <c r="F463" s="928"/>
      <c r="G463" s="928"/>
      <c r="H463" s="928"/>
      <c r="I463" s="928"/>
      <c r="J463" s="928"/>
      <c r="K463" s="928"/>
      <c r="L463" s="928"/>
      <c r="M463" s="928"/>
      <c r="N463" s="928"/>
      <c r="O463" s="928"/>
      <c r="P463" s="928"/>
      <c r="Q463" s="928"/>
      <c r="R463" s="928"/>
      <c r="S463" s="928"/>
    </row>
    <row r="464" spans="1:19" ht="15.95" customHeight="1" outlineLevel="1" x14ac:dyDescent="0.3">
      <c r="A464" s="717"/>
      <c r="B464" s="717"/>
      <c r="C464" s="901"/>
      <c r="D464" s="901"/>
      <c r="E464" s="901"/>
      <c r="F464" s="928"/>
      <c r="G464" s="928"/>
      <c r="H464" s="928"/>
      <c r="I464" s="928"/>
      <c r="J464" s="928"/>
      <c r="K464" s="928"/>
      <c r="L464" s="928"/>
      <c r="M464" s="928"/>
      <c r="N464" s="928"/>
      <c r="O464" s="928"/>
      <c r="P464" s="928"/>
      <c r="Q464" s="928"/>
      <c r="R464" s="928"/>
      <c r="S464" s="928"/>
    </row>
    <row r="465" spans="1:19" ht="15.95" customHeight="1" outlineLevel="1" x14ac:dyDescent="0.3">
      <c r="A465" s="717"/>
      <c r="B465" s="717"/>
      <c r="C465" s="901"/>
      <c r="D465" s="901"/>
      <c r="E465" s="901"/>
      <c r="F465" s="928"/>
      <c r="G465" s="928"/>
      <c r="H465" s="928"/>
      <c r="I465" s="928"/>
      <c r="J465" s="928"/>
      <c r="K465" s="928"/>
      <c r="L465" s="928"/>
      <c r="M465" s="928"/>
      <c r="N465" s="928"/>
      <c r="O465" s="928"/>
      <c r="P465" s="928"/>
      <c r="Q465" s="928"/>
      <c r="R465" s="928"/>
      <c r="S465" s="928"/>
    </row>
    <row r="466" spans="1:19" ht="15.95" customHeight="1" outlineLevel="1" x14ac:dyDescent="0.3">
      <c r="A466" s="717" t="str">
        <f t="shared" ref="A466" si="91">IFERROR(INDEX($BF$160:$BF$239,MATCH((ROW()-ROW($C$306))/4+1,$BJ$160:$BJ$239,0),1),"")</f>
        <v/>
      </c>
      <c r="B466" s="717"/>
      <c r="C466" s="901" t="str">
        <f t="shared" ref="C466" si="92">IFERROR(INDEX($BD$160:$BD$239,MATCH((ROW()-ROW($C$306))/4+1,$BJ$160:$BJ$239,0),1),"")</f>
        <v/>
      </c>
      <c r="D466" s="901"/>
      <c r="E466" s="901"/>
      <c r="F466" s="928" t="str">
        <f t="shared" ref="F466" si="93">IFERROR(INDEX($BE$160:$BE$239,MATCH((ROW()-ROW($C$306))/4+1,$BJ$160:$BJ$239,0),1),"")</f>
        <v/>
      </c>
      <c r="G466" s="928"/>
      <c r="H466" s="928"/>
      <c r="I466" s="928"/>
      <c r="J466" s="928"/>
      <c r="K466" s="928"/>
      <c r="L466" s="928"/>
      <c r="M466" s="928"/>
      <c r="N466" s="928"/>
      <c r="O466" s="928"/>
      <c r="P466" s="928"/>
      <c r="Q466" s="928"/>
      <c r="R466" s="928"/>
      <c r="S466" s="928"/>
    </row>
    <row r="467" spans="1:19" ht="15.95" customHeight="1" outlineLevel="1" x14ac:dyDescent="0.3">
      <c r="A467" s="717"/>
      <c r="B467" s="717"/>
      <c r="C467" s="901"/>
      <c r="D467" s="901"/>
      <c r="E467" s="901"/>
      <c r="F467" s="928"/>
      <c r="G467" s="928"/>
      <c r="H467" s="928"/>
      <c r="I467" s="928"/>
      <c r="J467" s="928"/>
      <c r="K467" s="928"/>
      <c r="L467" s="928"/>
      <c r="M467" s="928"/>
      <c r="N467" s="928"/>
      <c r="O467" s="928"/>
      <c r="P467" s="928"/>
      <c r="Q467" s="928"/>
      <c r="R467" s="928"/>
      <c r="S467" s="928"/>
    </row>
    <row r="468" spans="1:19" ht="15.95" customHeight="1" outlineLevel="1" x14ac:dyDescent="0.3">
      <c r="A468" s="717"/>
      <c r="B468" s="717"/>
      <c r="C468" s="901"/>
      <c r="D468" s="901"/>
      <c r="E468" s="901"/>
      <c r="F468" s="928"/>
      <c r="G468" s="928"/>
      <c r="H468" s="928"/>
      <c r="I468" s="928"/>
      <c r="J468" s="928"/>
      <c r="K468" s="928"/>
      <c r="L468" s="928"/>
      <c r="M468" s="928"/>
      <c r="N468" s="928"/>
      <c r="O468" s="928"/>
      <c r="P468" s="928"/>
      <c r="Q468" s="928"/>
      <c r="R468" s="928"/>
      <c r="S468" s="928"/>
    </row>
    <row r="469" spans="1:19" ht="15.95" customHeight="1" outlineLevel="1" x14ac:dyDescent="0.3">
      <c r="A469" s="717"/>
      <c r="B469" s="717"/>
      <c r="C469" s="901"/>
      <c r="D469" s="901"/>
      <c r="E469" s="901"/>
      <c r="F469" s="928"/>
      <c r="G469" s="928"/>
      <c r="H469" s="928"/>
      <c r="I469" s="928"/>
      <c r="J469" s="928"/>
      <c r="K469" s="928"/>
      <c r="L469" s="928"/>
      <c r="M469" s="928"/>
      <c r="N469" s="928"/>
      <c r="O469" s="928"/>
      <c r="P469" s="928"/>
      <c r="Q469" s="928"/>
      <c r="R469" s="928"/>
      <c r="S469" s="928"/>
    </row>
    <row r="470" spans="1:19" ht="15.95" customHeight="1" outlineLevel="1" x14ac:dyDescent="0.3">
      <c r="A470" s="717" t="str">
        <f t="shared" ref="A470" si="94">IFERROR(INDEX($BF$160:$BF$239,MATCH((ROW()-ROW($C$306))/4+1,$BJ$160:$BJ$239,0),1),"")</f>
        <v/>
      </c>
      <c r="B470" s="717"/>
      <c r="C470" s="901" t="str">
        <f t="shared" ref="C470" si="95">IFERROR(INDEX($BD$160:$BD$239,MATCH((ROW()-ROW($C$306))/4+1,$BJ$160:$BJ$239,0),1),"")</f>
        <v/>
      </c>
      <c r="D470" s="901"/>
      <c r="E470" s="901"/>
      <c r="F470" s="928" t="str">
        <f t="shared" ref="F470" si="96">IFERROR(INDEX($BE$160:$BE$239,MATCH((ROW()-ROW($C$306))/4+1,$BJ$160:$BJ$239,0),1),"")</f>
        <v/>
      </c>
      <c r="G470" s="928"/>
      <c r="H470" s="928"/>
      <c r="I470" s="928"/>
      <c r="J470" s="928"/>
      <c r="K470" s="928"/>
      <c r="L470" s="928"/>
      <c r="M470" s="928"/>
      <c r="N470" s="928"/>
      <c r="O470" s="928"/>
      <c r="P470" s="928"/>
      <c r="Q470" s="928"/>
      <c r="R470" s="928"/>
      <c r="S470" s="928"/>
    </row>
    <row r="471" spans="1:19" ht="15.95" customHeight="1" outlineLevel="1" x14ac:dyDescent="0.3">
      <c r="A471" s="717"/>
      <c r="B471" s="717"/>
      <c r="C471" s="901"/>
      <c r="D471" s="901"/>
      <c r="E471" s="901"/>
      <c r="F471" s="928"/>
      <c r="G471" s="928"/>
      <c r="H471" s="928"/>
      <c r="I471" s="928"/>
      <c r="J471" s="928"/>
      <c r="K471" s="928"/>
      <c r="L471" s="928"/>
      <c r="M471" s="928"/>
      <c r="N471" s="928"/>
      <c r="O471" s="928"/>
      <c r="P471" s="928"/>
      <c r="Q471" s="928"/>
      <c r="R471" s="928"/>
      <c r="S471" s="928"/>
    </row>
    <row r="472" spans="1:19" ht="15.95" customHeight="1" outlineLevel="1" x14ac:dyDescent="0.3">
      <c r="A472" s="717"/>
      <c r="B472" s="717"/>
      <c r="C472" s="901"/>
      <c r="D472" s="901"/>
      <c r="E472" s="901"/>
      <c r="F472" s="928"/>
      <c r="G472" s="928"/>
      <c r="H472" s="928"/>
      <c r="I472" s="928"/>
      <c r="J472" s="928"/>
      <c r="K472" s="928"/>
      <c r="L472" s="928"/>
      <c r="M472" s="928"/>
      <c r="N472" s="928"/>
      <c r="O472" s="928"/>
      <c r="P472" s="928"/>
      <c r="Q472" s="928"/>
      <c r="R472" s="928"/>
      <c r="S472" s="928"/>
    </row>
    <row r="473" spans="1:19" ht="15.95" customHeight="1" outlineLevel="1" x14ac:dyDescent="0.3">
      <c r="A473" s="717"/>
      <c r="B473" s="717"/>
      <c r="C473" s="901"/>
      <c r="D473" s="901"/>
      <c r="E473" s="901"/>
      <c r="F473" s="928"/>
      <c r="G473" s="928"/>
      <c r="H473" s="928"/>
      <c r="I473" s="928"/>
      <c r="J473" s="928"/>
      <c r="K473" s="928"/>
      <c r="L473" s="928"/>
      <c r="M473" s="928"/>
      <c r="N473" s="928"/>
      <c r="O473" s="928"/>
      <c r="P473" s="928"/>
      <c r="Q473" s="928"/>
      <c r="R473" s="928"/>
      <c r="S473" s="928"/>
    </row>
    <row r="474" spans="1:19" ht="15.95" customHeight="1" outlineLevel="1" x14ac:dyDescent="0.3">
      <c r="A474" s="717" t="str">
        <f t="shared" ref="A474" si="97">IFERROR(INDEX($BF$160:$BF$239,MATCH((ROW()-ROW($C$306))/4+1,$BJ$160:$BJ$239,0),1),"")</f>
        <v/>
      </c>
      <c r="B474" s="717"/>
      <c r="C474" s="901" t="str">
        <f t="shared" ref="C474" si="98">IFERROR(INDEX($BD$160:$BD$239,MATCH((ROW()-ROW($C$306))/4+1,$BJ$160:$BJ$239,0),1),"")</f>
        <v/>
      </c>
      <c r="D474" s="901"/>
      <c r="E474" s="901"/>
      <c r="F474" s="928" t="str">
        <f t="shared" ref="F474" si="99">IFERROR(INDEX($BE$160:$BE$239,MATCH((ROW()-ROW($C$306))/4+1,$BJ$160:$BJ$239,0),1),"")</f>
        <v/>
      </c>
      <c r="G474" s="928"/>
      <c r="H474" s="928"/>
      <c r="I474" s="928"/>
      <c r="J474" s="928"/>
      <c r="K474" s="928"/>
      <c r="L474" s="928"/>
      <c r="M474" s="928"/>
      <c r="N474" s="928"/>
      <c r="O474" s="928"/>
      <c r="P474" s="928"/>
      <c r="Q474" s="928"/>
      <c r="R474" s="928"/>
      <c r="S474" s="928"/>
    </row>
    <row r="475" spans="1:19" ht="15.95" customHeight="1" outlineLevel="1" x14ac:dyDescent="0.3">
      <c r="A475" s="717"/>
      <c r="B475" s="717"/>
      <c r="C475" s="901"/>
      <c r="D475" s="901"/>
      <c r="E475" s="901"/>
      <c r="F475" s="928"/>
      <c r="G475" s="928"/>
      <c r="H475" s="928"/>
      <c r="I475" s="928"/>
      <c r="J475" s="928"/>
      <c r="K475" s="928"/>
      <c r="L475" s="928"/>
      <c r="M475" s="928"/>
      <c r="N475" s="928"/>
      <c r="O475" s="928"/>
      <c r="P475" s="928"/>
      <c r="Q475" s="928"/>
      <c r="R475" s="928"/>
      <c r="S475" s="928"/>
    </row>
    <row r="476" spans="1:19" ht="15.95" customHeight="1" outlineLevel="1" x14ac:dyDescent="0.3">
      <c r="A476" s="717"/>
      <c r="B476" s="717"/>
      <c r="C476" s="901"/>
      <c r="D476" s="901"/>
      <c r="E476" s="901"/>
      <c r="F476" s="928"/>
      <c r="G476" s="928"/>
      <c r="H476" s="928"/>
      <c r="I476" s="928"/>
      <c r="J476" s="928"/>
      <c r="K476" s="928"/>
      <c r="L476" s="928"/>
      <c r="M476" s="928"/>
      <c r="N476" s="928"/>
      <c r="O476" s="928"/>
      <c r="P476" s="928"/>
      <c r="Q476" s="928"/>
      <c r="R476" s="928"/>
      <c r="S476" s="928"/>
    </row>
    <row r="477" spans="1:19" ht="15.95" customHeight="1" outlineLevel="1" x14ac:dyDescent="0.3">
      <c r="A477" s="717"/>
      <c r="B477" s="717"/>
      <c r="C477" s="901"/>
      <c r="D477" s="901"/>
      <c r="E477" s="901"/>
      <c r="F477" s="928"/>
      <c r="G477" s="928"/>
      <c r="H477" s="928"/>
      <c r="I477" s="928"/>
      <c r="J477" s="928"/>
      <c r="K477" s="928"/>
      <c r="L477" s="928"/>
      <c r="M477" s="928"/>
      <c r="N477" s="928"/>
      <c r="O477" s="928"/>
      <c r="P477" s="928"/>
      <c r="Q477" s="928"/>
      <c r="R477" s="928"/>
      <c r="S477" s="928"/>
    </row>
    <row r="478" spans="1:19" ht="15.95" customHeight="1" outlineLevel="1" x14ac:dyDescent="0.3">
      <c r="A478" s="717" t="str">
        <f t="shared" ref="A478" si="100">IFERROR(INDEX($BF$160:$BF$239,MATCH((ROW()-ROW($C$306))/4+1,$BJ$160:$BJ$239,0),1),"")</f>
        <v/>
      </c>
      <c r="B478" s="717"/>
      <c r="C478" s="901" t="str">
        <f t="shared" ref="C478" si="101">IFERROR(INDEX($BD$160:$BD$239,MATCH((ROW()-ROW($C$306))/4+1,$BJ$160:$BJ$239,0),1),"")</f>
        <v/>
      </c>
      <c r="D478" s="901"/>
      <c r="E478" s="901"/>
      <c r="F478" s="928" t="str">
        <f t="shared" ref="F478" si="102">IFERROR(INDEX($BE$160:$BE$239,MATCH((ROW()-ROW($C$306))/4+1,$BJ$160:$BJ$239,0),1),"")</f>
        <v/>
      </c>
      <c r="G478" s="928"/>
      <c r="H478" s="928"/>
      <c r="I478" s="928"/>
      <c r="J478" s="928"/>
      <c r="K478" s="928"/>
      <c r="L478" s="928"/>
      <c r="M478" s="928"/>
      <c r="N478" s="928"/>
      <c r="O478" s="928"/>
      <c r="P478" s="928"/>
      <c r="Q478" s="928"/>
      <c r="R478" s="928"/>
      <c r="S478" s="928"/>
    </row>
    <row r="479" spans="1:19" ht="15.95" customHeight="1" outlineLevel="1" x14ac:dyDescent="0.3">
      <c r="A479" s="717"/>
      <c r="B479" s="717"/>
      <c r="C479" s="901"/>
      <c r="D479" s="901"/>
      <c r="E479" s="901"/>
      <c r="F479" s="928"/>
      <c r="G479" s="928"/>
      <c r="H479" s="928"/>
      <c r="I479" s="928"/>
      <c r="J479" s="928"/>
      <c r="K479" s="928"/>
      <c r="L479" s="928"/>
      <c r="M479" s="928"/>
      <c r="N479" s="928"/>
      <c r="O479" s="928"/>
      <c r="P479" s="928"/>
      <c r="Q479" s="928"/>
      <c r="R479" s="928"/>
      <c r="S479" s="928"/>
    </row>
    <row r="480" spans="1:19" ht="15.95" customHeight="1" outlineLevel="1" x14ac:dyDescent="0.3">
      <c r="A480" s="717"/>
      <c r="B480" s="717"/>
      <c r="C480" s="901"/>
      <c r="D480" s="901"/>
      <c r="E480" s="901"/>
      <c r="F480" s="928"/>
      <c r="G480" s="928"/>
      <c r="H480" s="928"/>
      <c r="I480" s="928"/>
      <c r="J480" s="928"/>
      <c r="K480" s="928"/>
      <c r="L480" s="928"/>
      <c r="M480" s="928"/>
      <c r="N480" s="928"/>
      <c r="O480" s="928"/>
      <c r="P480" s="928"/>
      <c r="Q480" s="928"/>
      <c r="R480" s="928"/>
      <c r="S480" s="928"/>
    </row>
    <row r="481" spans="1:19" ht="15.95" customHeight="1" outlineLevel="1" x14ac:dyDescent="0.3">
      <c r="A481" s="717"/>
      <c r="B481" s="717"/>
      <c r="C481" s="901"/>
      <c r="D481" s="901"/>
      <c r="E481" s="901"/>
      <c r="F481" s="928"/>
      <c r="G481" s="928"/>
      <c r="H481" s="928"/>
      <c r="I481" s="928"/>
      <c r="J481" s="928"/>
      <c r="K481" s="928"/>
      <c r="L481" s="928"/>
      <c r="M481" s="928"/>
      <c r="N481" s="928"/>
      <c r="O481" s="928"/>
      <c r="P481" s="928"/>
      <c r="Q481" s="928"/>
      <c r="R481" s="928"/>
      <c r="S481" s="928"/>
    </row>
    <row r="482" spans="1:19" ht="15.95" customHeight="1" outlineLevel="1" x14ac:dyDescent="0.3">
      <c r="A482" s="717" t="str">
        <f>IFERROR(INDEX($BF$160:$BF$239,MATCH((ROW()-ROW($C$306))/4+1,$BJ$160:$BJ$239,0),1),"")</f>
        <v/>
      </c>
      <c r="B482" s="717"/>
      <c r="C482" s="901" t="str">
        <f>IFERROR(INDEX($BD$160:$BD$239,MATCH((ROW()-ROW($C$306))/4+1,$BJ$160:$BJ$239,0),1),"")</f>
        <v/>
      </c>
      <c r="D482" s="901"/>
      <c r="E482" s="901"/>
      <c r="F482" s="928" t="str">
        <f>IFERROR(INDEX($BE$160:$BE$239,MATCH((ROW()-ROW($C$306))/4+1,$BJ$160:$BJ$239,0),1),"")</f>
        <v/>
      </c>
      <c r="G482" s="928"/>
      <c r="H482" s="928"/>
      <c r="I482" s="928"/>
      <c r="J482" s="928"/>
      <c r="K482" s="928"/>
      <c r="L482" s="928"/>
      <c r="M482" s="928"/>
      <c r="N482" s="928"/>
      <c r="O482" s="928"/>
      <c r="P482" s="928"/>
      <c r="Q482" s="928"/>
      <c r="R482" s="928"/>
      <c r="S482" s="928"/>
    </row>
    <row r="483" spans="1:19" ht="15.95" customHeight="1" outlineLevel="1" x14ac:dyDescent="0.3">
      <c r="A483" s="717"/>
      <c r="B483" s="717"/>
      <c r="C483" s="901"/>
      <c r="D483" s="901"/>
      <c r="E483" s="901"/>
      <c r="F483" s="928"/>
      <c r="G483" s="928"/>
      <c r="H483" s="928"/>
      <c r="I483" s="928"/>
      <c r="J483" s="928"/>
      <c r="K483" s="928"/>
      <c r="L483" s="928"/>
      <c r="M483" s="928"/>
      <c r="N483" s="928"/>
      <c r="O483" s="928"/>
      <c r="P483" s="928"/>
      <c r="Q483" s="928"/>
      <c r="R483" s="928"/>
      <c r="S483" s="928"/>
    </row>
    <row r="484" spans="1:19" ht="15.95" customHeight="1" outlineLevel="1" x14ac:dyDescent="0.3">
      <c r="A484" s="717"/>
      <c r="B484" s="717"/>
      <c r="C484" s="901"/>
      <c r="D484" s="901"/>
      <c r="E484" s="901"/>
      <c r="F484" s="928"/>
      <c r="G484" s="928"/>
      <c r="H484" s="928"/>
      <c r="I484" s="928"/>
      <c r="J484" s="928"/>
      <c r="K484" s="928"/>
      <c r="L484" s="928"/>
      <c r="M484" s="928"/>
      <c r="N484" s="928"/>
      <c r="O484" s="928"/>
      <c r="P484" s="928"/>
      <c r="Q484" s="928"/>
      <c r="R484" s="928"/>
      <c r="S484" s="928"/>
    </row>
    <row r="485" spans="1:19" ht="15.95" customHeight="1" outlineLevel="1" x14ac:dyDescent="0.3">
      <c r="A485" s="717"/>
      <c r="B485" s="717"/>
      <c r="C485" s="901"/>
      <c r="D485" s="901"/>
      <c r="E485" s="901"/>
      <c r="F485" s="928"/>
      <c r="G485" s="928"/>
      <c r="H485" s="928"/>
      <c r="I485" s="928"/>
      <c r="J485" s="928"/>
      <c r="K485" s="928"/>
      <c r="L485" s="928"/>
      <c r="M485" s="928"/>
      <c r="N485" s="928"/>
      <c r="O485" s="928"/>
      <c r="P485" s="928"/>
      <c r="Q485" s="928"/>
      <c r="R485" s="928"/>
      <c r="S485" s="928"/>
    </row>
    <row r="486" spans="1:19" ht="15.95" customHeight="1" outlineLevel="1" x14ac:dyDescent="0.3">
      <c r="A486" s="717" t="str">
        <f>IFERROR(INDEX($BF$160:$BF$239,MATCH((ROW()-ROW($C$306))/4+1,$BJ$160:$BJ$239,0),1),"")</f>
        <v/>
      </c>
      <c r="B486" s="717"/>
      <c r="C486" s="901" t="str">
        <f>IFERROR(INDEX($BD$160:$BD$239,MATCH((ROW()-ROW($C$306))/4+1,$BJ$160:$BJ$239,0),1),"")</f>
        <v/>
      </c>
      <c r="D486" s="901"/>
      <c r="E486" s="901"/>
      <c r="F486" s="928" t="str">
        <f>IFERROR(INDEX($BE$160:$BE$239,MATCH((ROW()-ROW($C$306))/4+1,$BJ$160:$BJ$239,0),1),"")</f>
        <v/>
      </c>
      <c r="G486" s="928"/>
      <c r="H486" s="928"/>
      <c r="I486" s="928"/>
      <c r="J486" s="928"/>
      <c r="K486" s="928"/>
      <c r="L486" s="928"/>
      <c r="M486" s="928"/>
      <c r="N486" s="928"/>
      <c r="O486" s="928"/>
      <c r="P486" s="928"/>
      <c r="Q486" s="928"/>
      <c r="R486" s="928"/>
      <c r="S486" s="928"/>
    </row>
    <row r="487" spans="1:19" ht="15.95" customHeight="1" outlineLevel="1" x14ac:dyDescent="0.3">
      <c r="A487" s="717"/>
      <c r="B487" s="717"/>
      <c r="C487" s="901"/>
      <c r="D487" s="901"/>
      <c r="E487" s="901"/>
      <c r="F487" s="928"/>
      <c r="G487" s="928"/>
      <c r="H487" s="928"/>
      <c r="I487" s="928"/>
      <c r="J487" s="928"/>
      <c r="K487" s="928"/>
      <c r="L487" s="928"/>
      <c r="M487" s="928"/>
      <c r="N487" s="928"/>
      <c r="O487" s="928"/>
      <c r="P487" s="928"/>
      <c r="Q487" s="928"/>
      <c r="R487" s="928"/>
      <c r="S487" s="928"/>
    </row>
    <row r="488" spans="1:19" ht="15.95" customHeight="1" outlineLevel="1" x14ac:dyDescent="0.3">
      <c r="A488" s="717"/>
      <c r="B488" s="717"/>
      <c r="C488" s="901"/>
      <c r="D488" s="901"/>
      <c r="E488" s="901"/>
      <c r="F488" s="928"/>
      <c r="G488" s="928"/>
      <c r="H488" s="928"/>
      <c r="I488" s="928"/>
      <c r="J488" s="928"/>
      <c r="K488" s="928"/>
      <c r="L488" s="928"/>
      <c r="M488" s="928"/>
      <c r="N488" s="928"/>
      <c r="O488" s="928"/>
      <c r="P488" s="928"/>
      <c r="Q488" s="928"/>
      <c r="R488" s="928"/>
      <c r="S488" s="928"/>
    </row>
    <row r="489" spans="1:19" ht="15.95" customHeight="1" outlineLevel="1" x14ac:dyDescent="0.3">
      <c r="A489" s="717"/>
      <c r="B489" s="717"/>
      <c r="C489" s="901"/>
      <c r="D489" s="901"/>
      <c r="E489" s="901"/>
      <c r="F489" s="928"/>
      <c r="G489" s="928"/>
      <c r="H489" s="928"/>
      <c r="I489" s="928"/>
      <c r="J489" s="928"/>
      <c r="K489" s="928"/>
      <c r="L489" s="928"/>
      <c r="M489" s="928"/>
      <c r="N489" s="928"/>
      <c r="O489" s="928"/>
      <c r="P489" s="928"/>
      <c r="Q489" s="928"/>
      <c r="R489" s="928"/>
      <c r="S489" s="928"/>
    </row>
    <row r="490" spans="1:19" ht="15.95" customHeight="1" outlineLevel="1" x14ac:dyDescent="0.3">
      <c r="A490" s="717" t="str">
        <f>IFERROR(INDEX($BF$160:$BF$239,MATCH((ROW()-ROW($C$306))/4+1,$BJ$160:$BJ$239,0),1),"")</f>
        <v/>
      </c>
      <c r="B490" s="717"/>
      <c r="C490" s="901" t="str">
        <f>IFERROR(INDEX($BD$160:$BD$239,MATCH((ROW()-ROW($C$306))/4+1,$BJ$160:$BJ$239,0),1),"")</f>
        <v/>
      </c>
      <c r="D490" s="901"/>
      <c r="E490" s="901"/>
      <c r="F490" s="928" t="str">
        <f>IFERROR(INDEX($BE$160:$BE$239,MATCH((ROW()-ROW($C$306))/4+1,$BJ$160:$BJ$239,0),1),"")</f>
        <v/>
      </c>
      <c r="G490" s="928"/>
      <c r="H490" s="928"/>
      <c r="I490" s="928"/>
      <c r="J490" s="928"/>
      <c r="K490" s="928"/>
      <c r="L490" s="928"/>
      <c r="M490" s="928"/>
      <c r="N490" s="928"/>
      <c r="O490" s="928"/>
      <c r="P490" s="928"/>
      <c r="Q490" s="928"/>
      <c r="R490" s="928"/>
      <c r="S490" s="928"/>
    </row>
    <row r="491" spans="1:19" ht="15.95" customHeight="1" outlineLevel="1" x14ac:dyDescent="0.3">
      <c r="A491" s="717"/>
      <c r="B491" s="717"/>
      <c r="C491" s="901"/>
      <c r="D491" s="901"/>
      <c r="E491" s="901"/>
      <c r="F491" s="928"/>
      <c r="G491" s="928"/>
      <c r="H491" s="928"/>
      <c r="I491" s="928"/>
      <c r="J491" s="928"/>
      <c r="K491" s="928"/>
      <c r="L491" s="928"/>
      <c r="M491" s="928"/>
      <c r="N491" s="928"/>
      <c r="O491" s="928"/>
      <c r="P491" s="928"/>
      <c r="Q491" s="928"/>
      <c r="R491" s="928"/>
      <c r="S491" s="928"/>
    </row>
    <row r="492" spans="1:19" ht="15.95" customHeight="1" outlineLevel="1" x14ac:dyDescent="0.3">
      <c r="A492" s="717"/>
      <c r="B492" s="717"/>
      <c r="C492" s="901"/>
      <c r="D492" s="901"/>
      <c r="E492" s="901"/>
      <c r="F492" s="928"/>
      <c r="G492" s="928"/>
      <c r="H492" s="928"/>
      <c r="I492" s="928"/>
      <c r="J492" s="928"/>
      <c r="K492" s="928"/>
      <c r="L492" s="928"/>
      <c r="M492" s="928"/>
      <c r="N492" s="928"/>
      <c r="O492" s="928"/>
      <c r="P492" s="928"/>
      <c r="Q492" s="928"/>
      <c r="R492" s="928"/>
      <c r="S492" s="928"/>
    </row>
    <row r="493" spans="1:19" ht="15.95" customHeight="1" outlineLevel="1" x14ac:dyDescent="0.3">
      <c r="A493" s="717"/>
      <c r="B493" s="717"/>
      <c r="C493" s="901"/>
      <c r="D493" s="901"/>
      <c r="E493" s="901"/>
      <c r="F493" s="928"/>
      <c r="G493" s="928"/>
      <c r="H493" s="928"/>
      <c r="I493" s="928"/>
      <c r="J493" s="928"/>
      <c r="K493" s="928"/>
      <c r="L493" s="928"/>
      <c r="M493" s="928"/>
      <c r="N493" s="928"/>
      <c r="O493" s="928"/>
      <c r="P493" s="928"/>
      <c r="Q493" s="928"/>
      <c r="R493" s="928"/>
      <c r="S493" s="928"/>
    </row>
    <row r="494" spans="1:19" ht="15.95" customHeight="1" outlineLevel="1" x14ac:dyDescent="0.3">
      <c r="A494" s="717" t="str">
        <f>IFERROR(INDEX($BF$160:$BF$239,MATCH((ROW()-ROW($C$306))/4+1,$BJ$160:$BJ$239,0),1),"")</f>
        <v/>
      </c>
      <c r="B494" s="717"/>
      <c r="C494" s="901" t="str">
        <f>IFERROR(INDEX($BD$160:$BD$239,MATCH((ROW()-ROW($C$306))/4+1,$BJ$160:$BJ$239,0),1),"")</f>
        <v/>
      </c>
      <c r="D494" s="901"/>
      <c r="E494" s="901"/>
      <c r="F494" s="928" t="str">
        <f>IFERROR(INDEX($BE$160:$BE$239,MATCH((ROW()-ROW($C$306))/4+1,$BJ$160:$BJ$239,0),1),"")</f>
        <v/>
      </c>
      <c r="G494" s="928"/>
      <c r="H494" s="928"/>
      <c r="I494" s="928"/>
      <c r="J494" s="928"/>
      <c r="K494" s="928"/>
      <c r="L494" s="928"/>
      <c r="M494" s="928"/>
      <c r="N494" s="928"/>
      <c r="O494" s="928"/>
      <c r="P494" s="928"/>
      <c r="Q494" s="928"/>
      <c r="R494" s="928"/>
      <c r="S494" s="928"/>
    </row>
    <row r="495" spans="1:19" ht="15.95" customHeight="1" outlineLevel="1" x14ac:dyDescent="0.3">
      <c r="A495" s="717"/>
      <c r="B495" s="717"/>
      <c r="C495" s="901"/>
      <c r="D495" s="901"/>
      <c r="E495" s="901"/>
      <c r="F495" s="928"/>
      <c r="G495" s="928"/>
      <c r="H495" s="928"/>
      <c r="I495" s="928"/>
      <c r="J495" s="928"/>
      <c r="K495" s="928"/>
      <c r="L495" s="928"/>
      <c r="M495" s="928"/>
      <c r="N495" s="928"/>
      <c r="O495" s="928"/>
      <c r="P495" s="928"/>
      <c r="Q495" s="928"/>
      <c r="R495" s="928"/>
      <c r="S495" s="928"/>
    </row>
    <row r="496" spans="1:19" ht="15.95" customHeight="1" outlineLevel="1" x14ac:dyDescent="0.3">
      <c r="A496" s="717"/>
      <c r="B496" s="717"/>
      <c r="C496" s="901"/>
      <c r="D496" s="901"/>
      <c r="E496" s="901"/>
      <c r="F496" s="928"/>
      <c r="G496" s="928"/>
      <c r="H496" s="928"/>
      <c r="I496" s="928"/>
      <c r="J496" s="928"/>
      <c r="K496" s="928"/>
      <c r="L496" s="928"/>
      <c r="M496" s="928"/>
      <c r="N496" s="928"/>
      <c r="O496" s="928"/>
      <c r="P496" s="928"/>
      <c r="Q496" s="928"/>
      <c r="R496" s="928"/>
      <c r="S496" s="928"/>
    </row>
    <row r="497" spans="1:19" ht="15.95" customHeight="1" outlineLevel="1" x14ac:dyDescent="0.3">
      <c r="A497" s="717"/>
      <c r="B497" s="717"/>
      <c r="C497" s="901"/>
      <c r="D497" s="901"/>
      <c r="E497" s="901"/>
      <c r="F497" s="928"/>
      <c r="G497" s="928"/>
      <c r="H497" s="928"/>
      <c r="I497" s="928"/>
      <c r="J497" s="928"/>
      <c r="K497" s="928"/>
      <c r="L497" s="928"/>
      <c r="M497" s="928"/>
      <c r="N497" s="928"/>
      <c r="O497" s="928"/>
      <c r="P497" s="928"/>
      <c r="Q497" s="928"/>
      <c r="R497" s="928"/>
      <c r="S497" s="928"/>
    </row>
    <row r="498" spans="1:19" ht="15.95" customHeight="1" outlineLevel="1" x14ac:dyDescent="0.3">
      <c r="A498" s="717" t="str">
        <f>IFERROR(INDEX($BF$160:$BF$239,MATCH((ROW()-ROW($C$306))/4+1,$BJ$160:$BJ$239,0),1),"")</f>
        <v/>
      </c>
      <c r="B498" s="717"/>
      <c r="C498" s="901" t="str">
        <f>IFERROR(INDEX($BD$160:$BD$239,MATCH((ROW()-ROW($C$306))/4+1,$BJ$160:$BJ$239,0),1),"")</f>
        <v/>
      </c>
      <c r="D498" s="901"/>
      <c r="E498" s="901"/>
      <c r="F498" s="928" t="str">
        <f>IFERROR(INDEX($BE$160:$BE$239,MATCH((ROW()-ROW($C$306))/4+1,$BJ$160:$BJ$239,0),1),"")</f>
        <v/>
      </c>
      <c r="G498" s="928"/>
      <c r="H498" s="928"/>
      <c r="I498" s="928"/>
      <c r="J498" s="928"/>
      <c r="K498" s="928"/>
      <c r="L498" s="928"/>
      <c r="M498" s="928"/>
      <c r="N498" s="928"/>
      <c r="O498" s="928"/>
      <c r="P498" s="928"/>
      <c r="Q498" s="928"/>
      <c r="R498" s="928"/>
      <c r="S498" s="928"/>
    </row>
    <row r="499" spans="1:19" ht="15.95" customHeight="1" outlineLevel="1" x14ac:dyDescent="0.3">
      <c r="A499" s="717"/>
      <c r="B499" s="717"/>
      <c r="C499" s="901"/>
      <c r="D499" s="901"/>
      <c r="E499" s="901"/>
      <c r="F499" s="928"/>
      <c r="G499" s="928"/>
      <c r="H499" s="928"/>
      <c r="I499" s="928"/>
      <c r="J499" s="928"/>
      <c r="K499" s="928"/>
      <c r="L499" s="928"/>
      <c r="M499" s="928"/>
      <c r="N499" s="928"/>
      <c r="O499" s="928"/>
      <c r="P499" s="928"/>
      <c r="Q499" s="928"/>
      <c r="R499" s="928"/>
      <c r="S499" s="928"/>
    </row>
    <row r="500" spans="1:19" ht="15.95" customHeight="1" outlineLevel="1" x14ac:dyDescent="0.3">
      <c r="A500" s="717"/>
      <c r="B500" s="717"/>
      <c r="C500" s="901"/>
      <c r="D500" s="901"/>
      <c r="E500" s="901"/>
      <c r="F500" s="928"/>
      <c r="G500" s="928"/>
      <c r="H500" s="928"/>
      <c r="I500" s="928"/>
      <c r="J500" s="928"/>
      <c r="K500" s="928"/>
      <c r="L500" s="928"/>
      <c r="M500" s="928"/>
      <c r="N500" s="928"/>
      <c r="O500" s="928"/>
      <c r="P500" s="928"/>
      <c r="Q500" s="928"/>
      <c r="R500" s="928"/>
      <c r="S500" s="928"/>
    </row>
    <row r="501" spans="1:19" ht="15.95" customHeight="1" outlineLevel="1" x14ac:dyDescent="0.3">
      <c r="A501" s="717"/>
      <c r="B501" s="717"/>
      <c r="C501" s="901"/>
      <c r="D501" s="901"/>
      <c r="E501" s="901"/>
      <c r="F501" s="928"/>
      <c r="G501" s="928"/>
      <c r="H501" s="928"/>
      <c r="I501" s="928"/>
      <c r="J501" s="928"/>
      <c r="K501" s="928"/>
      <c r="L501" s="928"/>
      <c r="M501" s="928"/>
      <c r="N501" s="928"/>
      <c r="O501" s="928"/>
      <c r="P501" s="928"/>
      <c r="Q501" s="928"/>
      <c r="R501" s="928"/>
      <c r="S501" s="928"/>
    </row>
    <row r="502" spans="1:19" ht="15.95" customHeight="1" outlineLevel="1" x14ac:dyDescent="0.3">
      <c r="A502" s="717" t="str">
        <f>IFERROR(INDEX($BF$160:$BF$239,MATCH((ROW()-ROW($C$306))/4+1,$BJ$160:$BJ$239,0),1),"")</f>
        <v/>
      </c>
      <c r="B502" s="717"/>
      <c r="C502" s="901" t="str">
        <f>IFERROR(INDEX($BD$160:$BD$239,MATCH((ROW()-ROW($C$306))/4+1,$BJ$160:$BJ$239,0),1),"")</f>
        <v/>
      </c>
      <c r="D502" s="901"/>
      <c r="E502" s="901"/>
      <c r="F502" s="928" t="str">
        <f>IFERROR(INDEX($BE$160:$BE$239,MATCH((ROW()-ROW($C$306))/4+1,$BJ$160:$BJ$239,0),1),"")</f>
        <v/>
      </c>
      <c r="G502" s="928"/>
      <c r="H502" s="928"/>
      <c r="I502" s="928"/>
      <c r="J502" s="928"/>
      <c r="K502" s="928"/>
      <c r="L502" s="928"/>
      <c r="M502" s="928"/>
      <c r="N502" s="928"/>
      <c r="O502" s="928"/>
      <c r="P502" s="928"/>
      <c r="Q502" s="928"/>
      <c r="R502" s="928"/>
      <c r="S502" s="928"/>
    </row>
    <row r="503" spans="1:19" ht="15.95" customHeight="1" outlineLevel="1" x14ac:dyDescent="0.3">
      <c r="A503" s="717"/>
      <c r="B503" s="717"/>
      <c r="C503" s="901"/>
      <c r="D503" s="901"/>
      <c r="E503" s="901"/>
      <c r="F503" s="928"/>
      <c r="G503" s="928"/>
      <c r="H503" s="928"/>
      <c r="I503" s="928"/>
      <c r="J503" s="928"/>
      <c r="K503" s="928"/>
      <c r="L503" s="928"/>
      <c r="M503" s="928"/>
      <c r="N503" s="928"/>
      <c r="O503" s="928"/>
      <c r="P503" s="928"/>
      <c r="Q503" s="928"/>
      <c r="R503" s="928"/>
      <c r="S503" s="928"/>
    </row>
    <row r="504" spans="1:19" ht="15.95" customHeight="1" outlineLevel="1" x14ac:dyDescent="0.3">
      <c r="A504" s="717"/>
      <c r="B504" s="717"/>
      <c r="C504" s="901"/>
      <c r="D504" s="901"/>
      <c r="E504" s="901"/>
      <c r="F504" s="928"/>
      <c r="G504" s="928"/>
      <c r="H504" s="928"/>
      <c r="I504" s="928"/>
      <c r="J504" s="928"/>
      <c r="K504" s="928"/>
      <c r="L504" s="928"/>
      <c r="M504" s="928"/>
      <c r="N504" s="928"/>
      <c r="O504" s="928"/>
      <c r="P504" s="928"/>
      <c r="Q504" s="928"/>
      <c r="R504" s="928"/>
      <c r="S504" s="928"/>
    </row>
    <row r="505" spans="1:19" ht="15.95" customHeight="1" outlineLevel="1" x14ac:dyDescent="0.3">
      <c r="A505" s="717"/>
      <c r="B505" s="717"/>
      <c r="C505" s="901"/>
      <c r="D505" s="901"/>
      <c r="E505" s="901"/>
      <c r="F505" s="928"/>
      <c r="G505" s="928"/>
      <c r="H505" s="928"/>
      <c r="I505" s="928"/>
      <c r="J505" s="928"/>
      <c r="K505" s="928"/>
      <c r="L505" s="928"/>
      <c r="M505" s="928"/>
      <c r="N505" s="928"/>
      <c r="O505" s="928"/>
      <c r="P505" s="928"/>
      <c r="Q505" s="928"/>
      <c r="R505" s="928"/>
      <c r="S505" s="928"/>
    </row>
    <row r="506" spans="1:19" ht="15.95" customHeight="1" outlineLevel="1" x14ac:dyDescent="0.3">
      <c r="A506" s="717" t="str">
        <f>IFERROR(INDEX($BF$160:$BF$239,MATCH((ROW()-ROW($C$306))/4+1,$BJ$160:$BJ$239,0),1),"")</f>
        <v/>
      </c>
      <c r="B506" s="717"/>
      <c r="C506" s="901" t="str">
        <f>IFERROR(INDEX($BD$160:$BD$239,MATCH((ROW()-ROW($C$306))/4+1,$BJ$160:$BJ$239,0),1),"")</f>
        <v/>
      </c>
      <c r="D506" s="901"/>
      <c r="E506" s="901"/>
      <c r="F506" s="928" t="str">
        <f>IFERROR(INDEX($BE$160:$BE$239,MATCH((ROW()-ROW($C$306))/4+1,$BJ$160:$BJ$239,0),1),"")</f>
        <v/>
      </c>
      <c r="G506" s="928"/>
      <c r="H506" s="928"/>
      <c r="I506" s="928"/>
      <c r="J506" s="928"/>
      <c r="K506" s="928"/>
      <c r="L506" s="928"/>
      <c r="M506" s="928"/>
      <c r="N506" s="928"/>
      <c r="O506" s="928"/>
      <c r="P506" s="928"/>
      <c r="Q506" s="928"/>
      <c r="R506" s="928"/>
      <c r="S506" s="928"/>
    </row>
    <row r="507" spans="1:19" ht="15.95" customHeight="1" outlineLevel="1" x14ac:dyDescent="0.3">
      <c r="A507" s="717"/>
      <c r="B507" s="717"/>
      <c r="C507" s="901"/>
      <c r="D507" s="901"/>
      <c r="E507" s="901"/>
      <c r="F507" s="928"/>
      <c r="G507" s="928"/>
      <c r="H507" s="928"/>
      <c r="I507" s="928"/>
      <c r="J507" s="928"/>
      <c r="K507" s="928"/>
      <c r="L507" s="928"/>
      <c r="M507" s="928"/>
      <c r="N507" s="928"/>
      <c r="O507" s="928"/>
      <c r="P507" s="928"/>
      <c r="Q507" s="928"/>
      <c r="R507" s="928"/>
      <c r="S507" s="928"/>
    </row>
    <row r="508" spans="1:19" ht="15.95" customHeight="1" outlineLevel="1" x14ac:dyDescent="0.3">
      <c r="A508" s="717"/>
      <c r="B508" s="717"/>
      <c r="C508" s="901"/>
      <c r="D508" s="901"/>
      <c r="E508" s="901"/>
      <c r="F508" s="928"/>
      <c r="G508" s="928"/>
      <c r="H508" s="928"/>
      <c r="I508" s="928"/>
      <c r="J508" s="928"/>
      <c r="K508" s="928"/>
      <c r="L508" s="928"/>
      <c r="M508" s="928"/>
      <c r="N508" s="928"/>
      <c r="O508" s="928"/>
      <c r="P508" s="928"/>
      <c r="Q508" s="928"/>
      <c r="R508" s="928"/>
      <c r="S508" s="928"/>
    </row>
    <row r="509" spans="1:19" ht="15.95" customHeight="1" outlineLevel="1" x14ac:dyDescent="0.3">
      <c r="A509" s="717"/>
      <c r="B509" s="717"/>
      <c r="C509" s="901"/>
      <c r="D509" s="901"/>
      <c r="E509" s="901"/>
      <c r="F509" s="928"/>
      <c r="G509" s="928"/>
      <c r="H509" s="928"/>
      <c r="I509" s="928"/>
      <c r="J509" s="928"/>
      <c r="K509" s="928"/>
      <c r="L509" s="928"/>
      <c r="M509" s="928"/>
      <c r="N509" s="928"/>
      <c r="O509" s="928"/>
      <c r="P509" s="928"/>
      <c r="Q509" s="928"/>
      <c r="R509" s="928"/>
      <c r="S509" s="928"/>
    </row>
    <row r="510" spans="1:19" ht="15.95" customHeight="1" outlineLevel="1" x14ac:dyDescent="0.3">
      <c r="A510" s="717" t="str">
        <f>IFERROR(INDEX($BF$160:$BF$239,MATCH((ROW()-ROW($C$306))/4+1,$BJ$160:$BJ$239,0),1),"")</f>
        <v/>
      </c>
      <c r="B510" s="717"/>
      <c r="C510" s="901" t="str">
        <f>IFERROR(INDEX($BD$160:$BD$239,MATCH((ROW()-ROW($C$306))/4+1,$BJ$160:$BJ$239,0),1),"")</f>
        <v/>
      </c>
      <c r="D510" s="901"/>
      <c r="E510" s="901"/>
      <c r="F510" s="928" t="str">
        <f>IFERROR(INDEX($BE$160:$BE$239,MATCH((ROW()-ROW($C$306))/4+1,$BJ$160:$BJ$239,0),1),"")</f>
        <v/>
      </c>
      <c r="G510" s="928"/>
      <c r="H510" s="928"/>
      <c r="I510" s="928"/>
      <c r="J510" s="928"/>
      <c r="K510" s="928"/>
      <c r="L510" s="928"/>
      <c r="M510" s="928"/>
      <c r="N510" s="928"/>
      <c r="O510" s="928"/>
      <c r="P510" s="928"/>
      <c r="Q510" s="928"/>
      <c r="R510" s="928"/>
      <c r="S510" s="928"/>
    </row>
    <row r="511" spans="1:19" ht="15.95" customHeight="1" outlineLevel="1" x14ac:dyDescent="0.3">
      <c r="A511" s="717"/>
      <c r="B511" s="717"/>
      <c r="C511" s="901"/>
      <c r="D511" s="901"/>
      <c r="E511" s="901"/>
      <c r="F511" s="928"/>
      <c r="G511" s="928"/>
      <c r="H511" s="928"/>
      <c r="I511" s="928"/>
      <c r="J511" s="928"/>
      <c r="K511" s="928"/>
      <c r="L511" s="928"/>
      <c r="M511" s="928"/>
      <c r="N511" s="928"/>
      <c r="O511" s="928"/>
      <c r="P511" s="928"/>
      <c r="Q511" s="928"/>
      <c r="R511" s="928"/>
      <c r="S511" s="928"/>
    </row>
    <row r="512" spans="1:19" ht="15.95" customHeight="1" outlineLevel="1" x14ac:dyDescent="0.3">
      <c r="A512" s="717"/>
      <c r="B512" s="717"/>
      <c r="C512" s="901"/>
      <c r="D512" s="901"/>
      <c r="E512" s="901"/>
      <c r="F512" s="928"/>
      <c r="G512" s="928"/>
      <c r="H512" s="928"/>
      <c r="I512" s="928"/>
      <c r="J512" s="928"/>
      <c r="K512" s="928"/>
      <c r="L512" s="928"/>
      <c r="M512" s="928"/>
      <c r="N512" s="928"/>
      <c r="O512" s="928"/>
      <c r="P512" s="928"/>
      <c r="Q512" s="928"/>
      <c r="R512" s="928"/>
      <c r="S512" s="928"/>
    </row>
    <row r="513" spans="1:19" ht="15.95" customHeight="1" outlineLevel="1" x14ac:dyDescent="0.3">
      <c r="A513" s="717"/>
      <c r="B513" s="717"/>
      <c r="C513" s="901"/>
      <c r="D513" s="901"/>
      <c r="E513" s="901"/>
      <c r="F513" s="928"/>
      <c r="G513" s="928"/>
      <c r="H513" s="928"/>
      <c r="I513" s="928"/>
      <c r="J513" s="928"/>
      <c r="K513" s="928"/>
      <c r="L513" s="928"/>
      <c r="M513" s="928"/>
      <c r="N513" s="928"/>
      <c r="O513" s="928"/>
      <c r="P513" s="928"/>
      <c r="Q513" s="928"/>
      <c r="R513" s="928"/>
      <c r="S513" s="928"/>
    </row>
    <row r="514" spans="1:19" ht="15.95" customHeight="1" outlineLevel="1" x14ac:dyDescent="0.3">
      <c r="A514" s="717" t="str">
        <f>IFERROR(INDEX($BF$160:$BF$239,MATCH((ROW()-ROW($C$306))/4+1,$BJ$160:$BJ$239,0),1),"")</f>
        <v/>
      </c>
      <c r="B514" s="717"/>
      <c r="C514" s="901" t="str">
        <f>IFERROR(INDEX($BD$160:$BD$239,MATCH((ROW()-ROW($C$306))/4+1,$BJ$160:$BJ$239,0),1),"")</f>
        <v/>
      </c>
      <c r="D514" s="901"/>
      <c r="E514" s="901"/>
      <c r="F514" s="928" t="str">
        <f>IFERROR(INDEX($BE$160:$BE$239,MATCH((ROW()-ROW($C$306))/4+1,$BJ$160:$BJ$239,0),1),"")</f>
        <v/>
      </c>
      <c r="G514" s="928"/>
      <c r="H514" s="928"/>
      <c r="I514" s="928"/>
      <c r="J514" s="928"/>
      <c r="K514" s="928"/>
      <c r="L514" s="928"/>
      <c r="M514" s="928"/>
      <c r="N514" s="928"/>
      <c r="O514" s="928"/>
      <c r="P514" s="928"/>
      <c r="Q514" s="928"/>
      <c r="R514" s="928"/>
      <c r="S514" s="928"/>
    </row>
    <row r="515" spans="1:19" ht="15.95" customHeight="1" outlineLevel="1" x14ac:dyDescent="0.3">
      <c r="A515" s="717"/>
      <c r="B515" s="717"/>
      <c r="C515" s="901"/>
      <c r="D515" s="901"/>
      <c r="E515" s="901"/>
      <c r="F515" s="928"/>
      <c r="G515" s="928"/>
      <c r="H515" s="928"/>
      <c r="I515" s="928"/>
      <c r="J515" s="928"/>
      <c r="K515" s="928"/>
      <c r="L515" s="928"/>
      <c r="M515" s="928"/>
      <c r="N515" s="928"/>
      <c r="O515" s="928"/>
      <c r="P515" s="928"/>
      <c r="Q515" s="928"/>
      <c r="R515" s="928"/>
      <c r="S515" s="928"/>
    </row>
    <row r="516" spans="1:19" ht="15.95" customHeight="1" outlineLevel="1" x14ac:dyDescent="0.3">
      <c r="A516" s="717"/>
      <c r="B516" s="717"/>
      <c r="C516" s="901"/>
      <c r="D516" s="901"/>
      <c r="E516" s="901"/>
      <c r="F516" s="928"/>
      <c r="G516" s="928"/>
      <c r="H516" s="928"/>
      <c r="I516" s="928"/>
      <c r="J516" s="928"/>
      <c r="K516" s="928"/>
      <c r="L516" s="928"/>
      <c r="M516" s="928"/>
      <c r="N516" s="928"/>
      <c r="O516" s="928"/>
      <c r="P516" s="928"/>
      <c r="Q516" s="928"/>
      <c r="R516" s="928"/>
      <c r="S516" s="928"/>
    </row>
    <row r="517" spans="1:19" ht="15.95" customHeight="1" outlineLevel="1" x14ac:dyDescent="0.3">
      <c r="A517" s="717"/>
      <c r="B517" s="717"/>
      <c r="C517" s="901"/>
      <c r="D517" s="901"/>
      <c r="E517" s="901"/>
      <c r="F517" s="928"/>
      <c r="G517" s="928"/>
      <c r="H517" s="928"/>
      <c r="I517" s="928"/>
      <c r="J517" s="928"/>
      <c r="K517" s="928"/>
      <c r="L517" s="928"/>
      <c r="M517" s="928"/>
      <c r="N517" s="928"/>
      <c r="O517" s="928"/>
      <c r="P517" s="928"/>
      <c r="Q517" s="928"/>
      <c r="R517" s="928"/>
      <c r="S517" s="928"/>
    </row>
    <row r="518" spans="1:19" ht="15.95" customHeight="1" outlineLevel="1" x14ac:dyDescent="0.3">
      <c r="A518" s="717" t="str">
        <f>IFERROR(INDEX($BF$160:$BF$239,MATCH((ROW()-ROW($C$306))/4+1,$BJ$160:$BJ$239,0),1),"")</f>
        <v/>
      </c>
      <c r="B518" s="717"/>
      <c r="C518" s="901" t="str">
        <f>IFERROR(INDEX($BD$160:$BD$239,MATCH((ROW()-ROW($C$306))/4+1,$BJ$160:$BJ$239,0),1),"")</f>
        <v/>
      </c>
      <c r="D518" s="901"/>
      <c r="E518" s="901"/>
      <c r="F518" s="928" t="str">
        <f>IFERROR(INDEX($BE$160:$BE$239,MATCH((ROW()-ROW($C$306))/4+1,$BJ$160:$BJ$239,0),1),"")</f>
        <v/>
      </c>
      <c r="G518" s="928"/>
      <c r="H518" s="928"/>
      <c r="I518" s="928"/>
      <c r="J518" s="928"/>
      <c r="K518" s="928"/>
      <c r="L518" s="928"/>
      <c r="M518" s="928"/>
      <c r="N518" s="928"/>
      <c r="O518" s="928"/>
      <c r="P518" s="928"/>
      <c r="Q518" s="928"/>
      <c r="R518" s="928"/>
      <c r="S518" s="928"/>
    </row>
    <row r="519" spans="1:19" ht="15.95" customHeight="1" outlineLevel="1" x14ac:dyDescent="0.3">
      <c r="A519" s="717"/>
      <c r="B519" s="717"/>
      <c r="C519" s="901"/>
      <c r="D519" s="901"/>
      <c r="E519" s="901"/>
      <c r="F519" s="928"/>
      <c r="G519" s="928"/>
      <c r="H519" s="928"/>
      <c r="I519" s="928"/>
      <c r="J519" s="928"/>
      <c r="K519" s="928"/>
      <c r="L519" s="928"/>
      <c r="M519" s="928"/>
      <c r="N519" s="928"/>
      <c r="O519" s="928"/>
      <c r="P519" s="928"/>
      <c r="Q519" s="928"/>
      <c r="R519" s="928"/>
      <c r="S519" s="928"/>
    </row>
    <row r="520" spans="1:19" ht="15.95" customHeight="1" outlineLevel="1" x14ac:dyDescent="0.3">
      <c r="A520" s="717"/>
      <c r="B520" s="717"/>
      <c r="C520" s="901"/>
      <c r="D520" s="901"/>
      <c r="E520" s="901"/>
      <c r="F520" s="928"/>
      <c r="G520" s="928"/>
      <c r="H520" s="928"/>
      <c r="I520" s="928"/>
      <c r="J520" s="928"/>
      <c r="K520" s="928"/>
      <c r="L520" s="928"/>
      <c r="M520" s="928"/>
      <c r="N520" s="928"/>
      <c r="O520" s="928"/>
      <c r="P520" s="928"/>
      <c r="Q520" s="928"/>
      <c r="R520" s="928"/>
      <c r="S520" s="928"/>
    </row>
    <row r="521" spans="1:19" ht="15.95" customHeight="1" outlineLevel="1" x14ac:dyDescent="0.3">
      <c r="A521" s="717"/>
      <c r="B521" s="717"/>
      <c r="C521" s="901"/>
      <c r="D521" s="901"/>
      <c r="E521" s="901"/>
      <c r="F521" s="928"/>
      <c r="G521" s="928"/>
      <c r="H521" s="928"/>
      <c r="I521" s="928"/>
      <c r="J521" s="928"/>
      <c r="K521" s="928"/>
      <c r="L521" s="928"/>
      <c r="M521" s="928"/>
      <c r="N521" s="928"/>
      <c r="O521" s="928"/>
      <c r="P521" s="928"/>
      <c r="Q521" s="928"/>
      <c r="R521" s="928"/>
      <c r="S521" s="928"/>
    </row>
    <row r="522" spans="1:19" ht="15.95" customHeight="1" outlineLevel="1" x14ac:dyDescent="0.3">
      <c r="A522" s="717" t="str">
        <f t="shared" ref="A522" si="103">IFERROR(INDEX($BF$160:$BF$239,MATCH((ROW()-ROW($C$306))/4+1,$BJ$160:$BJ$239,0),1),"")</f>
        <v/>
      </c>
      <c r="B522" s="717"/>
      <c r="C522" s="901" t="str">
        <f t="shared" ref="C522" si="104">IFERROR(INDEX($BD$160:$BD$239,MATCH((ROW()-ROW($C$306))/4+1,$BJ$160:$BJ$239,0),1),"")</f>
        <v/>
      </c>
      <c r="D522" s="901"/>
      <c r="E522" s="901"/>
      <c r="F522" s="928" t="str">
        <f t="shared" ref="F522" si="105">IFERROR(INDEX($BE$160:$BE$239,MATCH((ROW()-ROW($C$306))/4+1,$BJ$160:$BJ$239,0),1),"")</f>
        <v/>
      </c>
      <c r="G522" s="928"/>
      <c r="H522" s="928"/>
      <c r="I522" s="928"/>
      <c r="J522" s="928"/>
      <c r="K522" s="928"/>
      <c r="L522" s="928"/>
      <c r="M522" s="928"/>
      <c r="N522" s="928"/>
      <c r="O522" s="928"/>
      <c r="P522" s="928"/>
      <c r="Q522" s="928"/>
      <c r="R522" s="928"/>
      <c r="S522" s="928"/>
    </row>
    <row r="523" spans="1:19" ht="15.95" customHeight="1" outlineLevel="1" x14ac:dyDescent="0.3">
      <c r="A523" s="717"/>
      <c r="B523" s="717"/>
      <c r="C523" s="901"/>
      <c r="D523" s="901"/>
      <c r="E523" s="901"/>
      <c r="F523" s="928"/>
      <c r="G523" s="928"/>
      <c r="H523" s="928"/>
      <c r="I523" s="928"/>
      <c r="J523" s="928"/>
      <c r="K523" s="928"/>
      <c r="L523" s="928"/>
      <c r="M523" s="928"/>
      <c r="N523" s="928"/>
      <c r="O523" s="928"/>
      <c r="P523" s="928"/>
      <c r="Q523" s="928"/>
      <c r="R523" s="928"/>
      <c r="S523" s="928"/>
    </row>
    <row r="524" spans="1:19" ht="15.95" customHeight="1" outlineLevel="1" x14ac:dyDescent="0.3">
      <c r="A524" s="717"/>
      <c r="B524" s="717"/>
      <c r="C524" s="901"/>
      <c r="D524" s="901"/>
      <c r="E524" s="901"/>
      <c r="F524" s="928"/>
      <c r="G524" s="928"/>
      <c r="H524" s="928"/>
      <c r="I524" s="928"/>
      <c r="J524" s="928"/>
      <c r="K524" s="928"/>
      <c r="L524" s="928"/>
      <c r="M524" s="928"/>
      <c r="N524" s="928"/>
      <c r="O524" s="928"/>
      <c r="P524" s="928"/>
      <c r="Q524" s="928"/>
      <c r="R524" s="928"/>
      <c r="S524" s="928"/>
    </row>
    <row r="525" spans="1:19" ht="15.95" customHeight="1" outlineLevel="1" x14ac:dyDescent="0.3">
      <c r="A525" s="717"/>
      <c r="B525" s="717"/>
      <c r="C525" s="901"/>
      <c r="D525" s="901"/>
      <c r="E525" s="901"/>
      <c r="F525" s="928"/>
      <c r="G525" s="928"/>
      <c r="H525" s="928"/>
      <c r="I525" s="928"/>
      <c r="J525" s="928"/>
      <c r="K525" s="928"/>
      <c r="L525" s="928"/>
      <c r="M525" s="928"/>
      <c r="N525" s="928"/>
      <c r="O525" s="928"/>
      <c r="P525" s="928"/>
      <c r="Q525" s="928"/>
      <c r="R525" s="928"/>
      <c r="S525" s="928"/>
    </row>
    <row r="526" spans="1:19" ht="15.95" customHeight="1" outlineLevel="1" x14ac:dyDescent="0.3">
      <c r="A526" s="717" t="str">
        <f t="shared" ref="A526" si="106">IFERROR(INDEX($BF$160:$BF$239,MATCH((ROW()-ROW($C$306))/4+1,$BJ$160:$BJ$239,0),1),"")</f>
        <v/>
      </c>
      <c r="B526" s="717"/>
      <c r="C526" s="901" t="str">
        <f t="shared" ref="C526" si="107">IFERROR(INDEX($BD$160:$BD$239,MATCH((ROW()-ROW($C$306))/4+1,$BJ$160:$BJ$239,0),1),"")</f>
        <v/>
      </c>
      <c r="D526" s="901"/>
      <c r="E526" s="901"/>
      <c r="F526" s="928" t="str">
        <f t="shared" ref="F526" si="108">IFERROR(INDEX($BE$160:$BE$239,MATCH((ROW()-ROW($C$306))/4+1,$BJ$160:$BJ$239,0),1),"")</f>
        <v/>
      </c>
      <c r="G526" s="928"/>
      <c r="H526" s="928"/>
      <c r="I526" s="928"/>
      <c r="J526" s="928"/>
      <c r="K526" s="928"/>
      <c r="L526" s="928"/>
      <c r="M526" s="928"/>
      <c r="N526" s="928"/>
      <c r="O526" s="928"/>
      <c r="P526" s="928"/>
      <c r="Q526" s="928"/>
      <c r="R526" s="928"/>
      <c r="S526" s="928"/>
    </row>
    <row r="527" spans="1:19" ht="15.95" customHeight="1" outlineLevel="1" x14ac:dyDescent="0.3">
      <c r="A527" s="717"/>
      <c r="B527" s="717"/>
      <c r="C527" s="901"/>
      <c r="D527" s="901"/>
      <c r="E527" s="901"/>
      <c r="F527" s="928"/>
      <c r="G527" s="928"/>
      <c r="H527" s="928"/>
      <c r="I527" s="928"/>
      <c r="J527" s="928"/>
      <c r="K527" s="928"/>
      <c r="L527" s="928"/>
      <c r="M527" s="928"/>
      <c r="N527" s="928"/>
      <c r="O527" s="928"/>
      <c r="P527" s="928"/>
      <c r="Q527" s="928"/>
      <c r="R527" s="928"/>
      <c r="S527" s="928"/>
    </row>
    <row r="528" spans="1:19" ht="15.95" customHeight="1" outlineLevel="1" x14ac:dyDescent="0.3">
      <c r="A528" s="717"/>
      <c r="B528" s="717"/>
      <c r="C528" s="901"/>
      <c r="D528" s="901"/>
      <c r="E528" s="901"/>
      <c r="F528" s="928"/>
      <c r="G528" s="928"/>
      <c r="H528" s="928"/>
      <c r="I528" s="928"/>
      <c r="J528" s="928"/>
      <c r="K528" s="928"/>
      <c r="L528" s="928"/>
      <c r="M528" s="928"/>
      <c r="N528" s="928"/>
      <c r="O528" s="928"/>
      <c r="P528" s="928"/>
      <c r="Q528" s="928"/>
      <c r="R528" s="928"/>
      <c r="S528" s="928"/>
    </row>
    <row r="529" spans="1:19" ht="15.95" customHeight="1" outlineLevel="1" x14ac:dyDescent="0.3">
      <c r="A529" s="717"/>
      <c r="B529" s="717"/>
      <c r="C529" s="901"/>
      <c r="D529" s="901"/>
      <c r="E529" s="901"/>
      <c r="F529" s="928"/>
      <c r="G529" s="928"/>
      <c r="H529" s="928"/>
      <c r="I529" s="928"/>
      <c r="J529" s="928"/>
      <c r="K529" s="928"/>
      <c r="L529" s="928"/>
      <c r="M529" s="928"/>
      <c r="N529" s="928"/>
      <c r="O529" s="928"/>
      <c r="P529" s="928"/>
      <c r="Q529" s="928"/>
      <c r="R529" s="928"/>
      <c r="S529" s="928"/>
    </row>
    <row r="530" spans="1:19" ht="15.95" customHeight="1" outlineLevel="1" x14ac:dyDescent="0.3">
      <c r="A530" s="717" t="str">
        <f t="shared" ref="A530" si="109">IFERROR(INDEX($BF$160:$BF$239,MATCH((ROW()-ROW($C$306))/4+1,$BJ$160:$BJ$239,0),1),"")</f>
        <v/>
      </c>
      <c r="B530" s="717"/>
      <c r="C530" s="901" t="str">
        <f t="shared" ref="C530" si="110">IFERROR(INDEX($BD$160:$BD$239,MATCH((ROW()-ROW($C$306))/4+1,$BJ$160:$BJ$239,0),1),"")</f>
        <v/>
      </c>
      <c r="D530" s="901"/>
      <c r="E530" s="901"/>
      <c r="F530" s="928" t="str">
        <f t="shared" ref="F530" si="111">IFERROR(INDEX($BE$160:$BE$239,MATCH((ROW()-ROW($C$306))/4+1,$BJ$160:$BJ$239,0),1),"")</f>
        <v/>
      </c>
      <c r="G530" s="928"/>
      <c r="H530" s="928"/>
      <c r="I530" s="928"/>
      <c r="J530" s="928"/>
      <c r="K530" s="928"/>
      <c r="L530" s="928"/>
      <c r="M530" s="928"/>
      <c r="N530" s="928"/>
      <c r="O530" s="928"/>
      <c r="P530" s="928"/>
      <c r="Q530" s="928"/>
      <c r="R530" s="928"/>
      <c r="S530" s="928"/>
    </row>
    <row r="531" spans="1:19" ht="15.95" customHeight="1" outlineLevel="1" x14ac:dyDescent="0.3">
      <c r="A531" s="717"/>
      <c r="B531" s="717"/>
      <c r="C531" s="901"/>
      <c r="D531" s="901"/>
      <c r="E531" s="901"/>
      <c r="F531" s="928"/>
      <c r="G531" s="928"/>
      <c r="H531" s="928"/>
      <c r="I531" s="928"/>
      <c r="J531" s="928"/>
      <c r="K531" s="928"/>
      <c r="L531" s="928"/>
      <c r="M531" s="928"/>
      <c r="N531" s="928"/>
      <c r="O531" s="928"/>
      <c r="P531" s="928"/>
      <c r="Q531" s="928"/>
      <c r="R531" s="928"/>
      <c r="S531" s="928"/>
    </row>
    <row r="532" spans="1:19" ht="15.95" customHeight="1" outlineLevel="1" x14ac:dyDescent="0.3">
      <c r="A532" s="717"/>
      <c r="B532" s="717"/>
      <c r="C532" s="901"/>
      <c r="D532" s="901"/>
      <c r="E532" s="901"/>
      <c r="F532" s="928"/>
      <c r="G532" s="928"/>
      <c r="H532" s="928"/>
      <c r="I532" s="928"/>
      <c r="J532" s="928"/>
      <c r="K532" s="928"/>
      <c r="L532" s="928"/>
      <c r="M532" s="928"/>
      <c r="N532" s="928"/>
      <c r="O532" s="928"/>
      <c r="P532" s="928"/>
      <c r="Q532" s="928"/>
      <c r="R532" s="928"/>
      <c r="S532" s="928"/>
    </row>
    <row r="533" spans="1:19" ht="15.95" customHeight="1" outlineLevel="1" x14ac:dyDescent="0.3">
      <c r="A533" s="717"/>
      <c r="B533" s="717"/>
      <c r="C533" s="901"/>
      <c r="D533" s="901"/>
      <c r="E533" s="901"/>
      <c r="F533" s="928"/>
      <c r="G533" s="928"/>
      <c r="H533" s="928"/>
      <c r="I533" s="928"/>
      <c r="J533" s="928"/>
      <c r="K533" s="928"/>
      <c r="L533" s="928"/>
      <c r="M533" s="928"/>
      <c r="N533" s="928"/>
      <c r="O533" s="928"/>
      <c r="P533" s="928"/>
      <c r="Q533" s="928"/>
      <c r="R533" s="928"/>
      <c r="S533" s="928"/>
    </row>
    <row r="534" spans="1:19" ht="15.95" customHeight="1" outlineLevel="1" x14ac:dyDescent="0.3">
      <c r="A534" s="717" t="str">
        <f t="shared" ref="A534" si="112">IFERROR(INDEX($BF$160:$BF$239,MATCH((ROW()-ROW($C$306))/4+1,$BJ$160:$BJ$239,0),1),"")</f>
        <v/>
      </c>
      <c r="B534" s="717"/>
      <c r="C534" s="901" t="str">
        <f t="shared" ref="C534" si="113">IFERROR(INDEX($BD$160:$BD$239,MATCH((ROW()-ROW($C$306))/4+1,$BJ$160:$BJ$239,0),1),"")</f>
        <v/>
      </c>
      <c r="D534" s="901"/>
      <c r="E534" s="901"/>
      <c r="F534" s="928" t="str">
        <f t="shared" ref="F534" si="114">IFERROR(INDEX($BE$160:$BE$239,MATCH((ROW()-ROW($C$306))/4+1,$BJ$160:$BJ$239,0),1),"")</f>
        <v/>
      </c>
      <c r="G534" s="928"/>
      <c r="H534" s="928"/>
      <c r="I534" s="928"/>
      <c r="J534" s="928"/>
      <c r="K534" s="928"/>
      <c r="L534" s="928"/>
      <c r="M534" s="928"/>
      <c r="N534" s="928"/>
      <c r="O534" s="928"/>
      <c r="P534" s="928"/>
      <c r="Q534" s="928"/>
      <c r="R534" s="928"/>
      <c r="S534" s="928"/>
    </row>
    <row r="535" spans="1:19" ht="15.95" customHeight="1" outlineLevel="1" x14ac:dyDescent="0.3">
      <c r="A535" s="717"/>
      <c r="B535" s="717"/>
      <c r="C535" s="901"/>
      <c r="D535" s="901"/>
      <c r="E535" s="901"/>
      <c r="F535" s="928"/>
      <c r="G535" s="928"/>
      <c r="H535" s="928"/>
      <c r="I535" s="928"/>
      <c r="J535" s="928"/>
      <c r="K535" s="928"/>
      <c r="L535" s="928"/>
      <c r="M535" s="928"/>
      <c r="N535" s="928"/>
      <c r="O535" s="928"/>
      <c r="P535" s="928"/>
      <c r="Q535" s="928"/>
      <c r="R535" s="928"/>
      <c r="S535" s="928"/>
    </row>
    <row r="536" spans="1:19" ht="15.95" customHeight="1" outlineLevel="1" x14ac:dyDescent="0.3">
      <c r="A536" s="717"/>
      <c r="B536" s="717"/>
      <c r="C536" s="901"/>
      <c r="D536" s="901"/>
      <c r="E536" s="901"/>
      <c r="F536" s="928"/>
      <c r="G536" s="928"/>
      <c r="H536" s="928"/>
      <c r="I536" s="928"/>
      <c r="J536" s="928"/>
      <c r="K536" s="928"/>
      <c r="L536" s="928"/>
      <c r="M536" s="928"/>
      <c r="N536" s="928"/>
      <c r="O536" s="928"/>
      <c r="P536" s="928"/>
      <c r="Q536" s="928"/>
      <c r="R536" s="928"/>
      <c r="S536" s="928"/>
    </row>
    <row r="537" spans="1:19" ht="15.95" customHeight="1" outlineLevel="1" x14ac:dyDescent="0.3">
      <c r="A537" s="717"/>
      <c r="B537" s="717"/>
      <c r="C537" s="901"/>
      <c r="D537" s="901"/>
      <c r="E537" s="901"/>
      <c r="F537" s="928"/>
      <c r="G537" s="928"/>
      <c r="H537" s="928"/>
      <c r="I537" s="928"/>
      <c r="J537" s="928"/>
      <c r="K537" s="928"/>
      <c r="L537" s="928"/>
      <c r="M537" s="928"/>
      <c r="N537" s="928"/>
      <c r="O537" s="928"/>
      <c r="P537" s="928"/>
      <c r="Q537" s="928"/>
      <c r="R537" s="928"/>
      <c r="S537" s="928"/>
    </row>
    <row r="538" spans="1:19" ht="15.95" customHeight="1" outlineLevel="1" x14ac:dyDescent="0.3">
      <c r="A538" s="717" t="str">
        <f t="shared" ref="A538" si="115">IFERROR(INDEX($BF$160:$BF$239,MATCH((ROW()-ROW($C$306))/4+1,$BJ$160:$BJ$239,0),1),"")</f>
        <v/>
      </c>
      <c r="B538" s="717"/>
      <c r="C538" s="901" t="str">
        <f t="shared" ref="C538" si="116">IFERROR(INDEX($BD$160:$BD$239,MATCH((ROW()-ROW($C$306))/4+1,$BJ$160:$BJ$239,0),1),"")</f>
        <v/>
      </c>
      <c r="D538" s="901"/>
      <c r="E538" s="901"/>
      <c r="F538" s="928" t="str">
        <f t="shared" ref="F538" si="117">IFERROR(INDEX($BE$160:$BE$239,MATCH((ROW()-ROW($C$306))/4+1,$BJ$160:$BJ$239,0),1),"")</f>
        <v/>
      </c>
      <c r="G538" s="928"/>
      <c r="H538" s="928"/>
      <c r="I538" s="928"/>
      <c r="J538" s="928"/>
      <c r="K538" s="928"/>
      <c r="L538" s="928"/>
      <c r="M538" s="928"/>
      <c r="N538" s="928"/>
      <c r="O538" s="928"/>
      <c r="P538" s="928"/>
      <c r="Q538" s="928"/>
      <c r="R538" s="928"/>
      <c r="S538" s="928"/>
    </row>
    <row r="539" spans="1:19" ht="15.95" customHeight="1" outlineLevel="1" x14ac:dyDescent="0.3">
      <c r="A539" s="717"/>
      <c r="B539" s="717"/>
      <c r="C539" s="901"/>
      <c r="D539" s="901"/>
      <c r="E539" s="901"/>
      <c r="F539" s="928"/>
      <c r="G539" s="928"/>
      <c r="H539" s="928"/>
      <c r="I539" s="928"/>
      <c r="J539" s="928"/>
      <c r="K539" s="928"/>
      <c r="L539" s="928"/>
      <c r="M539" s="928"/>
      <c r="N539" s="928"/>
      <c r="O539" s="928"/>
      <c r="P539" s="928"/>
      <c r="Q539" s="928"/>
      <c r="R539" s="928"/>
      <c r="S539" s="928"/>
    </row>
    <row r="540" spans="1:19" ht="15.95" customHeight="1" outlineLevel="1" x14ac:dyDescent="0.3">
      <c r="A540" s="717"/>
      <c r="B540" s="717"/>
      <c r="C540" s="901"/>
      <c r="D540" s="901"/>
      <c r="E540" s="901"/>
      <c r="F540" s="928"/>
      <c r="G540" s="928"/>
      <c r="H540" s="928"/>
      <c r="I540" s="928"/>
      <c r="J540" s="928"/>
      <c r="K540" s="928"/>
      <c r="L540" s="928"/>
      <c r="M540" s="928"/>
      <c r="N540" s="928"/>
      <c r="O540" s="928"/>
      <c r="P540" s="928"/>
      <c r="Q540" s="928"/>
      <c r="R540" s="928"/>
      <c r="S540" s="928"/>
    </row>
    <row r="541" spans="1:19" ht="15.95" customHeight="1" outlineLevel="1" x14ac:dyDescent="0.3">
      <c r="A541" s="717"/>
      <c r="B541" s="717"/>
      <c r="C541" s="901"/>
      <c r="D541" s="901"/>
      <c r="E541" s="901"/>
      <c r="F541" s="928"/>
      <c r="G541" s="928"/>
      <c r="H541" s="928"/>
      <c r="I541" s="928"/>
      <c r="J541" s="928"/>
      <c r="K541" s="928"/>
      <c r="L541" s="928"/>
      <c r="M541" s="928"/>
      <c r="N541" s="928"/>
      <c r="O541" s="928"/>
      <c r="P541" s="928"/>
      <c r="Q541" s="928"/>
      <c r="R541" s="928"/>
      <c r="S541" s="928"/>
    </row>
    <row r="542" spans="1:19" ht="15.95" customHeight="1" outlineLevel="1" x14ac:dyDescent="0.3">
      <c r="A542" s="717" t="str">
        <f>IFERROR(INDEX($BF$160:$BF$239,MATCH((ROW()-ROW($C$306))/4+1,$BJ$160:$BJ$239,0),1),"")</f>
        <v/>
      </c>
      <c r="B542" s="717"/>
      <c r="C542" s="901" t="str">
        <f>IFERROR(INDEX($BD$160:$BD$239,MATCH((ROW()-ROW($C$306))/4+1,$BJ$160:$BJ$239,0),1),"")</f>
        <v/>
      </c>
      <c r="D542" s="901"/>
      <c r="E542" s="901"/>
      <c r="F542" s="928" t="str">
        <f>IFERROR(INDEX($BE$160:$BE$239,MATCH((ROW()-ROW($C$306))/4+1,$BJ$160:$BJ$239,0),1),"")</f>
        <v/>
      </c>
      <c r="G542" s="928"/>
      <c r="H542" s="928"/>
      <c r="I542" s="928"/>
      <c r="J542" s="928"/>
      <c r="K542" s="928"/>
      <c r="L542" s="928"/>
      <c r="M542" s="928"/>
      <c r="N542" s="928"/>
      <c r="O542" s="928"/>
      <c r="P542" s="928"/>
      <c r="Q542" s="928"/>
      <c r="R542" s="928"/>
      <c r="S542" s="928"/>
    </row>
    <row r="543" spans="1:19" ht="15.95" customHeight="1" outlineLevel="1" x14ac:dyDescent="0.3">
      <c r="A543" s="717"/>
      <c r="B543" s="717"/>
      <c r="C543" s="901"/>
      <c r="D543" s="901"/>
      <c r="E543" s="901"/>
      <c r="F543" s="928"/>
      <c r="G543" s="928"/>
      <c r="H543" s="928"/>
      <c r="I543" s="928"/>
      <c r="J543" s="928"/>
      <c r="K543" s="928"/>
      <c r="L543" s="928"/>
      <c r="M543" s="928"/>
      <c r="N543" s="928"/>
      <c r="O543" s="928"/>
      <c r="P543" s="928"/>
      <c r="Q543" s="928"/>
      <c r="R543" s="928"/>
      <c r="S543" s="928"/>
    </row>
    <row r="544" spans="1:19" ht="15.95" customHeight="1" outlineLevel="1" x14ac:dyDescent="0.3">
      <c r="A544" s="717"/>
      <c r="B544" s="717"/>
      <c r="C544" s="901"/>
      <c r="D544" s="901"/>
      <c r="E544" s="901"/>
      <c r="F544" s="928"/>
      <c r="G544" s="928"/>
      <c r="H544" s="928"/>
      <c r="I544" s="928"/>
      <c r="J544" s="928"/>
      <c r="K544" s="928"/>
      <c r="L544" s="928"/>
      <c r="M544" s="928"/>
      <c r="N544" s="928"/>
      <c r="O544" s="928"/>
      <c r="P544" s="928"/>
      <c r="Q544" s="928"/>
      <c r="R544" s="928"/>
      <c r="S544" s="928"/>
    </row>
    <row r="545" spans="1:19" ht="15.95" customHeight="1" outlineLevel="1" x14ac:dyDescent="0.3">
      <c r="A545" s="717"/>
      <c r="B545" s="717"/>
      <c r="C545" s="901"/>
      <c r="D545" s="901"/>
      <c r="E545" s="901"/>
      <c r="F545" s="928"/>
      <c r="G545" s="928"/>
      <c r="H545" s="928"/>
      <c r="I545" s="928"/>
      <c r="J545" s="928"/>
      <c r="K545" s="928"/>
      <c r="L545" s="928"/>
      <c r="M545" s="928"/>
      <c r="N545" s="928"/>
      <c r="O545" s="928"/>
      <c r="P545" s="928"/>
      <c r="Q545" s="928"/>
      <c r="R545" s="928"/>
      <c r="S545" s="928"/>
    </row>
    <row r="546" spans="1:19" ht="15.95" customHeight="1" outlineLevel="1" x14ac:dyDescent="0.3">
      <c r="A546" s="717" t="str">
        <f>IFERROR(INDEX($BF$160:$BF$239,MATCH((ROW()-ROW($C$306))/4+1,$BJ$160:$BJ$239,0),1),"")</f>
        <v/>
      </c>
      <c r="B546" s="717"/>
      <c r="C546" s="901" t="str">
        <f>IFERROR(INDEX($BD$160:$BD$239,MATCH((ROW()-ROW($C$306))/4+1,$BJ$160:$BJ$239,0),1),"")</f>
        <v/>
      </c>
      <c r="D546" s="901"/>
      <c r="E546" s="901"/>
      <c r="F546" s="928" t="str">
        <f>IFERROR(INDEX($BE$160:$BE$239,MATCH((ROW()-ROW($C$306))/4+1,$BJ$160:$BJ$239,0),1),"")</f>
        <v/>
      </c>
      <c r="G546" s="928"/>
      <c r="H546" s="928"/>
      <c r="I546" s="928"/>
      <c r="J546" s="928"/>
      <c r="K546" s="928"/>
      <c r="L546" s="928"/>
      <c r="M546" s="928"/>
      <c r="N546" s="928"/>
      <c r="O546" s="928"/>
      <c r="P546" s="928"/>
      <c r="Q546" s="928"/>
      <c r="R546" s="928"/>
      <c r="S546" s="928"/>
    </row>
    <row r="547" spans="1:19" ht="15.95" customHeight="1" outlineLevel="1" x14ac:dyDescent="0.3">
      <c r="A547" s="717"/>
      <c r="B547" s="717"/>
      <c r="C547" s="901"/>
      <c r="D547" s="901"/>
      <c r="E547" s="901"/>
      <c r="F547" s="928"/>
      <c r="G547" s="928"/>
      <c r="H547" s="928"/>
      <c r="I547" s="928"/>
      <c r="J547" s="928"/>
      <c r="K547" s="928"/>
      <c r="L547" s="928"/>
      <c r="M547" s="928"/>
      <c r="N547" s="928"/>
      <c r="O547" s="928"/>
      <c r="P547" s="928"/>
      <c r="Q547" s="928"/>
      <c r="R547" s="928"/>
      <c r="S547" s="928"/>
    </row>
    <row r="548" spans="1:19" ht="15.95" customHeight="1" outlineLevel="1" x14ac:dyDescent="0.3">
      <c r="A548" s="717"/>
      <c r="B548" s="717"/>
      <c r="C548" s="901"/>
      <c r="D548" s="901"/>
      <c r="E548" s="901"/>
      <c r="F548" s="928"/>
      <c r="G548" s="928"/>
      <c r="H548" s="928"/>
      <c r="I548" s="928"/>
      <c r="J548" s="928"/>
      <c r="K548" s="928"/>
      <c r="L548" s="928"/>
      <c r="M548" s="928"/>
      <c r="N548" s="928"/>
      <c r="O548" s="928"/>
      <c r="P548" s="928"/>
      <c r="Q548" s="928"/>
      <c r="R548" s="928"/>
      <c r="S548" s="928"/>
    </row>
    <row r="549" spans="1:19" ht="15.95" customHeight="1" outlineLevel="1" x14ac:dyDescent="0.3">
      <c r="A549" s="717"/>
      <c r="B549" s="717"/>
      <c r="C549" s="901"/>
      <c r="D549" s="901"/>
      <c r="E549" s="901"/>
      <c r="F549" s="928"/>
      <c r="G549" s="928"/>
      <c r="H549" s="928"/>
      <c r="I549" s="928"/>
      <c r="J549" s="928"/>
      <c r="K549" s="928"/>
      <c r="L549" s="928"/>
      <c r="M549" s="928"/>
      <c r="N549" s="928"/>
      <c r="O549" s="928"/>
      <c r="P549" s="928"/>
      <c r="Q549" s="928"/>
      <c r="R549" s="928"/>
      <c r="S549" s="928"/>
    </row>
    <row r="550" spans="1:19" ht="15.95" customHeight="1" outlineLevel="1" x14ac:dyDescent="0.3">
      <c r="A550" s="717" t="str">
        <f>IFERROR(INDEX($BF$160:$BF$239,MATCH((ROW()-ROW($C$306))/4+1,$BJ$160:$BJ$239,0),1),"")</f>
        <v/>
      </c>
      <c r="B550" s="717"/>
      <c r="C550" s="901" t="str">
        <f>IFERROR(INDEX($BD$160:$BD$239,MATCH((ROW()-ROW($C$306))/4+1,$BJ$160:$BJ$239,0),1),"")</f>
        <v/>
      </c>
      <c r="D550" s="901"/>
      <c r="E550" s="901"/>
      <c r="F550" s="928" t="str">
        <f>IFERROR(INDEX($BE$160:$BE$239,MATCH((ROW()-ROW($C$306))/4+1,$BJ$160:$BJ$239,0),1),"")</f>
        <v/>
      </c>
      <c r="G550" s="928"/>
      <c r="H550" s="928"/>
      <c r="I550" s="928"/>
      <c r="J550" s="928"/>
      <c r="K550" s="928"/>
      <c r="L550" s="928"/>
      <c r="M550" s="928"/>
      <c r="N550" s="928"/>
      <c r="O550" s="928"/>
      <c r="P550" s="928"/>
      <c r="Q550" s="928"/>
      <c r="R550" s="928"/>
      <c r="S550" s="928"/>
    </row>
    <row r="551" spans="1:19" ht="15.95" customHeight="1" outlineLevel="1" x14ac:dyDescent="0.3">
      <c r="A551" s="717"/>
      <c r="B551" s="717"/>
      <c r="C551" s="901"/>
      <c r="D551" s="901"/>
      <c r="E551" s="901"/>
      <c r="F551" s="928"/>
      <c r="G551" s="928"/>
      <c r="H551" s="928"/>
      <c r="I551" s="928"/>
      <c r="J551" s="928"/>
      <c r="K551" s="928"/>
      <c r="L551" s="928"/>
      <c r="M551" s="928"/>
      <c r="N551" s="928"/>
      <c r="O551" s="928"/>
      <c r="P551" s="928"/>
      <c r="Q551" s="928"/>
      <c r="R551" s="928"/>
      <c r="S551" s="928"/>
    </row>
    <row r="552" spans="1:19" ht="15.95" customHeight="1" outlineLevel="1" x14ac:dyDescent="0.3">
      <c r="A552" s="717"/>
      <c r="B552" s="717"/>
      <c r="C552" s="901"/>
      <c r="D552" s="901"/>
      <c r="E552" s="901"/>
      <c r="F552" s="928"/>
      <c r="G552" s="928"/>
      <c r="H552" s="928"/>
      <c r="I552" s="928"/>
      <c r="J552" s="928"/>
      <c r="K552" s="928"/>
      <c r="L552" s="928"/>
      <c r="M552" s="928"/>
      <c r="N552" s="928"/>
      <c r="O552" s="928"/>
      <c r="P552" s="928"/>
      <c r="Q552" s="928"/>
      <c r="R552" s="928"/>
      <c r="S552" s="928"/>
    </row>
    <row r="553" spans="1:19" ht="15.95" customHeight="1" outlineLevel="1" x14ac:dyDescent="0.3">
      <c r="A553" s="717"/>
      <c r="B553" s="717"/>
      <c r="C553" s="901"/>
      <c r="D553" s="901"/>
      <c r="E553" s="901"/>
      <c r="F553" s="928"/>
      <c r="G553" s="928"/>
      <c r="H553" s="928"/>
      <c r="I553" s="928"/>
      <c r="J553" s="928"/>
      <c r="K553" s="928"/>
      <c r="L553" s="928"/>
      <c r="M553" s="928"/>
      <c r="N553" s="928"/>
      <c r="O553" s="928"/>
      <c r="P553" s="928"/>
      <c r="Q553" s="928"/>
      <c r="R553" s="928"/>
      <c r="S553" s="928"/>
    </row>
    <row r="554" spans="1:19" ht="15.95" customHeight="1" outlineLevel="1" x14ac:dyDescent="0.3">
      <c r="A554" s="717" t="str">
        <f>IFERROR(INDEX($BF$160:$BF$239,MATCH((ROW()-ROW($C$306))/4+1,$BJ$160:$BJ$239,0),1),"")</f>
        <v/>
      </c>
      <c r="B554" s="717"/>
      <c r="C554" s="901" t="str">
        <f>IFERROR(INDEX($BD$160:$BD$239,MATCH((ROW()-ROW($C$306))/4+1,$BJ$160:$BJ$239,0),1),"")</f>
        <v/>
      </c>
      <c r="D554" s="901"/>
      <c r="E554" s="901"/>
      <c r="F554" s="928" t="str">
        <f>IFERROR(INDEX($BE$160:$BE$239,MATCH((ROW()-ROW($C$306))/4+1,$BJ$160:$BJ$239,0),1),"")</f>
        <v/>
      </c>
      <c r="G554" s="928"/>
      <c r="H554" s="928"/>
      <c r="I554" s="928"/>
      <c r="J554" s="928"/>
      <c r="K554" s="928"/>
      <c r="L554" s="928"/>
      <c r="M554" s="928"/>
      <c r="N554" s="928"/>
      <c r="O554" s="928"/>
      <c r="P554" s="928"/>
      <c r="Q554" s="928"/>
      <c r="R554" s="928"/>
      <c r="S554" s="928"/>
    </row>
    <row r="555" spans="1:19" ht="15.95" customHeight="1" outlineLevel="1" x14ac:dyDescent="0.3">
      <c r="A555" s="717"/>
      <c r="B555" s="717"/>
      <c r="C555" s="901"/>
      <c r="D555" s="901"/>
      <c r="E555" s="901"/>
      <c r="F555" s="928"/>
      <c r="G555" s="928"/>
      <c r="H555" s="928"/>
      <c r="I555" s="928"/>
      <c r="J555" s="928"/>
      <c r="K555" s="928"/>
      <c r="L555" s="928"/>
      <c r="M555" s="928"/>
      <c r="N555" s="928"/>
      <c r="O555" s="928"/>
      <c r="P555" s="928"/>
      <c r="Q555" s="928"/>
      <c r="R555" s="928"/>
      <c r="S555" s="928"/>
    </row>
    <row r="556" spans="1:19" ht="15.95" customHeight="1" outlineLevel="1" x14ac:dyDescent="0.3">
      <c r="A556" s="717"/>
      <c r="B556" s="717"/>
      <c r="C556" s="901"/>
      <c r="D556" s="901"/>
      <c r="E556" s="901"/>
      <c r="F556" s="928"/>
      <c r="G556" s="928"/>
      <c r="H556" s="928"/>
      <c r="I556" s="928"/>
      <c r="J556" s="928"/>
      <c r="K556" s="928"/>
      <c r="L556" s="928"/>
      <c r="M556" s="928"/>
      <c r="N556" s="928"/>
      <c r="O556" s="928"/>
      <c r="P556" s="928"/>
      <c r="Q556" s="928"/>
      <c r="R556" s="928"/>
      <c r="S556" s="928"/>
    </row>
    <row r="557" spans="1:19" ht="15.95" customHeight="1" outlineLevel="1" x14ac:dyDescent="0.3">
      <c r="A557" s="717"/>
      <c r="B557" s="717"/>
      <c r="C557" s="901"/>
      <c r="D557" s="901"/>
      <c r="E557" s="901"/>
      <c r="F557" s="928"/>
      <c r="G557" s="928"/>
      <c r="H557" s="928"/>
      <c r="I557" s="928"/>
      <c r="J557" s="928"/>
      <c r="K557" s="928"/>
      <c r="L557" s="928"/>
      <c r="M557" s="928"/>
      <c r="N557" s="928"/>
      <c r="O557" s="928"/>
      <c r="P557" s="928"/>
      <c r="Q557" s="928"/>
      <c r="R557" s="928"/>
      <c r="S557" s="928"/>
    </row>
    <row r="558" spans="1:19" ht="15.95" customHeight="1" outlineLevel="1" x14ac:dyDescent="0.3">
      <c r="A558" s="717" t="str">
        <f>IFERROR(INDEX($BF$160:$BF$239,MATCH((ROW()-ROW($C$306))/4+1,$BJ$160:$BJ$239,0),1),"")</f>
        <v/>
      </c>
      <c r="B558" s="717"/>
      <c r="C558" s="901" t="str">
        <f>IFERROR(INDEX($BD$160:$BD$239,MATCH((ROW()-ROW($C$306))/4+1,$BJ$160:$BJ$239,0),1),"")</f>
        <v/>
      </c>
      <c r="D558" s="901"/>
      <c r="E558" s="901"/>
      <c r="F558" s="928" t="str">
        <f>IFERROR(INDEX($BE$160:$BE$239,MATCH((ROW()-ROW($C$306))/4+1,$BJ$160:$BJ$239,0),1),"")</f>
        <v/>
      </c>
      <c r="G558" s="928"/>
      <c r="H558" s="928"/>
      <c r="I558" s="928"/>
      <c r="J558" s="928"/>
      <c r="K558" s="928"/>
      <c r="L558" s="928"/>
      <c r="M558" s="928"/>
      <c r="N558" s="928"/>
      <c r="O558" s="928"/>
      <c r="P558" s="928"/>
      <c r="Q558" s="928"/>
      <c r="R558" s="928"/>
      <c r="S558" s="928"/>
    </row>
    <row r="559" spans="1:19" ht="15.95" customHeight="1" outlineLevel="1" x14ac:dyDescent="0.3">
      <c r="A559" s="717"/>
      <c r="B559" s="717"/>
      <c r="C559" s="901"/>
      <c r="D559" s="901"/>
      <c r="E559" s="901"/>
      <c r="F559" s="928"/>
      <c r="G559" s="928"/>
      <c r="H559" s="928"/>
      <c r="I559" s="928"/>
      <c r="J559" s="928"/>
      <c r="K559" s="928"/>
      <c r="L559" s="928"/>
      <c r="M559" s="928"/>
      <c r="N559" s="928"/>
      <c r="O559" s="928"/>
      <c r="P559" s="928"/>
      <c r="Q559" s="928"/>
      <c r="R559" s="928"/>
      <c r="S559" s="928"/>
    </row>
    <row r="560" spans="1:19" ht="15.95" customHeight="1" outlineLevel="1" x14ac:dyDescent="0.3">
      <c r="A560" s="717"/>
      <c r="B560" s="717"/>
      <c r="C560" s="901"/>
      <c r="D560" s="901"/>
      <c r="E560" s="901"/>
      <c r="F560" s="928"/>
      <c r="G560" s="928"/>
      <c r="H560" s="928"/>
      <c r="I560" s="928"/>
      <c r="J560" s="928"/>
      <c r="K560" s="928"/>
      <c r="L560" s="928"/>
      <c r="M560" s="928"/>
      <c r="N560" s="928"/>
      <c r="O560" s="928"/>
      <c r="P560" s="928"/>
      <c r="Q560" s="928"/>
      <c r="R560" s="928"/>
      <c r="S560" s="928"/>
    </row>
    <row r="561" spans="1:19" ht="15.95" customHeight="1" outlineLevel="1" x14ac:dyDescent="0.3">
      <c r="A561" s="717"/>
      <c r="B561" s="717"/>
      <c r="C561" s="901"/>
      <c r="D561" s="901"/>
      <c r="E561" s="901"/>
      <c r="F561" s="928"/>
      <c r="G561" s="928"/>
      <c r="H561" s="928"/>
      <c r="I561" s="928"/>
      <c r="J561" s="928"/>
      <c r="K561" s="928"/>
      <c r="L561" s="928"/>
      <c r="M561" s="928"/>
      <c r="N561" s="928"/>
      <c r="O561" s="928"/>
      <c r="P561" s="928"/>
      <c r="Q561" s="928"/>
      <c r="R561" s="928"/>
      <c r="S561" s="928"/>
    </row>
    <row r="562" spans="1:19" ht="15.95" customHeight="1" outlineLevel="1" x14ac:dyDescent="0.3">
      <c r="A562" s="717" t="str">
        <f>IFERROR(INDEX($BF$160:$BF$239,MATCH((ROW()-ROW($C$306))/4+1,$BJ$160:$BJ$239,0),1),"")</f>
        <v/>
      </c>
      <c r="B562" s="717"/>
      <c r="C562" s="901" t="str">
        <f>IFERROR(INDEX($BD$160:$BD$239,MATCH((ROW()-ROW($C$306))/4+1,$BJ$160:$BJ$239,0),1),"")</f>
        <v/>
      </c>
      <c r="D562" s="901"/>
      <c r="E562" s="901"/>
      <c r="F562" s="928" t="str">
        <f>IFERROR(INDEX($BE$160:$BE$239,MATCH((ROW()-ROW($C$306))/4+1,$BJ$160:$BJ$239,0),1),"")</f>
        <v/>
      </c>
      <c r="G562" s="928"/>
      <c r="H562" s="928"/>
      <c r="I562" s="928"/>
      <c r="J562" s="928"/>
      <c r="K562" s="928"/>
      <c r="L562" s="928"/>
      <c r="M562" s="928"/>
      <c r="N562" s="928"/>
      <c r="O562" s="928"/>
      <c r="P562" s="928"/>
      <c r="Q562" s="928"/>
      <c r="R562" s="928"/>
      <c r="S562" s="928"/>
    </row>
    <row r="563" spans="1:19" ht="15.95" customHeight="1" outlineLevel="1" x14ac:dyDescent="0.3">
      <c r="A563" s="717"/>
      <c r="B563" s="717"/>
      <c r="C563" s="901"/>
      <c r="D563" s="901"/>
      <c r="E563" s="901"/>
      <c r="F563" s="928"/>
      <c r="G563" s="928"/>
      <c r="H563" s="928"/>
      <c r="I563" s="928"/>
      <c r="J563" s="928"/>
      <c r="K563" s="928"/>
      <c r="L563" s="928"/>
      <c r="M563" s="928"/>
      <c r="N563" s="928"/>
      <c r="O563" s="928"/>
      <c r="P563" s="928"/>
      <c r="Q563" s="928"/>
      <c r="R563" s="928"/>
      <c r="S563" s="928"/>
    </row>
    <row r="564" spans="1:19" ht="15.95" customHeight="1" outlineLevel="1" x14ac:dyDescent="0.3">
      <c r="A564" s="717"/>
      <c r="B564" s="717"/>
      <c r="C564" s="901"/>
      <c r="D564" s="901"/>
      <c r="E564" s="901"/>
      <c r="F564" s="928"/>
      <c r="G564" s="928"/>
      <c r="H564" s="928"/>
      <c r="I564" s="928"/>
      <c r="J564" s="928"/>
      <c r="K564" s="928"/>
      <c r="L564" s="928"/>
      <c r="M564" s="928"/>
      <c r="N564" s="928"/>
      <c r="O564" s="928"/>
      <c r="P564" s="928"/>
      <c r="Q564" s="928"/>
      <c r="R564" s="928"/>
      <c r="S564" s="928"/>
    </row>
    <row r="565" spans="1:19" ht="15.95" customHeight="1" outlineLevel="1" x14ac:dyDescent="0.3">
      <c r="A565" s="717"/>
      <c r="B565" s="717"/>
      <c r="C565" s="901"/>
      <c r="D565" s="901"/>
      <c r="E565" s="901"/>
      <c r="F565" s="928"/>
      <c r="G565" s="928"/>
      <c r="H565" s="928"/>
      <c r="I565" s="928"/>
      <c r="J565" s="928"/>
      <c r="K565" s="928"/>
      <c r="L565" s="928"/>
      <c r="M565" s="928"/>
      <c r="N565" s="928"/>
      <c r="O565" s="928"/>
      <c r="P565" s="928"/>
      <c r="Q565" s="928"/>
      <c r="R565" s="928"/>
      <c r="S565" s="928"/>
    </row>
    <row r="566" spans="1:19" ht="15.95" customHeight="1" outlineLevel="1" x14ac:dyDescent="0.3">
      <c r="A566" s="717" t="str">
        <f>IFERROR(INDEX($BF$160:$BF$239,MATCH((ROW()-ROW($C$306))/4+1,$BJ$160:$BJ$239,0),1),"")</f>
        <v/>
      </c>
      <c r="B566" s="717"/>
      <c r="C566" s="901" t="str">
        <f>IFERROR(INDEX($BD$160:$BD$239,MATCH((ROW()-ROW($C$306))/4+1,$BJ$160:$BJ$239,0),1),"")</f>
        <v/>
      </c>
      <c r="D566" s="901"/>
      <c r="E566" s="901"/>
      <c r="F566" s="928" t="str">
        <f>IFERROR(INDEX($BE$160:$BE$239,MATCH((ROW()-ROW($C$306))/4+1,$BJ$160:$BJ$239,0),1),"")</f>
        <v/>
      </c>
      <c r="G566" s="928"/>
      <c r="H566" s="928"/>
      <c r="I566" s="928"/>
      <c r="J566" s="928"/>
      <c r="K566" s="928"/>
      <c r="L566" s="928"/>
      <c r="M566" s="928"/>
      <c r="N566" s="928"/>
      <c r="O566" s="928"/>
      <c r="P566" s="928"/>
      <c r="Q566" s="928"/>
      <c r="R566" s="928"/>
      <c r="S566" s="928"/>
    </row>
    <row r="567" spans="1:19" ht="15.95" customHeight="1" outlineLevel="1" x14ac:dyDescent="0.3">
      <c r="A567" s="717"/>
      <c r="B567" s="717"/>
      <c r="C567" s="901"/>
      <c r="D567" s="901"/>
      <c r="E567" s="901"/>
      <c r="F567" s="928"/>
      <c r="G567" s="928"/>
      <c r="H567" s="928"/>
      <c r="I567" s="928"/>
      <c r="J567" s="928"/>
      <c r="K567" s="928"/>
      <c r="L567" s="928"/>
      <c r="M567" s="928"/>
      <c r="N567" s="928"/>
      <c r="O567" s="928"/>
      <c r="P567" s="928"/>
      <c r="Q567" s="928"/>
      <c r="R567" s="928"/>
      <c r="S567" s="928"/>
    </row>
    <row r="568" spans="1:19" ht="15.95" customHeight="1" outlineLevel="1" x14ac:dyDescent="0.3">
      <c r="A568" s="717"/>
      <c r="B568" s="717"/>
      <c r="C568" s="901"/>
      <c r="D568" s="901"/>
      <c r="E568" s="901"/>
      <c r="F568" s="928"/>
      <c r="G568" s="928"/>
      <c r="H568" s="928"/>
      <c r="I568" s="928"/>
      <c r="J568" s="928"/>
      <c r="K568" s="928"/>
      <c r="L568" s="928"/>
      <c r="M568" s="928"/>
      <c r="N568" s="928"/>
      <c r="O568" s="928"/>
      <c r="P568" s="928"/>
      <c r="Q568" s="928"/>
      <c r="R568" s="928"/>
      <c r="S568" s="928"/>
    </row>
    <row r="569" spans="1:19" ht="15.95" customHeight="1" outlineLevel="1" x14ac:dyDescent="0.3">
      <c r="A569" s="717"/>
      <c r="B569" s="717"/>
      <c r="C569" s="901"/>
      <c r="D569" s="901"/>
      <c r="E569" s="901"/>
      <c r="F569" s="928"/>
      <c r="G569" s="928"/>
      <c r="H569" s="928"/>
      <c r="I569" s="928"/>
      <c r="J569" s="928"/>
      <c r="K569" s="928"/>
      <c r="L569" s="928"/>
      <c r="M569" s="928"/>
      <c r="N569" s="928"/>
      <c r="O569" s="928"/>
      <c r="P569" s="928"/>
      <c r="Q569" s="928"/>
      <c r="R569" s="928"/>
      <c r="S569" s="928"/>
    </row>
    <row r="570" spans="1:19" ht="15.95" customHeight="1" outlineLevel="1" x14ac:dyDescent="0.3">
      <c r="A570" s="717" t="str">
        <f>IFERROR(INDEX($BF$160:$BF$239,MATCH((ROW()-ROW($C$306))/4+1,$BJ$160:$BJ$239,0),1),"")</f>
        <v/>
      </c>
      <c r="B570" s="717"/>
      <c r="C570" s="901" t="str">
        <f>IFERROR(INDEX($BD$160:$BD$239,MATCH((ROW()-ROW($C$306))/4+1,$BJ$160:$BJ$239,0),1),"")</f>
        <v/>
      </c>
      <c r="D570" s="901"/>
      <c r="E570" s="901"/>
      <c r="F570" s="928" t="str">
        <f>IFERROR(INDEX($BE$160:$BE$239,MATCH((ROW()-ROW($C$306))/4+1,$BJ$160:$BJ$239,0),1),"")</f>
        <v/>
      </c>
      <c r="G570" s="928"/>
      <c r="H570" s="928"/>
      <c r="I570" s="928"/>
      <c r="J570" s="928"/>
      <c r="K570" s="928"/>
      <c r="L570" s="928"/>
      <c r="M570" s="928"/>
      <c r="N570" s="928"/>
      <c r="O570" s="928"/>
      <c r="P570" s="928"/>
      <c r="Q570" s="928"/>
      <c r="R570" s="928"/>
      <c r="S570" s="928"/>
    </row>
    <row r="571" spans="1:19" ht="15.95" customHeight="1" outlineLevel="1" x14ac:dyDescent="0.3">
      <c r="A571" s="717"/>
      <c r="B571" s="717"/>
      <c r="C571" s="901"/>
      <c r="D571" s="901"/>
      <c r="E571" s="901"/>
      <c r="F571" s="928"/>
      <c r="G571" s="928"/>
      <c r="H571" s="928"/>
      <c r="I571" s="928"/>
      <c r="J571" s="928"/>
      <c r="K571" s="928"/>
      <c r="L571" s="928"/>
      <c r="M571" s="928"/>
      <c r="N571" s="928"/>
      <c r="O571" s="928"/>
      <c r="P571" s="928"/>
      <c r="Q571" s="928"/>
      <c r="R571" s="928"/>
      <c r="S571" s="928"/>
    </row>
    <row r="572" spans="1:19" ht="15.95" customHeight="1" outlineLevel="1" x14ac:dyDescent="0.3">
      <c r="A572" s="717"/>
      <c r="B572" s="717"/>
      <c r="C572" s="901"/>
      <c r="D572" s="901"/>
      <c r="E572" s="901"/>
      <c r="F572" s="928"/>
      <c r="G572" s="928"/>
      <c r="H572" s="928"/>
      <c r="I572" s="928"/>
      <c r="J572" s="928"/>
      <c r="K572" s="928"/>
      <c r="L572" s="928"/>
      <c r="M572" s="928"/>
      <c r="N572" s="928"/>
      <c r="O572" s="928"/>
      <c r="P572" s="928"/>
      <c r="Q572" s="928"/>
      <c r="R572" s="928"/>
      <c r="S572" s="928"/>
    </row>
    <row r="573" spans="1:19" ht="15.95" customHeight="1" outlineLevel="1" x14ac:dyDescent="0.3">
      <c r="A573" s="717"/>
      <c r="B573" s="717"/>
      <c r="C573" s="901"/>
      <c r="D573" s="901"/>
      <c r="E573" s="901"/>
      <c r="F573" s="928"/>
      <c r="G573" s="928"/>
      <c r="H573" s="928"/>
      <c r="I573" s="928"/>
      <c r="J573" s="928"/>
      <c r="K573" s="928"/>
      <c r="L573" s="928"/>
      <c r="M573" s="928"/>
      <c r="N573" s="928"/>
      <c r="O573" s="928"/>
      <c r="P573" s="928"/>
      <c r="Q573" s="928"/>
      <c r="R573" s="928"/>
      <c r="S573" s="928"/>
    </row>
    <row r="574" spans="1:19" ht="15.95" customHeight="1" outlineLevel="1" x14ac:dyDescent="0.3">
      <c r="A574" s="717" t="str">
        <f>IFERROR(INDEX($BF$160:$BF$239,MATCH((ROW()-ROW($C$306))/4+1,$BJ$160:$BJ$239,0),1),"")</f>
        <v/>
      </c>
      <c r="B574" s="717"/>
      <c r="C574" s="901" t="str">
        <f>IFERROR(INDEX($BD$160:$BD$239,MATCH((ROW()-ROW($C$306))/4+1,$BJ$160:$BJ$239,0),1),"")</f>
        <v/>
      </c>
      <c r="D574" s="901"/>
      <c r="E574" s="901"/>
      <c r="F574" s="928" t="str">
        <f>IFERROR(INDEX($BE$160:$BE$239,MATCH((ROW()-ROW($C$306))/4+1,$BJ$160:$BJ$239,0),1),"")</f>
        <v/>
      </c>
      <c r="G574" s="928"/>
      <c r="H574" s="928"/>
      <c r="I574" s="928"/>
      <c r="J574" s="928"/>
      <c r="K574" s="928"/>
      <c r="L574" s="928"/>
      <c r="M574" s="928"/>
      <c r="N574" s="928"/>
      <c r="O574" s="928"/>
      <c r="P574" s="928"/>
      <c r="Q574" s="928"/>
      <c r="R574" s="928"/>
      <c r="S574" s="928"/>
    </row>
    <row r="575" spans="1:19" ht="15.95" customHeight="1" outlineLevel="1" x14ac:dyDescent="0.3">
      <c r="A575" s="717"/>
      <c r="B575" s="717"/>
      <c r="C575" s="901"/>
      <c r="D575" s="901"/>
      <c r="E575" s="901"/>
      <c r="F575" s="928"/>
      <c r="G575" s="928"/>
      <c r="H575" s="928"/>
      <c r="I575" s="928"/>
      <c r="J575" s="928"/>
      <c r="K575" s="928"/>
      <c r="L575" s="928"/>
      <c r="M575" s="928"/>
      <c r="N575" s="928"/>
      <c r="O575" s="928"/>
      <c r="P575" s="928"/>
      <c r="Q575" s="928"/>
      <c r="R575" s="928"/>
      <c r="S575" s="928"/>
    </row>
    <row r="576" spans="1:19" ht="15.95" customHeight="1" outlineLevel="1" x14ac:dyDescent="0.3">
      <c r="A576" s="717"/>
      <c r="B576" s="717"/>
      <c r="C576" s="901"/>
      <c r="D576" s="901"/>
      <c r="E576" s="901"/>
      <c r="F576" s="928"/>
      <c r="G576" s="928"/>
      <c r="H576" s="928"/>
      <c r="I576" s="928"/>
      <c r="J576" s="928"/>
      <c r="K576" s="928"/>
      <c r="L576" s="928"/>
      <c r="M576" s="928"/>
      <c r="N576" s="928"/>
      <c r="O576" s="928"/>
      <c r="P576" s="928"/>
      <c r="Q576" s="928"/>
      <c r="R576" s="928"/>
      <c r="S576" s="928"/>
    </row>
    <row r="577" spans="1:19" ht="15.95" customHeight="1" outlineLevel="1" x14ac:dyDescent="0.3">
      <c r="A577" s="717"/>
      <c r="B577" s="717"/>
      <c r="C577" s="901"/>
      <c r="D577" s="901"/>
      <c r="E577" s="901"/>
      <c r="F577" s="928"/>
      <c r="G577" s="928"/>
      <c r="H577" s="928"/>
      <c r="I577" s="928"/>
      <c r="J577" s="928"/>
      <c r="K577" s="928"/>
      <c r="L577" s="928"/>
      <c r="M577" s="928"/>
      <c r="N577" s="928"/>
      <c r="O577" s="928"/>
      <c r="P577" s="928"/>
      <c r="Q577" s="928"/>
      <c r="R577" s="928"/>
      <c r="S577" s="928"/>
    </row>
    <row r="578" spans="1:19" ht="15.95" customHeight="1" outlineLevel="1" x14ac:dyDescent="0.3">
      <c r="A578" s="717" t="str">
        <f>IFERROR(INDEX($BF$160:$BF$239,MATCH((ROW()-ROW($C$306))/4+1,$BJ$160:$BJ$239,0),1),"")</f>
        <v/>
      </c>
      <c r="B578" s="717"/>
      <c r="C578" s="901" t="str">
        <f>IFERROR(INDEX($BD$160:$BD$239,MATCH((ROW()-ROW($C$306))/4+1,$BJ$160:$BJ$239,0),1),"")</f>
        <v/>
      </c>
      <c r="D578" s="901"/>
      <c r="E578" s="901"/>
      <c r="F578" s="928" t="str">
        <f>IFERROR(INDEX($BE$160:$BE$239,MATCH((ROW()-ROW($C$306))/4+1,$BJ$160:$BJ$239,0),1),"")</f>
        <v/>
      </c>
      <c r="G578" s="928"/>
      <c r="H578" s="928"/>
      <c r="I578" s="928"/>
      <c r="J578" s="928"/>
      <c r="K578" s="928"/>
      <c r="L578" s="928"/>
      <c r="M578" s="928"/>
      <c r="N578" s="928"/>
      <c r="O578" s="928"/>
      <c r="P578" s="928"/>
      <c r="Q578" s="928"/>
      <c r="R578" s="928"/>
      <c r="S578" s="928"/>
    </row>
    <row r="579" spans="1:19" ht="15.95" customHeight="1" outlineLevel="1" x14ac:dyDescent="0.3">
      <c r="A579" s="717"/>
      <c r="B579" s="717"/>
      <c r="C579" s="901"/>
      <c r="D579" s="901"/>
      <c r="E579" s="901"/>
      <c r="F579" s="928"/>
      <c r="G579" s="928"/>
      <c r="H579" s="928"/>
      <c r="I579" s="928"/>
      <c r="J579" s="928"/>
      <c r="K579" s="928"/>
      <c r="L579" s="928"/>
      <c r="M579" s="928"/>
      <c r="N579" s="928"/>
      <c r="O579" s="928"/>
      <c r="P579" s="928"/>
      <c r="Q579" s="928"/>
      <c r="R579" s="928"/>
      <c r="S579" s="928"/>
    </row>
    <row r="580" spans="1:19" ht="15.95" customHeight="1" outlineLevel="1" x14ac:dyDescent="0.3">
      <c r="A580" s="717"/>
      <c r="B580" s="717"/>
      <c r="C580" s="901"/>
      <c r="D580" s="901"/>
      <c r="E580" s="901"/>
      <c r="F580" s="928"/>
      <c r="G580" s="928"/>
      <c r="H580" s="928"/>
      <c r="I580" s="928"/>
      <c r="J580" s="928"/>
      <c r="K580" s="928"/>
      <c r="L580" s="928"/>
      <c r="M580" s="928"/>
      <c r="N580" s="928"/>
      <c r="O580" s="928"/>
      <c r="P580" s="928"/>
      <c r="Q580" s="928"/>
      <c r="R580" s="928"/>
      <c r="S580" s="928"/>
    </row>
    <row r="581" spans="1:19" ht="15.95" customHeight="1" outlineLevel="1" x14ac:dyDescent="0.3">
      <c r="A581" s="717"/>
      <c r="B581" s="717"/>
      <c r="C581" s="901"/>
      <c r="D581" s="901"/>
      <c r="E581" s="901"/>
      <c r="F581" s="928"/>
      <c r="G581" s="928"/>
      <c r="H581" s="928"/>
      <c r="I581" s="928"/>
      <c r="J581" s="928"/>
      <c r="K581" s="928"/>
      <c r="L581" s="928"/>
      <c r="M581" s="928"/>
      <c r="N581" s="928"/>
      <c r="O581" s="928"/>
      <c r="P581" s="928"/>
      <c r="Q581" s="928"/>
      <c r="R581" s="928"/>
      <c r="S581" s="928"/>
    </row>
    <row r="582" spans="1:19" ht="15.95" customHeight="1" outlineLevel="1" x14ac:dyDescent="0.3">
      <c r="A582" s="717" t="str">
        <f t="shared" ref="A582" si="118">IFERROR(INDEX($BF$160:$BF$239,MATCH((ROW()-ROW($C$306))/4+1,$BJ$160:$BJ$239,0),1),"")</f>
        <v/>
      </c>
      <c r="B582" s="717"/>
      <c r="C582" s="901" t="str">
        <f t="shared" ref="C582" si="119">IFERROR(INDEX($BD$160:$BD$239,MATCH((ROW()-ROW($C$306))/4+1,$BJ$160:$BJ$239,0),1),"")</f>
        <v/>
      </c>
      <c r="D582" s="901"/>
      <c r="E582" s="901"/>
      <c r="F582" s="928" t="str">
        <f t="shared" ref="F582" si="120">IFERROR(INDEX($BE$160:$BE$239,MATCH((ROW()-ROW($C$306))/4+1,$BJ$160:$BJ$239,0),1),"")</f>
        <v/>
      </c>
      <c r="G582" s="928"/>
      <c r="H582" s="928"/>
      <c r="I582" s="928"/>
      <c r="J582" s="928"/>
      <c r="K582" s="928"/>
      <c r="L582" s="928"/>
      <c r="M582" s="928"/>
      <c r="N582" s="928"/>
      <c r="O582" s="928"/>
      <c r="P582" s="928"/>
      <c r="Q582" s="928"/>
      <c r="R582" s="928"/>
      <c r="S582" s="928"/>
    </row>
    <row r="583" spans="1:19" ht="15.95" customHeight="1" outlineLevel="1" x14ac:dyDescent="0.3">
      <c r="A583" s="717"/>
      <c r="B583" s="717"/>
      <c r="C583" s="901"/>
      <c r="D583" s="901"/>
      <c r="E583" s="901"/>
      <c r="F583" s="928"/>
      <c r="G583" s="928"/>
      <c r="H583" s="928"/>
      <c r="I583" s="928"/>
      <c r="J583" s="928"/>
      <c r="K583" s="928"/>
      <c r="L583" s="928"/>
      <c r="M583" s="928"/>
      <c r="N583" s="928"/>
      <c r="O583" s="928"/>
      <c r="P583" s="928"/>
      <c r="Q583" s="928"/>
      <c r="R583" s="928"/>
      <c r="S583" s="928"/>
    </row>
    <row r="584" spans="1:19" ht="15.95" customHeight="1" outlineLevel="1" x14ac:dyDescent="0.3">
      <c r="A584" s="717"/>
      <c r="B584" s="717"/>
      <c r="C584" s="901"/>
      <c r="D584" s="901"/>
      <c r="E584" s="901"/>
      <c r="F584" s="928"/>
      <c r="G584" s="928"/>
      <c r="H584" s="928"/>
      <c r="I584" s="928"/>
      <c r="J584" s="928"/>
      <c r="K584" s="928"/>
      <c r="L584" s="928"/>
      <c r="M584" s="928"/>
      <c r="N584" s="928"/>
      <c r="O584" s="928"/>
      <c r="P584" s="928"/>
      <c r="Q584" s="928"/>
      <c r="R584" s="928"/>
      <c r="S584" s="928"/>
    </row>
    <row r="585" spans="1:19" ht="15.95" customHeight="1" outlineLevel="1" x14ac:dyDescent="0.3">
      <c r="A585" s="717"/>
      <c r="B585" s="717"/>
      <c r="C585" s="901"/>
      <c r="D585" s="901"/>
      <c r="E585" s="901"/>
      <c r="F585" s="928"/>
      <c r="G585" s="928"/>
      <c r="H585" s="928"/>
      <c r="I585" s="928"/>
      <c r="J585" s="928"/>
      <c r="K585" s="928"/>
      <c r="L585" s="928"/>
      <c r="M585" s="928"/>
      <c r="N585" s="928"/>
      <c r="O585" s="928"/>
      <c r="P585" s="928"/>
      <c r="Q585" s="928"/>
      <c r="R585" s="928"/>
      <c r="S585" s="928"/>
    </row>
    <row r="586" spans="1:19" ht="15.95" customHeight="1" outlineLevel="1" x14ac:dyDescent="0.3">
      <c r="A586" s="717" t="str">
        <f t="shared" ref="A586" si="121">IFERROR(INDEX($BF$160:$BF$239,MATCH((ROW()-ROW($C$306))/4+1,$BJ$160:$BJ$239,0),1),"")</f>
        <v/>
      </c>
      <c r="B586" s="717"/>
      <c r="C586" s="901" t="str">
        <f t="shared" ref="C586" si="122">IFERROR(INDEX($BD$160:$BD$239,MATCH((ROW()-ROW($C$306))/4+1,$BJ$160:$BJ$239,0),1),"")</f>
        <v/>
      </c>
      <c r="D586" s="901"/>
      <c r="E586" s="901"/>
      <c r="F586" s="928" t="str">
        <f t="shared" ref="F586" si="123">IFERROR(INDEX($BE$160:$BE$239,MATCH((ROW()-ROW($C$306))/4+1,$BJ$160:$BJ$239,0),1),"")</f>
        <v/>
      </c>
      <c r="G586" s="928"/>
      <c r="H586" s="928"/>
      <c r="I586" s="928"/>
      <c r="J586" s="928"/>
      <c r="K586" s="928"/>
      <c r="L586" s="928"/>
      <c r="M586" s="928"/>
      <c r="N586" s="928"/>
      <c r="O586" s="928"/>
      <c r="P586" s="928"/>
      <c r="Q586" s="928"/>
      <c r="R586" s="928"/>
      <c r="S586" s="928"/>
    </row>
    <row r="587" spans="1:19" ht="15.95" customHeight="1" outlineLevel="1" x14ac:dyDescent="0.3">
      <c r="A587" s="717"/>
      <c r="B587" s="717"/>
      <c r="C587" s="901"/>
      <c r="D587" s="901"/>
      <c r="E587" s="901"/>
      <c r="F587" s="928"/>
      <c r="G587" s="928"/>
      <c r="H587" s="928"/>
      <c r="I587" s="928"/>
      <c r="J587" s="928"/>
      <c r="K587" s="928"/>
      <c r="L587" s="928"/>
      <c r="M587" s="928"/>
      <c r="N587" s="928"/>
      <c r="O587" s="928"/>
      <c r="P587" s="928"/>
      <c r="Q587" s="928"/>
      <c r="R587" s="928"/>
      <c r="S587" s="928"/>
    </row>
    <row r="588" spans="1:19" ht="15.95" customHeight="1" outlineLevel="1" x14ac:dyDescent="0.3">
      <c r="A588" s="717"/>
      <c r="B588" s="717"/>
      <c r="C588" s="901"/>
      <c r="D588" s="901"/>
      <c r="E588" s="901"/>
      <c r="F588" s="928"/>
      <c r="G588" s="928"/>
      <c r="H588" s="928"/>
      <c r="I588" s="928"/>
      <c r="J588" s="928"/>
      <c r="K588" s="928"/>
      <c r="L588" s="928"/>
      <c r="M588" s="928"/>
      <c r="N588" s="928"/>
      <c r="O588" s="928"/>
      <c r="P588" s="928"/>
      <c r="Q588" s="928"/>
      <c r="R588" s="928"/>
      <c r="S588" s="928"/>
    </row>
    <row r="589" spans="1:19" ht="15.95" customHeight="1" outlineLevel="1" x14ac:dyDescent="0.3">
      <c r="A589" s="717"/>
      <c r="B589" s="717"/>
      <c r="C589" s="901"/>
      <c r="D589" s="901"/>
      <c r="E589" s="901"/>
      <c r="F589" s="928"/>
      <c r="G589" s="928"/>
      <c r="H589" s="928"/>
      <c r="I589" s="928"/>
      <c r="J589" s="928"/>
      <c r="K589" s="928"/>
      <c r="L589" s="928"/>
      <c r="M589" s="928"/>
      <c r="N589" s="928"/>
      <c r="O589" s="928"/>
      <c r="P589" s="928"/>
      <c r="Q589" s="928"/>
      <c r="R589" s="928"/>
      <c r="S589" s="928"/>
    </row>
    <row r="590" spans="1:19" ht="15.95" customHeight="1" outlineLevel="1" x14ac:dyDescent="0.3">
      <c r="A590" s="717" t="str">
        <f t="shared" ref="A590" si="124">IFERROR(INDEX($BF$160:$BF$239,MATCH((ROW()-ROW($C$306))/4+1,$BJ$160:$BJ$239,0),1),"")</f>
        <v/>
      </c>
      <c r="B590" s="717"/>
      <c r="C590" s="901" t="str">
        <f t="shared" ref="C590" si="125">IFERROR(INDEX($BD$160:$BD$239,MATCH((ROW()-ROW($C$306))/4+1,$BJ$160:$BJ$239,0),1),"")</f>
        <v/>
      </c>
      <c r="D590" s="901"/>
      <c r="E590" s="901"/>
      <c r="F590" s="928" t="str">
        <f t="shared" ref="F590" si="126">IFERROR(INDEX($BE$160:$BE$239,MATCH((ROW()-ROW($C$306))/4+1,$BJ$160:$BJ$239,0),1),"")</f>
        <v/>
      </c>
      <c r="G590" s="928"/>
      <c r="H590" s="928"/>
      <c r="I590" s="928"/>
      <c r="J590" s="928"/>
      <c r="K590" s="928"/>
      <c r="L590" s="928"/>
      <c r="M590" s="928"/>
      <c r="N590" s="928"/>
      <c r="O590" s="928"/>
      <c r="P590" s="928"/>
      <c r="Q590" s="928"/>
      <c r="R590" s="928"/>
      <c r="S590" s="928"/>
    </row>
    <row r="591" spans="1:19" ht="15.95" customHeight="1" outlineLevel="1" x14ac:dyDescent="0.3">
      <c r="A591" s="717"/>
      <c r="B591" s="717"/>
      <c r="C591" s="901"/>
      <c r="D591" s="901"/>
      <c r="E591" s="901"/>
      <c r="F591" s="928"/>
      <c r="G591" s="928"/>
      <c r="H591" s="928"/>
      <c r="I591" s="928"/>
      <c r="J591" s="928"/>
      <c r="K591" s="928"/>
      <c r="L591" s="928"/>
      <c r="M591" s="928"/>
      <c r="N591" s="928"/>
      <c r="O591" s="928"/>
      <c r="P591" s="928"/>
      <c r="Q591" s="928"/>
      <c r="R591" s="928"/>
      <c r="S591" s="928"/>
    </row>
    <row r="592" spans="1:19" ht="15.95" customHeight="1" outlineLevel="1" x14ac:dyDescent="0.3">
      <c r="A592" s="717"/>
      <c r="B592" s="717"/>
      <c r="C592" s="901"/>
      <c r="D592" s="901"/>
      <c r="E592" s="901"/>
      <c r="F592" s="928"/>
      <c r="G592" s="928"/>
      <c r="H592" s="928"/>
      <c r="I592" s="928"/>
      <c r="J592" s="928"/>
      <c r="K592" s="928"/>
      <c r="L592" s="928"/>
      <c r="M592" s="928"/>
      <c r="N592" s="928"/>
      <c r="O592" s="928"/>
      <c r="P592" s="928"/>
      <c r="Q592" s="928"/>
      <c r="R592" s="928"/>
      <c r="S592" s="928"/>
    </row>
    <row r="593" spans="1:19" ht="15.95" customHeight="1" outlineLevel="1" x14ac:dyDescent="0.3">
      <c r="A593" s="717"/>
      <c r="B593" s="717"/>
      <c r="C593" s="901"/>
      <c r="D593" s="901"/>
      <c r="E593" s="901"/>
      <c r="F593" s="928"/>
      <c r="G593" s="928"/>
      <c r="H593" s="928"/>
      <c r="I593" s="928"/>
      <c r="J593" s="928"/>
      <c r="K593" s="928"/>
      <c r="L593" s="928"/>
      <c r="M593" s="928"/>
      <c r="N593" s="928"/>
      <c r="O593" s="928"/>
      <c r="P593" s="928"/>
      <c r="Q593" s="928"/>
      <c r="R593" s="928"/>
      <c r="S593" s="928"/>
    </row>
    <row r="594" spans="1:19" ht="15.95" customHeight="1" outlineLevel="1" x14ac:dyDescent="0.3">
      <c r="A594" s="717" t="str">
        <f t="shared" ref="A594" si="127">IFERROR(INDEX($BF$160:$BF$239,MATCH((ROW()-ROW($C$306))/4+1,$BJ$160:$BJ$239,0),1),"")</f>
        <v/>
      </c>
      <c r="B594" s="717"/>
      <c r="C594" s="901" t="str">
        <f t="shared" ref="C594" si="128">IFERROR(INDEX($BD$160:$BD$239,MATCH((ROW()-ROW($C$306))/4+1,$BJ$160:$BJ$239,0),1),"")</f>
        <v/>
      </c>
      <c r="D594" s="901"/>
      <c r="E594" s="901"/>
      <c r="F594" s="928" t="str">
        <f t="shared" ref="F594" si="129">IFERROR(INDEX($BE$160:$BE$239,MATCH((ROW()-ROW($C$306))/4+1,$BJ$160:$BJ$239,0),1),"")</f>
        <v/>
      </c>
      <c r="G594" s="928"/>
      <c r="H594" s="928"/>
      <c r="I594" s="928"/>
      <c r="J594" s="928"/>
      <c r="K594" s="928"/>
      <c r="L594" s="928"/>
      <c r="M594" s="928"/>
      <c r="N594" s="928"/>
      <c r="O594" s="928"/>
      <c r="P594" s="928"/>
      <c r="Q594" s="928"/>
      <c r="R594" s="928"/>
      <c r="S594" s="928"/>
    </row>
    <row r="595" spans="1:19" ht="15.95" customHeight="1" outlineLevel="1" x14ac:dyDescent="0.3">
      <c r="A595" s="717"/>
      <c r="B595" s="717"/>
      <c r="C595" s="901"/>
      <c r="D595" s="901"/>
      <c r="E595" s="901"/>
      <c r="F595" s="928"/>
      <c r="G595" s="928"/>
      <c r="H595" s="928"/>
      <c r="I595" s="928"/>
      <c r="J595" s="928"/>
      <c r="K595" s="928"/>
      <c r="L595" s="928"/>
      <c r="M595" s="928"/>
      <c r="N595" s="928"/>
      <c r="O595" s="928"/>
      <c r="P595" s="928"/>
      <c r="Q595" s="928"/>
      <c r="R595" s="928"/>
      <c r="S595" s="928"/>
    </row>
    <row r="596" spans="1:19" ht="15.95" customHeight="1" outlineLevel="1" x14ac:dyDescent="0.3">
      <c r="A596" s="717"/>
      <c r="B596" s="717"/>
      <c r="C596" s="901"/>
      <c r="D596" s="901"/>
      <c r="E596" s="901"/>
      <c r="F596" s="928"/>
      <c r="G596" s="928"/>
      <c r="H596" s="928"/>
      <c r="I596" s="928"/>
      <c r="J596" s="928"/>
      <c r="K596" s="928"/>
      <c r="L596" s="928"/>
      <c r="M596" s="928"/>
      <c r="N596" s="928"/>
      <c r="O596" s="928"/>
      <c r="P596" s="928"/>
      <c r="Q596" s="928"/>
      <c r="R596" s="928"/>
      <c r="S596" s="928"/>
    </row>
    <row r="597" spans="1:19" ht="15.95" customHeight="1" outlineLevel="1" x14ac:dyDescent="0.3">
      <c r="A597" s="717"/>
      <c r="B597" s="717"/>
      <c r="C597" s="901"/>
      <c r="D597" s="901"/>
      <c r="E597" s="901"/>
      <c r="F597" s="928"/>
      <c r="G597" s="928"/>
      <c r="H597" s="928"/>
      <c r="I597" s="928"/>
      <c r="J597" s="928"/>
      <c r="K597" s="928"/>
      <c r="L597" s="928"/>
      <c r="M597" s="928"/>
      <c r="N597" s="928"/>
      <c r="O597" s="928"/>
      <c r="P597" s="928"/>
      <c r="Q597" s="928"/>
      <c r="R597" s="928"/>
      <c r="S597" s="928"/>
    </row>
    <row r="598" spans="1:19" ht="15.95" customHeight="1" outlineLevel="1" x14ac:dyDescent="0.3">
      <c r="A598" s="717" t="str">
        <f t="shared" ref="A598" si="130">IFERROR(INDEX($BF$160:$BF$239,MATCH((ROW()-ROW($C$306))/4+1,$BJ$160:$BJ$239,0),1),"")</f>
        <v/>
      </c>
      <c r="B598" s="717"/>
      <c r="C598" s="901" t="str">
        <f t="shared" ref="C598" si="131">IFERROR(INDEX($BD$160:$BD$239,MATCH((ROW()-ROW($C$306))/4+1,$BJ$160:$BJ$239,0),1),"")</f>
        <v/>
      </c>
      <c r="D598" s="901"/>
      <c r="E598" s="901"/>
      <c r="F598" s="928" t="str">
        <f t="shared" ref="F598" si="132">IFERROR(INDEX($BE$160:$BE$239,MATCH((ROW()-ROW($C$306))/4+1,$BJ$160:$BJ$239,0),1),"")</f>
        <v/>
      </c>
      <c r="G598" s="928"/>
      <c r="H598" s="928"/>
      <c r="I598" s="928"/>
      <c r="J598" s="928"/>
      <c r="K598" s="928"/>
      <c r="L598" s="928"/>
      <c r="M598" s="928"/>
      <c r="N598" s="928"/>
      <c r="O598" s="928"/>
      <c r="P598" s="928"/>
      <c r="Q598" s="928"/>
      <c r="R598" s="928"/>
      <c r="S598" s="928"/>
    </row>
    <row r="599" spans="1:19" ht="15.95" customHeight="1" outlineLevel="1" x14ac:dyDescent="0.3">
      <c r="A599" s="717"/>
      <c r="B599" s="717"/>
      <c r="C599" s="901"/>
      <c r="D599" s="901"/>
      <c r="E599" s="901"/>
      <c r="F599" s="928"/>
      <c r="G599" s="928"/>
      <c r="H599" s="928"/>
      <c r="I599" s="928"/>
      <c r="J599" s="928"/>
      <c r="K599" s="928"/>
      <c r="L599" s="928"/>
      <c r="M599" s="928"/>
      <c r="N599" s="928"/>
      <c r="O599" s="928"/>
      <c r="P599" s="928"/>
      <c r="Q599" s="928"/>
      <c r="R599" s="928"/>
      <c r="S599" s="928"/>
    </row>
    <row r="600" spans="1:19" ht="15.95" customHeight="1" outlineLevel="1" x14ac:dyDescent="0.3">
      <c r="A600" s="717"/>
      <c r="B600" s="717"/>
      <c r="C600" s="901"/>
      <c r="D600" s="901"/>
      <c r="E600" s="901"/>
      <c r="F600" s="928"/>
      <c r="G600" s="928"/>
      <c r="H600" s="928"/>
      <c r="I600" s="928"/>
      <c r="J600" s="928"/>
      <c r="K600" s="928"/>
      <c r="L600" s="928"/>
      <c r="M600" s="928"/>
      <c r="N600" s="928"/>
      <c r="O600" s="928"/>
      <c r="P600" s="928"/>
      <c r="Q600" s="928"/>
      <c r="R600" s="928"/>
      <c r="S600" s="928"/>
    </row>
    <row r="601" spans="1:19" ht="15.95" customHeight="1" outlineLevel="1" x14ac:dyDescent="0.3">
      <c r="A601" s="717"/>
      <c r="B601" s="717"/>
      <c r="C601" s="901"/>
      <c r="D601" s="901"/>
      <c r="E601" s="901"/>
      <c r="F601" s="928"/>
      <c r="G601" s="928"/>
      <c r="H601" s="928"/>
      <c r="I601" s="928"/>
      <c r="J601" s="928"/>
      <c r="K601" s="928"/>
      <c r="L601" s="928"/>
      <c r="M601" s="928"/>
      <c r="N601" s="928"/>
      <c r="O601" s="928"/>
      <c r="P601" s="928"/>
      <c r="Q601" s="928"/>
      <c r="R601" s="928"/>
      <c r="S601" s="928"/>
    </row>
    <row r="602" spans="1:19" ht="15.95" customHeight="1" x14ac:dyDescent="0.3">
      <c r="A602" s="152"/>
    </row>
    <row r="603" spans="1:19" ht="15.95" customHeight="1" x14ac:dyDescent="0.3">
      <c r="A603" s="152"/>
    </row>
    <row r="604" spans="1:19" ht="15.95" customHeight="1" x14ac:dyDescent="0.3">
      <c r="A604" s="152"/>
    </row>
    <row r="605" spans="1:19" ht="15.95" customHeight="1" x14ac:dyDescent="0.3">
      <c r="A605" s="152"/>
    </row>
    <row r="606" spans="1:19" ht="15.95" customHeight="1" x14ac:dyDescent="0.3">
      <c r="A606" s="152"/>
    </row>
    <row r="607" spans="1:19" ht="15.95" customHeight="1" x14ac:dyDescent="0.3">
      <c r="A607" s="152"/>
    </row>
    <row r="608" spans="1:19" ht="15.95" customHeight="1" x14ac:dyDescent="0.3">
      <c r="A608" s="152"/>
    </row>
    <row r="609" spans="1:31" ht="15.95" customHeight="1" x14ac:dyDescent="0.3">
      <c r="A609" s="152"/>
    </row>
    <row r="610" spans="1:31" ht="15.95" customHeight="1" x14ac:dyDescent="0.3">
      <c r="A610" s="152"/>
    </row>
    <row r="623" spans="1:31" ht="15.95" customHeight="1" x14ac:dyDescent="0.3">
      <c r="V623" s="152"/>
      <c r="W623" s="152"/>
      <c r="X623" s="152"/>
      <c r="Y623" s="152"/>
      <c r="Z623" s="152"/>
      <c r="AA623" s="152"/>
      <c r="AB623" s="152"/>
      <c r="AC623" s="152"/>
      <c r="AD623" s="152"/>
      <c r="AE623" s="152"/>
    </row>
    <row r="624" spans="1:31" ht="15.95" customHeight="1" x14ac:dyDescent="0.3">
      <c r="V624" s="152"/>
      <c r="W624" s="152"/>
      <c r="X624" s="152"/>
      <c r="Y624" s="152"/>
      <c r="Z624" s="152"/>
      <c r="AA624" s="152"/>
      <c r="AB624" s="152"/>
      <c r="AC624" s="152"/>
      <c r="AD624" s="152"/>
      <c r="AE624" s="152"/>
    </row>
    <row r="625" spans="2:31" ht="15.95" customHeight="1" thickBot="1" x14ac:dyDescent="0.35">
      <c r="V625" s="152"/>
      <c r="W625" s="152"/>
      <c r="X625" s="152"/>
      <c r="Y625" s="152"/>
      <c r="Z625" s="152"/>
      <c r="AA625" s="152"/>
      <c r="AB625" s="152"/>
      <c r="AC625" s="152"/>
      <c r="AD625" s="152"/>
      <c r="AE625" s="152"/>
    </row>
    <row r="626" spans="2:31" ht="15.95" customHeight="1" x14ac:dyDescent="0.3">
      <c r="B626" s="879" t="s">
        <v>270</v>
      </c>
      <c r="C626" s="880"/>
      <c r="D626" s="880"/>
      <c r="E626" s="880"/>
      <c r="F626" s="880"/>
      <c r="G626" s="880"/>
      <c r="H626" s="880"/>
      <c r="I626" s="880"/>
      <c r="J626" s="880"/>
      <c r="K626" s="880"/>
      <c r="L626" s="880"/>
      <c r="M626" s="880"/>
      <c r="N626" s="880"/>
      <c r="O626" s="880"/>
      <c r="P626" s="880"/>
      <c r="Q626" s="880"/>
      <c r="R626" s="880"/>
      <c r="S626" s="880"/>
      <c r="T626" s="881"/>
      <c r="V626" s="152"/>
      <c r="W626" s="152"/>
      <c r="X626" s="152"/>
      <c r="Y626" s="152"/>
      <c r="Z626" s="152"/>
      <c r="AA626" s="152"/>
      <c r="AB626" s="152"/>
      <c r="AC626" s="152"/>
      <c r="AD626" s="152"/>
      <c r="AE626" s="152"/>
    </row>
    <row r="627" spans="2:31" ht="15.95" customHeight="1" thickBot="1" x14ac:dyDescent="0.35">
      <c r="B627" s="882"/>
      <c r="C627" s="883"/>
      <c r="D627" s="883"/>
      <c r="E627" s="883"/>
      <c r="F627" s="883"/>
      <c r="G627" s="883"/>
      <c r="H627" s="883"/>
      <c r="I627" s="883"/>
      <c r="J627" s="883"/>
      <c r="K627" s="883"/>
      <c r="L627" s="883"/>
      <c r="M627" s="883"/>
      <c r="N627" s="883"/>
      <c r="O627" s="883"/>
      <c r="P627" s="883"/>
      <c r="Q627" s="883"/>
      <c r="R627" s="883"/>
      <c r="S627" s="883"/>
      <c r="T627" s="884"/>
      <c r="V627" s="152"/>
      <c r="W627" s="152"/>
      <c r="X627" s="152"/>
      <c r="Y627" s="152"/>
      <c r="Z627" s="152"/>
      <c r="AA627" s="152"/>
      <c r="AB627" s="152"/>
      <c r="AC627" s="152"/>
      <c r="AD627" s="152"/>
      <c r="AE627" s="152"/>
    </row>
    <row r="628" spans="2:31" ht="15.95" customHeight="1" x14ac:dyDescent="0.3">
      <c r="V628" s="152"/>
      <c r="W628" s="152"/>
      <c r="X628" s="152"/>
      <c r="Y628" s="152"/>
      <c r="Z628" s="152"/>
      <c r="AA628" s="152"/>
      <c r="AB628" s="152"/>
      <c r="AC628" s="152"/>
      <c r="AD628" s="152"/>
      <c r="AE628" s="152"/>
    </row>
    <row r="629" spans="2:31" ht="15.95" customHeight="1" x14ac:dyDescent="0.3">
      <c r="B629" s="924" t="s">
        <v>5390</v>
      </c>
      <c r="C629" s="925"/>
      <c r="D629" s="924" t="s">
        <v>5391</v>
      </c>
      <c r="E629" s="925"/>
      <c r="F629" s="924" t="s">
        <v>5412</v>
      </c>
      <c r="G629" s="925"/>
      <c r="H629" s="924" t="s">
        <v>5392</v>
      </c>
      <c r="I629" s="925"/>
      <c r="M629" s="924" t="s">
        <v>5390</v>
      </c>
      <c r="N629" s="925"/>
      <c r="O629" s="924" t="s">
        <v>5391</v>
      </c>
      <c r="P629" s="925"/>
      <c r="Q629" s="924" t="s">
        <v>5412</v>
      </c>
      <c r="R629" s="925"/>
      <c r="S629" s="924" t="s">
        <v>5392</v>
      </c>
      <c r="T629" s="925"/>
      <c r="V629" s="152"/>
      <c r="W629" s="152"/>
      <c r="X629" s="152"/>
      <c r="Y629" s="152"/>
      <c r="Z629" s="152"/>
      <c r="AA629" s="152"/>
      <c r="AB629" s="152"/>
      <c r="AC629" s="152"/>
      <c r="AD629" s="152"/>
      <c r="AE629" s="152"/>
    </row>
    <row r="630" spans="2:31" ht="15.95" customHeight="1" x14ac:dyDescent="0.3">
      <c r="B630" s="926"/>
      <c r="C630" s="927"/>
      <c r="D630" s="926"/>
      <c r="E630" s="927"/>
      <c r="F630" s="926"/>
      <c r="G630" s="927"/>
      <c r="H630" s="926"/>
      <c r="I630" s="927"/>
      <c r="M630" s="926"/>
      <c r="N630" s="927"/>
      <c r="O630" s="926"/>
      <c r="P630" s="927"/>
      <c r="Q630" s="926"/>
      <c r="R630" s="927"/>
      <c r="S630" s="926"/>
      <c r="T630" s="927"/>
      <c r="V630" s="152"/>
      <c r="W630" s="152"/>
      <c r="X630" s="152"/>
      <c r="Y630" s="152"/>
      <c r="Z630" s="152"/>
      <c r="AA630" s="152"/>
      <c r="AB630" s="152"/>
      <c r="AC630" s="152"/>
      <c r="AD630" s="152"/>
      <c r="AE630" s="152"/>
    </row>
    <row r="631" spans="2:31" ht="15.95" customHeight="1" x14ac:dyDescent="0.3">
      <c r="B631" s="924" t="s">
        <v>5390</v>
      </c>
      <c r="C631" s="925"/>
      <c r="D631" s="924" t="s">
        <v>5391</v>
      </c>
      <c r="E631" s="925"/>
      <c r="F631" s="924" t="s">
        <v>5412</v>
      </c>
      <c r="G631" s="925"/>
      <c r="H631" s="924" t="s">
        <v>5392</v>
      </c>
      <c r="I631" s="925"/>
      <c r="M631" s="924" t="s">
        <v>5390</v>
      </c>
      <c r="N631" s="925"/>
      <c r="O631" s="924" t="s">
        <v>5391</v>
      </c>
      <c r="P631" s="925"/>
      <c r="Q631" s="924" t="s">
        <v>5412</v>
      </c>
      <c r="R631" s="925"/>
      <c r="S631" s="924" t="s">
        <v>5392</v>
      </c>
      <c r="T631" s="925"/>
      <c r="V631" s="152"/>
      <c r="W631" s="152"/>
      <c r="X631" s="152"/>
      <c r="Y631" s="152"/>
      <c r="Z631" s="152"/>
      <c r="AA631" s="152"/>
      <c r="AB631" s="152"/>
      <c r="AC631" s="152"/>
      <c r="AD631" s="152"/>
      <c r="AE631" s="152"/>
    </row>
    <row r="632" spans="2:31" ht="15.95" customHeight="1" x14ac:dyDescent="0.3">
      <c r="B632" s="926"/>
      <c r="C632" s="927"/>
      <c r="D632" s="926"/>
      <c r="E632" s="927"/>
      <c r="F632" s="926"/>
      <c r="G632" s="927"/>
      <c r="H632" s="926"/>
      <c r="I632" s="927"/>
      <c r="M632" s="926"/>
      <c r="N632" s="927"/>
      <c r="O632" s="926"/>
      <c r="P632" s="927"/>
      <c r="Q632" s="926"/>
      <c r="R632" s="927"/>
      <c r="S632" s="926"/>
      <c r="T632" s="927"/>
      <c r="V632" s="152"/>
      <c r="W632" s="152"/>
      <c r="X632" s="152"/>
      <c r="Y632" s="152"/>
      <c r="Z632" s="152"/>
      <c r="AA632" s="152"/>
      <c r="AB632" s="152"/>
      <c r="AC632" s="152"/>
      <c r="AD632" s="152"/>
      <c r="AE632" s="152"/>
    </row>
    <row r="633" spans="2:31" ht="15.95" customHeight="1" x14ac:dyDescent="0.3">
      <c r="B633" s="924" t="s">
        <v>5390</v>
      </c>
      <c r="C633" s="925"/>
      <c r="D633" s="924" t="s">
        <v>5391</v>
      </c>
      <c r="E633" s="925"/>
      <c r="F633" s="924" t="s">
        <v>5412</v>
      </c>
      <c r="G633" s="925"/>
      <c r="H633" s="924" t="s">
        <v>5392</v>
      </c>
      <c r="I633" s="925"/>
      <c r="M633" s="924" t="s">
        <v>5390</v>
      </c>
      <c r="N633" s="925"/>
      <c r="O633" s="924" t="s">
        <v>5391</v>
      </c>
      <c r="P633" s="925"/>
      <c r="Q633" s="924" t="s">
        <v>5412</v>
      </c>
      <c r="R633" s="925"/>
      <c r="S633" s="924" t="s">
        <v>5392</v>
      </c>
      <c r="T633" s="925"/>
      <c r="V633" s="152"/>
      <c r="W633" s="152"/>
      <c r="X633" s="152"/>
      <c r="Y633" s="152"/>
      <c r="Z633" s="152"/>
      <c r="AA633" s="152"/>
      <c r="AB633" s="152"/>
      <c r="AC633" s="152"/>
      <c r="AD633" s="152"/>
      <c r="AE633" s="152"/>
    </row>
    <row r="634" spans="2:31" ht="15.95" customHeight="1" x14ac:dyDescent="0.3">
      <c r="B634" s="926"/>
      <c r="C634" s="927"/>
      <c r="D634" s="926"/>
      <c r="E634" s="927"/>
      <c r="F634" s="926"/>
      <c r="G634" s="927"/>
      <c r="H634" s="926"/>
      <c r="I634" s="927"/>
      <c r="M634" s="926"/>
      <c r="N634" s="927"/>
      <c r="O634" s="926"/>
      <c r="P634" s="927"/>
      <c r="Q634" s="926"/>
      <c r="R634" s="927"/>
      <c r="S634" s="926"/>
      <c r="T634" s="927"/>
      <c r="V634" s="152"/>
      <c r="W634" s="152"/>
      <c r="X634" s="152"/>
      <c r="Y634" s="152"/>
      <c r="Z634" s="152"/>
      <c r="AA634" s="152"/>
      <c r="AB634" s="152"/>
      <c r="AC634" s="152"/>
      <c r="AD634" s="152"/>
      <c r="AE634" s="152"/>
    </row>
    <row r="635" spans="2:31" ht="15.95" customHeight="1" x14ac:dyDescent="0.3">
      <c r="B635" s="924" t="s">
        <v>5390</v>
      </c>
      <c r="C635" s="925"/>
      <c r="D635" s="924" t="s">
        <v>5391</v>
      </c>
      <c r="E635" s="925"/>
      <c r="F635" s="924" t="s">
        <v>5412</v>
      </c>
      <c r="G635" s="925"/>
      <c r="H635" s="924" t="s">
        <v>5392</v>
      </c>
      <c r="I635" s="925"/>
      <c r="M635" s="924" t="s">
        <v>5390</v>
      </c>
      <c r="N635" s="925"/>
      <c r="O635" s="924" t="s">
        <v>5391</v>
      </c>
      <c r="P635" s="925"/>
      <c r="Q635" s="924" t="s">
        <v>5412</v>
      </c>
      <c r="R635" s="925"/>
      <c r="S635" s="924" t="s">
        <v>5392</v>
      </c>
      <c r="T635" s="925"/>
      <c r="V635" s="152"/>
      <c r="W635" s="152"/>
      <c r="X635" s="152"/>
      <c r="Y635" s="152"/>
      <c r="Z635" s="152"/>
      <c r="AA635" s="152"/>
      <c r="AB635" s="152"/>
      <c r="AC635" s="152"/>
      <c r="AD635" s="152"/>
      <c r="AE635" s="152"/>
    </row>
    <row r="636" spans="2:31" ht="15.95" customHeight="1" x14ac:dyDescent="0.3">
      <c r="B636" s="926"/>
      <c r="C636" s="927"/>
      <c r="D636" s="926"/>
      <c r="E636" s="927"/>
      <c r="F636" s="926"/>
      <c r="G636" s="927"/>
      <c r="H636" s="926"/>
      <c r="I636" s="927"/>
      <c r="M636" s="926"/>
      <c r="N636" s="927"/>
      <c r="O636" s="926"/>
      <c r="P636" s="927"/>
      <c r="Q636" s="926"/>
      <c r="R636" s="927"/>
      <c r="S636" s="926"/>
      <c r="T636" s="927"/>
      <c r="V636" s="152"/>
      <c r="W636" s="152"/>
      <c r="X636" s="152"/>
      <c r="Y636" s="152"/>
      <c r="Z636" s="152"/>
      <c r="AA636" s="152"/>
      <c r="AB636" s="152"/>
      <c r="AC636" s="152"/>
      <c r="AD636" s="152"/>
      <c r="AE636" s="152"/>
    </row>
    <row r="637" spans="2:31" ht="15.95" customHeight="1" x14ac:dyDescent="0.3">
      <c r="B637" s="924" t="s">
        <v>5390</v>
      </c>
      <c r="C637" s="925"/>
      <c r="D637" s="924" t="s">
        <v>5391</v>
      </c>
      <c r="E637" s="925"/>
      <c r="F637" s="924" t="s">
        <v>5412</v>
      </c>
      <c r="G637" s="925"/>
      <c r="H637" s="924" t="s">
        <v>5392</v>
      </c>
      <c r="I637" s="925"/>
      <c r="M637" s="924" t="s">
        <v>5390</v>
      </c>
      <c r="N637" s="925"/>
      <c r="O637" s="924" t="s">
        <v>5391</v>
      </c>
      <c r="P637" s="925"/>
      <c r="Q637" s="924" t="s">
        <v>5412</v>
      </c>
      <c r="R637" s="925"/>
      <c r="S637" s="924" t="s">
        <v>5392</v>
      </c>
      <c r="T637" s="925"/>
      <c r="V637" s="152"/>
      <c r="W637" s="152"/>
      <c r="X637" s="152"/>
      <c r="Y637" s="152"/>
      <c r="Z637" s="152"/>
      <c r="AA637" s="152"/>
      <c r="AB637" s="152"/>
      <c r="AC637" s="152"/>
      <c r="AD637" s="152"/>
      <c r="AE637" s="152"/>
    </row>
    <row r="638" spans="2:31" ht="15.95" customHeight="1" x14ac:dyDescent="0.3">
      <c r="B638" s="926"/>
      <c r="C638" s="927"/>
      <c r="D638" s="926"/>
      <c r="E638" s="927"/>
      <c r="F638" s="926"/>
      <c r="G638" s="927"/>
      <c r="H638" s="926"/>
      <c r="I638" s="927"/>
      <c r="M638" s="926"/>
      <c r="N638" s="927"/>
      <c r="O638" s="926"/>
      <c r="P638" s="927"/>
      <c r="Q638" s="926"/>
      <c r="R638" s="927"/>
      <c r="S638" s="926"/>
      <c r="T638" s="927"/>
      <c r="V638" s="152"/>
      <c r="W638" s="152"/>
      <c r="X638" s="152"/>
      <c r="Y638" s="152"/>
      <c r="Z638" s="152"/>
      <c r="AA638" s="152"/>
      <c r="AB638" s="152"/>
      <c r="AC638" s="152"/>
      <c r="AD638" s="152"/>
      <c r="AE638" s="152"/>
    </row>
  </sheetData>
  <mergeCells count="762">
    <mergeCell ref="A590:B593"/>
    <mergeCell ref="C590:E593"/>
    <mergeCell ref="F590:S593"/>
    <mergeCell ref="A594:B597"/>
    <mergeCell ref="C594:E597"/>
    <mergeCell ref="F594:S597"/>
    <mergeCell ref="A598:B601"/>
    <mergeCell ref="C598:E601"/>
    <mergeCell ref="F598:S601"/>
    <mergeCell ref="A578:B581"/>
    <mergeCell ref="C578:E581"/>
    <mergeCell ref="F578:S581"/>
    <mergeCell ref="A582:B585"/>
    <mergeCell ref="C582:E585"/>
    <mergeCell ref="F582:S585"/>
    <mergeCell ref="A586:B589"/>
    <mergeCell ref="C586:E589"/>
    <mergeCell ref="F586:S589"/>
    <mergeCell ref="A566:B569"/>
    <mergeCell ref="C566:E569"/>
    <mergeCell ref="F566:S569"/>
    <mergeCell ref="A570:B573"/>
    <mergeCell ref="C570:E573"/>
    <mergeCell ref="F570:S573"/>
    <mergeCell ref="A574:B577"/>
    <mergeCell ref="C574:E577"/>
    <mergeCell ref="F574:S577"/>
    <mergeCell ref="A554:B557"/>
    <mergeCell ref="C554:E557"/>
    <mergeCell ref="F554:S557"/>
    <mergeCell ref="A558:B561"/>
    <mergeCell ref="C558:E561"/>
    <mergeCell ref="F558:S561"/>
    <mergeCell ref="A562:B565"/>
    <mergeCell ref="C562:E565"/>
    <mergeCell ref="F562:S565"/>
    <mergeCell ref="A542:B545"/>
    <mergeCell ref="C542:E545"/>
    <mergeCell ref="F542:S545"/>
    <mergeCell ref="A546:B549"/>
    <mergeCell ref="C546:E549"/>
    <mergeCell ref="F546:S549"/>
    <mergeCell ref="A550:B553"/>
    <mergeCell ref="C550:E553"/>
    <mergeCell ref="F550:S553"/>
    <mergeCell ref="A530:B533"/>
    <mergeCell ref="C530:E533"/>
    <mergeCell ref="F530:S533"/>
    <mergeCell ref="A534:B537"/>
    <mergeCell ref="C534:E537"/>
    <mergeCell ref="F534:S537"/>
    <mergeCell ref="A538:B541"/>
    <mergeCell ref="C538:E541"/>
    <mergeCell ref="F538:S541"/>
    <mergeCell ref="A518:B521"/>
    <mergeCell ref="C518:E521"/>
    <mergeCell ref="F518:S521"/>
    <mergeCell ref="A522:B525"/>
    <mergeCell ref="C522:E525"/>
    <mergeCell ref="F522:S525"/>
    <mergeCell ref="A526:B529"/>
    <mergeCell ref="C526:E529"/>
    <mergeCell ref="F526:S529"/>
    <mergeCell ref="A506:B509"/>
    <mergeCell ref="C506:E509"/>
    <mergeCell ref="F506:S509"/>
    <mergeCell ref="A510:B513"/>
    <mergeCell ref="C510:E513"/>
    <mergeCell ref="F510:S513"/>
    <mergeCell ref="A514:B517"/>
    <mergeCell ref="C514:E517"/>
    <mergeCell ref="F514:S517"/>
    <mergeCell ref="A494:B497"/>
    <mergeCell ref="C494:E497"/>
    <mergeCell ref="F494:S497"/>
    <mergeCell ref="A498:B501"/>
    <mergeCell ref="C498:E501"/>
    <mergeCell ref="F498:S501"/>
    <mergeCell ref="A502:B505"/>
    <mergeCell ref="C502:E505"/>
    <mergeCell ref="F502:S505"/>
    <mergeCell ref="A482:B485"/>
    <mergeCell ref="C482:E485"/>
    <mergeCell ref="F482:S485"/>
    <mergeCell ref="A486:B489"/>
    <mergeCell ref="C486:E489"/>
    <mergeCell ref="F486:S489"/>
    <mergeCell ref="A490:B493"/>
    <mergeCell ref="C490:E493"/>
    <mergeCell ref="F490:S493"/>
    <mergeCell ref="A470:B473"/>
    <mergeCell ref="C470:E473"/>
    <mergeCell ref="F470:S473"/>
    <mergeCell ref="A474:B477"/>
    <mergeCell ref="C474:E477"/>
    <mergeCell ref="F474:S477"/>
    <mergeCell ref="A478:B481"/>
    <mergeCell ref="C478:E481"/>
    <mergeCell ref="F478:S481"/>
    <mergeCell ref="A458:B461"/>
    <mergeCell ref="C458:E461"/>
    <mergeCell ref="F458:S461"/>
    <mergeCell ref="A462:B465"/>
    <mergeCell ref="C462:E465"/>
    <mergeCell ref="F462:S465"/>
    <mergeCell ref="A466:B469"/>
    <mergeCell ref="C466:E469"/>
    <mergeCell ref="F466:S469"/>
    <mergeCell ref="A446:B449"/>
    <mergeCell ref="C446:E449"/>
    <mergeCell ref="F446:S449"/>
    <mergeCell ref="A450:B453"/>
    <mergeCell ref="C450:E453"/>
    <mergeCell ref="F450:S453"/>
    <mergeCell ref="A454:B457"/>
    <mergeCell ref="C454:E457"/>
    <mergeCell ref="F454:S457"/>
    <mergeCell ref="A434:B437"/>
    <mergeCell ref="C434:E437"/>
    <mergeCell ref="F434:S437"/>
    <mergeCell ref="A438:B441"/>
    <mergeCell ref="C438:E441"/>
    <mergeCell ref="F438:S441"/>
    <mergeCell ref="A442:B445"/>
    <mergeCell ref="C442:E445"/>
    <mergeCell ref="F442:S445"/>
    <mergeCell ref="A422:B425"/>
    <mergeCell ref="C422:E425"/>
    <mergeCell ref="F422:S425"/>
    <mergeCell ref="A426:B429"/>
    <mergeCell ref="C426:E429"/>
    <mergeCell ref="F426:S429"/>
    <mergeCell ref="A430:B433"/>
    <mergeCell ref="C430:E433"/>
    <mergeCell ref="F430:S433"/>
    <mergeCell ref="F398:S401"/>
    <mergeCell ref="F402:S405"/>
    <mergeCell ref="F406:S409"/>
    <mergeCell ref="F410:S413"/>
    <mergeCell ref="F414:S417"/>
    <mergeCell ref="A418:B421"/>
    <mergeCell ref="C418:E421"/>
    <mergeCell ref="F418:S421"/>
    <mergeCell ref="C398:E401"/>
    <mergeCell ref="C402:E405"/>
    <mergeCell ref="C406:E409"/>
    <mergeCell ref="C410:E413"/>
    <mergeCell ref="C414:E417"/>
    <mergeCell ref="A398:B401"/>
    <mergeCell ref="A402:B405"/>
    <mergeCell ref="A406:B409"/>
    <mergeCell ref="A410:B413"/>
    <mergeCell ref="A414:B417"/>
    <mergeCell ref="A386:B389"/>
    <mergeCell ref="C386:E389"/>
    <mergeCell ref="F386:S389"/>
    <mergeCell ref="A390:B393"/>
    <mergeCell ref="C390:E393"/>
    <mergeCell ref="F390:S393"/>
    <mergeCell ref="A394:B397"/>
    <mergeCell ref="C394:E397"/>
    <mergeCell ref="F394:S397"/>
    <mergeCell ref="A374:B377"/>
    <mergeCell ref="C374:E377"/>
    <mergeCell ref="F374:S377"/>
    <mergeCell ref="A378:B381"/>
    <mergeCell ref="C378:E381"/>
    <mergeCell ref="F378:S381"/>
    <mergeCell ref="A382:B385"/>
    <mergeCell ref="C382:E385"/>
    <mergeCell ref="F382:S385"/>
    <mergeCell ref="A362:B365"/>
    <mergeCell ref="C362:E365"/>
    <mergeCell ref="F362:S365"/>
    <mergeCell ref="A366:B369"/>
    <mergeCell ref="C366:E369"/>
    <mergeCell ref="F366:S369"/>
    <mergeCell ref="A370:B373"/>
    <mergeCell ref="C370:E373"/>
    <mergeCell ref="F370:S373"/>
    <mergeCell ref="F350:S353"/>
    <mergeCell ref="A354:B357"/>
    <mergeCell ref="C354:E357"/>
    <mergeCell ref="F354:S357"/>
    <mergeCell ref="A346:B349"/>
    <mergeCell ref="C346:E349"/>
    <mergeCell ref="A358:B361"/>
    <mergeCell ref="C358:E361"/>
    <mergeCell ref="F358:S361"/>
    <mergeCell ref="V4:AE9"/>
    <mergeCell ref="F14:G15"/>
    <mergeCell ref="F16:G17"/>
    <mergeCell ref="F18:G19"/>
    <mergeCell ref="H14:K15"/>
    <mergeCell ref="H16:K17"/>
    <mergeCell ref="H18:K19"/>
    <mergeCell ref="B637:C638"/>
    <mergeCell ref="D637:E638"/>
    <mergeCell ref="F637:G638"/>
    <mergeCell ref="H637:I638"/>
    <mergeCell ref="M629:N630"/>
    <mergeCell ref="M637:N638"/>
    <mergeCell ref="O637:P638"/>
    <mergeCell ref="Q637:R638"/>
    <mergeCell ref="S637:T638"/>
    <mergeCell ref="S631:T632"/>
    <mergeCell ref="M633:N634"/>
    <mergeCell ref="O633:P634"/>
    <mergeCell ref="Q633:R634"/>
    <mergeCell ref="S633:T634"/>
    <mergeCell ref="M635:N636"/>
    <mergeCell ref="O635:P636"/>
    <mergeCell ref="Q635:R636"/>
    <mergeCell ref="S635:T636"/>
    <mergeCell ref="B633:C634"/>
    <mergeCell ref="D633:E634"/>
    <mergeCell ref="F633:G634"/>
    <mergeCell ref="H633:I634"/>
    <mergeCell ref="O631:P632"/>
    <mergeCell ref="Q631:R632"/>
    <mergeCell ref="B635:C636"/>
    <mergeCell ref="D635:E636"/>
    <mergeCell ref="F635:G636"/>
    <mergeCell ref="H635:I636"/>
    <mergeCell ref="M631:N632"/>
    <mergeCell ref="B631:C632"/>
    <mergeCell ref="D631:E632"/>
    <mergeCell ref="F631:G632"/>
    <mergeCell ref="H631:I632"/>
    <mergeCell ref="Q629:R630"/>
    <mergeCell ref="F270:S273"/>
    <mergeCell ref="S629:T630"/>
    <mergeCell ref="B626:T627"/>
    <mergeCell ref="B629:C630"/>
    <mergeCell ref="D629:E630"/>
    <mergeCell ref="F629:G630"/>
    <mergeCell ref="H629:I630"/>
    <mergeCell ref="F346:S349"/>
    <mergeCell ref="A303:S304"/>
    <mergeCell ref="A306:B309"/>
    <mergeCell ref="C306:E309"/>
    <mergeCell ref="F306:S309"/>
    <mergeCell ref="A310:B313"/>
    <mergeCell ref="C310:E313"/>
    <mergeCell ref="F310:S313"/>
    <mergeCell ref="A314:B317"/>
    <mergeCell ref="C314:E317"/>
    <mergeCell ref="F314:S317"/>
    <mergeCell ref="A318:B321"/>
    <mergeCell ref="C318:E321"/>
    <mergeCell ref="F318:S321"/>
    <mergeCell ref="A322:B325"/>
    <mergeCell ref="F322:S325"/>
    <mergeCell ref="H240:I241"/>
    <mergeCell ref="I195:K196"/>
    <mergeCell ref="C266:E269"/>
    <mergeCell ref="A254:B257"/>
    <mergeCell ref="A258:B261"/>
    <mergeCell ref="A262:B265"/>
    <mergeCell ref="A266:B269"/>
    <mergeCell ref="C258:E261"/>
    <mergeCell ref="O629:P630"/>
    <mergeCell ref="A326:B329"/>
    <mergeCell ref="C326:E329"/>
    <mergeCell ref="F326:S329"/>
    <mergeCell ref="A330:B333"/>
    <mergeCell ref="C330:E333"/>
    <mergeCell ref="F330:S333"/>
    <mergeCell ref="A334:B337"/>
    <mergeCell ref="C334:E337"/>
    <mergeCell ref="F334:S337"/>
    <mergeCell ref="F338:S341"/>
    <mergeCell ref="A342:B345"/>
    <mergeCell ref="C342:E345"/>
    <mergeCell ref="F342:S345"/>
    <mergeCell ref="A350:B353"/>
    <mergeCell ref="C350:E353"/>
    <mergeCell ref="A201:E202"/>
    <mergeCell ref="F240:F241"/>
    <mergeCell ref="G240:G241"/>
    <mergeCell ref="A240:E241"/>
    <mergeCell ref="A242:B245"/>
    <mergeCell ref="C250:E253"/>
    <mergeCell ref="C254:E257"/>
    <mergeCell ref="A246:B249"/>
    <mergeCell ref="A250:B253"/>
    <mergeCell ref="AH157:BF158"/>
    <mergeCell ref="V24:AE32"/>
    <mergeCell ref="U92:W93"/>
    <mergeCell ref="S94:T95"/>
    <mergeCell ref="U94:W95"/>
    <mergeCell ref="S96:T97"/>
    <mergeCell ref="U96:W97"/>
    <mergeCell ref="S98:T99"/>
    <mergeCell ref="U98:W99"/>
    <mergeCell ref="U84:W85"/>
    <mergeCell ref="S86:T87"/>
    <mergeCell ref="U86:W87"/>
    <mergeCell ref="S88:T89"/>
    <mergeCell ref="U88:W89"/>
    <mergeCell ref="S82:W83"/>
    <mergeCell ref="W42:Z43"/>
    <mergeCell ref="U90:W91"/>
    <mergeCell ref="S92:T93"/>
    <mergeCell ref="AC42:AC43"/>
    <mergeCell ref="AC44:AC45"/>
    <mergeCell ref="AC46:AC47"/>
    <mergeCell ref="AC48:AC49"/>
    <mergeCell ref="AC50:AC51"/>
    <mergeCell ref="AC52:AC53"/>
    <mergeCell ref="Q195:Q196"/>
    <mergeCell ref="M164:O165"/>
    <mergeCell ref="P164:P165"/>
    <mergeCell ref="Q164:Q165"/>
    <mergeCell ref="G170:K171"/>
    <mergeCell ref="G166:K167"/>
    <mergeCell ref="M166:Q167"/>
    <mergeCell ref="M175:Q176"/>
    <mergeCell ref="M177:Q178"/>
    <mergeCell ref="M179:Q180"/>
    <mergeCell ref="M184:Q185"/>
    <mergeCell ref="M186:Q187"/>
    <mergeCell ref="M188:Q189"/>
    <mergeCell ref="M190:Q191"/>
    <mergeCell ref="M170:Q171"/>
    <mergeCell ref="G193:H194"/>
    <mergeCell ref="G195:H196"/>
    <mergeCell ref="N132:P133"/>
    <mergeCell ref="L132:M133"/>
    <mergeCell ref="A158:B159"/>
    <mergeCell ref="A128:B129"/>
    <mergeCell ref="A118:B119"/>
    <mergeCell ref="A120:B121"/>
    <mergeCell ref="A194:B195"/>
    <mergeCell ref="C194:E195"/>
    <mergeCell ref="M195:O196"/>
    <mergeCell ref="P195:P196"/>
    <mergeCell ref="N130:P131"/>
    <mergeCell ref="L130:M131"/>
    <mergeCell ref="I116:J117"/>
    <mergeCell ref="L114:M115"/>
    <mergeCell ref="L116:M117"/>
    <mergeCell ref="L118:M119"/>
    <mergeCell ref="L120:M121"/>
    <mergeCell ref="L112:M113"/>
    <mergeCell ref="G119:H120"/>
    <mergeCell ref="I119:J120"/>
    <mergeCell ref="A270:B273"/>
    <mergeCell ref="C270:E273"/>
    <mergeCell ref="C322:E325"/>
    <mergeCell ref="A338:B341"/>
    <mergeCell ref="C338:E341"/>
    <mergeCell ref="A205:E206"/>
    <mergeCell ref="A197:C198"/>
    <mergeCell ref="D197:D198"/>
    <mergeCell ref="A237:S238"/>
    <mergeCell ref="G197:H198"/>
    <mergeCell ref="I197:K198"/>
    <mergeCell ref="C242:E245"/>
    <mergeCell ref="F242:S245"/>
    <mergeCell ref="C246:E249"/>
    <mergeCell ref="F246:S249"/>
    <mergeCell ref="A203:E204"/>
    <mergeCell ref="E197:E198"/>
    <mergeCell ref="A199:E200"/>
    <mergeCell ref="F250:S253"/>
    <mergeCell ref="F254:S257"/>
    <mergeCell ref="F262:S265"/>
    <mergeCell ref="F266:S269"/>
    <mergeCell ref="F258:S261"/>
    <mergeCell ref="C262:E265"/>
    <mergeCell ref="N138:P139"/>
    <mergeCell ref="A124:B125"/>
    <mergeCell ref="C191:E192"/>
    <mergeCell ref="A183:C184"/>
    <mergeCell ref="D183:D184"/>
    <mergeCell ref="E183:E184"/>
    <mergeCell ref="G191:H192"/>
    <mergeCell ref="I191:K192"/>
    <mergeCell ref="A189:B190"/>
    <mergeCell ref="C189:E190"/>
    <mergeCell ref="C134:E135"/>
    <mergeCell ref="G189:I190"/>
    <mergeCell ref="J189:J190"/>
    <mergeCell ref="K189:K190"/>
    <mergeCell ref="K164:K165"/>
    <mergeCell ref="A161:S162"/>
    <mergeCell ref="A166:E167"/>
    <mergeCell ref="A168:E169"/>
    <mergeCell ref="A170:E171"/>
    <mergeCell ref="A172:E173"/>
    <mergeCell ref="A174:E175"/>
    <mergeCell ref="G168:K169"/>
    <mergeCell ref="M168:Q169"/>
    <mergeCell ref="A164:C165"/>
    <mergeCell ref="B98:C99"/>
    <mergeCell ref="D98:F99"/>
    <mergeCell ref="L140:M141"/>
    <mergeCell ref="N140:P141"/>
    <mergeCell ref="M98:N99"/>
    <mergeCell ref="O98:Q99"/>
    <mergeCell ref="C114:E115"/>
    <mergeCell ref="G116:H117"/>
    <mergeCell ref="L124:M125"/>
    <mergeCell ref="N124:P125"/>
    <mergeCell ref="C118:E119"/>
    <mergeCell ref="C128:E129"/>
    <mergeCell ref="A130:B131"/>
    <mergeCell ref="C130:E131"/>
    <mergeCell ref="L110:M111"/>
    <mergeCell ref="N110:P111"/>
    <mergeCell ref="N112:P113"/>
    <mergeCell ref="N114:P115"/>
    <mergeCell ref="N116:P117"/>
    <mergeCell ref="N118:P119"/>
    <mergeCell ref="J98:K99"/>
    <mergeCell ref="A122:B123"/>
    <mergeCell ref="A136:B137"/>
    <mergeCell ref="C136:E137"/>
    <mergeCell ref="O100:Q101"/>
    <mergeCell ref="M102:N103"/>
    <mergeCell ref="O102:Q103"/>
    <mergeCell ref="M104:N105"/>
    <mergeCell ref="O104:Q105"/>
    <mergeCell ref="A126:B127"/>
    <mergeCell ref="N120:P121"/>
    <mergeCell ref="G122:H123"/>
    <mergeCell ref="L122:M123"/>
    <mergeCell ref="N122:P123"/>
    <mergeCell ref="I125:J126"/>
    <mergeCell ref="L126:M127"/>
    <mergeCell ref="I122:J123"/>
    <mergeCell ref="G125:H126"/>
    <mergeCell ref="I110:J111"/>
    <mergeCell ref="G113:H114"/>
    <mergeCell ref="I113:J114"/>
    <mergeCell ref="C122:E123"/>
    <mergeCell ref="A107:S108"/>
    <mergeCell ref="A110:B111"/>
    <mergeCell ref="A112:B113"/>
    <mergeCell ref="A114:B115"/>
    <mergeCell ref="N126:P127"/>
    <mergeCell ref="C120:E121"/>
    <mergeCell ref="G174:K175"/>
    <mergeCell ref="C185:E186"/>
    <mergeCell ref="G180:K181"/>
    <mergeCell ref="G178:K179"/>
    <mergeCell ref="G176:K177"/>
    <mergeCell ref="G186:K187"/>
    <mergeCell ref="G184:K185"/>
    <mergeCell ref="G182:K183"/>
    <mergeCell ref="M100:N101"/>
    <mergeCell ref="C148:S149"/>
    <mergeCell ref="G164:I165"/>
    <mergeCell ref="C150:S151"/>
    <mergeCell ref="C152:S153"/>
    <mergeCell ref="C154:S155"/>
    <mergeCell ref="C156:S157"/>
    <mergeCell ref="C158:S159"/>
    <mergeCell ref="C138:E139"/>
    <mergeCell ref="C140:E141"/>
    <mergeCell ref="L142:M143"/>
    <mergeCell ref="N142:P143"/>
    <mergeCell ref="L134:M135"/>
    <mergeCell ref="N134:P135"/>
    <mergeCell ref="L136:M137"/>
    <mergeCell ref="N136:P137"/>
    <mergeCell ref="C116:E117"/>
    <mergeCell ref="C124:E125"/>
    <mergeCell ref="A191:B192"/>
    <mergeCell ref="A185:B186"/>
    <mergeCell ref="A176:E177"/>
    <mergeCell ref="A178:E179"/>
    <mergeCell ref="A180:E181"/>
    <mergeCell ref="A187:B188"/>
    <mergeCell ref="C187:E188"/>
    <mergeCell ref="A148:B149"/>
    <mergeCell ref="A150:B151"/>
    <mergeCell ref="A152:B153"/>
    <mergeCell ref="A154:B155"/>
    <mergeCell ref="A156:B157"/>
    <mergeCell ref="A138:B139"/>
    <mergeCell ref="A140:B141"/>
    <mergeCell ref="D164:D165"/>
    <mergeCell ref="E164:E165"/>
    <mergeCell ref="A142:B143"/>
    <mergeCell ref="C142:E143"/>
    <mergeCell ref="A132:B133"/>
    <mergeCell ref="C132:E133"/>
    <mergeCell ref="A134:B135"/>
    <mergeCell ref="AH10:AL11"/>
    <mergeCell ref="M90:N91"/>
    <mergeCell ref="O90:Q91"/>
    <mergeCell ref="O14:R15"/>
    <mergeCell ref="O82:Q83"/>
    <mergeCell ref="N48:N49"/>
    <mergeCell ref="M50:M51"/>
    <mergeCell ref="N50:N51"/>
    <mergeCell ref="J64:M65"/>
    <mergeCell ref="J67:M68"/>
    <mergeCell ref="N64:O65"/>
    <mergeCell ref="P64:P65"/>
    <mergeCell ref="J70:M71"/>
    <mergeCell ref="M82:N83"/>
    <mergeCell ref="AD42:AD43"/>
    <mergeCell ref="AD44:AD45"/>
    <mergeCell ref="AD46:AD47"/>
    <mergeCell ref="AD48:AD49"/>
    <mergeCell ref="AD50:AD51"/>
    <mergeCell ref="AD52:AD53"/>
    <mergeCell ref="A116:B117"/>
    <mergeCell ref="C110:E111"/>
    <mergeCell ref="C112:E113"/>
    <mergeCell ref="L6:O7"/>
    <mergeCell ref="A145:S146"/>
    <mergeCell ref="H98:I99"/>
    <mergeCell ref="P51:Q52"/>
    <mergeCell ref="L50:L51"/>
    <mergeCell ref="J50:J51"/>
    <mergeCell ref="K50:K51"/>
    <mergeCell ref="P48:Q49"/>
    <mergeCell ref="J61:M62"/>
    <mergeCell ref="P61:P62"/>
    <mergeCell ref="N67:O68"/>
    <mergeCell ref="P67:P68"/>
    <mergeCell ref="N70:O71"/>
    <mergeCell ref="P70:P71"/>
    <mergeCell ref="N73:O74"/>
    <mergeCell ref="P73:P74"/>
    <mergeCell ref="B64:C65"/>
    <mergeCell ref="D64:G65"/>
    <mergeCell ref="C126:E127"/>
    <mergeCell ref="G110:H111"/>
    <mergeCell ref="M84:N85"/>
    <mergeCell ref="B73:C74"/>
    <mergeCell ref="B82:C83"/>
    <mergeCell ref="D82:F83"/>
    <mergeCell ref="H61:I62"/>
    <mergeCell ref="B79:T80"/>
    <mergeCell ref="D50:D51"/>
    <mergeCell ref="B70:C71"/>
    <mergeCell ref="B67:C68"/>
    <mergeCell ref="B88:C89"/>
    <mergeCell ref="B84:C85"/>
    <mergeCell ref="D61:G62"/>
    <mergeCell ref="M52:M53"/>
    <mergeCell ref="D88:F89"/>
    <mergeCell ref="J52:J53"/>
    <mergeCell ref="K52:K53"/>
    <mergeCell ref="D73:G74"/>
    <mergeCell ref="H73:I74"/>
    <mergeCell ref="D84:F85"/>
    <mergeCell ref="D86:F87"/>
    <mergeCell ref="H84:I85"/>
    <mergeCell ref="D52:D53"/>
    <mergeCell ref="L52:L53"/>
    <mergeCell ref="B86:C87"/>
    <mergeCell ref="B96:C97"/>
    <mergeCell ref="O84:Q85"/>
    <mergeCell ref="M86:N87"/>
    <mergeCell ref="O86:Q87"/>
    <mergeCell ref="M88:N89"/>
    <mergeCell ref="O88:Q89"/>
    <mergeCell ref="J84:K85"/>
    <mergeCell ref="S84:T85"/>
    <mergeCell ref="B90:C91"/>
    <mergeCell ref="D90:F91"/>
    <mergeCell ref="H87:I88"/>
    <mergeCell ref="J87:K88"/>
    <mergeCell ref="B92:C93"/>
    <mergeCell ref="B94:C95"/>
    <mergeCell ref="O92:Q93"/>
    <mergeCell ref="M94:N95"/>
    <mergeCell ref="J95:K96"/>
    <mergeCell ref="D94:F95"/>
    <mergeCell ref="H95:I96"/>
    <mergeCell ref="D92:F93"/>
    <mergeCell ref="S90:T91"/>
    <mergeCell ref="D96:F97"/>
    <mergeCell ref="M92:N93"/>
    <mergeCell ref="O94:Q95"/>
    <mergeCell ref="AZ13:BC13"/>
    <mergeCell ref="BD14:BE14"/>
    <mergeCell ref="BF14:BH14"/>
    <mergeCell ref="AX13:AY13"/>
    <mergeCell ref="J73:M74"/>
    <mergeCell ref="P45:Q46"/>
    <mergeCell ref="R45:S46"/>
    <mergeCell ref="F50:F51"/>
    <mergeCell ref="V10:AE13"/>
    <mergeCell ref="R51:S52"/>
    <mergeCell ref="V23:AE23"/>
    <mergeCell ref="V57:AE57"/>
    <mergeCell ref="V58:AE71"/>
    <mergeCell ref="L42:L43"/>
    <mergeCell ref="R71:T71"/>
    <mergeCell ref="R72:T72"/>
    <mergeCell ref="N52:N53"/>
    <mergeCell ref="H64:I65"/>
    <mergeCell ref="D67:G68"/>
    <mergeCell ref="H67:I68"/>
    <mergeCell ref="D70:G71"/>
    <mergeCell ref="H70:I71"/>
    <mergeCell ref="I52:I53"/>
    <mergeCell ref="U42:V43"/>
    <mergeCell ref="B1:T2"/>
    <mergeCell ref="B58:C59"/>
    <mergeCell ref="D58:G59"/>
    <mergeCell ref="H58:I59"/>
    <mergeCell ref="J58:M59"/>
    <mergeCell ref="N58:O59"/>
    <mergeCell ref="N24:T26"/>
    <mergeCell ref="N27:T29"/>
    <mergeCell ref="L24:M29"/>
    <mergeCell ref="B27:C29"/>
    <mergeCell ref="D27:J29"/>
    <mergeCell ref="B30:C32"/>
    <mergeCell ref="D30:J32"/>
    <mergeCell ref="L30:M32"/>
    <mergeCell ref="N30:T32"/>
    <mergeCell ref="D24:J25"/>
    <mergeCell ref="B4:C5"/>
    <mergeCell ref="C50:C51"/>
    <mergeCell ref="C52:C53"/>
    <mergeCell ref="E50:E51"/>
    <mergeCell ref="E52:E53"/>
    <mergeCell ref="H50:H51"/>
    <mergeCell ref="I50:I51"/>
    <mergeCell ref="H52:H53"/>
    <mergeCell ref="D4:H5"/>
    <mergeCell ref="D6:H7"/>
    <mergeCell ref="B6:C7"/>
    <mergeCell ref="J4:K5"/>
    <mergeCell ref="M14:N15"/>
    <mergeCell ref="B14:C15"/>
    <mergeCell ref="D14:E15"/>
    <mergeCell ref="N61:O62"/>
    <mergeCell ref="B61:C62"/>
    <mergeCell ref="G44:G45"/>
    <mergeCell ref="F52:F53"/>
    <mergeCell ref="B48:B49"/>
    <mergeCell ref="D44:D45"/>
    <mergeCell ref="D46:D47"/>
    <mergeCell ref="D48:D49"/>
    <mergeCell ref="F48:F49"/>
    <mergeCell ref="B46:B47"/>
    <mergeCell ref="C46:C47"/>
    <mergeCell ref="B34:C36"/>
    <mergeCell ref="D34:G36"/>
    <mergeCell ref="B38:T39"/>
    <mergeCell ref="R48:S49"/>
    <mergeCell ref="D18:E19"/>
    <mergeCell ref="B16:C17"/>
    <mergeCell ref="D16:E17"/>
    <mergeCell ref="B18:C19"/>
    <mergeCell ref="E42:E43"/>
    <mergeCell ref="E44:E45"/>
    <mergeCell ref="M42:M43"/>
    <mergeCell ref="H44:H45"/>
    <mergeCell ref="I44:I45"/>
    <mergeCell ref="H46:H47"/>
    <mergeCell ref="G46:G47"/>
    <mergeCell ref="L46:L47"/>
    <mergeCell ref="F46:F47"/>
    <mergeCell ref="H42:H43"/>
    <mergeCell ref="I42:I43"/>
    <mergeCell ref="M17:N18"/>
    <mergeCell ref="G42:G43"/>
    <mergeCell ref="K42:K43"/>
    <mergeCell ref="J44:J45"/>
    <mergeCell ref="N42:N43"/>
    <mergeCell ref="M44:M45"/>
    <mergeCell ref="F44:F45"/>
    <mergeCell ref="D42:D43"/>
    <mergeCell ref="L44:L45"/>
    <mergeCell ref="B42:B43"/>
    <mergeCell ref="B44:B45"/>
    <mergeCell ref="C44:C45"/>
    <mergeCell ref="J42:J43"/>
    <mergeCell ref="R42:S43"/>
    <mergeCell ref="P42:Q43"/>
    <mergeCell ref="M46:M47"/>
    <mergeCell ref="J46:J47"/>
    <mergeCell ref="K46:K47"/>
    <mergeCell ref="J48:J49"/>
    <mergeCell ref="K48:K49"/>
    <mergeCell ref="N44:N45"/>
    <mergeCell ref="K44:K45"/>
    <mergeCell ref="L48:L49"/>
    <mergeCell ref="G48:G49"/>
    <mergeCell ref="B11:C12"/>
    <mergeCell ref="B55:T56"/>
    <mergeCell ref="P58:P59"/>
    <mergeCell ref="G50:G51"/>
    <mergeCell ref="G52:G53"/>
    <mergeCell ref="R59:T59"/>
    <mergeCell ref="R60:T60"/>
    <mergeCell ref="R61:T61"/>
    <mergeCell ref="R62:T62"/>
    <mergeCell ref="B24:C25"/>
    <mergeCell ref="B50:B51"/>
    <mergeCell ref="B52:B53"/>
    <mergeCell ref="B21:T22"/>
    <mergeCell ref="D11:E12"/>
    <mergeCell ref="F42:F43"/>
    <mergeCell ref="C42:C43"/>
    <mergeCell ref="C48:C49"/>
    <mergeCell ref="E46:E47"/>
    <mergeCell ref="E48:E49"/>
    <mergeCell ref="I46:I47"/>
    <mergeCell ref="H48:H49"/>
    <mergeCell ref="I48:I49"/>
    <mergeCell ref="O17:R18"/>
    <mergeCell ref="H34:T36"/>
    <mergeCell ref="L4:O5"/>
    <mergeCell ref="J6:K7"/>
    <mergeCell ref="R63:T63"/>
    <mergeCell ref="R64:T64"/>
    <mergeCell ref="R65:T65"/>
    <mergeCell ref="R66:T66"/>
    <mergeCell ref="R77:T77"/>
    <mergeCell ref="R73:T73"/>
    <mergeCell ref="R74:T74"/>
    <mergeCell ref="R75:T75"/>
    <mergeCell ref="R76:T76"/>
    <mergeCell ref="J9:K10"/>
    <mergeCell ref="L9:O10"/>
    <mergeCell ref="N46:N47"/>
    <mergeCell ref="M48:M49"/>
    <mergeCell ref="L76:M77"/>
    <mergeCell ref="N76:O77"/>
    <mergeCell ref="K76:K77"/>
    <mergeCell ref="I76:J77"/>
    <mergeCell ref="R67:T67"/>
    <mergeCell ref="R58:T58"/>
    <mergeCell ref="R68:T68"/>
    <mergeCell ref="R69:T69"/>
    <mergeCell ref="R70:T70"/>
    <mergeCell ref="N240:N241"/>
    <mergeCell ref="J240:J241"/>
    <mergeCell ref="L240:M241"/>
    <mergeCell ref="M192:Q193"/>
    <mergeCell ref="L138:M139"/>
    <mergeCell ref="M96:N97"/>
    <mergeCell ref="O96:Q97"/>
    <mergeCell ref="J164:J165"/>
    <mergeCell ref="I193:K194"/>
    <mergeCell ref="M197:N198"/>
    <mergeCell ref="O197:Q198"/>
    <mergeCell ref="M199:N200"/>
    <mergeCell ref="O199:Q200"/>
    <mergeCell ref="M201:N202"/>
    <mergeCell ref="O201:Q202"/>
    <mergeCell ref="M173:O174"/>
    <mergeCell ref="P173:P174"/>
    <mergeCell ref="Q173:Q174"/>
    <mergeCell ref="P182:P183"/>
    <mergeCell ref="Q182:Q183"/>
    <mergeCell ref="M182:O183"/>
    <mergeCell ref="L128:M129"/>
    <mergeCell ref="N128:P129"/>
    <mergeCell ref="G172:K173"/>
  </mergeCells>
  <conditionalFormatting sqref="R42:S43 R45:S46 J84:K85 J87:K88 J95:K96 J98:K99">
    <cfRule type="cellIs" dxfId="163" priority="225" operator="lessThan">
      <formula>0</formula>
    </cfRule>
    <cfRule type="cellIs" dxfId="162" priority="226" operator="greaterThan">
      <formula>0</formula>
    </cfRule>
  </conditionalFormatting>
  <conditionalFormatting sqref="A164:E165">
    <cfRule type="expression" dxfId="161" priority="209">
      <formula>$E$164=0</formula>
    </cfRule>
  </conditionalFormatting>
  <conditionalFormatting sqref="A183:E192">
    <cfRule type="expression" dxfId="160" priority="208">
      <formula>$E$183=0</formula>
    </cfRule>
  </conditionalFormatting>
  <conditionalFormatting sqref="G164:K165">
    <cfRule type="expression" dxfId="159" priority="207">
      <formula>$K$164=0</formula>
    </cfRule>
  </conditionalFormatting>
  <conditionalFormatting sqref="M195:Q202">
    <cfRule type="expression" dxfId="158" priority="206">
      <formula>$Q$195=0</formula>
    </cfRule>
  </conditionalFormatting>
  <conditionalFormatting sqref="R48:S49 R51:S52">
    <cfRule type="cellIs" dxfId="157" priority="203" operator="lessThan">
      <formula>0</formula>
    </cfRule>
    <cfRule type="cellIs" dxfId="156" priority="204" operator="greaterThan">
      <formula>0</formula>
    </cfRule>
  </conditionalFormatting>
  <conditionalFormatting sqref="I110:J111">
    <cfRule type="cellIs" dxfId="155" priority="201" operator="lessThan">
      <formula>0</formula>
    </cfRule>
    <cfRule type="cellIs" dxfId="154" priority="202" operator="greaterThan">
      <formula>0</formula>
    </cfRule>
  </conditionalFormatting>
  <conditionalFormatting sqref="I113:J114">
    <cfRule type="cellIs" dxfId="153" priority="199" operator="lessThan">
      <formula>0</formula>
    </cfRule>
    <cfRule type="cellIs" dxfId="152" priority="200" operator="greaterThan">
      <formula>0</formula>
    </cfRule>
  </conditionalFormatting>
  <conditionalFormatting sqref="I116:J117">
    <cfRule type="cellIs" dxfId="151" priority="197" operator="lessThan">
      <formula>0</formula>
    </cfRule>
    <cfRule type="cellIs" dxfId="150" priority="198" operator="greaterThan">
      <formula>0</formula>
    </cfRule>
  </conditionalFormatting>
  <conditionalFormatting sqref="I119:J120">
    <cfRule type="cellIs" dxfId="149" priority="195" operator="lessThan">
      <formula>0</formula>
    </cfRule>
    <cfRule type="cellIs" dxfId="148" priority="196" operator="greaterThan">
      <formula>0</formula>
    </cfRule>
  </conditionalFormatting>
  <conditionalFormatting sqref="I125:J126">
    <cfRule type="cellIs" dxfId="147" priority="191" operator="lessThan">
      <formula>0</formula>
    </cfRule>
    <cfRule type="cellIs" dxfId="146" priority="192" operator="greaterThan">
      <formula>0</formula>
    </cfRule>
  </conditionalFormatting>
  <conditionalFormatting sqref="G197:K198">
    <cfRule type="expression" dxfId="145" priority="190">
      <formula>$K$189&lt;4</formula>
    </cfRule>
  </conditionalFormatting>
  <conditionalFormatting sqref="G195:K196">
    <cfRule type="expression" dxfId="144" priority="189">
      <formula>$K$189&lt;3</formula>
    </cfRule>
  </conditionalFormatting>
  <conditionalFormatting sqref="G193:K194">
    <cfRule type="expression" dxfId="143" priority="188">
      <formula>$K$189&lt;2</formula>
    </cfRule>
  </conditionalFormatting>
  <conditionalFormatting sqref="A270:S273">
    <cfRule type="expression" dxfId="142" priority="184">
      <formula>$G$240&lt;8</formula>
    </cfRule>
  </conditionalFormatting>
  <conditionalFormatting sqref="A266:S269">
    <cfRule type="expression" dxfId="141" priority="183">
      <formula>$G$240&lt;7</formula>
    </cfRule>
  </conditionalFormatting>
  <conditionalFormatting sqref="A262:S265">
    <cfRule type="expression" dxfId="140" priority="182">
      <formula>$G$240&lt;6</formula>
    </cfRule>
  </conditionalFormatting>
  <conditionalFormatting sqref="A258:S261">
    <cfRule type="expression" dxfId="139" priority="181">
      <formula>$G$240&lt;5</formula>
    </cfRule>
  </conditionalFormatting>
  <conditionalFormatting sqref="A254:S257">
    <cfRule type="expression" dxfId="138" priority="180">
      <formula>$G$240&lt;4</formula>
    </cfRule>
  </conditionalFormatting>
  <conditionalFormatting sqref="A250:S253">
    <cfRule type="expression" dxfId="137" priority="179">
      <formula>$G$240&lt;3</formula>
    </cfRule>
  </conditionalFormatting>
  <conditionalFormatting sqref="A246:S249">
    <cfRule type="expression" dxfId="136" priority="178">
      <formula>$G$240&lt;2</formula>
    </cfRule>
  </conditionalFormatting>
  <conditionalFormatting sqref="A242:S245 A240:G241">
    <cfRule type="expression" dxfId="135" priority="177">
      <formula>$G$240&lt;1</formula>
    </cfRule>
  </conditionalFormatting>
  <conditionalFormatting sqref="A191:E192">
    <cfRule type="expression" dxfId="134" priority="176">
      <formula>$E$183&lt;4</formula>
    </cfRule>
  </conditionalFormatting>
  <conditionalFormatting sqref="A189:E190">
    <cfRule type="expression" dxfId="133" priority="175">
      <formula>$E$183&lt;3</formula>
    </cfRule>
  </conditionalFormatting>
  <conditionalFormatting sqref="A187:E188">
    <cfRule type="expression" dxfId="132" priority="174">
      <formula>$E$183&lt;2</formula>
    </cfRule>
  </conditionalFormatting>
  <conditionalFormatting sqref="G191:K192">
    <cfRule type="expression" dxfId="131" priority="173">
      <formula>$K$189&lt;1</formula>
    </cfRule>
  </conditionalFormatting>
  <conditionalFormatting sqref="G189:K190">
    <cfRule type="expression" dxfId="130" priority="172">
      <formula>$K$189=0</formula>
    </cfRule>
  </conditionalFormatting>
  <conditionalFormatting sqref="M173:Q174">
    <cfRule type="expression" dxfId="129" priority="170">
      <formula>$Q$173&lt;1</formula>
    </cfRule>
  </conditionalFormatting>
  <conditionalFormatting sqref="M164:Q165">
    <cfRule type="expression" dxfId="128" priority="168">
      <formula>$Q$164&lt;1</formula>
    </cfRule>
  </conditionalFormatting>
  <conditionalFormatting sqref="A194:E195">
    <cfRule type="expression" dxfId="127" priority="167">
      <formula>$E$183=0</formula>
    </cfRule>
  </conditionalFormatting>
  <conditionalFormatting sqref="B98:F99">
    <cfRule type="expression" dxfId="126" priority="165">
      <formula>$J$95&lt;2</formula>
    </cfRule>
  </conditionalFormatting>
  <conditionalFormatting sqref="B94:F95">
    <cfRule type="expression" dxfId="125" priority="164">
      <formula>$J$84&lt;4</formula>
    </cfRule>
  </conditionalFormatting>
  <conditionalFormatting sqref="B92:F93">
    <cfRule type="expression" dxfId="124" priority="163">
      <formula>$J$84&lt;3</formula>
    </cfRule>
  </conditionalFormatting>
  <conditionalFormatting sqref="B86:F87">
    <cfRule type="expression" dxfId="123" priority="162">
      <formula>$D$86="n/a"</formula>
    </cfRule>
  </conditionalFormatting>
  <conditionalFormatting sqref="H84:K88">
    <cfRule type="expression" dxfId="122" priority="161">
      <formula>$J$87=0</formula>
    </cfRule>
  </conditionalFormatting>
  <conditionalFormatting sqref="G110:J111 G116:J117">
    <cfRule type="expression" dxfId="121" priority="156">
      <formula>$I$116=0</formula>
    </cfRule>
  </conditionalFormatting>
  <conditionalFormatting sqref="G119:J120 G125:J126">
    <cfRule type="expression" dxfId="120" priority="155">
      <formula>$I$125=0</formula>
    </cfRule>
  </conditionalFormatting>
  <conditionalFormatting sqref="A158:S159">
    <cfRule type="expression" dxfId="119" priority="154">
      <formula>$A$158=""</formula>
    </cfRule>
  </conditionalFormatting>
  <conditionalFormatting sqref="A156:S157">
    <cfRule type="expression" dxfId="118" priority="153">
      <formula>$A$156=""</formula>
    </cfRule>
  </conditionalFormatting>
  <conditionalFormatting sqref="D164:D165 P164:P165 D183:D184 J189:J190 P173:P174">
    <cfRule type="cellIs" dxfId="117" priority="146" operator="lessThan">
      <formula>0</formula>
    </cfRule>
  </conditionalFormatting>
  <conditionalFormatting sqref="P182:P183">
    <cfRule type="cellIs" dxfId="116" priority="144" operator="lessThan">
      <formula>0</formula>
    </cfRule>
  </conditionalFormatting>
  <conditionalFormatting sqref="P195:P196">
    <cfRule type="cellIs" dxfId="115" priority="143" operator="lessThan">
      <formula>0</formula>
    </cfRule>
  </conditionalFormatting>
  <conditionalFormatting sqref="A180">
    <cfRule type="expression" dxfId="114" priority="136">
      <formula>$E$164=0</formula>
    </cfRule>
  </conditionalFormatting>
  <conditionalFormatting sqref="A180:E181">
    <cfRule type="expression" dxfId="113" priority="135">
      <formula>(ROW()-151)/2&gt;$E$164</formula>
    </cfRule>
  </conditionalFormatting>
  <conditionalFormatting sqref="A178">
    <cfRule type="expression" dxfId="112" priority="134">
      <formula>$E$164=0</formula>
    </cfRule>
  </conditionalFormatting>
  <conditionalFormatting sqref="A178:E179">
    <cfRule type="expression" dxfId="111" priority="133">
      <formula>(ROW()-151)/2&gt;$E$164</formula>
    </cfRule>
  </conditionalFormatting>
  <conditionalFormatting sqref="A176">
    <cfRule type="expression" dxfId="110" priority="132">
      <formula>$E$164=0</formula>
    </cfRule>
  </conditionalFormatting>
  <conditionalFormatting sqref="A176:E177">
    <cfRule type="expression" dxfId="109" priority="131">
      <formula>(ROW()-151)/2&gt;$E$164</formula>
    </cfRule>
  </conditionalFormatting>
  <conditionalFormatting sqref="A174">
    <cfRule type="expression" dxfId="108" priority="130">
      <formula>$E$164=0</formula>
    </cfRule>
  </conditionalFormatting>
  <conditionalFormatting sqref="A174:E175">
    <cfRule type="expression" dxfId="107" priority="129">
      <formula>(ROW()-151)/2&gt;$E$164</formula>
    </cfRule>
  </conditionalFormatting>
  <conditionalFormatting sqref="A172">
    <cfRule type="expression" dxfId="106" priority="128">
      <formula>$E$164=0</formula>
    </cfRule>
  </conditionalFormatting>
  <conditionalFormatting sqref="A172:E173">
    <cfRule type="expression" dxfId="105" priority="127">
      <formula>(ROW()-151)/2&gt;$E$164</formula>
    </cfRule>
  </conditionalFormatting>
  <conditionalFormatting sqref="A170">
    <cfRule type="expression" dxfId="104" priority="126">
      <formula>$E$164=0</formula>
    </cfRule>
  </conditionalFormatting>
  <conditionalFormatting sqref="A170:E171">
    <cfRule type="expression" dxfId="103" priority="125">
      <formula>(ROW()-151)/2&gt;$E$164</formula>
    </cfRule>
  </conditionalFormatting>
  <conditionalFormatting sqref="A166">
    <cfRule type="expression" dxfId="102" priority="122">
      <formula>$E$164=0</formula>
    </cfRule>
  </conditionalFormatting>
  <conditionalFormatting sqref="A166:E167">
    <cfRule type="expression" dxfId="101" priority="121">
      <formula>(ROW()-158)/2&gt;$E$164</formula>
    </cfRule>
  </conditionalFormatting>
  <conditionalFormatting sqref="M179:Q180">
    <cfRule type="expression" dxfId="100" priority="74">
      <formula>$Q$173&lt;3</formula>
    </cfRule>
  </conditionalFormatting>
  <conditionalFormatting sqref="M177:Q178">
    <cfRule type="expression" dxfId="99" priority="73">
      <formula>$Q$173&lt;2</formula>
    </cfRule>
  </conditionalFormatting>
  <conditionalFormatting sqref="M173:Q176">
    <cfRule type="expression" dxfId="98" priority="72">
      <formula>$Q$173&lt;1</formula>
    </cfRule>
  </conditionalFormatting>
  <conditionalFormatting sqref="M201:Q202">
    <cfRule type="expression" dxfId="97" priority="71">
      <formula>$Q$195&lt;3</formula>
    </cfRule>
  </conditionalFormatting>
  <conditionalFormatting sqref="M199:Q200">
    <cfRule type="expression" dxfId="96" priority="70">
      <formula>$Q$195&lt;2</formula>
    </cfRule>
  </conditionalFormatting>
  <conditionalFormatting sqref="M195:Q198">
    <cfRule type="expression" dxfId="95" priority="69">
      <formula>$Q$195&lt;1</formula>
    </cfRule>
  </conditionalFormatting>
  <conditionalFormatting sqref="M182:Q185">
    <cfRule type="expression" dxfId="94" priority="65">
      <formula>$Q$182&lt;1</formula>
    </cfRule>
  </conditionalFormatting>
  <conditionalFormatting sqref="M170:Q171">
    <cfRule type="expression" dxfId="93" priority="58">
      <formula>$Q$164&lt;3</formula>
    </cfRule>
  </conditionalFormatting>
  <conditionalFormatting sqref="M168:Q169">
    <cfRule type="expression" dxfId="92" priority="57">
      <formula>$Q$164&lt;2</formula>
    </cfRule>
  </conditionalFormatting>
  <conditionalFormatting sqref="M164:Q167">
    <cfRule type="expression" dxfId="91" priority="56">
      <formula>$Q$164&lt;1</formula>
    </cfRule>
  </conditionalFormatting>
  <conditionalFormatting sqref="B61:P62">
    <cfRule type="expression" dxfId="90" priority="50">
      <formula>$P$61=""</formula>
    </cfRule>
    <cfRule type="expression" dxfId="89" priority="55">
      <formula>$P$61&lt;1</formula>
    </cfRule>
  </conditionalFormatting>
  <conditionalFormatting sqref="B73:P74">
    <cfRule type="expression" dxfId="88" priority="54">
      <formula>$P$73=""</formula>
    </cfRule>
  </conditionalFormatting>
  <conditionalFormatting sqref="B70:P71">
    <cfRule type="expression" dxfId="87" priority="53">
      <formula>$P$70=""</formula>
    </cfRule>
  </conditionalFormatting>
  <conditionalFormatting sqref="B67:P68">
    <cfRule type="expression" dxfId="86" priority="52">
      <formula>$P$67=""</formula>
    </cfRule>
  </conditionalFormatting>
  <conditionalFormatting sqref="B64:P65">
    <cfRule type="expression" dxfId="85" priority="51">
      <formula>$P$64=""</formula>
    </cfRule>
  </conditionalFormatting>
  <conditionalFormatting sqref="B24:J25">
    <cfRule type="expression" dxfId="84" priority="47">
      <formula>$B$24=""</formula>
    </cfRule>
  </conditionalFormatting>
  <conditionalFormatting sqref="A154:S155">
    <cfRule type="expression" dxfId="83" priority="46">
      <formula>$A$154=""</formula>
    </cfRule>
  </conditionalFormatting>
  <conditionalFormatting sqref="H95:K99">
    <cfRule type="expression" dxfId="82" priority="21">
      <formula>$J$98=0</formula>
    </cfRule>
    <cfRule type="expression" dxfId="81" priority="44">
      <formula>$J$95=0</formula>
    </cfRule>
  </conditionalFormatting>
  <conditionalFormatting sqref="B96:F97">
    <cfRule type="expression" dxfId="80" priority="43">
      <formula>$J$95&lt;1</formula>
    </cfRule>
  </conditionalFormatting>
  <conditionalFormatting sqref="D197:D198">
    <cfRule type="cellIs" dxfId="79" priority="41" operator="lessThan">
      <formula>0</formula>
    </cfRule>
  </conditionalFormatting>
  <conditionalFormatting sqref="A203:E204">
    <cfRule type="expression" dxfId="78" priority="40">
      <formula>$E$197&lt;3</formula>
    </cfRule>
  </conditionalFormatting>
  <conditionalFormatting sqref="A201:E202">
    <cfRule type="expression" dxfId="77" priority="39">
      <formula>$E$197&lt;2</formula>
    </cfRule>
  </conditionalFormatting>
  <conditionalFormatting sqref="A197:E200">
    <cfRule type="expression" dxfId="76" priority="38">
      <formula>$E$197&lt;1</formula>
    </cfRule>
  </conditionalFormatting>
  <conditionalFormatting sqref="A205:E206">
    <cfRule type="expression" dxfId="75" priority="37">
      <formula>$E$197&lt;4</formula>
    </cfRule>
  </conditionalFormatting>
  <conditionalFormatting sqref="G186:K187">
    <cfRule type="expression" dxfId="74" priority="36">
      <formula>$K$164&lt;11</formula>
    </cfRule>
  </conditionalFormatting>
  <conditionalFormatting sqref="G184:K185">
    <cfRule type="expression" dxfId="73" priority="34">
      <formula>$K$164&lt;10</formula>
    </cfRule>
  </conditionalFormatting>
  <conditionalFormatting sqref="G182:K183">
    <cfRule type="expression" dxfId="72" priority="33">
      <formula>$K$164&lt;9</formula>
    </cfRule>
  </conditionalFormatting>
  <conditionalFormatting sqref="G180:K181">
    <cfRule type="expression" dxfId="71" priority="32">
      <formula>$K$164&lt;8</formula>
    </cfRule>
  </conditionalFormatting>
  <conditionalFormatting sqref="G178:K179">
    <cfRule type="expression" dxfId="70" priority="31">
      <formula>$K$164&lt;7</formula>
    </cfRule>
  </conditionalFormatting>
  <conditionalFormatting sqref="G176:K177">
    <cfRule type="expression" dxfId="69" priority="30">
      <formula>$K$164&lt;6</formula>
    </cfRule>
  </conditionalFormatting>
  <conditionalFormatting sqref="G174:K175">
    <cfRule type="expression" dxfId="68" priority="29">
      <formula>$K$164&lt;5</formula>
    </cfRule>
  </conditionalFormatting>
  <conditionalFormatting sqref="G172:K173">
    <cfRule type="expression" dxfId="67" priority="28">
      <formula>$K$164&lt;4</formula>
    </cfRule>
  </conditionalFormatting>
  <conditionalFormatting sqref="G170:K171">
    <cfRule type="expression" dxfId="66" priority="27">
      <formula>$K$164&lt;3</formula>
    </cfRule>
  </conditionalFormatting>
  <conditionalFormatting sqref="G168:K169">
    <cfRule type="expression" dxfId="65" priority="26">
      <formula>$K$164&lt;2</formula>
    </cfRule>
  </conditionalFormatting>
  <conditionalFormatting sqref="G164:K167">
    <cfRule type="expression" dxfId="64" priority="25">
      <formula>$K$164&lt;1</formula>
    </cfRule>
  </conditionalFormatting>
  <conditionalFormatting sqref="A136:E143">
    <cfRule type="expression" dxfId="63" priority="24">
      <formula>$I$113=0</formula>
    </cfRule>
  </conditionalFormatting>
  <conditionalFormatting sqref="I122:J123">
    <cfRule type="cellIs" dxfId="62" priority="22" operator="lessThan">
      <formula>0</formula>
    </cfRule>
    <cfRule type="cellIs" dxfId="61" priority="23" operator="greaterThan">
      <formula>0</formula>
    </cfRule>
  </conditionalFormatting>
  <conditionalFormatting sqref="L136:M143">
    <cfRule type="expression" dxfId="60" priority="20">
      <formula>$I$113=0</formula>
    </cfRule>
  </conditionalFormatting>
  <conditionalFormatting sqref="A168">
    <cfRule type="expression" dxfId="59" priority="19">
      <formula>$E$164=0</formula>
    </cfRule>
  </conditionalFormatting>
  <conditionalFormatting sqref="A168:E169">
    <cfRule type="expression" dxfId="58" priority="18">
      <formula>(ROW()-158)/2&gt;$E$164</formula>
    </cfRule>
  </conditionalFormatting>
  <conditionalFormatting sqref="M186:Q187">
    <cfRule type="expression" dxfId="57" priority="15">
      <formula>$Q$182&lt;1</formula>
    </cfRule>
  </conditionalFormatting>
  <conditionalFormatting sqref="M188:Q189">
    <cfRule type="expression" dxfId="56" priority="14">
      <formula>$Q$182&lt;1</formula>
    </cfRule>
  </conditionalFormatting>
  <conditionalFormatting sqref="J240:J241">
    <cfRule type="expression" dxfId="55" priority="13">
      <formula>$G$240&lt;1</formula>
    </cfRule>
  </conditionalFormatting>
  <conditionalFormatting sqref="H240">
    <cfRule type="expression" dxfId="54" priority="11">
      <formula>$G$240&lt;1</formula>
    </cfRule>
  </conditionalFormatting>
  <conditionalFormatting sqref="N240:N241">
    <cfRule type="expression" dxfId="53" priority="10">
      <formula>$G$240&lt;1</formula>
    </cfRule>
  </conditionalFormatting>
  <conditionalFormatting sqref="L240">
    <cfRule type="expression" dxfId="52" priority="9">
      <formula>$G$240&lt;1</formula>
    </cfRule>
  </conditionalFormatting>
  <conditionalFormatting sqref="A306:S601">
    <cfRule type="expression" dxfId="51" priority="8">
      <formula>C306=""</formula>
    </cfRule>
  </conditionalFormatting>
  <conditionalFormatting sqref="M190:Q191">
    <cfRule type="expression" dxfId="50" priority="7">
      <formula>$Q$182&lt;1</formula>
    </cfRule>
  </conditionalFormatting>
  <conditionalFormatting sqref="M192:Q193">
    <cfRule type="expression" dxfId="49" priority="6">
      <formula>$Q$182&lt;1</formula>
    </cfRule>
  </conditionalFormatting>
  <conditionalFormatting sqref="J41:K53">
    <cfRule type="expression" dxfId="38" priority="4">
      <formula>$R$48=0</formula>
    </cfRule>
  </conditionalFormatting>
  <conditionalFormatting sqref="P48:S52">
    <cfRule type="expression" dxfId="37" priority="3">
      <formula>$R$48=0</formula>
    </cfRule>
  </conditionalFormatting>
  <conditionalFormatting sqref="P42:S46">
    <cfRule type="expression" dxfId="36" priority="2">
      <formula>$R$42=0</formula>
    </cfRule>
  </conditionalFormatting>
  <conditionalFormatting sqref="F41:G53">
    <cfRule type="expression" dxfId="35" priority="1">
      <formula>$R$42=0</formula>
    </cfRule>
  </conditionalFormatting>
  <dataValidations xWindow="299" yWindow="604" count="25">
    <dataValidation type="list" allowBlank="1" showErrorMessage="1" promptTitle="Gender" prompt="Select Gender" sqref="D11:E12">
      <formula1>"male,female"</formula1>
    </dataValidation>
    <dataValidation type="list" allowBlank="1" showInputMessage="1" showErrorMessage="1" sqref="G42:G43">
      <formula1>OFFSET(BK21,0,0,1,MAX(BK21:BL21)+1)</formula1>
    </dataValidation>
    <dataValidation type="list" allowBlank="1" showInputMessage="1" showErrorMessage="1" sqref="G44:G45">
      <formula1>OFFSET(BK22,0,0,1,MAX(BK22:BL22)+1)</formula1>
    </dataValidation>
    <dataValidation type="list" allowBlank="1" showInputMessage="1" showErrorMessage="1" sqref="G46:G47">
      <formula1>OFFSET(BK23,0,0,1,MAX(BK23:BL23)+1)</formula1>
    </dataValidation>
    <dataValidation type="list" allowBlank="1" showInputMessage="1" showErrorMessage="1" sqref="G48:G49">
      <formula1>OFFSET(BK24,0,0,1,MAX(BK24:BL24)+1)</formula1>
    </dataValidation>
    <dataValidation type="list" allowBlank="1" showInputMessage="1" showErrorMessage="1" sqref="G50:G51">
      <formula1>OFFSET(BK25,0,0,1,MAX(BK25:BL25)+1)</formula1>
    </dataValidation>
    <dataValidation type="list" allowBlank="1" showInputMessage="1" showErrorMessage="1" sqref="G52:G53">
      <formula1>OFFSET(BK26,0,0,1,MAX(BK26:BL26)+1)</formula1>
    </dataValidation>
    <dataValidation showDropDown="1" showInputMessage="1" showErrorMessage="1" sqref="D82:F87 V24 C136:E143 V58 V10 C110:E119"/>
    <dataValidation operator="equal" allowBlank="1" showInputMessage="1" showErrorMessage="1" sqref="K76:K77"/>
    <dataValidation type="whole" allowBlank="1" showInputMessage="1" showErrorMessage="1" errorTitle="Error" error="You can't distribute more then all your additional points of abilities" promptTitle="Input Needed" prompt="Please input" sqref="K42:K53">
      <formula1>0</formula1>
      <formula2>ASINumber*2</formula2>
    </dataValidation>
    <dataValidation allowBlank="1" showInputMessage="1" showErrorMessage="1" promptTitle="Player Name" prompt="Input your Name" sqref="D6:H7"/>
    <dataValidation allowBlank="1" showInputMessage="1" showErrorMessage="1" promptTitle="Character Name" prompt="Input your's Character's Name" sqref="D4:H5"/>
    <dataValidation type="list" allowBlank="1" showInputMessage="1" showErrorMessage="1" sqref="C128:E129">
      <formula1>OFFSET($EW$121,0,0,MAX($EY$121:$EY$136),1)</formula1>
    </dataValidation>
    <dataValidation type="list" allowBlank="1" showInputMessage="1" showErrorMessage="1" sqref="C130:E131">
      <formula1>OFFSET($EZ$121,0,0,MAX($EY$121:$EY$136),1)</formula1>
    </dataValidation>
    <dataValidation type="list" allowBlank="1" showInputMessage="1" showErrorMessage="1" sqref="C132:E133">
      <formula1>OFFSET($FC$121,0,0,MAX($FB$121:$FB$136),1)</formula1>
    </dataValidation>
    <dataValidation type="list" allowBlank="1" showInputMessage="1" showErrorMessage="1" sqref="C134:E135">
      <formula1>OFFSET($FF$121,0,0,MAX($FE$121:$FE$136),1)</formula1>
    </dataValidation>
    <dataValidation type="list" allowBlank="1" showInputMessage="1" showErrorMessage="1" sqref="R58:T58">
      <formula1>MainClass</formula1>
    </dataValidation>
    <dataValidation type="list" allowBlank="1" showErrorMessage="1" promptTitle="Select Race" prompt="Please, select race" sqref="L4:O5">
      <formula1>OFFSET($BE$15,0,0,MAX($BD$15:$BD$166),1)</formula1>
    </dataValidation>
    <dataValidation type="list" allowBlank="1" showErrorMessage="1" promptTitle="Select Subrace" prompt="Select Subrace" sqref="L6:O7">
      <formula1>OFFSET($BG$15,0,0,MAX($BF$15:$BF$166),1)</formula1>
    </dataValidation>
    <dataValidation type="list" allowBlank="1" showInputMessage="1" showErrorMessage="1" sqref="R60:T77">
      <formula1>OFFSET($AY$15,0,0,MAX($AX$15:$AX$114),1)</formula1>
    </dataValidation>
    <dataValidation type="list" allowBlank="1" showInputMessage="1" showErrorMessage="1" promptTitle="Select class" prompt="Select class for this level of character" sqref="R59:T59">
      <formula1>OFFSET($AY$15,0,0,MAX($AX$15:$AX$114),1)</formula1>
    </dataValidation>
    <dataValidation allowBlank="1" showInputMessage="1" showErrorMessage="1" promptTitle="Age of Character" prompt="Input age of Character" sqref="D14:E15"/>
    <dataValidation allowBlank="1" showInputMessage="1" showErrorMessage="1" promptTitle="Input Height" prompt="Input heght of Character" sqref="D16:E17"/>
    <dataValidation type="list" allowBlank="1" showInputMessage="1" showErrorMessage="1" sqref="W42:Z43">
      <formula1>"Ability Roll,Standard Array"</formula1>
    </dataValidation>
    <dataValidation type="whole" allowBlank="1" showErrorMessage="1" promptTitle="Input Ability score" prompt="Input your abilities roll or PBS_x000a_Min: 3_x000a_Max: 18" sqref="AC42:AC53">
      <formula1>3</formula1>
      <formula2>18</formula2>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779" r:id="rId4" name="Button 11">
              <controlPr defaultSize="0" print="0" autoFill="0" autoPict="0" macro="[0]!AbilityRoll4d6">
                <anchor moveWithCells="1" sizeWithCells="1">
                  <from>
                    <xdr:col>24</xdr:col>
                    <xdr:colOff>333375</xdr:colOff>
                    <xdr:row>46</xdr:row>
                    <xdr:rowOff>38100</xdr:rowOff>
                  </from>
                  <to>
                    <xdr:col>26</xdr:col>
                    <xdr:colOff>295275</xdr:colOff>
                    <xdr:row>49</xdr:row>
                    <xdr:rowOff>104775</xdr:rowOff>
                  </to>
                </anchor>
              </controlPr>
            </control>
          </mc:Choice>
        </mc:AlternateContent>
        <mc:AlternateContent xmlns:mc="http://schemas.openxmlformats.org/markup-compatibility/2006">
          <mc:Choice Requires="x14">
            <control shapeId="32787" r:id="rId5" name="Button 19">
              <controlPr defaultSize="0" print="0" autoFill="0" autoPict="0" macro="[0]!ResetData">
                <anchor moveWithCells="1" sizeWithCells="1">
                  <from>
                    <xdr:col>16</xdr:col>
                    <xdr:colOff>133350</xdr:colOff>
                    <xdr:row>3</xdr:row>
                    <xdr:rowOff>85725</xdr:rowOff>
                  </from>
                  <to>
                    <xdr:col>18</xdr:col>
                    <xdr:colOff>47625</xdr:colOff>
                    <xdr:row>5</xdr:row>
                    <xdr:rowOff>76200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21" id="{8DA7E268-D384-4EB5-9E0B-875861B512CB}">
            <xm:f>C_Variables!$AG$7&lt;7</xm:f>
            <x14:dxf>
              <font>
                <color theme="0" tint="-4.9989318521683403E-2"/>
              </font>
              <fill>
                <patternFill>
                  <bgColor theme="0" tint="-4.9989318521683403E-2"/>
                </patternFill>
              </fill>
              <border>
                <left/>
                <right/>
                <top/>
                <bottom/>
              </border>
            </x14:dxf>
          </x14:cfRule>
          <xm:sqref>S96:W99</xm:sqref>
        </x14:conditionalFormatting>
        <x14:conditionalFormatting xmlns:xm="http://schemas.microsoft.com/office/excel/2006/main">
          <x14:cfRule type="expression" priority="220" id="{4C24D799-0457-49CA-9C94-F11EBA742C20}">
            <xm:f>C_Variables!$AG$7&lt;5</xm:f>
            <x14:dxf>
              <font>
                <color theme="0" tint="-4.9989318521683403E-2"/>
              </font>
              <fill>
                <patternFill>
                  <bgColor theme="0" tint="-4.9989318521683403E-2"/>
                </patternFill>
              </fill>
              <border>
                <left/>
                <right/>
                <top/>
                <bottom/>
              </border>
            </x14:dxf>
          </x14:cfRule>
          <xm:sqref>S92:W95</xm:sqref>
        </x14:conditionalFormatting>
        <x14:conditionalFormatting xmlns:xm="http://schemas.microsoft.com/office/excel/2006/main">
          <x14:cfRule type="expression" priority="219" id="{92BD2EA5-9258-4CE5-BDB6-74AAC7B7914C}">
            <xm:f>C_Variables!$AG$7&lt;3</xm:f>
            <x14:dxf>
              <font>
                <color theme="0" tint="-4.9989318521683403E-2"/>
              </font>
              <fill>
                <patternFill>
                  <bgColor theme="0" tint="-4.9989318521683403E-2"/>
                </patternFill>
              </fill>
              <border>
                <left/>
                <right/>
                <top/>
                <bottom/>
                <vertical/>
                <horizontal/>
              </border>
            </x14:dxf>
          </x14:cfRule>
          <xm:sqref>S88:W91</xm:sqref>
        </x14:conditionalFormatting>
        <x14:conditionalFormatting xmlns:xm="http://schemas.microsoft.com/office/excel/2006/main">
          <x14:cfRule type="expression" priority="218" id="{BB5EC568-5511-426C-BF4D-1F643845A502}">
            <xm:f>C_Variables!$AG$7&lt;1</xm:f>
            <x14:dxf>
              <font>
                <color theme="0" tint="-4.9989318521683403E-2"/>
              </font>
              <fill>
                <patternFill>
                  <bgColor theme="0" tint="-4.9989318521683403E-2"/>
                </patternFill>
              </fill>
              <border>
                <left/>
                <right/>
                <top/>
                <bottom/>
                <vertical/>
                <horizontal/>
              </border>
            </x14:dxf>
          </x14:cfRule>
          <xm:sqref>S84:W87</xm:sqref>
        </x14:conditionalFormatting>
        <x14:conditionalFormatting xmlns:xm="http://schemas.microsoft.com/office/excel/2006/main">
          <x14:cfRule type="expression" priority="217" id="{9B5E3907-D657-478F-AFE1-036B681B48D3}">
            <xm:f>C_Variables!$AG$7&lt;3</xm:f>
            <x14:dxf>
              <font>
                <color theme="0" tint="-4.9989318521683403E-2"/>
              </font>
              <fill>
                <patternFill>
                  <bgColor theme="0" tint="-4.9989318521683403E-2"/>
                </patternFill>
              </fill>
              <border>
                <left/>
                <right/>
                <top/>
                <bottom/>
                <vertical/>
                <horizontal/>
              </border>
            </x14:dxf>
          </x14:cfRule>
          <xm:sqref>S92:T93</xm:sqref>
        </x14:conditionalFormatting>
        <x14:conditionalFormatting xmlns:xm="http://schemas.microsoft.com/office/excel/2006/main">
          <x14:cfRule type="expression" priority="216" id="{8734E182-81B7-4B88-9395-2D85A4FC49CE}">
            <xm:f>C_Variables!$AG$7&lt;3</xm:f>
            <x14:dxf>
              <font>
                <color theme="0" tint="-4.9989318521683403E-2"/>
              </font>
              <fill>
                <patternFill>
                  <bgColor theme="0" tint="-4.9989318521683403E-2"/>
                </patternFill>
              </fill>
              <border>
                <left/>
                <right/>
                <top/>
                <bottom/>
                <vertical/>
                <horizontal/>
              </border>
            </x14:dxf>
          </x14:cfRule>
          <xm:sqref>S94:T95</xm:sqref>
        </x14:conditionalFormatting>
        <x14:conditionalFormatting xmlns:xm="http://schemas.microsoft.com/office/excel/2006/main">
          <x14:cfRule type="expression" priority="215" id="{1445A7A4-3FE1-4A21-ADF7-78AAC2A2F803}">
            <xm:f>C_Variables!$AG$7&lt;3</xm:f>
            <x14:dxf>
              <font>
                <color theme="0" tint="-4.9989318521683403E-2"/>
              </font>
              <fill>
                <patternFill>
                  <bgColor theme="0" tint="-4.9989318521683403E-2"/>
                </patternFill>
              </fill>
              <border>
                <left/>
                <right/>
                <top/>
                <bottom/>
                <vertical/>
                <horizontal/>
              </border>
            </x14:dxf>
          </x14:cfRule>
          <xm:sqref>S96:T97</xm:sqref>
        </x14:conditionalFormatting>
        <x14:conditionalFormatting xmlns:xm="http://schemas.microsoft.com/office/excel/2006/main">
          <x14:cfRule type="expression" priority="214" id="{2E21C8F3-D0F1-4715-B6B7-F2B050045192}">
            <xm:f>C_Variables!$AG$7&lt;3</xm:f>
            <x14:dxf>
              <font>
                <color theme="0" tint="-4.9989318521683403E-2"/>
              </font>
              <fill>
                <patternFill>
                  <bgColor theme="0" tint="-4.9989318521683403E-2"/>
                </patternFill>
              </fill>
              <border>
                <left/>
                <right/>
                <top/>
                <bottom/>
                <vertical/>
                <horizontal/>
              </border>
            </x14:dxf>
          </x14:cfRule>
          <xm:sqref>S98:T99</xm:sqref>
        </x14:conditionalFormatting>
        <x14:conditionalFormatting xmlns:xm="http://schemas.microsoft.com/office/excel/2006/main">
          <x14:cfRule type="expression" priority="210" id="{68F9A22B-326B-4E16-8A8F-CC3F6A6BDD1E}">
            <xm:f>C_Variables!$AG$7&lt;1</xm:f>
            <x14:dxf>
              <font>
                <color theme="0" tint="-4.9989318521683403E-2"/>
              </font>
              <fill>
                <patternFill>
                  <bgColor theme="0" tint="-4.9989318521683403E-2"/>
                </patternFill>
              </fill>
              <border>
                <left/>
                <right/>
                <top/>
                <bottom/>
                <vertical/>
                <horizontal/>
              </border>
            </x14:dxf>
          </x14:cfRule>
          <xm:sqref>S82:W83</xm:sqref>
        </x14:conditionalFormatting>
        <x14:conditionalFormatting xmlns:xm="http://schemas.microsoft.com/office/excel/2006/main">
          <x14:cfRule type="expression" priority="205" id="{494C34AF-54FD-4F33-A02B-04D32866245D}">
            <xm:f>C_Variables!$AD$40=0</xm:f>
            <x14:dxf>
              <font>
                <color theme="0" tint="-4.9989318521683403E-2"/>
              </font>
              <fill>
                <patternFill>
                  <bgColor theme="0" tint="-4.9989318521683403E-2"/>
                </patternFill>
              </fill>
              <border>
                <left/>
                <right/>
                <top/>
                <bottom/>
                <vertical/>
                <horizontal/>
              </border>
            </x14:dxf>
          </x14:cfRule>
          <xm:sqref>M182:Q183</xm:sqref>
        </x14:conditionalFormatting>
      </x14:conditionalFormattings>
    </ext>
    <ext xmlns:x14="http://schemas.microsoft.com/office/spreadsheetml/2009/9/main" uri="{CCE6A557-97BC-4b89-ADB6-D9C93CAAB3DF}">
      <x14:dataValidations xmlns:xm="http://schemas.microsoft.com/office/excel/2006/main" xWindow="299" yWindow="604" count="74">
        <x14:dataValidation type="list" allowBlank="1" showInputMessage="1" showErrorMessage="1">
          <x14:formula1>
            <xm:f>OFFSET(C_Variables!$CQ$193,0,0,MAX(C_Variables!$CP$193:$CP$210),1)</xm:f>
          </x14:formula1>
          <xm:sqref>O98:Q99</xm:sqref>
        </x14:dataValidation>
        <x14:dataValidation type="list" allowBlank="1" showInputMessage="1" showErrorMessage="1">
          <x14:formula1>
            <xm:f>OFFSET(C_Variables!$AE$286,0,0,MAX(C_Variables!$AD$286:$AD$311),1)</xm:f>
          </x14:formula1>
          <xm:sqref>C124:E125</xm:sqref>
        </x14:dataValidation>
        <x14:dataValidation type="list" allowBlank="1" showInputMessage="1" showErrorMessage="1">
          <x14:formula1>
            <xm:f>OFFSET(C_Variables!$AJ$286,0,0,MAX(C_Variables!$AI$286:$AI$311),1)</xm:f>
          </x14:formula1>
          <xm:sqref>C126:E127</xm:sqref>
        </x14:dataValidation>
        <x14:dataValidation type="list" allowBlank="1" showErrorMessage="1" promptTitle="Alignment" prompt="Select Alignment of Character">
          <x14:formula1>
            <xm:f>D00_Leveling!$C$26:$C$34</xm:f>
          </x14:formula1>
          <xm:sqref>O17:R18</xm:sqref>
        </x14:dataValidation>
        <x14:dataValidation type="list" allowBlank="1" showInputMessage="1" showErrorMessage="1" prompt="Select skill from class list">
          <x14:formula1>
            <xm:f>OFFSET(C_Variables!$U$193,0,0,MAX(C_Variables!$T$193:$T$210),1)</xm:f>
          </x14:formula1>
          <xm:sqref>D90:F91</xm:sqref>
        </x14:dataValidation>
        <x14:dataValidation type="list" allowBlank="1" showInputMessage="1" showErrorMessage="1">
          <x14:formula1>
            <xm:f>OFFSET(C_Variables!$CK$193,0,0,MAX(C_Variables!$CJ$193:$CJ$210),1)</xm:f>
          </x14:formula1>
          <xm:sqref>O96:Q97</xm:sqref>
        </x14:dataValidation>
        <x14:dataValidation type="list" allowBlank="1" showInputMessage="1" showErrorMessage="1">
          <x14:formula1>
            <xm:f>OFFSET(C_Variables!$CE$193,0,0,MAX(C_Variables!$CD$193:$CD$210),1)</xm:f>
          </x14:formula1>
          <xm:sqref>O94:Q95</xm:sqref>
        </x14:dataValidation>
        <x14:dataValidation type="list" allowBlank="1" showInputMessage="1" showErrorMessage="1">
          <x14:formula1>
            <xm:f>OFFSET(C_Variables!$BY$193,0,0,MAX(C_Variables!$BX$193:$BX$210),1)</xm:f>
          </x14:formula1>
          <xm:sqref>O92:Q93</xm:sqref>
        </x14:dataValidation>
        <x14:dataValidation type="list" allowBlank="1" showInputMessage="1" showErrorMessage="1">
          <x14:formula1>
            <xm:f>OFFSET(C_Variables!$BM$193,0,0,MAX(C_Variables!$BL$193:$BL$210),1)</xm:f>
          </x14:formula1>
          <xm:sqref>O88:Q89</xm:sqref>
        </x14:dataValidation>
        <x14:dataValidation type="list" allowBlank="1" showInputMessage="1" showErrorMessage="1">
          <x14:formula1>
            <xm:f>OFFSET(C_Variables!$BS$193,0,0,MAX(C_Variables!$BR$193:$BR$210),1)</xm:f>
          </x14:formula1>
          <xm:sqref>O90:Q91</xm:sqref>
        </x14:dataValidation>
        <x14:dataValidation type="list" allowBlank="1" showInputMessage="1" showErrorMessage="1">
          <x14:formula1>
            <xm:f>OFFSET(C_Variables!$AU$193,0,0,MAX(C_Variables!$AT$193:$AT$210),1)</xm:f>
          </x14:formula1>
          <xm:sqref>O82:Q83</xm:sqref>
        </x14:dataValidation>
        <x14:dataValidation type="list" allowBlank="1" showInputMessage="1" showErrorMessage="1">
          <x14:formula1>
            <xm:f>OFFSET(C_Variables!$BA$193,0,0,MAX(C_Variables!$AZ$193:$AZ$210),1)</xm:f>
          </x14:formula1>
          <xm:sqref>O84:Q85</xm:sqref>
        </x14:dataValidation>
        <x14:dataValidation type="list" allowBlank="1" showInputMessage="1" showErrorMessage="1">
          <x14:formula1>
            <xm:f>OFFSET(C_Variables!$BG$193,0,0,MAX(C_Variables!$BF$193:$BF$210),1)</xm:f>
          </x14:formula1>
          <xm:sqref>O86:Q87</xm:sqref>
        </x14:dataValidation>
        <x14:dataValidation type="list" allowBlank="1" showErrorMessage="1" promptTitle="Select Background" prompt="Select Background">
          <x14:formula1>
            <xm:f>OFFSET(D02_Background!$B$2,0,0,MAX(D02_Background!$A$2:$A$101),1)</xm:f>
          </x14:formula1>
          <xm:sqref>O14:R15</xm:sqref>
        </x14:dataValidation>
        <x14:dataValidation type="list" allowBlank="1" showInputMessage="1" showErrorMessage="1">
          <x14:formula1>
            <xm:f>OFFSET(D02_Background!$S$2,SelectedBackgroundId-1,0,1,OFFSET(D02_Background!$R$2,SelectedBackgroundId-1,0))</xm:f>
          </x14:formula1>
          <xm:sqref>D24:J25</xm:sqref>
        </x14:dataValidation>
        <x14:dataValidation type="list" allowBlank="1" showInputMessage="1" showErrorMessage="1" promptTitle="First Class" prompt="Please Select first class of character">
          <x14:formula1>
            <xm:f>D04_Classes!$B$3:$B$14</xm:f>
          </x14:formula1>
          <xm:sqref>D58:G59</xm:sqref>
        </x14:dataValidation>
        <x14:dataValidation type="list" allowBlank="1" showInputMessage="1" showErrorMessage="1">
          <x14:formula1>
            <xm:f>OFFSET(D05_Feats!$A$3,0,0,COUNTA(D05_Feats!$A$3:$A$450),1)</xm:f>
          </x14:formula1>
          <xm:sqref>C242 C246 C250 C254 C258 C262 C266 C270</xm:sqref>
        </x14:dataValidation>
        <x14:dataValidation type="list" allowBlank="1" showInputMessage="1" showErrorMessage="1" prompt="select Archetype">
          <x14:formula1>
            <xm:f>OFFSET(C_Variables!$L$16,0,0,C_Variables!$L$15,1)</xm:f>
          </x14:formula1>
          <xm:sqref>J58:M59</xm:sqref>
        </x14:dataValidation>
        <x14:dataValidation type="list" showInputMessage="1" showErrorMessage="1" prompt="Select Archetype">
          <x14:formula1>
            <xm:f>OFFSET(C_Variables!$M$16,0,0,C_Variables!$M$15,1)</xm:f>
          </x14:formula1>
          <xm:sqref>J61:M62</xm:sqref>
        </x14:dataValidation>
        <x14:dataValidation type="list" showInputMessage="1" showErrorMessage="1" prompt="Select Archetype">
          <x14:formula1>
            <xm:f>OFFSET(C_Variables!$O$16,0,0,C_Variables!$O$15,1)</xm:f>
          </x14:formula1>
          <xm:sqref>J67:M68</xm:sqref>
        </x14:dataValidation>
        <x14:dataValidation type="list" showInputMessage="1" showErrorMessage="1" prompt="Select Archetype">
          <x14:formula1>
            <xm:f>OFFSET(C_Variables!$N$16,0,0,C_Variables!$N$15,1)</xm:f>
          </x14:formula1>
          <xm:sqref>J64:M65</xm:sqref>
        </x14:dataValidation>
        <x14:dataValidation type="list" showInputMessage="1" showErrorMessage="1" prompt="Select Archetype">
          <x14:formula1>
            <xm:f>OFFSET(C_Variables!$P$16,0,0,C_Variables!$P$15,1)</xm:f>
          </x14:formula1>
          <xm:sqref>J70:M71</xm:sqref>
        </x14:dataValidation>
        <x14:dataValidation type="list" allowBlank="1" showInputMessage="1" showErrorMessage="1" prompt="Select Archetype">
          <x14:formula1>
            <xm:f>OFFSET(C_Variables!$Q$16,0,0,C_Variables!$Q$15,1)</xm:f>
          </x14:formula1>
          <xm:sqref>J73:M74</xm:sqref>
        </x14:dataValidation>
        <x14:dataValidation type="list" allowBlank="1" showInputMessage="1" showErrorMessage="1">
          <x14:formula1>
            <xm:f>C_Variables!$L$30:$L$32</xm:f>
          </x14:formula1>
          <xm:sqref>I191:K192</xm:sqref>
        </x14:dataValidation>
        <x14:dataValidation type="list" allowBlank="1" showInputMessage="1" showErrorMessage="1">
          <x14:formula1>
            <xm:f>C_Variables!$M$30:$M$32</xm:f>
          </x14:formula1>
          <xm:sqref>I193:K194</xm:sqref>
        </x14:dataValidation>
        <x14:dataValidation type="list" allowBlank="1" showInputMessage="1" showErrorMessage="1">
          <x14:formula1>
            <xm:f>C_Variables!$N$30:$N$31</xm:f>
          </x14:formula1>
          <xm:sqref>I195:K196</xm:sqref>
        </x14:dataValidation>
        <x14:dataValidation type="list" allowBlank="1" showInputMessage="1" showErrorMessage="1">
          <x14:formula1>
            <xm:f>C_Variables!$O$30:$O$32</xm:f>
          </x14:formula1>
          <xm:sqref>I197:K198</xm:sqref>
        </x14:dataValidation>
        <x14:dataValidation type="list" allowBlank="1" showInputMessage="1" showErrorMessage="1" promptTitle="Select Invocations" prompt="Select Invocations for your Warlock levels">
          <x14:formula1>
            <xm:f>C_Variables!$H$86:$H$117</xm:f>
          </x14:formula1>
          <xm:sqref>A170:E181</xm:sqref>
        </x14:dataValidation>
        <x14:dataValidation type="list" allowBlank="1" showInputMessage="1" showErrorMessage="1">
          <x14:formula1>
            <xm:f>C_Variables!$H$123:$H$138</xm:f>
          </x14:formula1>
          <xm:sqref>G166:K187</xm:sqref>
        </x14:dataValidation>
        <x14:dataValidation type="list" allowBlank="1" showInputMessage="1" showErrorMessage="1">
          <x14:formula1>
            <xm:f>C_Variables!$H$144:$H$151</xm:f>
          </x14:formula1>
          <xm:sqref>A199:E200 M179:Q180 M175:Q176</xm:sqref>
        </x14:dataValidation>
        <x14:dataValidation type="list" allowBlank="1" showInputMessage="1" showErrorMessage="1">
          <x14:formula1>
            <xm:f>C_Variables!$H$156:$H$168</xm:f>
          </x14:formula1>
          <xm:sqref>M166:Q171</xm:sqref>
        </x14:dataValidation>
        <x14:dataValidation type="list" allowBlank="1" showInputMessage="1" showErrorMessage="1">
          <x14:formula1>
            <xm:f>C_Variables!$F$31:$F$33</xm:f>
          </x14:formula1>
          <xm:sqref>O197:Q198</xm:sqref>
        </x14:dataValidation>
        <x14:dataValidation type="list" allowBlank="1" showInputMessage="1" showErrorMessage="1">
          <x14:formula1>
            <xm:f>C_Variables!$G$31:$G$33</xm:f>
          </x14:formula1>
          <xm:sqref>O199:Q200</xm:sqref>
        </x14:dataValidation>
        <x14:dataValidation type="list" allowBlank="1" showInputMessage="1" showErrorMessage="1">
          <x14:formula1>
            <xm:f>C_Variables!$H$31:$H$33</xm:f>
          </x14:formula1>
          <xm:sqref>O201:Q202</xm:sqref>
        </x14:dataValidation>
        <x14:dataValidation type="list" allowBlank="1" showInputMessage="1" showErrorMessage="1">
          <x14:formula1>
            <xm:f>OFFSET(C_Variables!$N$172,0,0,MAX(C_Variables!$M$172:$M$179),1)</xm:f>
          </x14:formula1>
          <xm:sqref>A201:E202</xm:sqref>
        </x14:dataValidation>
        <x14:dataValidation type="list" allowBlank="1" showInputMessage="1" showErrorMessage="1">
          <x14:formula1>
            <xm:f>OFFSET(C_Variables!$X$172,0,0,MAX(C_Variables!$V$172:$V$179),1)</xm:f>
          </x14:formula1>
          <xm:sqref>A205:E206</xm:sqref>
        </x14:dataValidation>
        <x14:dataValidation type="list" allowBlank="1" showInputMessage="1" showErrorMessage="1">
          <x14:formula1>
            <xm:f>OFFSET(C_Variables!$N$144,0,0,MAX(C_Variables!$M$144:$M$151),1)</xm:f>
          </x14:formula1>
          <xm:sqref>M177:Q178</xm:sqref>
        </x14:dataValidation>
        <x14:dataValidation type="list" allowBlank="1" showInputMessage="1" showErrorMessage="1" prompt="Select skill from class list">
          <x14:formula1>
            <xm:f>OFFSET(C_Variables!$Z$193,0,0,MAX(C_Variables!$Y$193:$Y$210),1)</xm:f>
          </x14:formula1>
          <xm:sqref>D92:F93</xm:sqref>
        </x14:dataValidation>
        <x14:dataValidation type="list" allowBlank="1" showInputMessage="1" showErrorMessage="1" prompt="Select skill from class list">
          <x14:formula1>
            <xm:f>OFFSET(C_Variables!$AE$193,0,0,MAX(C_Variables!$AD$193:$AD$210),1)</xm:f>
          </x14:formula1>
          <xm:sqref>D94:F95</xm:sqref>
        </x14:dataValidation>
        <x14:dataValidation type="list" allowBlank="1" showInputMessage="1" showErrorMessage="1" prompt="Select skill from all skills">
          <x14:formula1>
            <xm:f>OFFSET(C_Variables!$AJ$193,0,0,MAX(C_Variables!$AI$193:$AI$210),1)</xm:f>
          </x14:formula1>
          <xm:sqref>D96:F97</xm:sqref>
        </x14:dataValidation>
        <x14:dataValidation type="list" allowBlank="1" showInputMessage="1" showErrorMessage="1" prompt="Select skill from all skills">
          <x14:formula1>
            <xm:f>OFFSET(C_Variables!$AO$193,0,0,MAX(C_Variables!$AN$193:$AN$210),1)</xm:f>
          </x14:formula1>
          <xm:sqref>D98:F99</xm:sqref>
        </x14:dataValidation>
        <x14:dataValidation type="list" allowBlank="1" showInputMessage="1" showErrorMessage="1" promptTitle="Select Invocations" prompt="Select Invocations for your Warlock levels">
          <x14:formula1>
            <xm:f>OFFSET(C_Variables!$W$86,0,0,MAX(C_Variables!$V$86:$V$117),1)</xm:f>
          </x14:formula1>
          <xm:sqref>A168:E169</xm:sqref>
        </x14:dataValidation>
        <x14:dataValidation type="list" allowBlank="1" showInputMessage="1" showErrorMessage="1">
          <x14:formula1>
            <xm:f>OFFSET(C_Variables!$M$263,0,0,MAX(C_Variables!$L$263:$L$281),1)</xm:f>
          </x14:formula1>
          <xm:sqref>U84:W85</xm:sqref>
        </x14:dataValidation>
        <x14:dataValidation type="list" allowBlank="1" showInputMessage="1" showErrorMessage="1">
          <x14:formula1>
            <xm:f>OFFSET(C_Variables!$V$263,0,0,MAX(C_Variables!$U$263:$U$281),1)</xm:f>
          </x14:formula1>
          <xm:sqref>U90:W91</xm:sqref>
        </x14:dataValidation>
        <x14:dataValidation type="list" allowBlank="1" showInputMessage="1" showErrorMessage="1">
          <x14:formula1>
            <xm:f>OFFSET(C_Variables!$Y$263,0,0,MAX(C_Variables!$X$263:$X$281),1)</xm:f>
          </x14:formula1>
          <xm:sqref>U92:W93</xm:sqref>
        </x14:dataValidation>
        <x14:dataValidation type="list" allowBlank="1" showInputMessage="1" showErrorMessage="1">
          <x14:formula1>
            <xm:f>OFFSET(C_Variables!$AB$263,0,0,MAX(C_Variables!$AA$263:$AA$281),1)</xm:f>
          </x14:formula1>
          <xm:sqref>U94:W95</xm:sqref>
        </x14:dataValidation>
        <x14:dataValidation type="list" allowBlank="1" showInputMessage="1" showErrorMessage="1">
          <x14:formula1>
            <xm:f>OFFSET(C_Variables!$AE$263,0,0,MAX(C_Variables!$AD$263:$AD$281),1)</xm:f>
          </x14:formula1>
          <xm:sqref>U96:W97</xm:sqref>
        </x14:dataValidation>
        <x14:dataValidation type="list" allowBlank="1" showInputMessage="1" showErrorMessage="1">
          <x14:formula1>
            <xm:f>OFFSET(C_Variables!$AH$263,0,0,MAX(C_Variables!$AG$263:$AG$281),1)</xm:f>
          </x14:formula1>
          <xm:sqref>U98:W99</xm:sqref>
        </x14:dataValidation>
        <x14:dataValidation type="list" allowBlank="1" showInputMessage="1" showErrorMessage="1" prompt="Select skill from class list">
          <x14:formula1>
            <xm:f>OFFSET(C_Variables!$P$193,0,0,MAX(C_Variables!$O$193:$O$210),1)</xm:f>
          </x14:formula1>
          <xm:sqref>D88:F89</xm:sqref>
        </x14:dataValidation>
        <x14:dataValidation type="list" allowBlank="1" showInputMessage="1" showErrorMessage="1">
          <x14:formula1>
            <xm:f>OFFSET(C_Variables!$L$71,0,0,MAX(C_Variables!$P$60:$P$69),1)</xm:f>
          </x14:formula1>
          <xm:sqref>C185:E186</xm:sqref>
        </x14:dataValidation>
        <x14:dataValidation type="list" allowBlank="1" showInputMessage="1" showErrorMessage="1">
          <x14:formula1>
            <xm:f>OFFSET(C_Variables!$M$71,0,0,MAX(C_Variables!$Q$60:$Q$69),1)</xm:f>
          </x14:formula1>
          <xm:sqref>C187:E188</xm:sqref>
        </x14:dataValidation>
        <x14:dataValidation type="list" allowBlank="1" showInputMessage="1" showErrorMessage="1">
          <x14:formula1>
            <xm:f>OFFSET(C_Variables!$N$71,0,0,MAX(C_Variables!$R$60:$R$69),1)</xm:f>
          </x14:formula1>
          <xm:sqref>C189:E190</xm:sqref>
        </x14:dataValidation>
        <x14:dataValidation type="list" allowBlank="1" showInputMessage="1" showErrorMessage="1">
          <x14:formula1>
            <xm:f>OFFSET(C_Variables!$O$71,0,0,MAX(C_Variables!$S$60:$S$69),1)</xm:f>
          </x14:formula1>
          <xm:sqref>C191:E192</xm:sqref>
        </x14:dataValidation>
        <x14:dataValidation type="list" allowBlank="1" showInputMessage="1" showErrorMessage="1">
          <x14:formula1>
            <xm:f>OFFSET(C_Variables!$S$172,0,0,MAX(C_Variables!$R$172:$R$179),1)</xm:f>
          </x14:formula1>
          <xm:sqref>A203:E204</xm:sqref>
        </x14:dataValidation>
        <x14:dataValidation type="list" allowBlank="1" showInputMessage="1" showErrorMessage="1" promptTitle="Select Invocations" prompt="Select Invocations for your Warlock levels">
          <x14:formula1>
            <xm:f>OFFSET(C_Variables!$R$86,0,0,MAX(C_Variables!$Q$86:$Q$117),1)</xm:f>
          </x14:formula1>
          <xm:sqref>A166:E167</xm:sqref>
        </x14:dataValidation>
        <x14:dataValidation type="list" allowBlank="1" showInputMessage="1" showErrorMessage="1">
          <x14:formula1>
            <xm:f>OFFSET(C_Variables!$P$263,0,0,MAX(C_Variables!$O$263:$O$281),1)</xm:f>
          </x14:formula1>
          <xm:sqref>U86:W87</xm:sqref>
        </x14:dataValidation>
        <x14:dataValidation type="list" allowBlank="1" showInputMessage="1" showErrorMessage="1">
          <x14:formula1>
            <xm:f>OFFSET(C_Variables!$S$263,0,0,MAX(C_Variables!$R$263:$R$281),1)</xm:f>
          </x14:formula1>
          <xm:sqref>U88:W89</xm:sqref>
        </x14:dataValidation>
        <x14:dataValidation type="list" allowBlank="1" promptTitle="Select Deity" prompt="Select Deity for your Character">
          <x14:formula1>
            <xm:f>D06_Deities!$C$2:$C$130</xm:f>
          </x14:formula1>
          <xm:sqref>L9:O10</xm:sqref>
        </x14:dataValidation>
        <x14:dataValidation type="list" allowBlank="1" showInputMessage="1" promptTitle="Select Ideal" prompt="Select Ideal for Your Character. You can enter your own ideal">
          <x14:formula1>
            <xm:f>OFFSET(D02_Background!$AY$2,SelectedBackgroundId-1,0,1,OFFSET(D02_Background!$AX$2,SelectedBackgroundId-1,0))</xm:f>
          </x14:formula1>
          <xm:sqref>D27:J29</xm:sqref>
        </x14:dataValidation>
        <x14:dataValidation type="list" allowBlank="1" showInputMessage="1" showErrorMessage="1" promptTitle="Select Bond" prompt="Select Bond for Your Character. You can enter your own bond">
          <x14:formula1>
            <xm:f>OFFSET(D02_Background!$BJ$2,SelectedBackgroundId-1,0,1,OFFSET(D02_Background!$BI$2,SelectedBackgroundId-1,0))</xm:f>
          </x14:formula1>
          <xm:sqref>D30:J32</xm:sqref>
        </x14:dataValidation>
        <x14:dataValidation type="list" allowBlank="1" showInputMessage="1" promptTitle="Select Traits" prompt="You can input your own traits">
          <x14:formula1>
            <xm:f>OFFSET(D02_Background!$AN$2,SelectedBackgroundId-1,0,1,OFFSET(D02_Background!$AM$2,SelectedBackgroundId-1,0))</xm:f>
          </x14:formula1>
          <xm:sqref>N24:T29</xm:sqref>
        </x14:dataValidation>
        <x14:dataValidation type="list" allowBlank="1" showInputMessage="1" showErrorMessage="1" promptTitle="Select Flaw" prompt="You can input your own Flaw">
          <x14:formula1>
            <xm:f>OFFSET(D02_Background!$BU$2,SelectedBackgroundId-1,0,1,OFFSET(D02_Background!$BT$2,SelectedBackgroundId-1,0))</xm:f>
          </x14:formula1>
          <xm:sqref>N30:T32</xm:sqref>
        </x14:dataValidation>
        <x14:dataValidation type="list" allowBlank="1" showInputMessage="1" showErrorMessage="1">
          <x14:formula1>
            <xm:f>OFFSET(C_Variables!$U$286,0,0,MAX(C_Variables!$T$286:$T$311),1)</xm:f>
          </x14:formula1>
          <xm:sqref>C120:E121</xm:sqref>
        </x14:dataValidation>
        <x14:dataValidation type="list" allowBlank="1" showInputMessage="1" showErrorMessage="1">
          <x14:formula1>
            <xm:f>OFFSET(C_Variables!$Z$286,0,0,MAX(C_Variables!$Y$286:$Y$311),1)</xm:f>
          </x14:formula1>
          <xm:sqref>C122:E123</xm:sqref>
        </x14:dataValidation>
        <x14:dataValidation type="list" allowBlank="1" showInputMessage="1">
          <x14:formula1>
            <xm:f>OFFSET(C_Variables!$M$314,0,0,MAX(C_Variables!$L$314:$L$352),1)</xm:f>
          </x14:formula1>
          <xm:sqref>N110:P111</xm:sqref>
        </x14:dataValidation>
        <x14:dataValidation type="list" allowBlank="1" showInputMessage="1">
          <x14:formula1>
            <xm:f>OFFSET(C_Variables!$S$314,0,0,MAX(C_Variables!$R$314:$R$352),1)</xm:f>
          </x14:formula1>
          <xm:sqref>N112:P113</xm:sqref>
        </x14:dataValidation>
        <x14:dataValidation type="list" allowBlank="1" showInputMessage="1">
          <x14:formula1>
            <xm:f>OFFSET(C_Variables!$Y$314,0,0,MAX(C_Variables!$X$314:$X$352),1)</xm:f>
          </x14:formula1>
          <xm:sqref>N114:P115</xm:sqref>
        </x14:dataValidation>
        <x14:dataValidation type="list" allowBlank="1" showInputMessage="1">
          <x14:formula1>
            <xm:f>OFFSET(C_Variables!$AE$314,0,0,MAX(C_Variables!$AD$314:$AD$352),1)</xm:f>
          </x14:formula1>
          <xm:sqref>N116:P117</xm:sqref>
        </x14:dataValidation>
        <x14:dataValidation type="list" errorStyle="warning" allowBlank="1" showInputMessage="1" showErrorMessage="1">
          <x14:formula1>
            <xm:f>OFFSET(C_Variables!$AK$314,0,0,MAX(C_Variables!$AJ$314:$AJ$352),1)</xm:f>
          </x14:formula1>
          <xm:sqref>N118:P119</xm:sqref>
        </x14:dataValidation>
        <x14:dataValidation type="list" allowBlank="1" showInputMessage="1" showErrorMessage="1">
          <x14:formula1>
            <xm:f>OFFSET(C_Variables!$CW$193,0,0,MAX(C_Variables!$CV$193:$CV$210),1)</xm:f>
          </x14:formula1>
          <xm:sqref>O100:Q101</xm:sqref>
        </x14:dataValidation>
        <x14:dataValidation type="list" allowBlank="1" showInputMessage="1" showErrorMessage="1">
          <x14:formula1>
            <xm:f>OFFSET(C_Variables!$DC$193,0,0,MAX(C_Variables!$DB$193:$DB$210),1)</xm:f>
          </x14:formula1>
          <xm:sqref>O102:Q103</xm:sqref>
        </x14:dataValidation>
        <x14:dataValidation type="list" allowBlank="1" showInputMessage="1" showErrorMessage="1">
          <x14:formula1>
            <xm:f>OFFSET(C_Variables!$DI$193,0,0,MAX(C_Variables!$DH$193:$DH$210),1)</xm:f>
          </x14:formula1>
          <xm:sqref>O104:Q105</xm:sqref>
        </x14:dataValidation>
        <x14:dataValidation type="list" allowBlank="1" showInputMessage="1" showErrorMessage="1">
          <x14:formula1>
            <xm:f>OFFSET(C_Variables!$G$12,0,0,COUNTIF(C_Variables!$F$12:$F$17,"&gt;0"),1)</xm:f>
          </x14:formula1>
          <xm:sqref>C42:C53</xm:sqref>
        </x14:dataValidation>
        <x14:dataValidation type="list" allowBlank="1" showInputMessage="1" showErrorMessage="1">
          <x14:formula1>
            <xm:f>OFFSET(C_Variables!$AM$142,0,0,MAX(C_Variables!$AL$142:$AL$157),1)</xm:f>
          </x14:formula1>
          <xm:sqref>M184:Q193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2"/>
  <dimension ref="A1:N9"/>
  <sheetViews>
    <sheetView workbookViewId="0">
      <selection activeCell="A5" sqref="A5"/>
    </sheetView>
  </sheetViews>
  <sheetFormatPr defaultRowHeight="15" x14ac:dyDescent="0.25"/>
  <sheetData>
    <row r="1" spans="1:14" x14ac:dyDescent="0.25">
      <c r="A1" s="623">
        <f>Character_Name</f>
        <v>0</v>
      </c>
      <c r="B1" s="623"/>
      <c r="C1" s="623"/>
      <c r="D1" s="623"/>
      <c r="E1" s="623"/>
      <c r="F1" s="623"/>
      <c r="G1" s="623"/>
      <c r="H1" s="623"/>
      <c r="I1" s="623"/>
      <c r="J1" s="623"/>
      <c r="K1" s="623"/>
      <c r="L1" s="623"/>
      <c r="M1" s="623"/>
      <c r="N1" s="623"/>
    </row>
    <row r="2" spans="1:14" x14ac:dyDescent="0.25">
      <c r="A2" s="623" t="str">
        <f>Race&amp;""&amp;IF(SubRace&lt;&gt;Race," ("&amp;SubRace&amp;"), ",", ")&amp;Gender</f>
        <v xml:space="preserve">Elf (Dark Elf), </v>
      </c>
      <c r="B2" s="623"/>
      <c r="C2" s="623"/>
      <c r="D2" s="623"/>
      <c r="E2" s="623"/>
      <c r="F2" s="623"/>
      <c r="G2" s="623"/>
      <c r="H2" s="623"/>
      <c r="I2" s="623"/>
      <c r="J2" s="623"/>
      <c r="K2" s="623"/>
      <c r="L2" s="623"/>
      <c r="M2" s="623"/>
      <c r="N2" s="623"/>
    </row>
    <row r="3" spans="1:14" x14ac:dyDescent="0.25">
      <c r="A3" s="623" t="str">
        <f>MainClass&amp;IF(Multiclass1&lt;&gt;"","/"&amp;Multiclass1,"")&amp;IF(Multiclass2&lt;&gt;"","/"&amp;Multiclass2,"")&amp;IF(Multiclass3&lt;&gt;"","/"&amp;Multiclass3,"")&amp;IF(Multiclass4&lt;&gt;"","/"&amp;Multiclass4,"")&amp;IF(Multiclass5&lt;&gt;"","/"&amp;Multiclass5,"")&amp;" "&amp; MainClassLevel&amp;IF(MultiClass1Level&lt;&gt;"","/"&amp;MultiClass1Level,"")&amp;IF(MultiClass2Level&lt;&gt;"","/"&amp;MultiClass2Level,"")&amp;IF(MultiClass3Level&lt;&gt;"","/"&amp;MultiClass3Level,"")&amp;IF(MultiClass4Level&lt;&gt;"","/"&amp;MultiClass4Level,"")&amp;IF(MultiClass5Level&lt;&gt;"","/"&amp;MultiClass5Level,"")</f>
        <v xml:space="preserve"> 1</v>
      </c>
      <c r="B3" s="623"/>
      <c r="C3" s="623"/>
      <c r="D3" s="623"/>
      <c r="E3" s="623"/>
      <c r="F3" s="623"/>
      <c r="G3" s="623"/>
      <c r="H3" s="623"/>
      <c r="I3" s="623"/>
      <c r="J3" s="623"/>
      <c r="K3" s="623"/>
      <c r="L3" s="623"/>
      <c r="M3" s="623"/>
      <c r="N3" s="623"/>
    </row>
    <row r="4" spans="1:14" x14ac:dyDescent="0.25">
      <c r="A4" s="623" t="str">
        <f>"Background: "&amp;Background&amp;", "&amp;BackgroundSpecialty</f>
        <v>Background: Criminal, Fence</v>
      </c>
      <c r="B4" s="623"/>
      <c r="C4" s="623"/>
      <c r="D4" s="623"/>
      <c r="E4" s="623"/>
      <c r="F4" s="623"/>
      <c r="G4" s="623"/>
      <c r="H4" s="623"/>
      <c r="I4" s="623"/>
      <c r="J4" s="623"/>
      <c r="K4" s="623"/>
      <c r="L4" s="623"/>
      <c r="M4" s="623"/>
      <c r="N4" s="623"/>
    </row>
    <row r="5" spans="1:14" x14ac:dyDescent="0.25">
      <c r="A5" s="623" t="str">
        <f>"Ideal: "&amp;Ideal</f>
        <v>Ideal: Charity. I steal from the wealthy so that I can help people in need. (Good)</v>
      </c>
      <c r="B5" s="623"/>
      <c r="C5" s="623"/>
      <c r="D5" s="623"/>
      <c r="E5" s="623"/>
      <c r="F5" s="623"/>
      <c r="G5" s="623"/>
      <c r="H5" s="623"/>
      <c r="I5" s="623"/>
      <c r="J5" s="623"/>
      <c r="K5" s="623"/>
      <c r="L5" s="623"/>
      <c r="M5" s="623"/>
      <c r="N5" s="623"/>
    </row>
    <row r="6" spans="1:14" x14ac:dyDescent="0.25">
      <c r="A6" s="623" t="str">
        <f>"Bond: "&amp;Bond</f>
        <v>Bond: Something important was taken from me, and I aim to steal it back.</v>
      </c>
      <c r="B6" s="623"/>
      <c r="C6" s="623"/>
      <c r="D6" s="623"/>
      <c r="E6" s="623"/>
      <c r="F6" s="623"/>
      <c r="G6" s="623"/>
      <c r="H6" s="623"/>
      <c r="I6" s="623"/>
      <c r="J6" s="623"/>
      <c r="K6" s="623"/>
      <c r="L6" s="623"/>
      <c r="M6" s="623"/>
      <c r="N6" s="623"/>
    </row>
    <row r="7" spans="1:14" x14ac:dyDescent="0.25">
      <c r="A7" s="623" t="str">
        <f>"Flaw: "&amp;Flaw</f>
        <v>Flaw: I have a “tell” that reveals when I’m lying.</v>
      </c>
      <c r="B7" s="623"/>
      <c r="C7" s="623"/>
      <c r="D7" s="623"/>
      <c r="E7" s="623"/>
      <c r="F7" s="623"/>
      <c r="G7" s="623"/>
      <c r="H7" s="623"/>
      <c r="I7" s="623"/>
      <c r="J7" s="623"/>
      <c r="K7" s="623"/>
      <c r="L7" s="623"/>
      <c r="M7" s="623"/>
      <c r="N7" s="623"/>
    </row>
    <row r="8" spans="1:14" x14ac:dyDescent="0.25">
      <c r="A8" s="623" t="str">
        <f>"Personal Traits: "&amp;PersonalTrait1&amp;" "&amp;CHAR(10)&amp;PersonalTrait2</f>
        <v>Personal Traits: I would rather make a new friend than a new enemy. 
The first thing I do in a new place is note the locations of everything valuable—or where such things could be hidden.</v>
      </c>
      <c r="B8" s="623"/>
      <c r="C8" s="623"/>
      <c r="D8" s="623"/>
      <c r="E8" s="623"/>
      <c r="F8" s="623"/>
      <c r="G8" s="623"/>
      <c r="H8" s="623"/>
      <c r="I8" s="623"/>
      <c r="J8" s="623"/>
      <c r="K8" s="623"/>
      <c r="L8" s="623"/>
      <c r="M8" s="623"/>
      <c r="N8" s="623"/>
    </row>
    <row r="9" spans="1:14" x14ac:dyDescent="0.25">
      <c r="A9" t="str">
        <f>"Str:"&amp;Strength&amp;"("&amp;StrMod&amp;"), "&amp;"Dex:"&amp;Dexterity&amp;"("&amp;DexMOD&amp;"), "&amp;"Con:"&amp;Constitution&amp;"("&amp;ConMOD&amp;"), "&amp;"Int:"&amp;Intelligence&amp;"("&amp;IntMOD&amp;"), "&amp;"Wis:"&amp;Wisdom&amp;"("&amp;WisMOD&amp;"), "&amp;"Cha:"&amp;Charisma&amp;"("&amp;ChaMOD&amp;")"</f>
        <v>Str:14(2), Dex:20(5), Con:11(0), Int:13(1), Wis:10(0), Cha:18(4)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7"/>
  <dimension ref="A1:BE300"/>
  <sheetViews>
    <sheetView zoomScale="85" zoomScaleNormal="85" workbookViewId="0">
      <selection activeCell="X13" sqref="X13:Y19"/>
    </sheetView>
  </sheetViews>
  <sheetFormatPr defaultRowHeight="15" x14ac:dyDescent="0.25"/>
  <cols>
    <col min="1" max="1" width="3.7109375" customWidth="1"/>
    <col min="2" max="7" width="6.7109375" customWidth="1"/>
    <col min="8" max="8" width="7.5703125" customWidth="1"/>
    <col min="9" max="20" width="6.7109375" customWidth="1"/>
    <col min="24" max="24" width="14.28515625" bestFit="1" customWidth="1"/>
    <col min="25" max="25" width="22.7109375" customWidth="1"/>
    <col min="29" max="29" width="63.5703125" customWidth="1"/>
    <col min="31" max="31" width="31" customWidth="1"/>
  </cols>
  <sheetData>
    <row r="1" spans="1:57" ht="15.75" thickBot="1" x14ac:dyDescent="0.3">
      <c r="A1" s="131"/>
      <c r="B1" s="879" t="s">
        <v>3860</v>
      </c>
      <c r="C1" s="880"/>
      <c r="D1" s="880"/>
      <c r="E1" s="880"/>
      <c r="F1" s="880"/>
      <c r="G1" s="880"/>
      <c r="H1" s="880"/>
      <c r="I1" s="880"/>
      <c r="J1" s="880"/>
      <c r="K1" s="880"/>
      <c r="L1" s="880"/>
      <c r="M1" s="880"/>
      <c r="N1" s="880"/>
      <c r="O1" s="880"/>
      <c r="P1" s="880"/>
      <c r="Q1" s="880"/>
      <c r="R1" s="880"/>
      <c r="S1" s="880"/>
      <c r="T1" s="881"/>
      <c r="U1" s="163"/>
      <c r="V1" s="130"/>
      <c r="X1" t="s">
        <v>2258</v>
      </c>
      <c r="Y1" t="e">
        <f>INDEX(D04_Classes!$P$3:$P$102,SelectedClassID,1)</f>
        <v>#N/A</v>
      </c>
      <c r="AC1" s="148" t="s">
        <v>2241</v>
      </c>
      <c r="AE1" s="148" t="s">
        <v>3514</v>
      </c>
      <c r="AH1" s="296" t="s">
        <v>4424</v>
      </c>
      <c r="AI1" s="295" t="s">
        <v>4398</v>
      </c>
      <c r="AJ1" s="295" t="s">
        <v>2279</v>
      </c>
      <c r="AK1" s="295" t="s">
        <v>4154</v>
      </c>
      <c r="AN1" s="277" t="s">
        <v>4425</v>
      </c>
      <c r="AO1" s="148" t="s">
        <v>4398</v>
      </c>
      <c r="AP1" s="148" t="s">
        <v>2279</v>
      </c>
      <c r="AR1" s="277" t="s">
        <v>4954</v>
      </c>
      <c r="AS1" s="295" t="s">
        <v>5148</v>
      </c>
      <c r="AU1" s="277" t="s">
        <v>1114</v>
      </c>
      <c r="AV1" s="295" t="s">
        <v>4398</v>
      </c>
      <c r="AX1" s="296" t="s">
        <v>89</v>
      </c>
      <c r="AY1" s="295" t="s">
        <v>4398</v>
      </c>
      <c r="BA1" s="277" t="s">
        <v>173</v>
      </c>
      <c r="BB1" s="308" t="s">
        <v>4398</v>
      </c>
    </row>
    <row r="2" spans="1:57" ht="15.75" customHeight="1" thickBot="1" x14ac:dyDescent="0.3">
      <c r="A2" s="131"/>
      <c r="B2" s="882"/>
      <c r="C2" s="883"/>
      <c r="D2" s="883"/>
      <c r="E2" s="883"/>
      <c r="F2" s="883"/>
      <c r="G2" s="883"/>
      <c r="H2" s="883"/>
      <c r="I2" s="883"/>
      <c r="J2" s="883"/>
      <c r="K2" s="883"/>
      <c r="L2" s="883"/>
      <c r="M2" s="883"/>
      <c r="N2" s="883"/>
      <c r="O2" s="883"/>
      <c r="P2" s="883"/>
      <c r="Q2" s="883"/>
      <c r="R2" s="883"/>
      <c r="S2" s="883"/>
      <c r="T2" s="884"/>
      <c r="U2" s="163"/>
      <c r="V2" s="130"/>
      <c r="X2" t="s">
        <v>2259</v>
      </c>
      <c r="Y2" t="e">
        <f>INDEX(D04_Classes!$Q$3:$Q$102,SelectedClassID,1)</f>
        <v>#N/A</v>
      </c>
      <c r="AC2" s="149" t="str">
        <f>IFERROR(C_Input!#REF!,"")</f>
        <v/>
      </c>
      <c r="AE2" s="6" t="s">
        <v>2266</v>
      </c>
      <c r="AF2" s="6">
        <f>IF(IFERROR(MATCH(AE2,$AC$2:$AC$201,0),0)&gt;0,1,0)</f>
        <v>0</v>
      </c>
      <c r="AH2" s="282" t="s">
        <v>610</v>
      </c>
      <c r="AI2" s="282"/>
      <c r="AJ2" s="282"/>
      <c r="AK2" s="6">
        <f t="shared" ref="AK2:AK19" si="0">IF(OR(SelectedSkill13=AH2,SelectedSkill14=AH2),1,0)</f>
        <v>0</v>
      </c>
      <c r="AN2" s="6" t="s">
        <v>186</v>
      </c>
      <c r="AO2" s="6"/>
      <c r="AP2" s="6"/>
      <c r="AR2" s="6" t="s">
        <v>43</v>
      </c>
      <c r="AS2" s="6"/>
      <c r="AU2" s="6" t="s">
        <v>35</v>
      </c>
      <c r="AV2" s="6">
        <f t="shared" ref="AV2:AV39" ca="1" si="1">OFFSET(AB85,0,-1)</f>
        <v>0</v>
      </c>
      <c r="AX2" s="6" t="s">
        <v>3909</v>
      </c>
      <c r="AY2" s="6">
        <f>IF(IFERROR(SEARCH("Light Armor",$Y$68),-1)&gt;-1,1,0)</f>
        <v>0</v>
      </c>
      <c r="BA2" s="6" t="s">
        <v>35</v>
      </c>
      <c r="BB2" s="6">
        <f>INDEX($AA$85:$AA$122,MATCH(BA2,$W$85:$W$122,0),1)</f>
        <v>0</v>
      </c>
      <c r="BC2" s="6">
        <f>IF(MartialWeaponsProficiency=0,IF(BB2=0,0,1),0)</f>
        <v>0</v>
      </c>
      <c r="BD2" s="6">
        <v>1</v>
      </c>
      <c r="BE2" s="6" t="str">
        <f>IFERROR(INDEX($BA$2:$BA$24,MATCH(BD2,$BC$2:$BC$24,0),1),"")</f>
        <v>Hand Crossbow</v>
      </c>
    </row>
    <row r="3" spans="1:57" x14ac:dyDescent="0.25">
      <c r="A3" s="131"/>
      <c r="B3" s="132"/>
      <c r="C3" s="132"/>
      <c r="D3" s="132"/>
      <c r="E3" s="132"/>
      <c r="F3" s="132"/>
      <c r="G3" s="132"/>
      <c r="H3" s="132"/>
      <c r="I3" s="132"/>
      <c r="J3" s="132"/>
      <c r="K3" s="132"/>
      <c r="L3" s="132"/>
      <c r="M3" s="132"/>
      <c r="N3" s="132"/>
      <c r="O3" s="132"/>
      <c r="P3" s="132"/>
      <c r="Q3" s="132"/>
      <c r="R3" s="132"/>
      <c r="S3" s="132"/>
      <c r="T3" s="132"/>
      <c r="U3" s="163"/>
      <c r="V3" s="130"/>
      <c r="AC3" s="150" t="str">
        <f>IFERROR(C_Input!#REF!,"")</f>
        <v/>
      </c>
      <c r="AE3" s="6" t="s">
        <v>2267</v>
      </c>
      <c r="AF3" s="6">
        <f t="shared" ref="AF3:AF66" si="2">IF(IFERROR(MATCH(AE3,$AC$2:$AC$201,0),0)&gt;0,1,0)</f>
        <v>0</v>
      </c>
      <c r="AH3" s="282" t="s">
        <v>79</v>
      </c>
      <c r="AI3" s="282"/>
      <c r="AJ3" s="282"/>
      <c r="AK3" s="6">
        <f t="shared" si="0"/>
        <v>0</v>
      </c>
      <c r="AN3" s="6" t="s">
        <v>229</v>
      </c>
      <c r="AO3" s="6"/>
      <c r="AP3" s="6"/>
      <c r="AR3" s="6" t="s">
        <v>42</v>
      </c>
      <c r="AS3" s="6"/>
      <c r="AU3" s="6" t="s">
        <v>116</v>
      </c>
      <c r="AV3" s="6">
        <f t="shared" ca="1" si="1"/>
        <v>0</v>
      </c>
      <c r="AX3" s="6" t="s">
        <v>3912</v>
      </c>
      <c r="AY3" s="6">
        <f>IF(IFERROR(SEARCH("Medium Armor",$Y$68),-1)&gt;-1,1,0)</f>
        <v>0</v>
      </c>
      <c r="BA3" s="6" t="s">
        <v>116</v>
      </c>
      <c r="BB3" s="6">
        <f t="shared" ref="BB3:BB24" si="3">INDEX($AA$85:$AA$122,MATCH(BA3,$W$85:$W$122,0),1)</f>
        <v>0</v>
      </c>
      <c r="BC3" s="6">
        <f>IF(MartialWeaponsProficiency=0,IF(BB3=0,0,COUNTIF($BC$2:BC2,"&gt;0")+1),0)</f>
        <v>0</v>
      </c>
      <c r="BD3" s="6">
        <f>IFERROR(IF(BD2+1&lt;MAX(BC2:BC24)+1,BD2+1,""),"")</f>
        <v>2</v>
      </c>
      <c r="BE3" s="6" t="str">
        <f t="shared" ref="BE3:BE24" si="4">IFERROR(INDEX($BA$2:$BA$24,MATCH(BD3,$BC$2:$BC$24,0),1),"")</f>
        <v>Rapier</v>
      </c>
    </row>
    <row r="4" spans="1:57" ht="16.5" thickBot="1" x14ac:dyDescent="0.3">
      <c r="A4" s="131"/>
      <c r="B4" s="131"/>
      <c r="C4" s="131"/>
      <c r="D4" s="131"/>
      <c r="E4" s="131"/>
      <c r="F4" s="12" t="s">
        <v>2236</v>
      </c>
      <c r="G4" s="12" t="s">
        <v>2260</v>
      </c>
      <c r="H4" s="12" t="s">
        <v>2261</v>
      </c>
      <c r="I4" s="12" t="s">
        <v>4394</v>
      </c>
      <c r="J4" s="12" t="s">
        <v>2235</v>
      </c>
      <c r="K4" s="12" t="s">
        <v>2242</v>
      </c>
      <c r="L4" s="132"/>
      <c r="M4" s="132"/>
      <c r="N4" s="12" t="s">
        <v>2265</v>
      </c>
      <c r="O4" s="131"/>
      <c r="P4" s="12" t="s">
        <v>2264</v>
      </c>
      <c r="Q4" s="131"/>
      <c r="R4" s="12" t="s">
        <v>2263</v>
      </c>
      <c r="S4" s="131"/>
      <c r="T4" s="12" t="s">
        <v>2262</v>
      </c>
      <c r="U4" s="163"/>
      <c r="V4" s="130"/>
      <c r="AC4" s="150" t="str">
        <f>IFERROR(C_Input!#REF!,"")</f>
        <v/>
      </c>
      <c r="AE4" s="6" t="s">
        <v>2268</v>
      </c>
      <c r="AF4" s="6">
        <f t="shared" si="2"/>
        <v>0</v>
      </c>
      <c r="AH4" s="282" t="s">
        <v>83</v>
      </c>
      <c r="AI4" s="282"/>
      <c r="AJ4" s="282"/>
      <c r="AK4" s="6">
        <f t="shared" si="0"/>
        <v>0</v>
      </c>
      <c r="AN4" s="6" t="s">
        <v>234</v>
      </c>
      <c r="AO4" s="6"/>
      <c r="AP4" s="6"/>
      <c r="AR4" s="6" t="s">
        <v>54</v>
      </c>
      <c r="AS4" s="6"/>
      <c r="AU4" s="6" t="s">
        <v>119</v>
      </c>
      <c r="AV4" s="6">
        <f t="shared" ca="1" si="1"/>
        <v>0</v>
      </c>
      <c r="AX4" s="6" t="s">
        <v>4995</v>
      </c>
      <c r="AY4" s="6">
        <f>OR(IF(IFERROR(SEARCH("Heavy Armor",$Y$68),-1)&gt;-1,1,0),IF(IFERROR(SEARCH("all",$Y$68),-1)&gt;-1,1,0))*1</f>
        <v>0</v>
      </c>
      <c r="BA4" s="6" t="s">
        <v>125</v>
      </c>
      <c r="BB4" s="6">
        <f t="shared" si="3"/>
        <v>0</v>
      </c>
      <c r="BC4" s="6">
        <f>IF(MartialWeaponsProficiency=0,IF(BB4=0,0,COUNTIF($BC$2:BC3,"&gt;0")+1),0)</f>
        <v>0</v>
      </c>
      <c r="BD4" s="6">
        <f t="shared" ref="BD4:BD24" si="5">IFERROR(IF(BD3+1&lt;MAX(BC3:BC25)+1,BD3+1,""),"")</f>
        <v>3</v>
      </c>
      <c r="BE4" s="6" t="str">
        <f t="shared" si="4"/>
        <v>Shortsword</v>
      </c>
    </row>
    <row r="5" spans="1:57" x14ac:dyDescent="0.25">
      <c r="A5" s="131"/>
      <c r="B5" s="954" t="s">
        <v>610</v>
      </c>
      <c r="C5" s="955"/>
      <c r="D5" s="956"/>
      <c r="E5" s="136" t="s">
        <v>4</v>
      </c>
      <c r="F5" s="133">
        <f>IF(C_Variables!AK214&gt;0,Proficiency_Bonus,0)</f>
        <v>0</v>
      </c>
      <c r="G5" s="134">
        <f t="shared" ref="G5:G22" si="6">IFERROR(IF(Var_JoT=1,ROUNDDOWN(Proficiency_Bonus/2,0),0),0)</f>
        <v>0</v>
      </c>
      <c r="H5" s="134">
        <f t="shared" ref="H5:H22" si="7">F5*AI2</f>
        <v>0</v>
      </c>
      <c r="I5" s="134">
        <f t="shared" ref="I5:I22" si="8">Proficiency_Bonus*2*AK2</f>
        <v>0</v>
      </c>
      <c r="J5" s="472">
        <f>DexMOD</f>
        <v>5</v>
      </c>
      <c r="K5" s="477">
        <f>F5+G5+H5+J5+I5</f>
        <v>5</v>
      </c>
      <c r="L5" s="132"/>
      <c r="M5" s="950" t="s">
        <v>2229</v>
      </c>
      <c r="N5" s="947">
        <f>C_Input!N42</f>
        <v>2</v>
      </c>
      <c r="O5" s="949" t="s">
        <v>606</v>
      </c>
      <c r="P5" s="947" t="e">
        <f>IF(OR(Saving_Throw1="Str",Saving_Throw2="Str"),Proficiency_Bonus,0)</f>
        <v>#N/A</v>
      </c>
      <c r="Q5" s="949" t="s">
        <v>606</v>
      </c>
      <c r="R5" s="947"/>
      <c r="S5" s="951" t="s">
        <v>608</v>
      </c>
      <c r="T5" s="952" t="e">
        <f>N5+P5+R5</f>
        <v>#N/A</v>
      </c>
      <c r="U5" s="163"/>
      <c r="V5" s="130"/>
      <c r="AC5" s="150" t="str">
        <f>IFERROR(C_Input!#REF!,"")</f>
        <v/>
      </c>
      <c r="AE5" s="6" t="s">
        <v>2269</v>
      </c>
      <c r="AF5" s="6">
        <f t="shared" si="2"/>
        <v>0</v>
      </c>
      <c r="AH5" s="282" t="s">
        <v>86</v>
      </c>
      <c r="AI5" s="282"/>
      <c r="AJ5" s="282"/>
      <c r="AK5" s="6">
        <f t="shared" si="0"/>
        <v>0</v>
      </c>
      <c r="AN5" s="6" t="s">
        <v>244</v>
      </c>
      <c r="AO5" s="6"/>
      <c r="AP5" s="6"/>
      <c r="AR5" s="6" t="s">
        <v>1100</v>
      </c>
      <c r="AS5" s="6"/>
      <c r="AU5" s="6" t="s">
        <v>123</v>
      </c>
      <c r="AV5" s="6">
        <f t="shared" ca="1" si="1"/>
        <v>0</v>
      </c>
      <c r="AX5" s="6" t="s">
        <v>3913</v>
      </c>
      <c r="AY5" s="6">
        <f>IF(IFERROR(SEARCH("Shields",$Y$68),-1)&gt;-1,1,0)</f>
        <v>0</v>
      </c>
      <c r="BA5" s="6" t="s">
        <v>127</v>
      </c>
      <c r="BB5" s="6">
        <f t="shared" si="3"/>
        <v>0</v>
      </c>
      <c r="BC5" s="6">
        <f>IF(MartialWeaponsProficiency=0,IF(BB5=0,0,COUNTIF($BC$2:BC4,"&gt;0")+1),0)</f>
        <v>0</v>
      </c>
      <c r="BD5" s="6" t="str">
        <f t="shared" si="5"/>
        <v/>
      </c>
      <c r="BE5" s="6" t="str">
        <f t="shared" si="4"/>
        <v/>
      </c>
    </row>
    <row r="6" spans="1:57" ht="15.75" thickBot="1" x14ac:dyDescent="0.3">
      <c r="A6" s="131"/>
      <c r="B6" s="957" t="s">
        <v>79</v>
      </c>
      <c r="C6" s="958"/>
      <c r="D6" s="959"/>
      <c r="E6" s="137" t="s">
        <v>7</v>
      </c>
      <c r="F6" s="473">
        <f>IF(C_Variables!AK215&gt;0,Proficiency_Bonus,0)</f>
        <v>0</v>
      </c>
      <c r="G6" s="9">
        <f t="shared" si="6"/>
        <v>0</v>
      </c>
      <c r="H6" s="9">
        <f t="shared" si="7"/>
        <v>0</v>
      </c>
      <c r="I6" s="9">
        <f t="shared" si="8"/>
        <v>0</v>
      </c>
      <c r="J6" s="474">
        <f>WisMOD</f>
        <v>0</v>
      </c>
      <c r="K6" s="478">
        <f t="shared" ref="K6:K22" si="9">F6+G6+H6+J6+I6</f>
        <v>0</v>
      </c>
      <c r="L6" s="132"/>
      <c r="M6" s="950"/>
      <c r="N6" s="948"/>
      <c r="O6" s="949"/>
      <c r="P6" s="948"/>
      <c r="Q6" s="949"/>
      <c r="R6" s="948"/>
      <c r="S6" s="951"/>
      <c r="T6" s="953"/>
      <c r="U6" s="163"/>
      <c r="V6" s="130"/>
      <c r="X6" t="s">
        <v>93</v>
      </c>
      <c r="Y6">
        <f>IF(IFERROR(SEARCH(X6,INDEX(D04_Classes!$O$3:$O$102,SelectedClassID,1),1),-1)&gt;-1,1,0)</f>
        <v>0</v>
      </c>
      <c r="AC6" s="151" t="str">
        <f>IFERROR(C_Input!#REF!,"")</f>
        <v/>
      </c>
      <c r="AE6" s="6" t="s">
        <v>2298</v>
      </c>
      <c r="AF6" s="6">
        <f t="shared" si="2"/>
        <v>0</v>
      </c>
      <c r="AH6" s="282" t="s">
        <v>74</v>
      </c>
      <c r="AI6" s="282"/>
      <c r="AJ6" s="282"/>
      <c r="AK6" s="6">
        <f t="shared" si="0"/>
        <v>0</v>
      </c>
      <c r="AN6" s="6" t="s">
        <v>248</v>
      </c>
      <c r="AO6" s="6"/>
      <c r="AP6" s="6"/>
      <c r="AR6" s="6" t="s">
        <v>1101</v>
      </c>
      <c r="AS6" s="6"/>
      <c r="AU6" s="6" t="s">
        <v>124</v>
      </c>
      <c r="AV6" s="6">
        <f t="shared" ca="1" si="1"/>
        <v>0</v>
      </c>
      <c r="AX6" s="6" t="s">
        <v>4997</v>
      </c>
      <c r="AY6" s="6">
        <f>IF(IFERROR(SEARCH("Simple Weapons",$Y$68),-1)&gt;-1,1,0)</f>
        <v>0</v>
      </c>
      <c r="BA6" s="6" t="s">
        <v>130</v>
      </c>
      <c r="BB6" s="6">
        <f t="shared" si="3"/>
        <v>0</v>
      </c>
      <c r="BC6" s="6">
        <f>IF(MartialWeaponsProficiency=0,IF(BB6=0,0,COUNTIF($BC$2:BC5,"&gt;0")+1),0)</f>
        <v>0</v>
      </c>
      <c r="BD6" s="6" t="str">
        <f t="shared" si="5"/>
        <v/>
      </c>
      <c r="BE6" s="6" t="str">
        <f t="shared" si="4"/>
        <v/>
      </c>
    </row>
    <row r="7" spans="1:57" x14ac:dyDescent="0.25">
      <c r="A7" s="131"/>
      <c r="B7" s="957" t="s">
        <v>83</v>
      </c>
      <c r="C7" s="958"/>
      <c r="D7" s="959"/>
      <c r="E7" s="137" t="s">
        <v>6</v>
      </c>
      <c r="F7" s="473">
        <f>IF(C_Variables!AK216&gt;0,Proficiency_Bonus,0)</f>
        <v>0</v>
      </c>
      <c r="G7" s="9">
        <f t="shared" si="6"/>
        <v>0</v>
      </c>
      <c r="H7" s="9">
        <f t="shared" si="7"/>
        <v>0</v>
      </c>
      <c r="I7" s="9">
        <f t="shared" si="8"/>
        <v>0</v>
      </c>
      <c r="J7" s="474">
        <f>IntMOD</f>
        <v>1</v>
      </c>
      <c r="K7" s="478">
        <f t="shared" si="9"/>
        <v>1</v>
      </c>
      <c r="L7" s="132"/>
      <c r="M7" s="950" t="s">
        <v>2230</v>
      </c>
      <c r="N7" s="947">
        <f>C_Input!N44</f>
        <v>5</v>
      </c>
      <c r="O7" s="949" t="s">
        <v>606</v>
      </c>
      <c r="P7" s="947" t="e">
        <f>IF(OR(Saving_Throw1="Dex",Saving_Throw2="Dex"),Proficiency_Bonus,0)</f>
        <v>#N/A</v>
      </c>
      <c r="Q7" s="949" t="s">
        <v>606</v>
      </c>
      <c r="R7" s="947"/>
      <c r="S7" s="951" t="s">
        <v>608</v>
      </c>
      <c r="T7" s="952" t="e">
        <f>N7+P7+R7</f>
        <v>#N/A</v>
      </c>
      <c r="U7" s="163"/>
      <c r="V7" s="130"/>
      <c r="X7" t="s">
        <v>3773</v>
      </c>
      <c r="Y7">
        <f>IF(IFERROR(SEARCH(X7,INDEX(D04_Classes!$O$3:$O$102,SelectedClassID,1),1),-1)&gt;-1,1,0)</f>
        <v>0</v>
      </c>
      <c r="AC7" s="150"/>
      <c r="AE7" s="6" t="s">
        <v>2270</v>
      </c>
      <c r="AF7" s="6">
        <f t="shared" si="2"/>
        <v>0</v>
      </c>
      <c r="AH7" s="282" t="s">
        <v>84</v>
      </c>
      <c r="AI7" s="282"/>
      <c r="AJ7" s="282"/>
      <c r="AK7" s="6">
        <f t="shared" si="0"/>
        <v>0</v>
      </c>
      <c r="AN7" s="6" t="s">
        <v>264</v>
      </c>
      <c r="AO7" s="6"/>
      <c r="AP7" s="6"/>
      <c r="AR7" s="6" t="s">
        <v>1102</v>
      </c>
      <c r="AS7" s="6"/>
      <c r="AU7" s="6" t="s">
        <v>125</v>
      </c>
      <c r="AV7" s="6">
        <f t="shared" ca="1" si="1"/>
        <v>0</v>
      </c>
      <c r="AX7" s="6" t="s">
        <v>4996</v>
      </c>
      <c r="AY7" s="6">
        <f>IF(IFERROR(SEARCH("Martial Weapons",$Y$68),-1)&gt;-1,1,0)</f>
        <v>0</v>
      </c>
      <c r="BA7" s="6" t="s">
        <v>132</v>
      </c>
      <c r="BB7" s="6">
        <f t="shared" si="3"/>
        <v>0</v>
      </c>
      <c r="BC7" s="6">
        <f>IF(MartialWeaponsProficiency=0,IF(BB7=0,0,COUNTIF($BC$2:BC6,"&gt;0")+1),0)</f>
        <v>0</v>
      </c>
      <c r="BD7" s="6" t="str">
        <f t="shared" si="5"/>
        <v/>
      </c>
      <c r="BE7" s="6" t="str">
        <f t="shared" si="4"/>
        <v/>
      </c>
    </row>
    <row r="8" spans="1:57" ht="15.75" thickBot="1" x14ac:dyDescent="0.3">
      <c r="A8" s="131"/>
      <c r="B8" s="957" t="s">
        <v>86</v>
      </c>
      <c r="C8" s="958"/>
      <c r="D8" s="959"/>
      <c r="E8" s="137" t="s">
        <v>3</v>
      </c>
      <c r="F8" s="473">
        <f>IF(C_Variables!AK217&gt;0,Proficiency_Bonus,0)</f>
        <v>0</v>
      </c>
      <c r="G8" s="9">
        <f t="shared" si="6"/>
        <v>0</v>
      </c>
      <c r="H8" s="9">
        <f t="shared" si="7"/>
        <v>0</v>
      </c>
      <c r="I8" s="9">
        <f t="shared" si="8"/>
        <v>0</v>
      </c>
      <c r="J8" s="474">
        <f>StrMod</f>
        <v>2</v>
      </c>
      <c r="K8" s="478">
        <f t="shared" si="9"/>
        <v>2</v>
      </c>
      <c r="L8" s="132"/>
      <c r="M8" s="950"/>
      <c r="N8" s="948"/>
      <c r="O8" s="949"/>
      <c r="P8" s="948"/>
      <c r="Q8" s="949"/>
      <c r="R8" s="948"/>
      <c r="S8" s="951"/>
      <c r="T8" s="953"/>
      <c r="U8" s="163"/>
      <c r="V8" s="130"/>
      <c r="X8" t="s">
        <v>5102</v>
      </c>
      <c r="Y8">
        <f>IF(IFERROR(SEARCH(X8,INDEX(D04_Classes!$O$3:$O$102,SelectedClassID,1),1),-1)&gt;-1,1,0)</f>
        <v>0</v>
      </c>
      <c r="AC8" s="150"/>
      <c r="AE8" s="6" t="s">
        <v>2271</v>
      </c>
      <c r="AF8" s="6">
        <f t="shared" si="2"/>
        <v>0</v>
      </c>
      <c r="AH8" s="282" t="s">
        <v>71</v>
      </c>
      <c r="AI8" s="282"/>
      <c r="AJ8" s="282"/>
      <c r="AK8" s="6">
        <f t="shared" si="0"/>
        <v>0</v>
      </c>
      <c r="AN8" s="6" t="s">
        <v>273</v>
      </c>
      <c r="AO8" s="6"/>
      <c r="AP8" s="6"/>
      <c r="AR8" s="6" t="s">
        <v>56</v>
      </c>
      <c r="AS8" s="6"/>
      <c r="AU8" s="6" t="s">
        <v>127</v>
      </c>
      <c r="AV8" s="6">
        <f t="shared" ca="1" si="1"/>
        <v>0</v>
      </c>
      <c r="BA8" s="6" t="s">
        <v>134</v>
      </c>
      <c r="BB8" s="6">
        <f t="shared" si="3"/>
        <v>0</v>
      </c>
      <c r="BC8" s="6">
        <f>IF(MartialWeaponsProficiency=0,IF(BB8=0,0,COUNTIF($BC$2:BC7,"&gt;0")+1),0)</f>
        <v>0</v>
      </c>
      <c r="BD8" s="6" t="str">
        <f t="shared" si="5"/>
        <v/>
      </c>
      <c r="BE8" s="6" t="str">
        <f t="shared" si="4"/>
        <v/>
      </c>
    </row>
    <row r="9" spans="1:57" x14ac:dyDescent="0.25">
      <c r="A9" s="131"/>
      <c r="B9" s="957" t="s">
        <v>74</v>
      </c>
      <c r="C9" s="958"/>
      <c r="D9" s="959"/>
      <c r="E9" s="137" t="s">
        <v>8</v>
      </c>
      <c r="F9" s="473">
        <f>IF(C_Variables!AK218&gt;0,Proficiency_Bonus,0)</f>
        <v>2</v>
      </c>
      <c r="G9" s="9">
        <f t="shared" si="6"/>
        <v>0</v>
      </c>
      <c r="H9" s="9">
        <f t="shared" si="7"/>
        <v>0</v>
      </c>
      <c r="I9" s="9">
        <f t="shared" si="8"/>
        <v>0</v>
      </c>
      <c r="J9" s="474">
        <f>ChaMOD</f>
        <v>4</v>
      </c>
      <c r="K9" s="478">
        <f t="shared" si="9"/>
        <v>6</v>
      </c>
      <c r="L9" s="132"/>
      <c r="M9" s="950" t="s">
        <v>2231</v>
      </c>
      <c r="N9" s="947">
        <f>C_Input!N46</f>
        <v>0</v>
      </c>
      <c r="O9" s="949" t="s">
        <v>606</v>
      </c>
      <c r="P9" s="947" t="e">
        <f>IF(OR(Saving_Throw1="Con",Saving_Throw2="Con"),Proficiency_Bonus,0)</f>
        <v>#N/A</v>
      </c>
      <c r="Q9" s="949" t="s">
        <v>606</v>
      </c>
      <c r="R9" s="947"/>
      <c r="S9" s="951" t="s">
        <v>608</v>
      </c>
      <c r="T9" s="952" t="e">
        <f>N9+P9+R9</f>
        <v>#N/A</v>
      </c>
      <c r="U9" s="163"/>
      <c r="V9" s="130"/>
      <c r="X9" t="s">
        <v>3774</v>
      </c>
      <c r="Y9">
        <f>IF(IFERROR(SEARCH(X9,INDEX(D04_Classes!$O$3:$O$102,SelectedClassID,1),1),-1)&gt;-1,1,0)</f>
        <v>0</v>
      </c>
      <c r="AC9" s="150"/>
      <c r="AE9" s="6" t="s">
        <v>2272</v>
      </c>
      <c r="AF9" s="6">
        <f t="shared" si="2"/>
        <v>0</v>
      </c>
      <c r="AH9" s="282" t="s">
        <v>611</v>
      </c>
      <c r="AI9" s="282"/>
      <c r="AJ9" s="282"/>
      <c r="AK9" s="6">
        <f t="shared" si="0"/>
        <v>0</v>
      </c>
      <c r="AN9" s="6" t="s">
        <v>325</v>
      </c>
      <c r="AO9" s="6"/>
      <c r="AP9" s="6"/>
      <c r="AR9" s="6" t="s">
        <v>1103</v>
      </c>
      <c r="AS9" s="6"/>
      <c r="AU9" s="6" t="s">
        <v>129</v>
      </c>
      <c r="AV9" s="6">
        <f t="shared" ca="1" si="1"/>
        <v>0</v>
      </c>
      <c r="BA9" s="6" t="s">
        <v>135</v>
      </c>
      <c r="BB9" s="6">
        <f t="shared" si="3"/>
        <v>1</v>
      </c>
      <c r="BC9" s="6">
        <f>IF(MartialWeaponsProficiency=0,IF(BB9=0,0,COUNTIF($BC$2:BC8,"&gt;0")+1),0)</f>
        <v>1</v>
      </c>
      <c r="BD9" s="6" t="str">
        <f t="shared" si="5"/>
        <v/>
      </c>
      <c r="BE9" s="6" t="str">
        <f t="shared" si="4"/>
        <v/>
      </c>
    </row>
    <row r="10" spans="1:57" ht="15.75" thickBot="1" x14ac:dyDescent="0.3">
      <c r="A10" s="131"/>
      <c r="B10" s="957" t="s">
        <v>84</v>
      </c>
      <c r="C10" s="958"/>
      <c r="D10" s="959"/>
      <c r="E10" s="137" t="s">
        <v>6</v>
      </c>
      <c r="F10" s="473">
        <f>IF(C_Variables!AK219&gt;0,Proficiency_Bonus,0)</f>
        <v>0</v>
      </c>
      <c r="G10" s="9">
        <f t="shared" si="6"/>
        <v>0</v>
      </c>
      <c r="H10" s="9">
        <f t="shared" si="7"/>
        <v>0</v>
      </c>
      <c r="I10" s="9">
        <f t="shared" si="8"/>
        <v>0</v>
      </c>
      <c r="J10" s="474">
        <f>IntMOD</f>
        <v>1</v>
      </c>
      <c r="K10" s="478">
        <f t="shared" si="9"/>
        <v>1</v>
      </c>
      <c r="L10" s="132"/>
      <c r="M10" s="950"/>
      <c r="N10" s="948"/>
      <c r="O10" s="949"/>
      <c r="P10" s="948"/>
      <c r="Q10" s="949"/>
      <c r="R10" s="948"/>
      <c r="S10" s="951"/>
      <c r="T10" s="953"/>
      <c r="U10" s="163"/>
      <c r="V10" s="130"/>
      <c r="X10" t="s">
        <v>3772</v>
      </c>
      <c r="Y10">
        <f>IF(IFERROR(SEARCH(X10,INDEX(D04_Classes!$O$3:$O$102,SelectedClassID,1),1),-1)&gt;-1,1,0)</f>
        <v>0</v>
      </c>
      <c r="AC10" s="150"/>
      <c r="AE10" s="6" t="s">
        <v>2273</v>
      </c>
      <c r="AF10" s="6">
        <f t="shared" si="2"/>
        <v>0</v>
      </c>
      <c r="AH10" s="282" t="s">
        <v>612</v>
      </c>
      <c r="AI10" s="282"/>
      <c r="AJ10" s="282"/>
      <c r="AK10" s="6">
        <f t="shared" si="0"/>
        <v>0</v>
      </c>
      <c r="AN10" s="6" t="s">
        <v>349</v>
      </c>
      <c r="AO10" s="6"/>
      <c r="AP10" s="6"/>
      <c r="AR10" s="6" t="s">
        <v>1104</v>
      </c>
      <c r="AS10" s="6"/>
      <c r="AU10" s="6" t="s">
        <v>130</v>
      </c>
      <c r="AV10" s="6">
        <f t="shared" ca="1" si="1"/>
        <v>0</v>
      </c>
      <c r="BA10" s="6" t="s">
        <v>137</v>
      </c>
      <c r="BB10" s="6">
        <f t="shared" si="3"/>
        <v>0</v>
      </c>
      <c r="BC10" s="6">
        <f>IF(MartialWeaponsProficiency=0,IF(BB10=0,0,COUNTIF($BC$2:BC9,"&gt;0")+1),0)</f>
        <v>0</v>
      </c>
      <c r="BD10" s="6" t="str">
        <f t="shared" si="5"/>
        <v/>
      </c>
      <c r="BE10" s="6" t="str">
        <f t="shared" si="4"/>
        <v/>
      </c>
    </row>
    <row r="11" spans="1:57" x14ac:dyDescent="0.25">
      <c r="A11" s="131"/>
      <c r="B11" s="957" t="s">
        <v>71</v>
      </c>
      <c r="C11" s="958"/>
      <c r="D11" s="959"/>
      <c r="E11" s="137" t="s">
        <v>7</v>
      </c>
      <c r="F11" s="473">
        <f>IF(C_Variables!AK220&gt;0,Proficiency_Bonus,0)</f>
        <v>0</v>
      </c>
      <c r="G11" s="9">
        <f t="shared" si="6"/>
        <v>0</v>
      </c>
      <c r="H11" s="9">
        <f t="shared" si="7"/>
        <v>0</v>
      </c>
      <c r="I11" s="9">
        <f t="shared" si="8"/>
        <v>0</v>
      </c>
      <c r="J11" s="474">
        <f>WisMOD</f>
        <v>0</v>
      </c>
      <c r="K11" s="478">
        <f t="shared" si="9"/>
        <v>0</v>
      </c>
      <c r="L11" s="132"/>
      <c r="M11" s="950" t="s">
        <v>2232</v>
      </c>
      <c r="N11" s="947">
        <f>C_Input!N48</f>
        <v>1</v>
      </c>
      <c r="O11" s="949" t="s">
        <v>606</v>
      </c>
      <c r="P11" s="947" t="e">
        <f>IF(OR(Saving_Throw1="Int",Saving_Throw2="Int"),Proficiency_Bonus,0)</f>
        <v>#N/A</v>
      </c>
      <c r="Q11" s="949" t="s">
        <v>606</v>
      </c>
      <c r="R11" s="947"/>
      <c r="S11" s="951" t="s">
        <v>608</v>
      </c>
      <c r="T11" s="952" t="e">
        <f>N11+P11+R11</f>
        <v>#N/A</v>
      </c>
      <c r="U11" s="163"/>
      <c r="V11" s="130"/>
      <c r="X11" t="s">
        <v>3771</v>
      </c>
      <c r="Y11">
        <f>IF(IFERROR(SEARCH(X11,INDEX(D04_Classes!$O$3:$O$102,SelectedClassID,1),1),-1)&gt;-1,1,0)</f>
        <v>0</v>
      </c>
      <c r="AC11" s="150"/>
      <c r="AE11" s="6" t="s">
        <v>2306</v>
      </c>
      <c r="AF11" s="6">
        <f t="shared" si="2"/>
        <v>0</v>
      </c>
      <c r="AH11" s="282" t="s">
        <v>613</v>
      </c>
      <c r="AI11" s="282"/>
      <c r="AJ11" s="282"/>
      <c r="AK11" s="6">
        <f t="shared" si="0"/>
        <v>0</v>
      </c>
      <c r="AN11" s="6" t="s">
        <v>359</v>
      </c>
      <c r="AO11" s="6"/>
      <c r="AP11" s="6"/>
      <c r="AR11" s="6" t="s">
        <v>1105</v>
      </c>
      <c r="AS11" s="6"/>
      <c r="AU11" s="6" t="s">
        <v>132</v>
      </c>
      <c r="AV11" s="6">
        <f t="shared" ca="1" si="1"/>
        <v>0</v>
      </c>
      <c r="BA11" s="6" t="s">
        <v>140</v>
      </c>
      <c r="BB11" s="6">
        <f t="shared" si="3"/>
        <v>0</v>
      </c>
      <c r="BC11" s="6">
        <f>IF(MartialWeaponsProficiency=0,IF(BB11=0,0,COUNTIF($BC$2:BC10,"&gt;0")+1),0)</f>
        <v>0</v>
      </c>
      <c r="BD11" s="6" t="str">
        <f t="shared" si="5"/>
        <v/>
      </c>
      <c r="BE11" s="6" t="str">
        <f t="shared" si="4"/>
        <v/>
      </c>
    </row>
    <row r="12" spans="1:57" ht="15.75" thickBot="1" x14ac:dyDescent="0.3">
      <c r="A12" s="131"/>
      <c r="B12" s="957" t="s">
        <v>87</v>
      </c>
      <c r="C12" s="958"/>
      <c r="D12" s="959"/>
      <c r="E12" s="137" t="s">
        <v>8</v>
      </c>
      <c r="F12" s="473">
        <f>IF(C_Variables!AK221&gt;0,Proficiency_Bonus,0)</f>
        <v>0</v>
      </c>
      <c r="G12" s="9">
        <f t="shared" si="6"/>
        <v>0</v>
      </c>
      <c r="H12" s="9">
        <f t="shared" si="7"/>
        <v>0</v>
      </c>
      <c r="I12" s="9">
        <f t="shared" si="8"/>
        <v>0</v>
      </c>
      <c r="J12" s="474">
        <f>ChaMOD</f>
        <v>4</v>
      </c>
      <c r="K12" s="478">
        <f t="shared" si="9"/>
        <v>4</v>
      </c>
      <c r="L12" s="132"/>
      <c r="M12" s="950"/>
      <c r="N12" s="948"/>
      <c r="O12" s="949"/>
      <c r="P12" s="948"/>
      <c r="Q12" s="949"/>
      <c r="R12" s="948"/>
      <c r="S12" s="951"/>
      <c r="T12" s="953"/>
      <c r="U12" s="163"/>
      <c r="V12" s="130"/>
      <c r="AC12" s="150"/>
      <c r="AE12" s="6" t="s">
        <v>2274</v>
      </c>
      <c r="AF12" s="6">
        <f t="shared" si="2"/>
        <v>0</v>
      </c>
      <c r="AH12" s="282" t="s">
        <v>614</v>
      </c>
      <c r="AI12" s="282"/>
      <c r="AJ12" s="282"/>
      <c r="AK12" s="6">
        <f t="shared" si="0"/>
        <v>0</v>
      </c>
      <c r="AN12" s="6" t="s">
        <v>373</v>
      </c>
      <c r="AO12" s="6"/>
      <c r="AP12" s="6"/>
      <c r="AR12" s="6" t="s">
        <v>1107</v>
      </c>
      <c r="AS12" s="6"/>
      <c r="AU12" s="6" t="s">
        <v>134</v>
      </c>
      <c r="AV12" s="6">
        <f t="shared" ca="1" si="1"/>
        <v>0</v>
      </c>
      <c r="BA12" s="6" t="s">
        <v>53</v>
      </c>
      <c r="BB12" s="6">
        <f t="shared" si="3"/>
        <v>0</v>
      </c>
      <c r="BC12" s="6">
        <f>IF(MartialWeaponsProficiency=0,IF(BB12=0,0,COUNTIF($BC$2:BC11,"&gt;0")+1),0)</f>
        <v>0</v>
      </c>
      <c r="BD12" s="6" t="str">
        <f t="shared" si="5"/>
        <v/>
      </c>
      <c r="BE12" s="6" t="str">
        <f t="shared" si="4"/>
        <v/>
      </c>
    </row>
    <row r="13" spans="1:57" x14ac:dyDescent="0.25">
      <c r="A13" s="131"/>
      <c r="B13" s="957" t="s">
        <v>612</v>
      </c>
      <c r="C13" s="958"/>
      <c r="D13" s="959"/>
      <c r="E13" s="137" t="s">
        <v>6</v>
      </c>
      <c r="F13" s="473">
        <f>IF(C_Variables!AK222&gt;0,Proficiency_Bonus,0)</f>
        <v>0</v>
      </c>
      <c r="G13" s="9">
        <f t="shared" si="6"/>
        <v>0</v>
      </c>
      <c r="H13" s="9">
        <f t="shared" si="7"/>
        <v>0</v>
      </c>
      <c r="I13" s="9">
        <f t="shared" si="8"/>
        <v>0</v>
      </c>
      <c r="J13" s="474">
        <f>IntMOD</f>
        <v>1</v>
      </c>
      <c r="K13" s="478">
        <f t="shared" si="9"/>
        <v>1</v>
      </c>
      <c r="L13" s="132"/>
      <c r="M13" s="950" t="s">
        <v>2233</v>
      </c>
      <c r="N13" s="947">
        <f>C_Input!N50</f>
        <v>0</v>
      </c>
      <c r="O13" s="949" t="s">
        <v>606</v>
      </c>
      <c r="P13" s="947" t="e">
        <f>IF(OR(Saving_Throw1="Wis",Saving_Throw2="Wis"),Proficiency_Bonus,0)</f>
        <v>#N/A</v>
      </c>
      <c r="Q13" s="949" t="s">
        <v>606</v>
      </c>
      <c r="R13" s="947"/>
      <c r="S13" s="951" t="s">
        <v>608</v>
      </c>
      <c r="T13" s="952" t="e">
        <f>N13+P13+R13</f>
        <v>#N/A</v>
      </c>
      <c r="U13" s="163"/>
      <c r="V13" s="130"/>
      <c r="AC13" s="150"/>
      <c r="AE13" s="6" t="s">
        <v>2275</v>
      </c>
      <c r="AF13" s="6">
        <f t="shared" si="2"/>
        <v>0</v>
      </c>
      <c r="AH13" s="282" t="s">
        <v>49</v>
      </c>
      <c r="AI13" s="282"/>
      <c r="AJ13" s="282"/>
      <c r="AK13" s="6">
        <f t="shared" si="0"/>
        <v>0</v>
      </c>
      <c r="AN13" s="6" t="s">
        <v>394</v>
      </c>
      <c r="AO13" s="6"/>
      <c r="AP13" s="6"/>
      <c r="AR13" s="6" t="s">
        <v>1106</v>
      </c>
      <c r="AS13" s="6"/>
      <c r="AU13" s="6" t="s">
        <v>135</v>
      </c>
      <c r="AV13" s="6">
        <f t="shared" ca="1" si="1"/>
        <v>1</v>
      </c>
      <c r="BA13" s="6" t="s">
        <v>50</v>
      </c>
      <c r="BB13" s="6">
        <f t="shared" si="3"/>
        <v>0</v>
      </c>
      <c r="BC13" s="6">
        <f>IF(MartialWeaponsProficiency=0,IF(BB13=0,0,COUNTIF($BC$2:BC12,"&gt;0")+1),0)</f>
        <v>0</v>
      </c>
      <c r="BD13" s="6" t="str">
        <f t="shared" si="5"/>
        <v/>
      </c>
      <c r="BE13" s="6" t="str">
        <f t="shared" si="4"/>
        <v/>
      </c>
    </row>
    <row r="14" spans="1:57" ht="15.75" thickBot="1" x14ac:dyDescent="0.3">
      <c r="A14" s="131"/>
      <c r="B14" s="957" t="s">
        <v>613</v>
      </c>
      <c r="C14" s="958"/>
      <c r="D14" s="959"/>
      <c r="E14" s="137" t="s">
        <v>7</v>
      </c>
      <c r="F14" s="473">
        <f>IF(C_Variables!AK223&gt;0,Proficiency_Bonus,0)</f>
        <v>0</v>
      </c>
      <c r="G14" s="9">
        <f t="shared" si="6"/>
        <v>0</v>
      </c>
      <c r="H14" s="9">
        <f t="shared" si="7"/>
        <v>0</v>
      </c>
      <c r="I14" s="9">
        <f t="shared" si="8"/>
        <v>0</v>
      </c>
      <c r="J14" s="474">
        <f>WisMOD</f>
        <v>0</v>
      </c>
      <c r="K14" s="478">
        <f t="shared" si="9"/>
        <v>0</v>
      </c>
      <c r="L14" s="132"/>
      <c r="M14" s="950"/>
      <c r="N14" s="948"/>
      <c r="O14" s="949"/>
      <c r="P14" s="948"/>
      <c r="Q14" s="949"/>
      <c r="R14" s="948"/>
      <c r="S14" s="951"/>
      <c r="T14" s="953"/>
      <c r="U14" s="163"/>
      <c r="V14" s="130"/>
      <c r="AC14" s="150"/>
      <c r="AE14" s="6" t="s">
        <v>2276</v>
      </c>
      <c r="AF14" s="6">
        <f t="shared" si="2"/>
        <v>0</v>
      </c>
      <c r="AH14" s="282" t="s">
        <v>615</v>
      </c>
      <c r="AI14" s="282"/>
      <c r="AJ14" s="282"/>
      <c r="AK14" s="6">
        <f t="shared" si="0"/>
        <v>0</v>
      </c>
      <c r="AN14" s="6" t="s">
        <v>413</v>
      </c>
      <c r="AO14" s="6"/>
      <c r="AP14" s="6"/>
      <c r="AR14" s="6" t="s">
        <v>1108</v>
      </c>
      <c r="AS14" s="6"/>
      <c r="AU14" s="6" t="s">
        <v>36</v>
      </c>
      <c r="AV14" s="6">
        <f t="shared" ca="1" si="1"/>
        <v>0</v>
      </c>
      <c r="BA14" s="6" t="s">
        <v>144</v>
      </c>
      <c r="BB14" s="6">
        <f t="shared" si="3"/>
        <v>0</v>
      </c>
      <c r="BC14" s="6">
        <f>IF(MartialWeaponsProficiency=0,IF(BB14=0,0,COUNTIF($BC$2:BC13,"&gt;0")+1),0)</f>
        <v>0</v>
      </c>
      <c r="BD14" s="6" t="str">
        <f t="shared" si="5"/>
        <v/>
      </c>
      <c r="BE14" s="6" t="str">
        <f t="shared" si="4"/>
        <v/>
      </c>
    </row>
    <row r="15" spans="1:57" x14ac:dyDescent="0.25">
      <c r="A15" s="131"/>
      <c r="B15" s="957" t="s">
        <v>614</v>
      </c>
      <c r="C15" s="958"/>
      <c r="D15" s="959"/>
      <c r="E15" s="137" t="s">
        <v>6</v>
      </c>
      <c r="F15" s="473">
        <f>IF(C_Variables!AK224&gt;0,Proficiency_Bonus,0)</f>
        <v>0</v>
      </c>
      <c r="G15" s="9">
        <f t="shared" si="6"/>
        <v>0</v>
      </c>
      <c r="H15" s="9">
        <f t="shared" si="7"/>
        <v>0</v>
      </c>
      <c r="I15" s="9">
        <f t="shared" si="8"/>
        <v>0</v>
      </c>
      <c r="J15" s="474">
        <f>IntMOD</f>
        <v>1</v>
      </c>
      <c r="K15" s="478">
        <f t="shared" si="9"/>
        <v>1</v>
      </c>
      <c r="L15" s="132"/>
      <c r="M15" s="950" t="s">
        <v>2234</v>
      </c>
      <c r="N15" s="947">
        <f>C_Input!N52</f>
        <v>4</v>
      </c>
      <c r="O15" s="949" t="s">
        <v>606</v>
      </c>
      <c r="P15" s="947" t="e">
        <f>IF(OR(Saving_Throw1="Cha",Saving_Throw2="Cha"),Proficiency_Bonus,0)</f>
        <v>#N/A</v>
      </c>
      <c r="Q15" s="949" t="s">
        <v>606</v>
      </c>
      <c r="R15" s="947"/>
      <c r="S15" s="951" t="s">
        <v>608</v>
      </c>
      <c r="T15" s="952" t="e">
        <f>N15+P15+R15</f>
        <v>#N/A</v>
      </c>
      <c r="U15" s="163"/>
      <c r="V15" s="130"/>
      <c r="AC15" s="150"/>
      <c r="AE15" s="6" t="s">
        <v>2277</v>
      </c>
      <c r="AF15" s="6">
        <f t="shared" si="2"/>
        <v>0</v>
      </c>
      <c r="AH15" s="282" t="s">
        <v>616</v>
      </c>
      <c r="AI15" s="282"/>
      <c r="AJ15" s="282"/>
      <c r="AK15" s="6">
        <f t="shared" si="0"/>
        <v>0</v>
      </c>
      <c r="AN15" s="6" t="s">
        <v>454</v>
      </c>
      <c r="AO15" s="6"/>
      <c r="AP15" s="6"/>
      <c r="AR15" s="6" t="s">
        <v>1109</v>
      </c>
      <c r="AS15" s="6"/>
      <c r="AU15" s="6" t="s">
        <v>137</v>
      </c>
      <c r="AV15" s="6">
        <f t="shared" ca="1" si="1"/>
        <v>0</v>
      </c>
      <c r="BA15" s="6" t="s">
        <v>145</v>
      </c>
      <c r="BB15" s="6">
        <f t="shared" si="3"/>
        <v>0</v>
      </c>
      <c r="BC15" s="6">
        <f>IF(MartialWeaponsProficiency=0,IF(BB15=0,0,COUNTIF($BC$2:BC14,"&gt;0")+1),0)</f>
        <v>0</v>
      </c>
      <c r="BD15" s="6" t="str">
        <f t="shared" si="5"/>
        <v/>
      </c>
      <c r="BE15" s="6" t="str">
        <f t="shared" si="4"/>
        <v/>
      </c>
    </row>
    <row r="16" spans="1:57" ht="15.75" thickBot="1" x14ac:dyDescent="0.3">
      <c r="A16" s="131"/>
      <c r="B16" s="957" t="s">
        <v>49</v>
      </c>
      <c r="C16" s="958"/>
      <c r="D16" s="959"/>
      <c r="E16" s="137" t="s">
        <v>7</v>
      </c>
      <c r="F16" s="473">
        <f>IF(C_Variables!AK225&gt;0,Proficiency_Bonus,0)</f>
        <v>2</v>
      </c>
      <c r="G16" s="9">
        <f t="shared" si="6"/>
        <v>0</v>
      </c>
      <c r="H16" s="9">
        <f t="shared" si="7"/>
        <v>0</v>
      </c>
      <c r="I16" s="9">
        <f t="shared" si="8"/>
        <v>0</v>
      </c>
      <c r="J16" s="474">
        <f>WisMOD</f>
        <v>0</v>
      </c>
      <c r="K16" s="478">
        <f t="shared" si="9"/>
        <v>2</v>
      </c>
      <c r="L16" s="132"/>
      <c r="M16" s="950"/>
      <c r="N16" s="948"/>
      <c r="O16" s="949"/>
      <c r="P16" s="948"/>
      <c r="Q16" s="949"/>
      <c r="R16" s="948"/>
      <c r="S16" s="951"/>
      <c r="T16" s="953"/>
      <c r="U16" s="163"/>
      <c r="V16" s="130"/>
      <c r="AC16" s="150"/>
      <c r="AE16" s="6" t="s">
        <v>2278</v>
      </c>
      <c r="AF16" s="6">
        <f t="shared" si="2"/>
        <v>0</v>
      </c>
      <c r="AH16" s="282" t="s">
        <v>72</v>
      </c>
      <c r="AI16" s="282"/>
      <c r="AJ16" s="282"/>
      <c r="AK16" s="6">
        <f t="shared" si="0"/>
        <v>0</v>
      </c>
      <c r="AN16" s="6" t="s">
        <v>475</v>
      </c>
      <c r="AO16" s="6"/>
      <c r="AP16" s="6"/>
      <c r="AR16" s="6" t="s">
        <v>1110</v>
      </c>
      <c r="AS16" s="6"/>
      <c r="AU16" s="6" t="s">
        <v>138</v>
      </c>
      <c r="AV16" s="6">
        <f t="shared" ca="1" si="1"/>
        <v>0</v>
      </c>
      <c r="BA16" s="6" t="s">
        <v>146</v>
      </c>
      <c r="BB16" s="6">
        <f t="shared" si="3"/>
        <v>0</v>
      </c>
      <c r="BC16" s="6">
        <f>IF(MartialWeaponsProficiency=0,IF(BB16=0,0,COUNTIF($BC$2:BC15,"&gt;0")+1),0)</f>
        <v>0</v>
      </c>
      <c r="BD16" s="6" t="str">
        <f t="shared" si="5"/>
        <v/>
      </c>
      <c r="BE16" s="6" t="str">
        <f t="shared" si="4"/>
        <v/>
      </c>
    </row>
    <row r="17" spans="1:57" x14ac:dyDescent="0.25">
      <c r="A17" s="131"/>
      <c r="B17" s="957" t="s">
        <v>615</v>
      </c>
      <c r="C17" s="958"/>
      <c r="D17" s="959"/>
      <c r="E17" s="137" t="s">
        <v>8</v>
      </c>
      <c r="F17" s="473">
        <f>IF(C_Variables!AK226&gt;0,Proficiency_Bonus,0)</f>
        <v>0</v>
      </c>
      <c r="G17" s="9">
        <f t="shared" si="6"/>
        <v>0</v>
      </c>
      <c r="H17" s="9">
        <f t="shared" si="7"/>
        <v>0</v>
      </c>
      <c r="I17" s="9">
        <f t="shared" si="8"/>
        <v>0</v>
      </c>
      <c r="J17" s="474">
        <f>ChaMOD</f>
        <v>4</v>
      </c>
      <c r="K17" s="478">
        <f t="shared" si="9"/>
        <v>4</v>
      </c>
      <c r="L17" s="132"/>
      <c r="M17" s="132"/>
      <c r="N17" s="132"/>
      <c r="O17" s="132"/>
      <c r="P17" s="132"/>
      <c r="Q17" s="132"/>
      <c r="R17" s="132"/>
      <c r="S17" s="132"/>
      <c r="T17" s="132"/>
      <c r="U17" s="163"/>
      <c r="V17" s="130"/>
      <c r="AC17" s="150"/>
      <c r="AE17" s="6" t="s">
        <v>2279</v>
      </c>
      <c r="AF17" s="6">
        <f t="shared" si="2"/>
        <v>0</v>
      </c>
      <c r="AH17" s="282" t="s">
        <v>617</v>
      </c>
      <c r="AI17" s="282"/>
      <c r="AJ17" s="282"/>
      <c r="AK17" s="6">
        <f t="shared" si="0"/>
        <v>0</v>
      </c>
      <c r="AN17" s="6" t="s">
        <v>495</v>
      </c>
      <c r="AO17" s="6"/>
      <c r="AP17" s="6"/>
      <c r="AR17" s="6" t="s">
        <v>1111</v>
      </c>
      <c r="AS17" s="6"/>
      <c r="AU17" s="6" t="s">
        <v>140</v>
      </c>
      <c r="AV17" s="6">
        <f t="shared" ca="1" si="1"/>
        <v>0</v>
      </c>
      <c r="BA17" s="6" t="s">
        <v>147</v>
      </c>
      <c r="BB17" s="6">
        <f t="shared" si="3"/>
        <v>0</v>
      </c>
      <c r="BC17" s="6">
        <f>IF(MartialWeaponsProficiency=0,IF(BB17=0,0,COUNTIF($BC$2:BC16,"&gt;0")+1),0)</f>
        <v>0</v>
      </c>
      <c r="BD17" s="6" t="str">
        <f t="shared" si="5"/>
        <v/>
      </c>
      <c r="BE17" s="6" t="str">
        <f t="shared" si="4"/>
        <v/>
      </c>
    </row>
    <row r="18" spans="1:57" x14ac:dyDescent="0.25">
      <c r="A18" s="131"/>
      <c r="B18" s="957" t="s">
        <v>616</v>
      </c>
      <c r="C18" s="958"/>
      <c r="D18" s="959"/>
      <c r="E18" s="137" t="s">
        <v>8</v>
      </c>
      <c r="F18" s="473">
        <f>IF(C_Variables!AK227&gt;0,Proficiency_Bonus,0)</f>
        <v>0</v>
      </c>
      <c r="G18" s="9">
        <f t="shared" si="6"/>
        <v>0</v>
      </c>
      <c r="H18" s="9">
        <f t="shared" si="7"/>
        <v>0</v>
      </c>
      <c r="I18" s="9">
        <f t="shared" si="8"/>
        <v>0</v>
      </c>
      <c r="J18" s="474">
        <f>ChaMOD</f>
        <v>4</v>
      </c>
      <c r="K18" s="478">
        <f t="shared" si="9"/>
        <v>4</v>
      </c>
      <c r="L18" s="132"/>
      <c r="M18" s="132"/>
      <c r="N18" s="132"/>
      <c r="O18" s="132"/>
      <c r="P18" s="132"/>
      <c r="Q18" s="132"/>
      <c r="R18" s="132"/>
      <c r="S18" s="132"/>
      <c r="T18" s="132"/>
      <c r="U18" s="163"/>
      <c r="V18" s="130"/>
      <c r="AC18" s="150"/>
      <c r="AE18" s="6" t="s">
        <v>2280</v>
      </c>
      <c r="AF18" s="6">
        <f t="shared" si="2"/>
        <v>0</v>
      </c>
      <c r="AH18" s="282" t="s">
        <v>75</v>
      </c>
      <c r="AI18" s="282"/>
      <c r="AJ18" s="282"/>
      <c r="AK18" s="6">
        <f t="shared" si="0"/>
        <v>0</v>
      </c>
      <c r="AN18" s="6" t="s">
        <v>497</v>
      </c>
      <c r="AO18" s="6"/>
      <c r="AP18" s="6"/>
      <c r="AU18" s="6" t="s">
        <v>141</v>
      </c>
      <c r="AV18" s="6">
        <f t="shared" ca="1" si="1"/>
        <v>0</v>
      </c>
      <c r="BA18" s="6" t="s">
        <v>149</v>
      </c>
      <c r="BB18" s="6">
        <f t="shared" si="3"/>
        <v>1</v>
      </c>
      <c r="BC18" s="6">
        <f>IF(MartialWeaponsProficiency=0,IF(BB18=0,0,COUNTIF($BC$2:BC17,"&gt;0")+1),0)</f>
        <v>2</v>
      </c>
      <c r="BD18" s="6" t="str">
        <f t="shared" si="5"/>
        <v/>
      </c>
      <c r="BE18" s="6" t="str">
        <f t="shared" si="4"/>
        <v/>
      </c>
    </row>
    <row r="19" spans="1:57" x14ac:dyDescent="0.25">
      <c r="A19" s="131"/>
      <c r="B19" s="957" t="s">
        <v>72</v>
      </c>
      <c r="C19" s="958"/>
      <c r="D19" s="959"/>
      <c r="E19" s="137" t="s">
        <v>6</v>
      </c>
      <c r="F19" s="473">
        <f>IF(C_Variables!AK228&gt;0,Proficiency_Bonus,0)</f>
        <v>0</v>
      </c>
      <c r="G19" s="9">
        <f t="shared" si="6"/>
        <v>0</v>
      </c>
      <c r="H19" s="9">
        <f t="shared" si="7"/>
        <v>0</v>
      </c>
      <c r="I19" s="9">
        <f t="shared" si="8"/>
        <v>0</v>
      </c>
      <c r="J19" s="474">
        <f>IntMOD</f>
        <v>1</v>
      </c>
      <c r="K19" s="478">
        <f t="shared" si="9"/>
        <v>1</v>
      </c>
      <c r="L19" s="132"/>
      <c r="M19" s="132"/>
      <c r="N19" s="132"/>
      <c r="O19" s="132"/>
      <c r="P19" s="132"/>
      <c r="Q19" s="132"/>
      <c r="R19" s="132"/>
      <c r="S19" s="132"/>
      <c r="T19" s="132"/>
      <c r="U19" s="163"/>
      <c r="V19" s="130"/>
      <c r="AC19" s="150"/>
      <c r="AE19" s="6" t="s">
        <v>2281</v>
      </c>
      <c r="AF19" s="6">
        <f t="shared" si="2"/>
        <v>0</v>
      </c>
      <c r="AH19" s="282" t="s">
        <v>80</v>
      </c>
      <c r="AI19" s="282"/>
      <c r="AJ19" s="282"/>
      <c r="AK19" s="6">
        <f t="shared" si="0"/>
        <v>0</v>
      </c>
      <c r="AN19" s="6" t="s">
        <v>287</v>
      </c>
      <c r="AO19" s="6"/>
      <c r="AP19" s="6"/>
      <c r="AU19" s="6" t="s">
        <v>142</v>
      </c>
      <c r="AV19" s="6">
        <f t="shared" ca="1" si="1"/>
        <v>0</v>
      </c>
      <c r="BA19" s="6" t="s">
        <v>151</v>
      </c>
      <c r="BB19" s="6">
        <f t="shared" si="3"/>
        <v>0</v>
      </c>
      <c r="BC19" s="6">
        <f>IF(MartialWeaponsProficiency=0,IF(BB19=0,0,COUNTIF($BC$2:BC18,"&gt;0")+1),0)</f>
        <v>0</v>
      </c>
      <c r="BD19" s="6" t="str">
        <f t="shared" si="5"/>
        <v/>
      </c>
      <c r="BE19" s="6" t="str">
        <f t="shared" si="4"/>
        <v/>
      </c>
    </row>
    <row r="20" spans="1:57" x14ac:dyDescent="0.25">
      <c r="A20" s="131"/>
      <c r="B20" s="957" t="s">
        <v>617</v>
      </c>
      <c r="C20" s="958"/>
      <c r="D20" s="959"/>
      <c r="E20" s="137" t="s">
        <v>4</v>
      </c>
      <c r="F20" s="473">
        <f>IF(C_Variables!AK229&gt;0,Proficiency_Bonus,0)</f>
        <v>0</v>
      </c>
      <c r="G20" s="9">
        <f t="shared" si="6"/>
        <v>0</v>
      </c>
      <c r="H20" s="9">
        <f t="shared" si="7"/>
        <v>0</v>
      </c>
      <c r="I20" s="9">
        <f t="shared" si="8"/>
        <v>0</v>
      </c>
      <c r="J20" s="474">
        <f>DexMOD</f>
        <v>5</v>
      </c>
      <c r="K20" s="478">
        <f t="shared" si="9"/>
        <v>5</v>
      </c>
      <c r="L20" s="132"/>
      <c r="M20" s="132"/>
      <c r="N20" s="132"/>
      <c r="O20" s="132"/>
      <c r="P20" s="132"/>
      <c r="Q20" s="132"/>
      <c r="R20" s="132"/>
      <c r="S20" s="132"/>
      <c r="T20" s="132"/>
      <c r="U20" s="163"/>
      <c r="V20" s="130"/>
      <c r="AC20" s="150"/>
      <c r="AE20" s="6" t="s">
        <v>2282</v>
      </c>
      <c r="AF20" s="6">
        <f t="shared" si="2"/>
        <v>0</v>
      </c>
      <c r="AN20" s="6" t="s">
        <v>317</v>
      </c>
      <c r="AO20" s="6"/>
      <c r="AP20" s="6"/>
      <c r="AU20" s="6" t="s">
        <v>53</v>
      </c>
      <c r="AV20" s="6">
        <f t="shared" ca="1" si="1"/>
        <v>0</v>
      </c>
      <c r="BA20" s="6" t="s">
        <v>51</v>
      </c>
      <c r="BB20" s="6">
        <f t="shared" si="3"/>
        <v>1</v>
      </c>
      <c r="BC20" s="6">
        <f>IF(MartialWeaponsProficiency=0,IF(BB20=0,0,COUNTIF($BC$2:BC19,"&gt;0")+1),0)</f>
        <v>3</v>
      </c>
      <c r="BD20" s="6" t="str">
        <f t="shared" si="5"/>
        <v/>
      </c>
      <c r="BE20" s="6" t="str">
        <f t="shared" si="4"/>
        <v/>
      </c>
    </row>
    <row r="21" spans="1:57" x14ac:dyDescent="0.25">
      <c r="A21" s="131"/>
      <c r="B21" s="957" t="s">
        <v>75</v>
      </c>
      <c r="C21" s="958"/>
      <c r="D21" s="959"/>
      <c r="E21" s="137" t="s">
        <v>4</v>
      </c>
      <c r="F21" s="473">
        <f>IF(C_Variables!AK230&gt;0,Proficiency_Bonus,0)</f>
        <v>2</v>
      </c>
      <c r="G21" s="9">
        <f t="shared" si="6"/>
        <v>0</v>
      </c>
      <c r="H21" s="9">
        <f t="shared" si="7"/>
        <v>0</v>
      </c>
      <c r="I21" s="9">
        <f t="shared" si="8"/>
        <v>0</v>
      </c>
      <c r="J21" s="474">
        <f>DexMOD</f>
        <v>5</v>
      </c>
      <c r="K21" s="478">
        <f t="shared" si="9"/>
        <v>7</v>
      </c>
      <c r="L21" s="132"/>
      <c r="M21" s="132"/>
      <c r="N21" s="132"/>
      <c r="O21" s="132"/>
      <c r="P21" s="132"/>
      <c r="Q21" s="132"/>
      <c r="R21" s="132"/>
      <c r="S21" s="132"/>
      <c r="T21" s="132"/>
      <c r="U21" s="163"/>
      <c r="V21" s="130"/>
      <c r="AC21" s="150"/>
      <c r="AE21" s="6" t="s">
        <v>2283</v>
      </c>
      <c r="AF21" s="6">
        <f t="shared" si="2"/>
        <v>0</v>
      </c>
      <c r="AN21" s="6" t="s">
        <v>284</v>
      </c>
      <c r="AO21" s="6"/>
      <c r="AP21" s="6"/>
      <c r="AU21" s="6" t="s">
        <v>50</v>
      </c>
      <c r="AV21" s="6">
        <f t="shared" ca="1" si="1"/>
        <v>0</v>
      </c>
      <c r="BA21" s="6" t="s">
        <v>156</v>
      </c>
      <c r="BB21" s="6">
        <f t="shared" si="3"/>
        <v>0</v>
      </c>
      <c r="BC21" s="6">
        <f>IF(MartialWeaponsProficiency=0,IF(BB21=0,0,COUNTIF($BC$2:BC20,"&gt;0")+1),0)</f>
        <v>0</v>
      </c>
      <c r="BD21" s="6" t="str">
        <f t="shared" si="5"/>
        <v/>
      </c>
      <c r="BE21" s="6" t="str">
        <f t="shared" si="4"/>
        <v/>
      </c>
    </row>
    <row r="22" spans="1:57" ht="15.75" thickBot="1" x14ac:dyDescent="0.3">
      <c r="A22" s="131"/>
      <c r="B22" s="960" t="s">
        <v>80</v>
      </c>
      <c r="C22" s="961"/>
      <c r="D22" s="962"/>
      <c r="E22" s="138" t="s">
        <v>7</v>
      </c>
      <c r="F22" s="475">
        <f>IF(C_Variables!AK231&gt;0,Proficiency_Bonus,0)</f>
        <v>0</v>
      </c>
      <c r="G22" s="135">
        <f t="shared" si="6"/>
        <v>0</v>
      </c>
      <c r="H22" s="135">
        <f t="shared" si="7"/>
        <v>0</v>
      </c>
      <c r="I22" s="135">
        <f t="shared" si="8"/>
        <v>0</v>
      </c>
      <c r="J22" s="476">
        <f>WisMOD</f>
        <v>0</v>
      </c>
      <c r="K22" s="479">
        <f t="shared" si="9"/>
        <v>0</v>
      </c>
      <c r="L22" s="132"/>
      <c r="M22" s="132"/>
      <c r="N22" s="132"/>
      <c r="O22" s="132"/>
      <c r="P22" s="132"/>
      <c r="Q22" s="132"/>
      <c r="R22" s="132"/>
      <c r="S22" s="132"/>
      <c r="T22" s="132"/>
      <c r="U22" s="163"/>
      <c r="V22" s="130"/>
      <c r="AC22" s="150"/>
      <c r="AE22" s="6" t="s">
        <v>2284</v>
      </c>
      <c r="AF22" s="6">
        <f t="shared" si="2"/>
        <v>0</v>
      </c>
      <c r="AN22" s="6" t="s">
        <v>294</v>
      </c>
      <c r="AO22" s="6"/>
      <c r="AP22" s="6"/>
      <c r="AU22" s="6" t="s">
        <v>143</v>
      </c>
      <c r="AV22" s="6">
        <f t="shared" ca="1" si="1"/>
        <v>0</v>
      </c>
      <c r="BA22" s="6" t="s">
        <v>158</v>
      </c>
      <c r="BB22" s="6">
        <f t="shared" si="3"/>
        <v>0</v>
      </c>
      <c r="BC22" s="6">
        <f>IF(MartialWeaponsProficiency=0,IF(BB22=0,0,COUNTIF($BC$2:BC21,"&gt;0")+1),0)</f>
        <v>0</v>
      </c>
      <c r="BD22" s="6" t="str">
        <f t="shared" si="5"/>
        <v/>
      </c>
      <c r="BE22" s="6" t="str">
        <f t="shared" si="4"/>
        <v/>
      </c>
    </row>
    <row r="23" spans="1:57" x14ac:dyDescent="0.25">
      <c r="A23" s="131"/>
      <c r="B23" s="132"/>
      <c r="C23" s="132"/>
      <c r="D23" s="132"/>
      <c r="E23" s="132"/>
      <c r="F23" s="132"/>
      <c r="G23" s="132"/>
      <c r="H23" s="132"/>
      <c r="I23" s="132"/>
      <c r="J23" s="132"/>
      <c r="K23" s="132"/>
      <c r="L23" s="132"/>
      <c r="M23" s="132"/>
      <c r="N23" s="132"/>
      <c r="O23" s="132"/>
      <c r="P23" s="132"/>
      <c r="Q23" s="132"/>
      <c r="R23" s="132"/>
      <c r="S23" s="132"/>
      <c r="T23" s="132"/>
      <c r="U23" s="163"/>
      <c r="V23" s="130"/>
      <c r="AC23" s="150"/>
      <c r="AE23" s="6" t="s">
        <v>2285</v>
      </c>
      <c r="AF23" s="6">
        <f t="shared" si="2"/>
        <v>0</v>
      </c>
      <c r="AN23" s="6" t="s">
        <v>400</v>
      </c>
      <c r="AO23" s="6"/>
      <c r="AP23" s="6"/>
      <c r="AU23" s="6" t="s">
        <v>144</v>
      </c>
      <c r="AV23" s="6">
        <f t="shared" ca="1" si="1"/>
        <v>0</v>
      </c>
      <c r="BA23" s="6" t="s">
        <v>38</v>
      </c>
      <c r="BB23" s="6">
        <f t="shared" si="3"/>
        <v>0</v>
      </c>
      <c r="BC23" s="6">
        <f>IF(MartialWeaponsProficiency=0,IF(BB23=0,0,COUNTIF($BC$2:BC22,"&gt;0")+1),0)</f>
        <v>0</v>
      </c>
      <c r="BD23" s="6" t="str">
        <f t="shared" si="5"/>
        <v/>
      </c>
      <c r="BE23" s="6" t="str">
        <f t="shared" si="4"/>
        <v/>
      </c>
    </row>
    <row r="24" spans="1:57" ht="15.75" thickBot="1" x14ac:dyDescent="0.3">
      <c r="A24" s="131"/>
      <c r="B24" s="132"/>
      <c r="C24" s="132"/>
      <c r="D24" s="132"/>
      <c r="E24" s="132"/>
      <c r="F24" s="132"/>
      <c r="G24" s="132"/>
      <c r="H24" s="132"/>
      <c r="I24" s="132"/>
      <c r="J24" s="132"/>
      <c r="K24" s="132"/>
      <c r="L24" s="132"/>
      <c r="M24" s="132"/>
      <c r="N24" s="132"/>
      <c r="O24" s="132"/>
      <c r="P24" s="132"/>
      <c r="Q24" s="132"/>
      <c r="R24" s="132"/>
      <c r="S24" s="132"/>
      <c r="T24" s="132"/>
      <c r="U24" s="163"/>
      <c r="V24" s="130"/>
      <c r="AC24" s="150"/>
      <c r="AE24" s="6" t="s">
        <v>2286</v>
      </c>
      <c r="AF24" s="6">
        <f t="shared" si="2"/>
        <v>0</v>
      </c>
      <c r="AN24" s="6" t="s">
        <v>472</v>
      </c>
      <c r="AO24" s="6"/>
      <c r="AP24" s="6"/>
      <c r="AU24" s="6" t="s">
        <v>145</v>
      </c>
      <c r="AV24" s="6">
        <f t="shared" ca="1" si="1"/>
        <v>0</v>
      </c>
      <c r="BA24" s="6" t="s">
        <v>159</v>
      </c>
      <c r="BB24" s="6">
        <f t="shared" si="3"/>
        <v>0</v>
      </c>
      <c r="BC24" s="6">
        <f>IF(MartialWeaponsProficiency=0,IF(BB24=0,0,COUNTIF($BC$2:BC23,"&gt;0")+1),0)</f>
        <v>0</v>
      </c>
      <c r="BD24" s="6" t="str">
        <f t="shared" si="5"/>
        <v/>
      </c>
      <c r="BE24" s="6" t="str">
        <f t="shared" si="4"/>
        <v/>
      </c>
    </row>
    <row r="25" spans="1:57" x14ac:dyDescent="0.25">
      <c r="A25" s="131"/>
      <c r="B25" s="879" t="s">
        <v>5211</v>
      </c>
      <c r="C25" s="880"/>
      <c r="D25" s="880"/>
      <c r="E25" s="880"/>
      <c r="F25" s="880"/>
      <c r="G25" s="880"/>
      <c r="H25" s="880"/>
      <c r="I25" s="880"/>
      <c r="J25" s="880"/>
      <c r="K25" s="880"/>
      <c r="L25" s="880"/>
      <c r="M25" s="880"/>
      <c r="N25" s="880"/>
      <c r="O25" s="880"/>
      <c r="P25" s="880"/>
      <c r="Q25" s="880"/>
      <c r="R25" s="880"/>
      <c r="S25" s="880"/>
      <c r="T25" s="881"/>
      <c r="U25" s="163"/>
      <c r="V25" s="130"/>
      <c r="AC25" s="150"/>
      <c r="AE25" s="6" t="s">
        <v>2287</v>
      </c>
      <c r="AF25" s="6">
        <f t="shared" si="2"/>
        <v>0</v>
      </c>
      <c r="AN25" s="6" t="s">
        <v>333</v>
      </c>
      <c r="AO25" s="6"/>
      <c r="AP25" s="6"/>
      <c r="AU25" s="6" t="s">
        <v>146</v>
      </c>
      <c r="AV25" s="6">
        <f t="shared" ca="1" si="1"/>
        <v>0</v>
      </c>
    </row>
    <row r="26" spans="1:57" ht="15.75" thickBot="1" x14ac:dyDescent="0.3">
      <c r="A26" s="131"/>
      <c r="B26" s="882"/>
      <c r="C26" s="883"/>
      <c r="D26" s="883"/>
      <c r="E26" s="883"/>
      <c r="F26" s="883"/>
      <c r="G26" s="883"/>
      <c r="H26" s="883"/>
      <c r="I26" s="883"/>
      <c r="J26" s="883"/>
      <c r="K26" s="883"/>
      <c r="L26" s="883"/>
      <c r="M26" s="883"/>
      <c r="N26" s="883"/>
      <c r="O26" s="883"/>
      <c r="P26" s="883"/>
      <c r="Q26" s="883"/>
      <c r="R26" s="883"/>
      <c r="S26" s="883"/>
      <c r="T26" s="884"/>
      <c r="U26" s="163"/>
      <c r="V26" s="130"/>
      <c r="AC26" s="150"/>
      <c r="AE26" s="6" t="s">
        <v>2288</v>
      </c>
      <c r="AF26" s="6">
        <f t="shared" si="2"/>
        <v>0</v>
      </c>
      <c r="AN26" s="6" t="s">
        <v>203</v>
      </c>
      <c r="AO26" s="6"/>
      <c r="AP26" s="6"/>
      <c r="AU26" s="6" t="s">
        <v>147</v>
      </c>
      <c r="AV26" s="6">
        <f t="shared" ca="1" si="1"/>
        <v>0</v>
      </c>
    </row>
    <row r="27" spans="1:57" x14ac:dyDescent="0.25">
      <c r="A27" s="131"/>
      <c r="B27" s="132"/>
      <c r="C27" s="132"/>
      <c r="D27" s="132"/>
      <c r="E27" s="132"/>
      <c r="F27" s="132"/>
      <c r="G27" s="132"/>
      <c r="H27" s="132"/>
      <c r="I27" s="132"/>
      <c r="J27" s="132"/>
      <c r="K27" s="132"/>
      <c r="L27" s="132"/>
      <c r="M27" s="132"/>
      <c r="N27" s="132"/>
      <c r="O27" s="132"/>
      <c r="P27" s="132"/>
      <c r="Q27" s="132"/>
      <c r="R27" s="132"/>
      <c r="S27" s="132"/>
      <c r="T27" s="132"/>
      <c r="U27" s="163"/>
      <c r="V27" s="130"/>
      <c r="AC27" s="150"/>
      <c r="AE27" s="6" t="s">
        <v>2289</v>
      </c>
      <c r="AF27" s="6">
        <f t="shared" si="2"/>
        <v>0</v>
      </c>
      <c r="AN27" s="6" t="s">
        <v>295</v>
      </c>
      <c r="AO27" s="6"/>
      <c r="AP27" s="6"/>
      <c r="AU27" s="6" t="s">
        <v>148</v>
      </c>
      <c r="AV27" s="6">
        <f t="shared" ca="1" si="1"/>
        <v>0</v>
      </c>
    </row>
    <row r="28" spans="1:57" ht="15" customHeight="1" x14ac:dyDescent="0.25">
      <c r="A28" s="131"/>
      <c r="B28" s="132"/>
      <c r="C28" s="132"/>
      <c r="D28" s="132"/>
      <c r="E28" s="132"/>
      <c r="F28" s="132"/>
      <c r="G28" s="132"/>
      <c r="H28" s="132"/>
      <c r="I28" s="132"/>
      <c r="J28" s="132"/>
      <c r="K28" s="132"/>
      <c r="L28" s="132"/>
      <c r="M28" s="132"/>
      <c r="N28" s="132"/>
      <c r="O28" s="132"/>
      <c r="P28" s="132"/>
      <c r="Q28" s="132"/>
      <c r="R28" s="132"/>
      <c r="S28" s="132"/>
      <c r="T28" s="132"/>
      <c r="U28" s="163"/>
      <c r="V28" s="130"/>
      <c r="AC28" s="150"/>
      <c r="AE28" s="6" t="s">
        <v>2290</v>
      </c>
      <c r="AF28" s="6">
        <f t="shared" si="2"/>
        <v>0</v>
      </c>
      <c r="AN28" s="6" t="s">
        <v>296</v>
      </c>
      <c r="AO28" s="6"/>
      <c r="AP28" s="6"/>
      <c r="AU28" s="6" t="s">
        <v>149</v>
      </c>
      <c r="AV28" s="6">
        <f t="shared" ca="1" si="1"/>
        <v>1</v>
      </c>
    </row>
    <row r="29" spans="1:57" x14ac:dyDescent="0.25">
      <c r="A29" s="131"/>
      <c r="B29" s="828" t="s">
        <v>45</v>
      </c>
      <c r="C29" s="828"/>
      <c r="D29" s="944" t="str">
        <f>IF(LightArmorProficiency=1,"proficient","non proficient")</f>
        <v>non proficient</v>
      </c>
      <c r="E29" s="944"/>
      <c r="F29" s="944"/>
      <c r="G29" s="132"/>
      <c r="H29" s="828" t="s">
        <v>1116</v>
      </c>
      <c r="I29" s="828"/>
      <c r="J29" s="944" t="str">
        <f>IF(SimpleWeaponsProficiency=1,"proficient","non proficient")</f>
        <v>non proficient</v>
      </c>
      <c r="K29" s="944"/>
      <c r="L29" s="944"/>
      <c r="M29" s="132"/>
      <c r="N29" s="828" t="s">
        <v>4992</v>
      </c>
      <c r="O29" s="828"/>
      <c r="P29" s="944" t="str">
        <f>INDEX($BE$2:$BE$24,1,1)</f>
        <v>Hand Crossbow</v>
      </c>
      <c r="Q29" s="944"/>
      <c r="R29" s="944"/>
      <c r="S29" s="132"/>
      <c r="T29" s="132"/>
      <c r="U29" s="163"/>
      <c r="V29" s="130"/>
      <c r="AC29" s="150"/>
      <c r="AE29" s="6" t="s">
        <v>2291</v>
      </c>
      <c r="AF29" s="6">
        <f t="shared" si="2"/>
        <v>0</v>
      </c>
      <c r="AN29" s="6" t="s">
        <v>316</v>
      </c>
      <c r="AO29" s="6"/>
      <c r="AP29" s="6"/>
      <c r="AU29" s="6" t="s">
        <v>151</v>
      </c>
      <c r="AV29" s="6">
        <f t="shared" ca="1" si="1"/>
        <v>0</v>
      </c>
    </row>
    <row r="30" spans="1:57" x14ac:dyDescent="0.25">
      <c r="A30" s="131"/>
      <c r="B30" s="828"/>
      <c r="C30" s="828"/>
      <c r="D30" s="944"/>
      <c r="E30" s="944"/>
      <c r="F30" s="944"/>
      <c r="G30" s="132"/>
      <c r="H30" s="828"/>
      <c r="I30" s="828"/>
      <c r="J30" s="944"/>
      <c r="K30" s="944"/>
      <c r="L30" s="944"/>
      <c r="M30" s="132"/>
      <c r="N30" s="828"/>
      <c r="O30" s="828"/>
      <c r="P30" s="944"/>
      <c r="Q30" s="944"/>
      <c r="R30" s="944"/>
      <c r="S30" s="132"/>
      <c r="T30" s="132"/>
      <c r="U30" s="163"/>
      <c r="V30" s="130"/>
      <c r="AC30" s="150"/>
      <c r="AE30" s="6" t="s">
        <v>1120</v>
      </c>
      <c r="AF30" s="6">
        <f t="shared" si="2"/>
        <v>0</v>
      </c>
      <c r="AN30" s="6" t="s">
        <v>339</v>
      </c>
      <c r="AO30" s="6"/>
      <c r="AP30" s="6"/>
      <c r="AU30" s="6" t="s">
        <v>52</v>
      </c>
      <c r="AV30" s="6">
        <f t="shared" ca="1" si="1"/>
        <v>0</v>
      </c>
    </row>
    <row r="31" spans="1:57" x14ac:dyDescent="0.25">
      <c r="A31" s="131"/>
      <c r="B31" s="828" t="s">
        <v>46</v>
      </c>
      <c r="C31" s="828"/>
      <c r="D31" s="944" t="str">
        <f>IF(MediumArmorProficiency=1,"proficient","non proficient")</f>
        <v>non proficient</v>
      </c>
      <c r="E31" s="944"/>
      <c r="F31" s="944"/>
      <c r="G31" s="132"/>
      <c r="H31" s="828" t="s">
        <v>4992</v>
      </c>
      <c r="I31" s="828"/>
      <c r="J31" s="944" t="str">
        <f>IF(MartialWeaponsProficiency=1,"proficient","non proficient")</f>
        <v>non proficient</v>
      </c>
      <c r="K31" s="944"/>
      <c r="L31" s="944"/>
      <c r="M31" s="132"/>
      <c r="N31" s="828" t="s">
        <v>4992</v>
      </c>
      <c r="O31" s="828"/>
      <c r="P31" s="944" t="str">
        <f>INDEX($BE$2:$BE$24,2,1)</f>
        <v>Rapier</v>
      </c>
      <c r="Q31" s="944"/>
      <c r="R31" s="944"/>
      <c r="S31" s="132"/>
      <c r="T31" s="132"/>
      <c r="U31" s="163"/>
      <c r="V31" s="130"/>
      <c r="AC31" s="150"/>
      <c r="AE31" s="6" t="s">
        <v>2292</v>
      </c>
      <c r="AF31" s="6">
        <f t="shared" si="2"/>
        <v>0</v>
      </c>
      <c r="AN31" s="6" t="s">
        <v>365</v>
      </c>
      <c r="AO31" s="6"/>
      <c r="AP31" s="6"/>
      <c r="AU31" s="6" t="s">
        <v>51</v>
      </c>
      <c r="AV31" s="6">
        <f t="shared" ca="1" si="1"/>
        <v>1</v>
      </c>
    </row>
    <row r="32" spans="1:57" x14ac:dyDescent="0.25">
      <c r="A32" s="131"/>
      <c r="B32" s="828"/>
      <c r="C32" s="828"/>
      <c r="D32" s="944"/>
      <c r="E32" s="944"/>
      <c r="F32" s="944"/>
      <c r="G32" s="132"/>
      <c r="H32" s="828"/>
      <c r="I32" s="828"/>
      <c r="J32" s="944"/>
      <c r="K32" s="944"/>
      <c r="L32" s="944"/>
      <c r="M32" s="132"/>
      <c r="N32" s="828"/>
      <c r="O32" s="828"/>
      <c r="P32" s="944"/>
      <c r="Q32" s="944"/>
      <c r="R32" s="944"/>
      <c r="S32" s="132"/>
      <c r="T32" s="132"/>
      <c r="U32" s="163"/>
      <c r="V32" s="130"/>
      <c r="AC32" s="150"/>
      <c r="AE32" s="6" t="s">
        <v>2293</v>
      </c>
      <c r="AF32" s="6">
        <f t="shared" si="2"/>
        <v>0</v>
      </c>
      <c r="AN32" s="6" t="s">
        <v>366</v>
      </c>
      <c r="AO32" s="6"/>
      <c r="AP32" s="6"/>
      <c r="AU32" s="6" t="s">
        <v>152</v>
      </c>
      <c r="AV32" s="6">
        <f t="shared" ca="1" si="1"/>
        <v>0</v>
      </c>
    </row>
    <row r="33" spans="1:48" x14ac:dyDescent="0.25">
      <c r="A33" s="131"/>
      <c r="B33" s="828" t="s">
        <v>4991</v>
      </c>
      <c r="C33" s="828"/>
      <c r="D33" s="944" t="str">
        <f>IF(HeavyArmorProficiency=1,"proficient","non proficient")</f>
        <v>non proficient</v>
      </c>
      <c r="E33" s="944"/>
      <c r="F33" s="944"/>
      <c r="G33" s="132"/>
      <c r="H33" s="132"/>
      <c r="I33" s="132"/>
      <c r="J33" s="132"/>
      <c r="K33" s="132"/>
      <c r="L33" s="132"/>
      <c r="M33" s="132"/>
      <c r="N33" s="828" t="s">
        <v>4992</v>
      </c>
      <c r="O33" s="828"/>
      <c r="P33" s="944" t="str">
        <f>INDEX($BE$2:$BE$24,3,1)</f>
        <v>Shortsword</v>
      </c>
      <c r="Q33" s="944"/>
      <c r="R33" s="944"/>
      <c r="S33" s="132"/>
      <c r="T33" s="132"/>
      <c r="U33" s="163"/>
      <c r="V33" s="130"/>
      <c r="AC33" s="150"/>
      <c r="AE33" s="6" t="s">
        <v>1121</v>
      </c>
      <c r="AF33" s="6">
        <f t="shared" si="2"/>
        <v>0</v>
      </c>
      <c r="AN33" s="6" t="s">
        <v>395</v>
      </c>
      <c r="AO33" s="6"/>
      <c r="AP33" s="6"/>
      <c r="AU33" s="6" t="s">
        <v>153</v>
      </c>
      <c r="AV33" s="6">
        <f t="shared" ca="1" si="1"/>
        <v>0</v>
      </c>
    </row>
    <row r="34" spans="1:48" x14ac:dyDescent="0.25">
      <c r="A34" s="131"/>
      <c r="B34" s="828"/>
      <c r="C34" s="828"/>
      <c r="D34" s="944"/>
      <c r="E34" s="944"/>
      <c r="F34" s="944"/>
      <c r="G34" s="132"/>
      <c r="H34" s="132"/>
      <c r="I34" s="132"/>
      <c r="J34" s="132"/>
      <c r="K34" s="132"/>
      <c r="L34" s="132"/>
      <c r="M34" s="132"/>
      <c r="N34" s="828"/>
      <c r="O34" s="828"/>
      <c r="P34" s="944"/>
      <c r="Q34" s="944"/>
      <c r="R34" s="944"/>
      <c r="S34" s="132"/>
      <c r="T34" s="132"/>
      <c r="U34" s="163"/>
      <c r="V34" s="130"/>
      <c r="AC34" s="150"/>
      <c r="AE34" s="6" t="s">
        <v>1123</v>
      </c>
      <c r="AF34" s="6">
        <f t="shared" si="2"/>
        <v>0</v>
      </c>
      <c r="AN34" s="6" t="s">
        <v>441</v>
      </c>
      <c r="AO34" s="6"/>
      <c r="AP34" s="6"/>
      <c r="AU34" s="6" t="s">
        <v>155</v>
      </c>
      <c r="AV34" s="6">
        <f t="shared" ca="1" si="1"/>
        <v>0</v>
      </c>
    </row>
    <row r="35" spans="1:48" x14ac:dyDescent="0.25">
      <c r="A35" s="131"/>
      <c r="B35" s="828" t="s">
        <v>109</v>
      </c>
      <c r="C35" s="828"/>
      <c r="D35" s="944" t="str">
        <f>IF(ShieldsProficiency=1,"proficient","non proficient")</f>
        <v>non proficient</v>
      </c>
      <c r="E35" s="944"/>
      <c r="F35" s="944"/>
      <c r="G35" s="132"/>
      <c r="H35" s="828" t="s">
        <v>4992</v>
      </c>
      <c r="I35" s="828"/>
      <c r="J35" s="944"/>
      <c r="K35" s="944"/>
      <c r="L35" s="944"/>
      <c r="M35" s="132"/>
      <c r="N35" s="828" t="s">
        <v>4992</v>
      </c>
      <c r="O35" s="828"/>
      <c r="P35" s="944" t="str">
        <f>INDEX($BE$2:$BE$24,4,1)</f>
        <v/>
      </c>
      <c r="Q35" s="944"/>
      <c r="R35" s="944"/>
      <c r="S35" s="132"/>
      <c r="T35" s="132"/>
      <c r="U35" s="163"/>
      <c r="V35" s="130"/>
      <c r="AC35" s="150"/>
      <c r="AE35" s="6" t="s">
        <v>1124</v>
      </c>
      <c r="AF35" s="6">
        <f t="shared" si="2"/>
        <v>0</v>
      </c>
      <c r="AN35" s="6" t="s">
        <v>485</v>
      </c>
      <c r="AO35" s="6"/>
      <c r="AP35" s="6"/>
      <c r="AU35" s="6" t="s">
        <v>156</v>
      </c>
      <c r="AV35" s="6">
        <f t="shared" ca="1" si="1"/>
        <v>0</v>
      </c>
    </row>
    <row r="36" spans="1:48" x14ac:dyDescent="0.25">
      <c r="A36" s="131"/>
      <c r="B36" s="828"/>
      <c r="C36" s="828"/>
      <c r="D36" s="944"/>
      <c r="E36" s="944"/>
      <c r="F36" s="944"/>
      <c r="G36" s="132"/>
      <c r="H36" s="828"/>
      <c r="I36" s="828"/>
      <c r="J36" s="944"/>
      <c r="K36" s="944"/>
      <c r="L36" s="944"/>
      <c r="M36" s="132"/>
      <c r="N36" s="828"/>
      <c r="O36" s="828"/>
      <c r="P36" s="944"/>
      <c r="Q36" s="944"/>
      <c r="R36" s="944"/>
      <c r="S36" s="132"/>
      <c r="T36" s="132"/>
      <c r="U36" s="163"/>
      <c r="V36" s="130"/>
      <c r="AC36" s="150"/>
      <c r="AE36" s="6" t="s">
        <v>1122</v>
      </c>
      <c r="AF36" s="6">
        <f t="shared" si="2"/>
        <v>0</v>
      </c>
      <c r="AN36" s="6" t="s">
        <v>387</v>
      </c>
      <c r="AO36" s="6"/>
      <c r="AP36" s="6"/>
      <c r="AU36" s="6" t="s">
        <v>157</v>
      </c>
      <c r="AV36" s="6">
        <f t="shared" ca="1" si="1"/>
        <v>0</v>
      </c>
    </row>
    <row r="37" spans="1:48" x14ac:dyDescent="0.25">
      <c r="A37" s="131"/>
      <c r="B37" s="132"/>
      <c r="C37" s="132"/>
      <c r="D37" s="132"/>
      <c r="E37" s="132"/>
      <c r="F37" s="132"/>
      <c r="G37" s="132"/>
      <c r="H37" s="828" t="s">
        <v>4992</v>
      </c>
      <c r="I37" s="828"/>
      <c r="J37" s="944"/>
      <c r="K37" s="944"/>
      <c r="L37" s="944"/>
      <c r="M37" s="132"/>
      <c r="N37" s="828" t="s">
        <v>4992</v>
      </c>
      <c r="O37" s="828"/>
      <c r="P37" s="944" t="str">
        <f>INDEX($BE$2:$BE$24,5,1)</f>
        <v/>
      </c>
      <c r="Q37" s="944"/>
      <c r="R37" s="944"/>
      <c r="S37" s="132"/>
      <c r="T37" s="132"/>
      <c r="U37" s="163"/>
      <c r="V37" s="130"/>
      <c r="AC37" s="150"/>
      <c r="AE37" s="6" t="s">
        <v>2299</v>
      </c>
      <c r="AF37" s="6">
        <f t="shared" si="2"/>
        <v>0</v>
      </c>
      <c r="AN37" s="6" t="s">
        <v>401</v>
      </c>
      <c r="AO37" s="6"/>
      <c r="AP37" s="6"/>
      <c r="AU37" s="6" t="s">
        <v>158</v>
      </c>
      <c r="AV37" s="6">
        <f t="shared" ca="1" si="1"/>
        <v>0</v>
      </c>
    </row>
    <row r="38" spans="1:48" x14ac:dyDescent="0.25">
      <c r="A38" s="131"/>
      <c r="B38" s="132"/>
      <c r="C38" s="132"/>
      <c r="D38" s="132"/>
      <c r="E38" s="132"/>
      <c r="F38" s="132"/>
      <c r="G38" s="132"/>
      <c r="H38" s="828"/>
      <c r="I38" s="828"/>
      <c r="J38" s="944"/>
      <c r="K38" s="944"/>
      <c r="L38" s="944"/>
      <c r="M38" s="132"/>
      <c r="N38" s="828"/>
      <c r="O38" s="828"/>
      <c r="P38" s="944"/>
      <c r="Q38" s="944"/>
      <c r="R38" s="944"/>
      <c r="S38" s="132"/>
      <c r="T38" s="132"/>
      <c r="U38" s="163"/>
      <c r="V38" s="130"/>
      <c r="AC38" s="150"/>
      <c r="AE38" s="6" t="s">
        <v>2300</v>
      </c>
      <c r="AF38" s="6">
        <f t="shared" si="2"/>
        <v>0</v>
      </c>
      <c r="AN38" s="6" t="s">
        <v>470</v>
      </c>
      <c r="AO38" s="6">
        <v>1</v>
      </c>
      <c r="AP38" s="6"/>
      <c r="AU38" s="6" t="s">
        <v>38</v>
      </c>
      <c r="AV38" s="6">
        <f t="shared" ca="1" si="1"/>
        <v>0</v>
      </c>
    </row>
    <row r="39" spans="1:48" ht="16.5" x14ac:dyDescent="0.3">
      <c r="A39" s="131"/>
      <c r="B39" s="828" t="s">
        <v>4992</v>
      </c>
      <c r="C39" s="828"/>
      <c r="D39" s="944"/>
      <c r="E39" s="944"/>
      <c r="F39" s="944"/>
      <c r="G39" s="132"/>
      <c r="H39" s="828" t="s">
        <v>4992</v>
      </c>
      <c r="I39" s="828"/>
      <c r="J39" s="944"/>
      <c r="K39" s="944"/>
      <c r="L39" s="944"/>
      <c r="M39" s="132"/>
      <c r="N39" s="828" t="s">
        <v>4992</v>
      </c>
      <c r="O39" s="828"/>
      <c r="P39" s="944" t="str">
        <f>INDEX($BE$2:$BE$24,6,1)</f>
        <v/>
      </c>
      <c r="Q39" s="944"/>
      <c r="R39" s="944"/>
      <c r="S39" s="132"/>
      <c r="T39" s="132"/>
      <c r="U39" s="163"/>
      <c r="V39" s="130"/>
      <c r="AC39" s="150"/>
      <c r="AE39" s="6" t="s">
        <v>2301</v>
      </c>
      <c r="AF39" s="6">
        <f t="shared" si="2"/>
        <v>0</v>
      </c>
      <c r="AH39" s="165" t="s">
        <v>4979</v>
      </c>
      <c r="AI39" s="165"/>
      <c r="AN39" s="6" t="s">
        <v>81</v>
      </c>
      <c r="AO39" s="6"/>
      <c r="AP39" s="6"/>
      <c r="AU39" s="6" t="s">
        <v>159</v>
      </c>
      <c r="AV39" s="6">
        <f t="shared" ca="1" si="1"/>
        <v>0</v>
      </c>
    </row>
    <row r="40" spans="1:48" ht="16.5" x14ac:dyDescent="0.3">
      <c r="A40" s="131"/>
      <c r="B40" s="828"/>
      <c r="C40" s="828"/>
      <c r="D40" s="944"/>
      <c r="E40" s="944"/>
      <c r="F40" s="944"/>
      <c r="G40" s="132"/>
      <c r="H40" s="828"/>
      <c r="I40" s="828"/>
      <c r="J40" s="944"/>
      <c r="K40" s="944"/>
      <c r="L40" s="944"/>
      <c r="M40" s="132"/>
      <c r="N40" s="828"/>
      <c r="O40" s="828"/>
      <c r="P40" s="944"/>
      <c r="Q40" s="944"/>
      <c r="R40" s="944"/>
      <c r="S40" s="132"/>
      <c r="T40" s="132"/>
      <c r="U40" s="163"/>
      <c r="V40" s="130"/>
      <c r="AC40" s="150"/>
      <c r="AE40" s="6" t="s">
        <v>2302</v>
      </c>
      <c r="AF40" s="6">
        <f t="shared" si="2"/>
        <v>0</v>
      </c>
      <c r="AH40" s="165" t="s">
        <v>605</v>
      </c>
      <c r="AI40" s="266" t="str">
        <f>INDEX(D01_Races!$BA$2:$BA$101,MATCH(SubRace,D01_Races!$E$2:$E$101,0),1)</f>
        <v/>
      </c>
      <c r="AJ40" s="266">
        <f>INDEX(D01_Races!$AZ$2:$AZ$101,MATCH(SubRace,D01_Races!$E$2:$E$101,0),1)</f>
        <v>0</v>
      </c>
      <c r="AN40" s="6" t="s">
        <v>4401</v>
      </c>
      <c r="AO40" s="6"/>
      <c r="AP40" s="6"/>
    </row>
    <row r="41" spans="1:48" ht="16.5" x14ac:dyDescent="0.3">
      <c r="A41" s="131"/>
      <c r="B41" s="828" t="s">
        <v>4992</v>
      </c>
      <c r="C41" s="828"/>
      <c r="D41" s="944"/>
      <c r="E41" s="944"/>
      <c r="F41" s="944"/>
      <c r="G41" s="132"/>
      <c r="H41" s="828" t="s">
        <v>4992</v>
      </c>
      <c r="I41" s="828"/>
      <c r="J41" s="944"/>
      <c r="K41" s="944"/>
      <c r="L41" s="944"/>
      <c r="M41" s="132"/>
      <c r="N41" s="828" t="s">
        <v>4992</v>
      </c>
      <c r="O41" s="828"/>
      <c r="P41" s="944" t="str">
        <f>INDEX($BE$2:$BE$24,7,1)</f>
        <v/>
      </c>
      <c r="Q41" s="944"/>
      <c r="R41" s="944"/>
      <c r="S41" s="132"/>
      <c r="T41" s="132"/>
      <c r="U41" s="163"/>
      <c r="V41" s="130"/>
      <c r="AC41" s="150"/>
      <c r="AE41" s="6" t="s">
        <v>2303</v>
      </c>
      <c r="AF41" s="6">
        <f t="shared" si="2"/>
        <v>0</v>
      </c>
      <c r="AH41" s="165" t="s">
        <v>60</v>
      </c>
      <c r="AI41" s="165" t="e">
        <f>INDEX(D04_Classes!$J$3:$J$102,SelectedClassID,1)</f>
        <v>#N/A</v>
      </c>
      <c r="AJ41" s="165" t="e">
        <f>INDEX(D04_Classes!$L$3:$L$102,SelectedClassID,1)</f>
        <v>#N/A</v>
      </c>
    </row>
    <row r="42" spans="1:48" ht="16.5" x14ac:dyDescent="0.3">
      <c r="A42" s="131"/>
      <c r="B42" s="828"/>
      <c r="C42" s="828"/>
      <c r="D42" s="944"/>
      <c r="E42" s="944"/>
      <c r="F42" s="944"/>
      <c r="G42" s="132"/>
      <c r="H42" s="828"/>
      <c r="I42" s="828"/>
      <c r="J42" s="944"/>
      <c r="K42" s="944"/>
      <c r="L42" s="944"/>
      <c r="M42" s="132"/>
      <c r="N42" s="828"/>
      <c r="O42" s="828"/>
      <c r="P42" s="944"/>
      <c r="Q42" s="944"/>
      <c r="R42" s="944"/>
      <c r="S42" s="132"/>
      <c r="T42" s="132"/>
      <c r="U42" s="163"/>
      <c r="V42" s="130"/>
      <c r="AC42" s="150"/>
      <c r="AE42" s="6" t="s">
        <v>2304</v>
      </c>
      <c r="AF42" s="6">
        <f t="shared" si="2"/>
        <v>0</v>
      </c>
      <c r="AH42" s="165" t="s">
        <v>2</v>
      </c>
      <c r="AI42" s="165" t="str">
        <f>INDEX(D02_Background!I2:I101,SelectedBackgroundId,1)</f>
        <v>Gaming set, Thieve's tools,</v>
      </c>
    </row>
    <row r="43" spans="1:48" x14ac:dyDescent="0.25">
      <c r="A43" s="131"/>
      <c r="B43" s="828" t="s">
        <v>4992</v>
      </c>
      <c r="C43" s="828"/>
      <c r="D43" s="944"/>
      <c r="E43" s="944"/>
      <c r="F43" s="944"/>
      <c r="G43" s="132"/>
      <c r="H43" s="828" t="s">
        <v>4992</v>
      </c>
      <c r="I43" s="828"/>
      <c r="J43" s="944"/>
      <c r="K43" s="944"/>
      <c r="L43" s="944"/>
      <c r="M43" s="132"/>
      <c r="N43" s="828" t="s">
        <v>4992</v>
      </c>
      <c r="O43" s="828"/>
      <c r="P43" s="944" t="str">
        <f>INDEX($BE$2:$BE$24,8,1)</f>
        <v/>
      </c>
      <c r="Q43" s="944"/>
      <c r="R43" s="944"/>
      <c r="S43" s="132"/>
      <c r="T43" s="132"/>
      <c r="U43" s="163"/>
      <c r="V43" s="130"/>
      <c r="AC43" s="150"/>
      <c r="AE43" s="6" t="s">
        <v>2305</v>
      </c>
      <c r="AF43" s="6">
        <f t="shared" si="2"/>
        <v>0</v>
      </c>
    </row>
    <row r="44" spans="1:48" x14ac:dyDescent="0.25">
      <c r="A44" s="131"/>
      <c r="B44" s="828"/>
      <c r="C44" s="828"/>
      <c r="D44" s="944"/>
      <c r="E44" s="944"/>
      <c r="F44" s="944"/>
      <c r="G44" s="132"/>
      <c r="H44" s="828"/>
      <c r="I44" s="828"/>
      <c r="J44" s="944"/>
      <c r="K44" s="944"/>
      <c r="L44" s="944"/>
      <c r="M44" s="132"/>
      <c r="N44" s="828"/>
      <c r="O44" s="828"/>
      <c r="P44" s="944"/>
      <c r="Q44" s="944"/>
      <c r="R44" s="944"/>
      <c r="S44" s="132"/>
      <c r="T44" s="132"/>
      <c r="U44" s="163"/>
      <c r="V44" s="130"/>
      <c r="AC44" s="150"/>
      <c r="AE44" s="6" t="s">
        <v>2307</v>
      </c>
      <c r="AF44" s="6">
        <f t="shared" si="2"/>
        <v>0</v>
      </c>
    </row>
    <row r="45" spans="1:48" x14ac:dyDescent="0.25">
      <c r="A45" s="131"/>
      <c r="B45" s="828" t="s">
        <v>4992</v>
      </c>
      <c r="C45" s="828"/>
      <c r="D45" s="944"/>
      <c r="E45" s="944"/>
      <c r="F45" s="944"/>
      <c r="G45" s="132"/>
      <c r="H45" s="828" t="s">
        <v>4992</v>
      </c>
      <c r="I45" s="828"/>
      <c r="J45" s="944"/>
      <c r="K45" s="944"/>
      <c r="L45" s="944"/>
      <c r="M45" s="132"/>
      <c r="N45" s="828" t="s">
        <v>4992</v>
      </c>
      <c r="O45" s="828"/>
      <c r="P45" s="944" t="str">
        <f>INDEX($BE$2:$BE$24,9,1)</f>
        <v/>
      </c>
      <c r="Q45" s="944"/>
      <c r="R45" s="944"/>
      <c r="S45" s="132"/>
      <c r="T45" s="132"/>
      <c r="U45" s="163"/>
      <c r="V45" s="130"/>
      <c r="W45" s="945" t="s">
        <v>4998</v>
      </c>
      <c r="X45" s="945"/>
      <c r="Y45" s="945"/>
      <c r="Z45" s="945"/>
      <c r="AA45" s="945"/>
      <c r="AB45" s="946"/>
      <c r="AC45" s="150"/>
      <c r="AE45" s="6" t="s">
        <v>2308</v>
      </c>
      <c r="AF45" s="6">
        <f t="shared" si="2"/>
        <v>0</v>
      </c>
    </row>
    <row r="46" spans="1:48" x14ac:dyDescent="0.25">
      <c r="A46" s="131"/>
      <c r="B46" s="828"/>
      <c r="C46" s="828"/>
      <c r="D46" s="944"/>
      <c r="E46" s="944"/>
      <c r="F46" s="944"/>
      <c r="G46" s="132"/>
      <c r="H46" s="828"/>
      <c r="I46" s="828"/>
      <c r="J46" s="944"/>
      <c r="K46" s="944"/>
      <c r="L46" s="944"/>
      <c r="M46" s="132"/>
      <c r="N46" s="828"/>
      <c r="O46" s="828"/>
      <c r="P46" s="944"/>
      <c r="Q46" s="944"/>
      <c r="R46" s="944"/>
      <c r="S46" s="132"/>
      <c r="T46" s="132"/>
      <c r="U46" s="163"/>
      <c r="V46" s="130"/>
      <c r="W46" s="132"/>
      <c r="X46" s="132"/>
      <c r="Y46" s="132"/>
      <c r="Z46" s="132" t="str">
        <f>IFERROR(TRIM(SUBSTITUTE(SUBSTITUTE(SUBSTITUTE(SUBSTITUTE(SUBSTITUTE(SUBSTITUTE(SUBSTITUTE(SUBSTITUTE(SUBSTITUTE(SUBSTITUTE(SUBSTITUTE(SUBSTITUTE(SUBSTITUTE(LOWER($Y$68),"light",""),"medium",""),"weapons",""),"shields",""),"armor",""),"all",""),"skill",""),"musical instrument",""),"simple",""),"martial",""),"one",""),", ,",","),"yes","")),"")</f>
        <v>,,,,,,,rapier, shortsword, hand crossbow, perception,deception, stealth, gaming set, thieve's tools,,</v>
      </c>
      <c r="AA46" s="132"/>
      <c r="AB46" s="132"/>
      <c r="AC46" s="150"/>
      <c r="AE46" s="6" t="s">
        <v>2309</v>
      </c>
      <c r="AF46" s="6">
        <f>IF(IFERROR(MATCH(AE46,$AC$2:$AC$201,0),0)&gt;0,1,0)</f>
        <v>0</v>
      </c>
    </row>
    <row r="47" spans="1:48" x14ac:dyDescent="0.25">
      <c r="A47" s="131"/>
      <c r="B47" s="828" t="s">
        <v>4992</v>
      </c>
      <c r="C47" s="828"/>
      <c r="D47" s="944"/>
      <c r="E47" s="944"/>
      <c r="F47" s="944"/>
      <c r="G47" s="132"/>
      <c r="H47" s="828" t="s">
        <v>4992</v>
      </c>
      <c r="I47" s="828"/>
      <c r="J47" s="944"/>
      <c r="K47" s="944"/>
      <c r="L47" s="944"/>
      <c r="M47" s="132"/>
      <c r="N47" s="828" t="s">
        <v>4992</v>
      </c>
      <c r="O47" s="828"/>
      <c r="P47" s="944" t="str">
        <f>INDEX($BE$2:$BE$24,10,1)</f>
        <v/>
      </c>
      <c r="Q47" s="944"/>
      <c r="R47" s="944"/>
      <c r="S47" s="132"/>
      <c r="T47" s="132"/>
      <c r="U47" s="163"/>
      <c r="V47" s="130"/>
      <c r="W47" s="284">
        <f t="shared" ref="W47:W60" si="10">IFERROR(SEARCH(",",Z46),"")</f>
        <v>1</v>
      </c>
      <c r="X47" s="284">
        <f t="shared" ref="X47:X60" si="11">IFERROR(SEARCH(",",Z46,W47+1),"")</f>
        <v>2</v>
      </c>
      <c r="Y47" s="284" t="str">
        <f t="shared" ref="Y47:Y60" si="12">IFERROR(TRIM(SUBSTITUTE(LEFT(Z46,W47),",","")),"")</f>
        <v/>
      </c>
      <c r="Z47" s="284" t="str">
        <f t="shared" ref="Z47:Z60" si="13">SUBSTITUTE(IFERROR(RIGHT(Z46,LEN(Z46)-W47),""),", ,",",")</f>
        <v>,,,,,,rapier, shortsword, hand crossbow, perception,deception, stealth, gaming set, thieve's tools,,</v>
      </c>
      <c r="AA47" s="285">
        <f t="shared" ref="AA47:AA60" si="14">IF(Y47="",0,IF(IFERROR(MATCH(Y47,$Y$47:$Y$60,0),0)=ROW(Y47)-ROW($Y$47)+1,1,0))</f>
        <v>0</v>
      </c>
      <c r="AB47" s="285">
        <f>IF(AA47=0,0,1)</f>
        <v>0</v>
      </c>
      <c r="AC47" s="180"/>
      <c r="AE47" s="6"/>
      <c r="AF47" s="6">
        <f t="shared" si="2"/>
        <v>0</v>
      </c>
    </row>
    <row r="48" spans="1:48" ht="16.5" x14ac:dyDescent="0.3">
      <c r="A48" s="131"/>
      <c r="B48" s="828"/>
      <c r="C48" s="828"/>
      <c r="D48" s="944"/>
      <c r="E48" s="944"/>
      <c r="F48" s="944"/>
      <c r="G48" s="132"/>
      <c r="H48" s="828"/>
      <c r="I48" s="828"/>
      <c r="J48" s="944"/>
      <c r="K48" s="944"/>
      <c r="L48" s="944"/>
      <c r="M48" s="132"/>
      <c r="N48" s="828"/>
      <c r="O48" s="828"/>
      <c r="P48" s="944"/>
      <c r="Q48" s="944"/>
      <c r="R48" s="944"/>
      <c r="S48" s="132"/>
      <c r="T48" s="132"/>
      <c r="U48" s="163"/>
      <c r="V48" s="130"/>
      <c r="W48" s="284">
        <f t="shared" si="10"/>
        <v>1</v>
      </c>
      <c r="X48" s="284">
        <f t="shared" si="11"/>
        <v>2</v>
      </c>
      <c r="Y48" s="284" t="str">
        <f t="shared" si="12"/>
        <v/>
      </c>
      <c r="Z48" s="284" t="str">
        <f t="shared" si="13"/>
        <v>,,,,,rapier, shortsword, hand crossbow, perception,deception, stealth, gaming set, thieve's tools,,</v>
      </c>
      <c r="AA48" s="285">
        <f t="shared" si="14"/>
        <v>0</v>
      </c>
      <c r="AB48" s="285">
        <f>IF(AA48=0,0,COUNTIF($AB$47:AB47,"&gt;0")+1)</f>
        <v>0</v>
      </c>
      <c r="AC48" s="180"/>
      <c r="AE48" s="6"/>
      <c r="AF48" s="6">
        <f t="shared" si="2"/>
        <v>0</v>
      </c>
      <c r="AN48" s="153" t="str">
        <f>IFERROR(TRIM(MID(TRIM(TRIM(TRIM(TRIM($AI40)))),1,SEARCH(",",TRIM(TRIM(TRIM(TRIM($AI40)))),1)-1)),"")</f>
        <v/>
      </c>
      <c r="AO48" s="153">
        <f>IFERROR(TRIM(MID(AI40,SEARCH(",",TRIM($AI40),1)+1,SEARCH(",",TRIM($AI40),1+SEARCH(",",TRIM($AI40),1))-SEARCH(",",TRIM($AI40),1)-1)),)</f>
        <v>0</v>
      </c>
      <c r="AP48" s="165" t="str">
        <f>IFERROR(TRIM(MID(AI40,SEARCH(",",TRIM($AI40),1+SEARCH(",",TRIM($AI40),1))+1,SEARCH(",",TRIM($AI40),1+SEARCH(",",TRIM($AI40),1+SEARCH(",",TRIM($AI40),1)))-SEARCH(",",TRIM($AI40),1+SEARCH(",",TRIM($AI40),1))-1)),"")</f>
        <v/>
      </c>
      <c r="AQ48" s="165" t="str">
        <f>IFERROR(TRIM(MID(AI40,SEARCH(",",TRIM($AI40),1+SEARCH(",",TRIM($AI40),1+SEARCH(",",TRIM($AI40),1)))+1,LEN(AI40)-SEARCH(",",TRIM($AI40),1+SEARCH(",",TRIM($AI40),1+SEARCH(",",TRIM($AI40),1)))-1)),"")</f>
        <v/>
      </c>
    </row>
    <row r="49" spans="1:44" x14ac:dyDescent="0.25">
      <c r="A49" s="131"/>
      <c r="B49" s="132"/>
      <c r="C49" s="132"/>
      <c r="D49" s="132"/>
      <c r="E49" s="132"/>
      <c r="F49" s="132"/>
      <c r="G49" s="132"/>
      <c r="H49" s="132"/>
      <c r="I49" s="132"/>
      <c r="J49" s="132"/>
      <c r="K49" s="132"/>
      <c r="L49" s="132"/>
      <c r="M49" s="132"/>
      <c r="N49" s="132"/>
      <c r="O49" s="132"/>
      <c r="P49" s="132"/>
      <c r="Q49" s="132"/>
      <c r="R49" s="132"/>
      <c r="S49" s="132"/>
      <c r="T49" s="132"/>
      <c r="U49" s="163"/>
      <c r="V49" s="130"/>
      <c r="W49" s="284">
        <f t="shared" si="10"/>
        <v>1</v>
      </c>
      <c r="X49" s="284">
        <f t="shared" si="11"/>
        <v>2</v>
      </c>
      <c r="Y49" s="284" t="str">
        <f t="shared" si="12"/>
        <v/>
      </c>
      <c r="Z49" s="284" t="str">
        <f t="shared" si="13"/>
        <v>,,,,rapier, shortsword, hand crossbow, perception,deception, stealth, gaming set, thieve's tools,,</v>
      </c>
      <c r="AA49" s="285">
        <f t="shared" si="14"/>
        <v>0</v>
      </c>
      <c r="AB49" s="285">
        <f>IF(AA49=0,0,COUNTIF($AB$47:AB48,"&gt;0")+1)</f>
        <v>0</v>
      </c>
      <c r="AC49" s="180"/>
      <c r="AE49" s="6"/>
      <c r="AF49" s="6">
        <f t="shared" si="2"/>
        <v>0</v>
      </c>
    </row>
    <row r="50" spans="1:44" ht="16.5" x14ac:dyDescent="0.3">
      <c r="A50" s="131"/>
      <c r="B50" s="132"/>
      <c r="C50" s="132"/>
      <c r="D50" s="132"/>
      <c r="E50" s="132"/>
      <c r="F50" s="132"/>
      <c r="G50" s="132"/>
      <c r="H50" s="132"/>
      <c r="I50" s="132"/>
      <c r="J50" s="132"/>
      <c r="K50" s="132"/>
      <c r="L50" s="132"/>
      <c r="M50" s="132"/>
      <c r="N50" s="132"/>
      <c r="O50" s="132"/>
      <c r="P50" s="132"/>
      <c r="Q50" s="132"/>
      <c r="R50" s="132"/>
      <c r="S50" s="132"/>
      <c r="T50" s="132"/>
      <c r="U50" s="163"/>
      <c r="V50" s="130"/>
      <c r="W50" s="284">
        <f t="shared" si="10"/>
        <v>1</v>
      </c>
      <c r="X50" s="284">
        <f t="shared" si="11"/>
        <v>2</v>
      </c>
      <c r="Y50" s="284" t="str">
        <f t="shared" si="12"/>
        <v/>
      </c>
      <c r="Z50" s="284" t="str">
        <f t="shared" si="13"/>
        <v>,,,rapier, shortsword, hand crossbow, perception,deception, stealth, gaming set, thieve's tools,,</v>
      </c>
      <c r="AA50" s="285">
        <f t="shared" si="14"/>
        <v>0</v>
      </c>
      <c r="AB50" s="285">
        <f>IF(AA50=0,0,COUNTIF($AB$47:AB49,"&gt;0")+1)</f>
        <v>0</v>
      </c>
      <c r="AC50" s="180"/>
      <c r="AE50" s="6"/>
      <c r="AF50" s="6">
        <f t="shared" si="2"/>
        <v>0</v>
      </c>
      <c r="AN50" s="153" t="str">
        <f>IFERROR(TRIM(MID(TRIM(TRIM(TRIM(TRIM($AI42)))),1,SEARCH(",",TRIM(TRIM(TRIM(TRIM($AI42)))),1)-1)),"")</f>
        <v>Gaming set</v>
      </c>
    </row>
    <row r="51" spans="1:44" x14ac:dyDescent="0.25">
      <c r="A51" s="131"/>
      <c r="B51" s="132"/>
      <c r="C51" s="132"/>
      <c r="D51" s="132"/>
      <c r="E51" s="132"/>
      <c r="F51" s="132"/>
      <c r="G51" s="132"/>
      <c r="H51" s="132"/>
      <c r="I51" s="132"/>
      <c r="J51" s="132"/>
      <c r="K51" s="132"/>
      <c r="L51" s="132"/>
      <c r="M51" s="132"/>
      <c r="N51" s="132"/>
      <c r="O51" s="132"/>
      <c r="P51" s="132"/>
      <c r="Q51" s="132"/>
      <c r="R51" s="132"/>
      <c r="S51" s="132"/>
      <c r="T51" s="132"/>
      <c r="U51" s="163"/>
      <c r="V51" s="130"/>
      <c r="W51" s="284">
        <f t="shared" si="10"/>
        <v>1</v>
      </c>
      <c r="X51" s="284">
        <f t="shared" si="11"/>
        <v>2</v>
      </c>
      <c r="Y51" s="284" t="str">
        <f t="shared" si="12"/>
        <v/>
      </c>
      <c r="Z51" s="284" t="str">
        <f t="shared" si="13"/>
        <v>,,rapier, shortsword, hand crossbow, perception,deception, stealth, gaming set, thieve's tools,,</v>
      </c>
      <c r="AA51" s="285">
        <f t="shared" si="14"/>
        <v>0</v>
      </c>
      <c r="AB51" s="285">
        <f>IF(AA51=0,0,COUNTIF($AB$47:AB50,"&gt;0")+1)</f>
        <v>0</v>
      </c>
      <c r="AC51" s="180"/>
      <c r="AE51" s="6"/>
      <c r="AF51" s="6">
        <f t="shared" si="2"/>
        <v>0</v>
      </c>
    </row>
    <row r="52" spans="1:44" x14ac:dyDescent="0.25">
      <c r="A52" s="131"/>
      <c r="B52" s="132"/>
      <c r="C52" s="132"/>
      <c r="D52" s="132"/>
      <c r="E52" s="132"/>
      <c r="F52" s="132"/>
      <c r="G52" s="132"/>
      <c r="H52" s="132"/>
      <c r="I52" s="132"/>
      <c r="J52" s="132"/>
      <c r="K52" s="132"/>
      <c r="L52" s="132"/>
      <c r="M52" s="132"/>
      <c r="N52" s="132"/>
      <c r="O52" s="132"/>
      <c r="P52" s="132"/>
      <c r="Q52" s="132"/>
      <c r="R52" s="132"/>
      <c r="S52" s="132"/>
      <c r="T52" s="132"/>
      <c r="U52" s="163"/>
      <c r="V52" s="130"/>
      <c r="W52" s="284">
        <f t="shared" si="10"/>
        <v>1</v>
      </c>
      <c r="X52" s="284">
        <f t="shared" si="11"/>
        <v>2</v>
      </c>
      <c r="Y52" s="284" t="str">
        <f t="shared" si="12"/>
        <v/>
      </c>
      <c r="Z52" s="284" t="str">
        <f t="shared" si="13"/>
        <v>,rapier, shortsword, hand crossbow, perception,deception, stealth, gaming set, thieve's tools,,</v>
      </c>
      <c r="AA52" s="285">
        <f t="shared" si="14"/>
        <v>0</v>
      </c>
      <c r="AB52" s="285">
        <f>IF(AA52=0,0,COUNTIF($AB$47:AB51,"&gt;0")+1)</f>
        <v>0</v>
      </c>
      <c r="AC52" s="180"/>
      <c r="AE52" s="6"/>
      <c r="AF52" s="6">
        <f t="shared" si="2"/>
        <v>0</v>
      </c>
    </row>
    <row r="53" spans="1:44" ht="16.5" x14ac:dyDescent="0.3">
      <c r="A53" s="131"/>
      <c r="B53" s="132"/>
      <c r="C53" s="132"/>
      <c r="D53" s="132"/>
      <c r="E53" s="132"/>
      <c r="F53" s="132"/>
      <c r="G53" s="132"/>
      <c r="H53" s="132"/>
      <c r="I53" s="132"/>
      <c r="J53" s="132"/>
      <c r="K53" s="132"/>
      <c r="L53" s="132"/>
      <c r="M53" s="132"/>
      <c r="N53" s="132"/>
      <c r="O53" s="132"/>
      <c r="P53" s="132"/>
      <c r="Q53" s="132"/>
      <c r="R53" s="132"/>
      <c r="S53" s="132"/>
      <c r="T53" s="132"/>
      <c r="U53" s="163"/>
      <c r="V53" s="130"/>
      <c r="W53" s="284">
        <f t="shared" si="10"/>
        <v>1</v>
      </c>
      <c r="X53" s="284">
        <f t="shared" si="11"/>
        <v>8</v>
      </c>
      <c r="Y53" s="284" t="str">
        <f t="shared" si="12"/>
        <v/>
      </c>
      <c r="Z53" s="284" t="str">
        <f t="shared" si="13"/>
        <v>rapier, shortsword, hand crossbow, perception,deception, stealth, gaming set, thieve's tools,,</v>
      </c>
      <c r="AA53" s="285">
        <f t="shared" si="14"/>
        <v>0</v>
      </c>
      <c r="AB53" s="285">
        <f>IF(AA53=0,0,COUNTIF($AB$47:AB52,"&gt;0")+1)</f>
        <v>0</v>
      </c>
      <c r="AC53" s="180"/>
      <c r="AE53" s="6"/>
      <c r="AF53" s="6">
        <f t="shared" si="2"/>
        <v>0</v>
      </c>
      <c r="AH53" s="165" t="s">
        <v>5137</v>
      </c>
      <c r="AL53" t="s">
        <v>5138</v>
      </c>
      <c r="AO53" t="s">
        <v>5139</v>
      </c>
      <c r="AR53" t="s">
        <v>5140</v>
      </c>
    </row>
    <row r="54" spans="1:44" x14ac:dyDescent="0.25">
      <c r="A54" s="131"/>
      <c r="B54" s="132"/>
      <c r="C54" s="132"/>
      <c r="D54" s="132"/>
      <c r="E54" s="132"/>
      <c r="F54" s="132"/>
      <c r="G54" s="132"/>
      <c r="H54" s="132"/>
      <c r="I54" s="132"/>
      <c r="J54" s="132"/>
      <c r="K54" s="132"/>
      <c r="L54" s="132"/>
      <c r="M54" s="132"/>
      <c r="N54" s="132"/>
      <c r="O54" s="132"/>
      <c r="P54" s="132"/>
      <c r="Q54" s="132"/>
      <c r="R54" s="132"/>
      <c r="S54" s="132"/>
      <c r="T54" s="132"/>
      <c r="U54" s="163"/>
      <c r="V54" s="130"/>
      <c r="W54" s="284">
        <f t="shared" si="10"/>
        <v>7</v>
      </c>
      <c r="X54" s="284">
        <f t="shared" si="11"/>
        <v>19</v>
      </c>
      <c r="Y54" s="284" t="str">
        <f t="shared" si="12"/>
        <v>rapier</v>
      </c>
      <c r="Z54" s="284" t="str">
        <f t="shared" si="13"/>
        <v xml:space="preserve"> shortsword, hand crossbow, perception,deception, stealth, gaming set, thieve's tools,,</v>
      </c>
      <c r="AA54" s="285">
        <f t="shared" si="14"/>
        <v>1</v>
      </c>
      <c r="AB54" s="285">
        <f>IF(AA54=0,0,COUNTIF($AB$47:AB53,"&gt;0")+1)</f>
        <v>1</v>
      </c>
      <c r="AC54" s="180"/>
      <c r="AE54" s="6"/>
      <c r="AF54" s="6">
        <f t="shared" si="2"/>
        <v>0</v>
      </c>
    </row>
    <row r="55" spans="1:44" x14ac:dyDescent="0.25">
      <c r="A55" s="131"/>
      <c r="B55" s="132"/>
      <c r="C55" s="132"/>
      <c r="D55" s="132"/>
      <c r="E55" s="132"/>
      <c r="F55" s="132"/>
      <c r="G55" s="132"/>
      <c r="H55" s="132"/>
      <c r="I55" s="132"/>
      <c r="J55" s="132"/>
      <c r="K55" s="132"/>
      <c r="L55" s="132"/>
      <c r="M55" s="132"/>
      <c r="N55" s="132"/>
      <c r="O55" s="132"/>
      <c r="P55" s="132"/>
      <c r="Q55" s="132"/>
      <c r="R55" s="132"/>
      <c r="S55" s="132"/>
      <c r="T55" s="132"/>
      <c r="U55" s="163"/>
      <c r="V55" s="130"/>
      <c r="W55" s="284">
        <f t="shared" si="10"/>
        <v>12</v>
      </c>
      <c r="X55" s="284">
        <f t="shared" si="11"/>
        <v>27</v>
      </c>
      <c r="Y55" s="284" t="str">
        <f t="shared" si="12"/>
        <v>shortsword</v>
      </c>
      <c r="Z55" s="284" t="str">
        <f t="shared" si="13"/>
        <v xml:space="preserve"> hand crossbow, perception,deception, stealth, gaming set, thieve's tools,,</v>
      </c>
      <c r="AA55" s="285">
        <f t="shared" si="14"/>
        <v>1</v>
      </c>
      <c r="AB55" s="285">
        <f>IF(AA55=0,0,COUNTIF($AB$47:AB54,"&gt;0")+1)</f>
        <v>2</v>
      </c>
      <c r="AC55" s="180"/>
      <c r="AE55" s="6"/>
      <c r="AF55" s="6">
        <f t="shared" si="2"/>
        <v>0</v>
      </c>
      <c r="AH55" t="str">
        <f>IF(AN48="","n/a",INDEX($AN$48:$AQ$48,1,ROW()-ROW($AH$54)))</f>
        <v>n/a</v>
      </c>
    </row>
    <row r="56" spans="1:44" x14ac:dyDescent="0.25">
      <c r="U56" s="163"/>
      <c r="V56" s="130"/>
      <c r="W56" s="284">
        <f t="shared" si="10"/>
        <v>15</v>
      </c>
      <c r="X56" s="284">
        <f t="shared" si="11"/>
        <v>27</v>
      </c>
      <c r="Y56" s="284" t="str">
        <f t="shared" si="12"/>
        <v>hand crossbow</v>
      </c>
      <c r="Z56" s="284" t="str">
        <f t="shared" si="13"/>
        <v xml:space="preserve"> perception,deception, stealth, gaming set, thieve's tools,,</v>
      </c>
      <c r="AA56" s="285">
        <f t="shared" si="14"/>
        <v>1</v>
      </c>
      <c r="AB56" s="285">
        <f>IF(AA56=0,0,COUNTIF($AB$47:AB55,"&gt;0")+1)</f>
        <v>3</v>
      </c>
      <c r="AC56" s="150"/>
      <c r="AE56" s="6"/>
      <c r="AF56" s="6">
        <f t="shared" si="2"/>
        <v>0</v>
      </c>
      <c r="AH56">
        <f t="shared" ref="AH56:AH57" si="15">INDEX($AN$48:$AQ$48,1,ROW()-ROW($AH$54))</f>
        <v>0</v>
      </c>
    </row>
    <row r="57" spans="1:44" x14ac:dyDescent="0.25">
      <c r="U57" s="163"/>
      <c r="V57" s="130"/>
      <c r="W57" s="284">
        <f t="shared" si="10"/>
        <v>12</v>
      </c>
      <c r="X57" s="284">
        <f t="shared" si="11"/>
        <v>22</v>
      </c>
      <c r="Y57" s="284" t="str">
        <f t="shared" si="12"/>
        <v>perception</v>
      </c>
      <c r="Z57" s="284" t="str">
        <f t="shared" si="13"/>
        <v>deception, stealth, gaming set, thieve's tools,,</v>
      </c>
      <c r="AA57" s="285">
        <f t="shared" si="14"/>
        <v>1</v>
      </c>
      <c r="AB57" s="285">
        <f>IF(AA57=0,0,COUNTIF($AB$47:AB56,"&gt;0")+1)</f>
        <v>4</v>
      </c>
      <c r="AC57" s="150"/>
      <c r="AF57" s="6">
        <f t="shared" si="2"/>
        <v>0</v>
      </c>
      <c r="AH57" t="str">
        <f t="shared" si="15"/>
        <v/>
      </c>
    </row>
    <row r="58" spans="1:44" x14ac:dyDescent="0.25">
      <c r="U58" s="163"/>
      <c r="V58" s="130"/>
      <c r="W58" s="284">
        <f t="shared" si="10"/>
        <v>10</v>
      </c>
      <c r="X58" s="284">
        <f t="shared" si="11"/>
        <v>19</v>
      </c>
      <c r="Y58" s="284" t="str">
        <f t="shared" si="12"/>
        <v>deception</v>
      </c>
      <c r="Z58" s="284" t="str">
        <f t="shared" si="13"/>
        <v xml:space="preserve"> stealth, gaming set, thieve's tools,,</v>
      </c>
      <c r="AA58" s="285">
        <f t="shared" si="14"/>
        <v>1</v>
      </c>
      <c r="AB58" s="285">
        <f>IF(AA58=0,0,COUNTIF($AB$47:AB57,"&gt;0")+1)</f>
        <v>5</v>
      </c>
      <c r="AC58" s="150"/>
      <c r="AF58" s="6">
        <f t="shared" si="2"/>
        <v>0</v>
      </c>
    </row>
    <row r="59" spans="1:44" x14ac:dyDescent="0.25">
      <c r="U59" s="163"/>
      <c r="V59" s="130"/>
      <c r="W59" s="284">
        <f t="shared" si="10"/>
        <v>9</v>
      </c>
      <c r="X59" s="284">
        <f t="shared" si="11"/>
        <v>21</v>
      </c>
      <c r="Y59" s="284" t="str">
        <f t="shared" si="12"/>
        <v>stealth</v>
      </c>
      <c r="Z59" s="284" t="str">
        <f t="shared" si="13"/>
        <v xml:space="preserve"> gaming set, thieve's tools,,</v>
      </c>
      <c r="AA59" s="285">
        <f t="shared" si="14"/>
        <v>1</v>
      </c>
      <c r="AB59" s="285">
        <f>IF(AA59=0,0,COUNTIF($AB$47:AB58,"&gt;0")+1)</f>
        <v>6</v>
      </c>
      <c r="AC59" s="150"/>
      <c r="AF59" s="6">
        <f t="shared" si="2"/>
        <v>0</v>
      </c>
    </row>
    <row r="60" spans="1:44" x14ac:dyDescent="0.25">
      <c r="U60" s="163"/>
      <c r="V60" s="130"/>
      <c r="W60" s="284">
        <f t="shared" si="10"/>
        <v>12</v>
      </c>
      <c r="X60" s="284">
        <f t="shared" si="11"/>
        <v>28</v>
      </c>
      <c r="Y60" s="284" t="str">
        <f t="shared" si="12"/>
        <v>gaming set</v>
      </c>
      <c r="Z60" s="284" t="str">
        <f t="shared" si="13"/>
        <v xml:space="preserve"> thieve's tools,,</v>
      </c>
      <c r="AA60" s="285">
        <f t="shared" si="14"/>
        <v>1</v>
      </c>
      <c r="AB60" s="285">
        <f>IF(AA60=0,0,COUNTIF($AB$47:AB59,"&gt;0")+1)</f>
        <v>7</v>
      </c>
      <c r="AC60" s="150"/>
      <c r="AF60" s="6">
        <f t="shared" si="2"/>
        <v>0</v>
      </c>
    </row>
    <row r="61" spans="1:44" x14ac:dyDescent="0.25">
      <c r="U61" s="163"/>
      <c r="V61" s="130"/>
      <c r="AC61" s="150"/>
      <c r="AF61" s="6">
        <f t="shared" si="2"/>
        <v>0</v>
      </c>
    </row>
    <row r="62" spans="1:44" x14ac:dyDescent="0.25">
      <c r="U62" s="163"/>
      <c r="V62" s="130"/>
      <c r="AC62" s="150"/>
      <c r="AF62" s="6">
        <f t="shared" si="2"/>
        <v>0</v>
      </c>
    </row>
    <row r="63" spans="1:44" x14ac:dyDescent="0.25">
      <c r="U63" s="163"/>
      <c r="V63" s="130"/>
      <c r="AC63" s="150"/>
      <c r="AF63" s="6">
        <f t="shared" si="2"/>
        <v>0</v>
      </c>
    </row>
    <row r="64" spans="1:44" x14ac:dyDescent="0.25">
      <c r="U64" s="163"/>
      <c r="V64" s="130"/>
      <c r="AC64" s="150"/>
      <c r="AF64" s="6">
        <f t="shared" si="2"/>
        <v>0</v>
      </c>
    </row>
    <row r="65" spans="21:32" x14ac:dyDescent="0.25">
      <c r="U65" s="163"/>
      <c r="V65" s="130"/>
      <c r="AC65" s="150"/>
      <c r="AF65" s="6">
        <f t="shared" si="2"/>
        <v>0</v>
      </c>
    </row>
    <row r="66" spans="21:32" x14ac:dyDescent="0.25">
      <c r="U66" s="163"/>
      <c r="V66" s="130"/>
      <c r="AC66" s="150"/>
      <c r="AF66" s="6">
        <f t="shared" si="2"/>
        <v>0</v>
      </c>
    </row>
    <row r="67" spans="21:32" x14ac:dyDescent="0.25">
      <c r="U67" s="163"/>
      <c r="AC67" s="150"/>
      <c r="AF67" s="6">
        <f t="shared" ref="AF67:AF130" si="16">IF(IFERROR(MATCH(AE67,$AC$2:$AC$201,0),0)&gt;0,1,0)</f>
        <v>0</v>
      </c>
    </row>
    <row r="68" spans="21:32" x14ac:dyDescent="0.25">
      <c r="U68" s="163"/>
      <c r="W68" t="s">
        <v>4994</v>
      </c>
      <c r="Y68" t="str">
        <f>Y72&amp;","&amp;Z72&amp;","&amp;Y79&amp;","&amp;Y80&amp;","&amp;Y81&amp;","&amp;Y83&amp;","&amp;Y82&amp;","&amp;Y74&amp;","&amp;Y76</f>
        <v xml:space="preserve">,,,,,,,Rapier, Shortsword, Hand Crossbow, Perception,Deception, Stealth, Gaming set, Thieve's tools,, </v>
      </c>
      <c r="AC68" s="150"/>
      <c r="AF68" s="6">
        <f t="shared" si="16"/>
        <v>0</v>
      </c>
    </row>
    <row r="69" spans="21:32" x14ac:dyDescent="0.25">
      <c r="U69" s="163"/>
      <c r="AC69" s="150"/>
      <c r="AF69" s="6">
        <f t="shared" si="16"/>
        <v>0</v>
      </c>
    </row>
    <row r="70" spans="21:32" x14ac:dyDescent="0.25">
      <c r="U70" s="163"/>
      <c r="AC70" s="150"/>
      <c r="AF70" s="6">
        <f t="shared" si="16"/>
        <v>0</v>
      </c>
    </row>
    <row r="71" spans="21:32" x14ac:dyDescent="0.25">
      <c r="U71" s="163"/>
      <c r="Y71" t="s">
        <v>89</v>
      </c>
      <c r="Z71" t="s">
        <v>111</v>
      </c>
      <c r="AC71" s="150"/>
      <c r="AF71" s="6">
        <f t="shared" si="16"/>
        <v>0</v>
      </c>
    </row>
    <row r="72" spans="21:32" x14ac:dyDescent="0.25">
      <c r="U72" s="163"/>
      <c r="W72" t="s">
        <v>2227</v>
      </c>
      <c r="X72">
        <f>MainClassSelected</f>
        <v>0</v>
      </c>
      <c r="Y72" t="str">
        <f>IFERROR(INDEX(D04_Classes!$G$3:$H$102,MATCH(C_Skills!$X72,D04_Classes!$B$3:$B$102,0),2),"")</f>
        <v/>
      </c>
      <c r="Z72" t="str">
        <f>IFERROR(INDEX(D04_Classes!$G$3:$H$102,MATCH(C_Skills!$X72,D04_Classes!$B$3:$B$102,0),1),"")</f>
        <v/>
      </c>
      <c r="AC72" s="150"/>
      <c r="AF72" s="6">
        <f t="shared" si="16"/>
        <v>0</v>
      </c>
    </row>
    <row r="73" spans="21:32" x14ac:dyDescent="0.25">
      <c r="U73" s="163"/>
      <c r="AC73" s="150"/>
      <c r="AF73" s="6">
        <f t="shared" si="16"/>
        <v>0</v>
      </c>
    </row>
    <row r="74" spans="21:32" x14ac:dyDescent="0.25">
      <c r="U74" s="163"/>
      <c r="W74" t="s">
        <v>5107</v>
      </c>
      <c r="Y74" s="208" t="str">
        <f>IFERROR(INDEX(D01_Races!AS2:AS101,SelectedRaceID,1),"")</f>
        <v>Rapier, Shortsword, Hand Crossbow, Perception</v>
      </c>
      <c r="AC74" s="150"/>
      <c r="AF74" s="6">
        <f t="shared" si="16"/>
        <v>0</v>
      </c>
    </row>
    <row r="75" spans="21:32" x14ac:dyDescent="0.25">
      <c r="U75" s="163"/>
      <c r="AC75" s="150"/>
      <c r="AF75" s="6">
        <f t="shared" si="16"/>
        <v>0</v>
      </c>
    </row>
    <row r="76" spans="21:32" x14ac:dyDescent="0.25">
      <c r="U76" s="163"/>
      <c r="W76" t="s">
        <v>5108</v>
      </c>
      <c r="Y76" t="str">
        <f>IFERROR(INDEX(D02_Background!D2:D101,SelectedBackgroundId,1)&amp;", "&amp;INDEX(D02_Background!I2:I101,SelectedBackgroundId,1)&amp;", ","")</f>
        <v xml:space="preserve">Deception, Stealth, Gaming set, Thieve's tools,, </v>
      </c>
      <c r="AC76" s="150"/>
      <c r="AF76" s="6">
        <f t="shared" si="16"/>
        <v>0</v>
      </c>
    </row>
    <row r="77" spans="21:32" x14ac:dyDescent="0.25">
      <c r="U77" s="163"/>
      <c r="AC77" s="150"/>
      <c r="AF77" s="6">
        <f t="shared" si="16"/>
        <v>0</v>
      </c>
    </row>
    <row r="78" spans="21:32" x14ac:dyDescent="0.25">
      <c r="U78" s="163"/>
      <c r="AC78" s="150"/>
      <c r="AF78" s="6">
        <f t="shared" si="16"/>
        <v>0</v>
      </c>
    </row>
    <row r="79" spans="21:32" x14ac:dyDescent="0.25">
      <c r="U79" s="163"/>
      <c r="W79" t="s">
        <v>4993</v>
      </c>
      <c r="X79" t="str">
        <f>Multiclass1</f>
        <v/>
      </c>
      <c r="Y79" t="str">
        <f>IFERROR(INDEX(D04_Classes!$BY$3:$BY$102,MATCH(C_Skills!X79,D04_Classes!$B$3:$B$102,0),1),"")</f>
        <v/>
      </c>
      <c r="AC79" s="150"/>
      <c r="AF79" s="6">
        <f t="shared" si="16"/>
        <v>0</v>
      </c>
    </row>
    <row r="80" spans="21:32" x14ac:dyDescent="0.25">
      <c r="U80" s="163"/>
      <c r="W80" t="s">
        <v>4993</v>
      </c>
      <c r="X80" t="str">
        <f>Multiclass2</f>
        <v/>
      </c>
      <c r="Y80" t="str">
        <f>IFERROR(INDEX(D04_Classes!$BY$3:$BY$102,MATCH(C_Skills!X80,D04_Classes!$B$3:$B$102,0),1),"")</f>
        <v/>
      </c>
      <c r="AC80" s="150"/>
      <c r="AF80" s="6">
        <f t="shared" si="16"/>
        <v>0</v>
      </c>
    </row>
    <row r="81" spans="21:32" x14ac:dyDescent="0.25">
      <c r="U81" s="163"/>
      <c r="W81" t="s">
        <v>4993</v>
      </c>
      <c r="X81" t="str">
        <f>Multiclass3</f>
        <v/>
      </c>
      <c r="Y81" t="str">
        <f>IFERROR(INDEX(D04_Classes!$BY$3:$BY$102,MATCH(C_Skills!X81,D04_Classes!$B$3:$B$102,0),1),"")</f>
        <v/>
      </c>
      <c r="AC81" s="150"/>
      <c r="AF81" s="6">
        <f t="shared" si="16"/>
        <v>0</v>
      </c>
    </row>
    <row r="82" spans="21:32" x14ac:dyDescent="0.25">
      <c r="U82" s="163"/>
      <c r="W82" t="s">
        <v>4993</v>
      </c>
      <c r="X82" t="str">
        <f>Multiclass4</f>
        <v/>
      </c>
      <c r="Y82" t="str">
        <f>IFERROR(INDEX(D04_Classes!$BY$3:$BY$102,MATCH(C_Skills!X82,D04_Classes!$B$3:$B$102,0),1),"")</f>
        <v/>
      </c>
      <c r="AC82" s="150"/>
      <c r="AF82" s="6">
        <f t="shared" si="16"/>
        <v>0</v>
      </c>
    </row>
    <row r="83" spans="21:32" x14ac:dyDescent="0.25">
      <c r="U83" s="163"/>
      <c r="W83" t="s">
        <v>4993</v>
      </c>
      <c r="X83" t="str">
        <f>Multiclass5</f>
        <v/>
      </c>
      <c r="Y83" t="str">
        <f>IFERROR(INDEX(D04_Classes!$BY$3:$BY$102,MATCH(C_Skills!X83,D04_Classes!$B$3:$B$102,0),1),"")</f>
        <v/>
      </c>
      <c r="AC83" s="150"/>
      <c r="AF83" s="6">
        <f t="shared" si="16"/>
        <v>0</v>
      </c>
    </row>
    <row r="84" spans="21:32" x14ac:dyDescent="0.25">
      <c r="U84" s="163"/>
      <c r="X84" t="s">
        <v>3907</v>
      </c>
      <c r="Y84" t="s">
        <v>3908</v>
      </c>
      <c r="Z84" t="s">
        <v>5109</v>
      </c>
      <c r="AC84" s="150"/>
      <c r="AF84" s="6">
        <f t="shared" si="16"/>
        <v>0</v>
      </c>
    </row>
    <row r="85" spans="21:32" x14ac:dyDescent="0.25">
      <c r="U85" s="163"/>
      <c r="W85" s="6" t="s">
        <v>35</v>
      </c>
      <c r="X85">
        <f>IF(AND(IF(IFERROR(SEARCH("Simple",INDEX(I02_Weapon!$H$2:$H$39,MATCH(C_Skills!$W85,I02_Weapon!$A$2:$A$39,0),1),1),0)&gt;0,1,0)=1,SimpleWeaponsProficiency=1),1,0)</f>
        <v>0</v>
      </c>
      <c r="Y85">
        <f>IF(AND(IF(IFERROR(SEARCH("Martial",INDEX(I02_Weapon!$H$2:$H$39,MATCH(C_Skills!$W85,I02_Weapon!$A$2:$A$39,0),1),1),0)&gt;0,1,0)=1,MartialWeaponsProficiency=1),1,0)</f>
        <v>0</v>
      </c>
      <c r="Z85">
        <f t="shared" ref="Z85:Z122" si="17">IF(IFERROR(SEARCH(W85,Proficiency_Parsing,1),-1)&gt;0,1,0)</f>
        <v>0</v>
      </c>
      <c r="AA85">
        <f>IF(X85+Y85+Z85&gt;0,1,0)</f>
        <v>0</v>
      </c>
      <c r="AB85">
        <f>IF(Y85=1,IF(Z85=1,1,0),0)</f>
        <v>0</v>
      </c>
      <c r="AC85" s="150"/>
      <c r="AF85" s="6">
        <f t="shared" si="16"/>
        <v>0</v>
      </c>
    </row>
    <row r="86" spans="21:32" x14ac:dyDescent="0.25">
      <c r="U86" s="163"/>
      <c r="W86" s="6" t="s">
        <v>116</v>
      </c>
      <c r="X86">
        <f>IF(AND(IF(IFERROR(SEARCH("Simple",INDEX(I02_Weapon!$H$2:$H$39,MATCH(C_Skills!$W86,I02_Weapon!$A$2:$A$39,0),1),1),0)&gt;0,1,0)=1,SimpleWeaponsProficiency=1),1,0)</f>
        <v>0</v>
      </c>
      <c r="Y86">
        <f>IF(AND(IF(IFERROR(SEARCH("Martial",INDEX(I02_Weapon!$H$2:$H$39,MATCH(C_Skills!$W86,I02_Weapon!$A$2:$A$39,0),1),1),0)&gt;0,1,0)=1,MartialWeaponsProficiency=1),1,0)</f>
        <v>0</v>
      </c>
      <c r="Z86">
        <f t="shared" si="17"/>
        <v>0</v>
      </c>
      <c r="AA86">
        <f t="shared" ref="AA86:AA122" si="18">IF(X86+Y86+Z86&gt;0,1,0)</f>
        <v>0</v>
      </c>
      <c r="AB86">
        <f t="shared" ref="AB86:AB122" si="19">IF(Y86=1,IF(Z86=1,1,0),0)</f>
        <v>0</v>
      </c>
      <c r="AC86" s="150"/>
      <c r="AF86" s="6">
        <f t="shared" si="16"/>
        <v>0</v>
      </c>
    </row>
    <row r="87" spans="21:32" x14ac:dyDescent="0.25">
      <c r="U87" s="163"/>
      <c r="W87" s="6" t="s">
        <v>119</v>
      </c>
      <c r="X87">
        <f>IF(AND(IF(IFERROR(SEARCH("Simple",INDEX(I02_Weapon!$H$2:$H$39,MATCH(C_Skills!$W87,I02_Weapon!$A$2:$A$39,0),1),1),0)&gt;0,1,0)=1,SimpleWeaponsProficiency=1),1,0)</f>
        <v>0</v>
      </c>
      <c r="Y87">
        <f>IF(AND(IF(IFERROR(SEARCH("Martial",INDEX(I02_Weapon!$H$2:$H$39,MATCH(C_Skills!$W87,I02_Weapon!$A$2:$A$39,0),1),1),0)&gt;0,1,0)=1,MartialWeaponsProficiency=1),1,0)</f>
        <v>0</v>
      </c>
      <c r="Z87">
        <f t="shared" si="17"/>
        <v>0</v>
      </c>
      <c r="AA87">
        <f t="shared" si="18"/>
        <v>0</v>
      </c>
      <c r="AB87">
        <f t="shared" si="19"/>
        <v>0</v>
      </c>
      <c r="AC87" s="150"/>
      <c r="AF87" s="6">
        <f t="shared" si="16"/>
        <v>0</v>
      </c>
    </row>
    <row r="88" spans="21:32" x14ac:dyDescent="0.25">
      <c r="U88" s="163"/>
      <c r="W88" s="6" t="s">
        <v>123</v>
      </c>
      <c r="X88">
        <f>IF(AND(IF(IFERROR(SEARCH("Simple",INDEX(I02_Weapon!$H$2:$H$39,MATCH(C_Skills!$W88,I02_Weapon!$A$2:$A$39,0),1),1),0)&gt;0,1,0)=1,SimpleWeaponsProficiency=1),1,0)</f>
        <v>0</v>
      </c>
      <c r="Y88">
        <f>IF(AND(IF(IFERROR(SEARCH("Martial",INDEX(I02_Weapon!$H$2:$H$39,MATCH(C_Skills!$W88,I02_Weapon!$A$2:$A$39,0),1),1),0)&gt;0,1,0)=1,MartialWeaponsProficiency=1),1,0)</f>
        <v>0</v>
      </c>
      <c r="Z88">
        <f t="shared" si="17"/>
        <v>0</v>
      </c>
      <c r="AA88">
        <f t="shared" si="18"/>
        <v>0</v>
      </c>
      <c r="AB88">
        <f t="shared" si="19"/>
        <v>0</v>
      </c>
      <c r="AC88" s="150"/>
      <c r="AF88" s="6">
        <f t="shared" si="16"/>
        <v>0</v>
      </c>
    </row>
    <row r="89" spans="21:32" x14ac:dyDescent="0.25">
      <c r="U89" s="163"/>
      <c r="W89" s="6" t="s">
        <v>124</v>
      </c>
      <c r="X89">
        <f>IF(AND(IF(IFERROR(SEARCH("Simple",INDEX(I02_Weapon!$H$2:$H$39,MATCH(C_Skills!$W89,I02_Weapon!$A$2:$A$39,0),1),1),0)&gt;0,1,0)=1,SimpleWeaponsProficiency=1),1,0)</f>
        <v>0</v>
      </c>
      <c r="Y89">
        <f>IF(AND(IF(IFERROR(SEARCH("Martial",INDEX(I02_Weapon!$H$2:$H$39,MATCH(C_Skills!$W89,I02_Weapon!$A$2:$A$39,0),1),1),0)&gt;0,1,0)=1,MartialWeaponsProficiency=1),1,0)</f>
        <v>0</v>
      </c>
      <c r="Z89">
        <f t="shared" si="17"/>
        <v>0</v>
      </c>
      <c r="AA89">
        <f t="shared" si="18"/>
        <v>0</v>
      </c>
      <c r="AB89">
        <f t="shared" si="19"/>
        <v>0</v>
      </c>
      <c r="AC89" s="150"/>
      <c r="AF89" s="6">
        <f t="shared" si="16"/>
        <v>0</v>
      </c>
    </row>
    <row r="90" spans="21:32" x14ac:dyDescent="0.25">
      <c r="U90" s="163"/>
      <c r="W90" s="6" t="s">
        <v>125</v>
      </c>
      <c r="X90">
        <f>IF(AND(IF(IFERROR(SEARCH("Simple",INDEX(I02_Weapon!$H$2:$H$39,MATCH(C_Skills!$W90,I02_Weapon!$A$2:$A$39,0),1),1),0)&gt;0,1,0)=1,SimpleWeaponsProficiency=1),1,0)</f>
        <v>0</v>
      </c>
      <c r="Y90">
        <f>IF(AND(IF(IFERROR(SEARCH("Martial",INDEX(I02_Weapon!$H$2:$H$39,MATCH(C_Skills!$W90,I02_Weapon!$A$2:$A$39,0),1),1),0)&gt;0,1,0)=1,MartialWeaponsProficiency=1),1,0)</f>
        <v>0</v>
      </c>
      <c r="Z90">
        <f t="shared" si="17"/>
        <v>0</v>
      </c>
      <c r="AA90">
        <f t="shared" si="18"/>
        <v>0</v>
      </c>
      <c r="AB90">
        <f t="shared" si="19"/>
        <v>0</v>
      </c>
      <c r="AC90" s="150"/>
      <c r="AF90" s="6">
        <f t="shared" si="16"/>
        <v>0</v>
      </c>
    </row>
    <row r="91" spans="21:32" x14ac:dyDescent="0.25">
      <c r="U91" s="163"/>
      <c r="W91" s="6" t="s">
        <v>127</v>
      </c>
      <c r="X91">
        <f>IF(AND(IF(IFERROR(SEARCH("Simple",INDEX(I02_Weapon!$H$2:$H$39,MATCH(C_Skills!$W91,I02_Weapon!$A$2:$A$39,0),1),1),0)&gt;0,1,0)=1,SimpleWeaponsProficiency=1),1,0)</f>
        <v>0</v>
      </c>
      <c r="Y91">
        <f>IF(AND(IF(IFERROR(SEARCH("Martial",INDEX(I02_Weapon!$H$2:$H$39,MATCH(C_Skills!$W91,I02_Weapon!$A$2:$A$39,0),1),1),0)&gt;0,1,0)=1,MartialWeaponsProficiency=1),1,0)</f>
        <v>0</v>
      </c>
      <c r="Z91">
        <f t="shared" si="17"/>
        <v>0</v>
      </c>
      <c r="AA91">
        <f t="shared" si="18"/>
        <v>0</v>
      </c>
      <c r="AB91">
        <f t="shared" si="19"/>
        <v>0</v>
      </c>
      <c r="AC91" s="150"/>
      <c r="AF91" s="6">
        <f t="shared" si="16"/>
        <v>0</v>
      </c>
    </row>
    <row r="92" spans="21:32" x14ac:dyDescent="0.25">
      <c r="U92" s="163"/>
      <c r="W92" s="6" t="s">
        <v>129</v>
      </c>
      <c r="X92">
        <f>IF(AND(IF(IFERROR(SEARCH("Simple",INDEX(I02_Weapon!$H$2:$H$39,MATCH(C_Skills!$W92,I02_Weapon!$A$2:$A$39,0),1),1),0)&gt;0,1,0)=1,SimpleWeaponsProficiency=1),1,0)</f>
        <v>0</v>
      </c>
      <c r="Y92">
        <f>IF(AND(IF(IFERROR(SEARCH("Martial",INDEX(I02_Weapon!$H$2:$H$39,MATCH(C_Skills!$W92,I02_Weapon!$A$2:$A$39,0),1),1),0)&gt;0,1,0)=1,MartialWeaponsProficiency=1),1,0)</f>
        <v>0</v>
      </c>
      <c r="Z92">
        <f t="shared" si="17"/>
        <v>0</v>
      </c>
      <c r="AA92">
        <f t="shared" si="18"/>
        <v>0</v>
      </c>
      <c r="AB92">
        <f t="shared" si="19"/>
        <v>0</v>
      </c>
      <c r="AC92" s="150"/>
      <c r="AF92" s="6">
        <f t="shared" si="16"/>
        <v>0</v>
      </c>
    </row>
    <row r="93" spans="21:32" x14ac:dyDescent="0.25">
      <c r="U93" s="163"/>
      <c r="W93" s="6" t="s">
        <v>130</v>
      </c>
      <c r="X93">
        <f>IF(AND(IF(IFERROR(SEARCH("Simple",INDEX(I02_Weapon!$H$2:$H$39,MATCH(C_Skills!$W93,I02_Weapon!$A$2:$A$39,0),1),1),0)&gt;0,1,0)=1,SimpleWeaponsProficiency=1),1,0)</f>
        <v>0</v>
      </c>
      <c r="Y93">
        <f>IF(AND(IF(IFERROR(SEARCH("Martial",INDEX(I02_Weapon!$H$2:$H$39,MATCH(C_Skills!$W93,I02_Weapon!$A$2:$A$39,0),1),1),0)&gt;0,1,0)=1,MartialWeaponsProficiency=1),1,0)</f>
        <v>0</v>
      </c>
      <c r="Z93">
        <f t="shared" si="17"/>
        <v>0</v>
      </c>
      <c r="AA93">
        <f t="shared" si="18"/>
        <v>0</v>
      </c>
      <c r="AB93">
        <f t="shared" si="19"/>
        <v>0</v>
      </c>
      <c r="AC93" s="150"/>
      <c r="AF93" s="6">
        <f t="shared" si="16"/>
        <v>0</v>
      </c>
    </row>
    <row r="94" spans="21:32" x14ac:dyDescent="0.25">
      <c r="U94" s="163"/>
      <c r="W94" s="6" t="s">
        <v>132</v>
      </c>
      <c r="X94">
        <f>IF(AND(IF(IFERROR(SEARCH("Simple",INDEX(I02_Weapon!$H$2:$H$39,MATCH(C_Skills!$W94,I02_Weapon!$A$2:$A$39,0),1),1),0)&gt;0,1,0)=1,SimpleWeaponsProficiency=1),1,0)</f>
        <v>0</v>
      </c>
      <c r="Y94">
        <f>IF(AND(IF(IFERROR(SEARCH("Martial",INDEX(I02_Weapon!$H$2:$H$39,MATCH(C_Skills!$W94,I02_Weapon!$A$2:$A$39,0),1),1),0)&gt;0,1,0)=1,MartialWeaponsProficiency=1),1,0)</f>
        <v>0</v>
      </c>
      <c r="Z94">
        <f t="shared" si="17"/>
        <v>0</v>
      </c>
      <c r="AA94">
        <f t="shared" si="18"/>
        <v>0</v>
      </c>
      <c r="AB94">
        <f t="shared" si="19"/>
        <v>0</v>
      </c>
      <c r="AC94" s="150"/>
      <c r="AF94" s="6">
        <f t="shared" si="16"/>
        <v>0</v>
      </c>
    </row>
    <row r="95" spans="21:32" x14ac:dyDescent="0.25">
      <c r="U95" s="163"/>
      <c r="W95" s="6" t="s">
        <v>134</v>
      </c>
      <c r="X95">
        <f>IF(AND(IF(IFERROR(SEARCH("Simple",INDEX(I02_Weapon!$H$2:$H$39,MATCH(C_Skills!$W95,I02_Weapon!$A$2:$A$39,0),1),1),0)&gt;0,1,0)=1,SimpleWeaponsProficiency=1),1,0)</f>
        <v>0</v>
      </c>
      <c r="Y95">
        <f>IF(AND(IF(IFERROR(SEARCH("Martial",INDEX(I02_Weapon!$H$2:$H$39,MATCH(C_Skills!$W95,I02_Weapon!$A$2:$A$39,0),1),1),0)&gt;0,1,0)=1,MartialWeaponsProficiency=1),1,0)</f>
        <v>0</v>
      </c>
      <c r="Z95">
        <f t="shared" si="17"/>
        <v>0</v>
      </c>
      <c r="AA95">
        <f t="shared" si="18"/>
        <v>0</v>
      </c>
      <c r="AB95">
        <f t="shared" si="19"/>
        <v>0</v>
      </c>
      <c r="AC95" s="150"/>
      <c r="AF95" s="6">
        <f t="shared" si="16"/>
        <v>0</v>
      </c>
    </row>
    <row r="96" spans="21:32" x14ac:dyDescent="0.25">
      <c r="U96" s="163"/>
      <c r="W96" s="6" t="s">
        <v>135</v>
      </c>
      <c r="X96">
        <f>IF(AND(IF(IFERROR(SEARCH("Simple",INDEX(I02_Weapon!$H$2:$H$39,MATCH(C_Skills!$W96,I02_Weapon!$A$2:$A$39,0),1),1),0)&gt;0,1,0)=1,SimpleWeaponsProficiency=1),1,0)</f>
        <v>0</v>
      </c>
      <c r="Y96">
        <f>IF(AND(IF(IFERROR(SEARCH("Martial",INDEX(I02_Weapon!$H$2:$H$39,MATCH(C_Skills!$W96,I02_Weapon!$A$2:$A$39,0),1),1),0)&gt;0,1,0)=1,MartialWeaponsProficiency=1),1,0)</f>
        <v>0</v>
      </c>
      <c r="Z96">
        <f t="shared" si="17"/>
        <v>1</v>
      </c>
      <c r="AA96">
        <f t="shared" si="18"/>
        <v>1</v>
      </c>
      <c r="AB96">
        <f t="shared" si="19"/>
        <v>0</v>
      </c>
      <c r="AC96" s="150"/>
      <c r="AF96" s="6">
        <f t="shared" si="16"/>
        <v>0</v>
      </c>
    </row>
    <row r="97" spans="21:32" x14ac:dyDescent="0.25">
      <c r="U97" s="163"/>
      <c r="W97" s="6" t="s">
        <v>36</v>
      </c>
      <c r="X97">
        <f>IF(AND(IF(IFERROR(SEARCH("Simple",INDEX(I02_Weapon!$H$2:$H$39,MATCH(C_Skills!$W97,I02_Weapon!$A$2:$A$39,0),1),1),0)&gt;0,1,0)=1,SimpleWeaponsProficiency=1),1,0)</f>
        <v>0</v>
      </c>
      <c r="Y97">
        <f>IF(AND(IF(IFERROR(SEARCH("Martial",INDEX(I02_Weapon!$H$2:$H$39,MATCH(C_Skills!$W97,I02_Weapon!$A$2:$A$39,0),1),1),0)&gt;0,1,0)=1,MartialWeaponsProficiency=1),1,0)</f>
        <v>0</v>
      </c>
      <c r="Z97">
        <f t="shared" si="17"/>
        <v>0</v>
      </c>
      <c r="AA97">
        <f t="shared" si="18"/>
        <v>0</v>
      </c>
      <c r="AB97">
        <f t="shared" si="19"/>
        <v>0</v>
      </c>
      <c r="AC97" s="150"/>
      <c r="AF97" s="6">
        <f t="shared" si="16"/>
        <v>0</v>
      </c>
    </row>
    <row r="98" spans="21:32" x14ac:dyDescent="0.25">
      <c r="U98" s="163"/>
      <c r="W98" s="6" t="s">
        <v>137</v>
      </c>
      <c r="X98">
        <f>IF(AND(IF(IFERROR(SEARCH("Simple",INDEX(I02_Weapon!$H$2:$H$39,MATCH(C_Skills!$W98,I02_Weapon!$A$2:$A$39,0),1),1),0)&gt;0,1,0)=1,SimpleWeaponsProficiency=1),1,0)</f>
        <v>0</v>
      </c>
      <c r="Y98">
        <f>IF(AND(IF(IFERROR(SEARCH("Martial",INDEX(I02_Weapon!$H$2:$H$39,MATCH(C_Skills!$W98,I02_Weapon!$A$2:$A$39,0),1),1),0)&gt;0,1,0)=1,MartialWeaponsProficiency=1),1,0)</f>
        <v>0</v>
      </c>
      <c r="Z98">
        <f t="shared" si="17"/>
        <v>0</v>
      </c>
      <c r="AA98">
        <f t="shared" si="18"/>
        <v>0</v>
      </c>
      <c r="AB98">
        <f t="shared" si="19"/>
        <v>0</v>
      </c>
      <c r="AC98" s="150"/>
      <c r="AF98" s="6">
        <f t="shared" si="16"/>
        <v>0</v>
      </c>
    </row>
    <row r="99" spans="21:32" x14ac:dyDescent="0.25">
      <c r="U99" s="163"/>
      <c r="W99" s="6" t="s">
        <v>138</v>
      </c>
      <c r="X99">
        <f>IF(AND(IF(IFERROR(SEARCH("Simple",INDEX(I02_Weapon!$H$2:$H$39,MATCH(C_Skills!$W99,I02_Weapon!$A$2:$A$39,0),1),1),0)&gt;0,1,0)=1,SimpleWeaponsProficiency=1),1,0)</f>
        <v>0</v>
      </c>
      <c r="Y99">
        <f>IF(AND(IF(IFERROR(SEARCH("Martial",INDEX(I02_Weapon!$H$2:$H$39,MATCH(C_Skills!$W99,I02_Weapon!$A$2:$A$39,0),1),1),0)&gt;0,1,0)=1,MartialWeaponsProficiency=1),1,0)</f>
        <v>0</v>
      </c>
      <c r="Z99">
        <f t="shared" si="17"/>
        <v>0</v>
      </c>
      <c r="AA99">
        <f t="shared" si="18"/>
        <v>0</v>
      </c>
      <c r="AB99">
        <f t="shared" si="19"/>
        <v>0</v>
      </c>
      <c r="AC99" s="150"/>
      <c r="AF99" s="6">
        <f t="shared" si="16"/>
        <v>0</v>
      </c>
    </row>
    <row r="100" spans="21:32" x14ac:dyDescent="0.25">
      <c r="U100" s="163"/>
      <c r="W100" s="6" t="s">
        <v>140</v>
      </c>
      <c r="X100">
        <f>IF(AND(IF(IFERROR(SEARCH("Simple",INDEX(I02_Weapon!$H$2:$H$39,MATCH(C_Skills!$W100,I02_Weapon!$A$2:$A$39,0),1),1),0)&gt;0,1,0)=1,SimpleWeaponsProficiency=1),1,0)</f>
        <v>0</v>
      </c>
      <c r="Y100">
        <f>IF(AND(IF(IFERROR(SEARCH("Martial",INDEX(I02_Weapon!$H$2:$H$39,MATCH(C_Skills!$W100,I02_Weapon!$A$2:$A$39,0),1),1),0)&gt;0,1,0)=1,MartialWeaponsProficiency=1),1,0)</f>
        <v>0</v>
      </c>
      <c r="Z100">
        <f t="shared" si="17"/>
        <v>0</v>
      </c>
      <c r="AA100">
        <f t="shared" si="18"/>
        <v>0</v>
      </c>
      <c r="AB100">
        <f t="shared" si="19"/>
        <v>0</v>
      </c>
      <c r="AC100" s="150"/>
      <c r="AF100" s="6">
        <f t="shared" si="16"/>
        <v>0</v>
      </c>
    </row>
    <row r="101" spans="21:32" x14ac:dyDescent="0.25">
      <c r="U101" s="163"/>
      <c r="W101" s="6" t="s">
        <v>141</v>
      </c>
      <c r="X101">
        <f>IF(AND(IF(IFERROR(SEARCH("Simple",INDEX(I02_Weapon!$H$2:$H$39,MATCH(C_Skills!$W101,I02_Weapon!$A$2:$A$39,0),1),1),0)&gt;0,1,0)=1,SimpleWeaponsProficiency=1),1,0)</f>
        <v>0</v>
      </c>
      <c r="Y101">
        <f>IF(AND(IF(IFERROR(SEARCH("Martial",INDEX(I02_Weapon!$H$2:$H$39,MATCH(C_Skills!$W101,I02_Weapon!$A$2:$A$39,0),1),1),0)&gt;0,1,0)=1,MartialWeaponsProficiency=1),1,0)</f>
        <v>0</v>
      </c>
      <c r="Z101">
        <f t="shared" si="17"/>
        <v>0</v>
      </c>
      <c r="AA101">
        <f t="shared" si="18"/>
        <v>0</v>
      </c>
      <c r="AB101">
        <f t="shared" si="19"/>
        <v>0</v>
      </c>
      <c r="AC101" s="150"/>
      <c r="AF101" s="6">
        <f t="shared" si="16"/>
        <v>0</v>
      </c>
    </row>
    <row r="102" spans="21:32" x14ac:dyDescent="0.25">
      <c r="U102" s="163"/>
      <c r="W102" s="6" t="s">
        <v>142</v>
      </c>
      <c r="X102">
        <f>IF(AND(IF(IFERROR(SEARCH("Simple",INDEX(I02_Weapon!$H$2:$H$39,MATCH(C_Skills!$W102,I02_Weapon!$A$2:$A$39,0),1),1),0)&gt;0,1,0)=1,SimpleWeaponsProficiency=1),1,0)</f>
        <v>0</v>
      </c>
      <c r="Y102">
        <f>IF(AND(IF(IFERROR(SEARCH("Martial",INDEX(I02_Weapon!$H$2:$H$39,MATCH(C_Skills!$W102,I02_Weapon!$A$2:$A$39,0),1),1),0)&gt;0,1,0)=1,MartialWeaponsProficiency=1),1,0)</f>
        <v>0</v>
      </c>
      <c r="Z102">
        <f t="shared" si="17"/>
        <v>0</v>
      </c>
      <c r="AA102">
        <f t="shared" si="18"/>
        <v>0</v>
      </c>
      <c r="AB102">
        <f t="shared" si="19"/>
        <v>0</v>
      </c>
      <c r="AC102" s="150"/>
      <c r="AF102" s="6">
        <f t="shared" si="16"/>
        <v>0</v>
      </c>
    </row>
    <row r="103" spans="21:32" x14ac:dyDescent="0.25">
      <c r="U103" s="163"/>
      <c r="W103" s="6" t="s">
        <v>53</v>
      </c>
      <c r="X103">
        <f>IF(AND(IF(IFERROR(SEARCH("Simple",INDEX(I02_Weapon!$H$2:$H$39,MATCH(C_Skills!$W103,I02_Weapon!$A$2:$A$39,0),1),1),0)&gt;0,1,0)=1,SimpleWeaponsProficiency=1),1,0)</f>
        <v>0</v>
      </c>
      <c r="Y103">
        <f>IF(AND(IF(IFERROR(SEARCH("Martial",INDEX(I02_Weapon!$H$2:$H$39,MATCH(C_Skills!$W103,I02_Weapon!$A$2:$A$39,0),1),1),0)&gt;0,1,0)=1,MartialWeaponsProficiency=1),1,0)</f>
        <v>0</v>
      </c>
      <c r="Z103">
        <f t="shared" si="17"/>
        <v>0</v>
      </c>
      <c r="AA103">
        <f t="shared" si="18"/>
        <v>0</v>
      </c>
      <c r="AB103">
        <f t="shared" si="19"/>
        <v>0</v>
      </c>
      <c r="AC103" s="150"/>
      <c r="AF103" s="6">
        <f t="shared" si="16"/>
        <v>0</v>
      </c>
    </row>
    <row r="104" spans="21:32" x14ac:dyDescent="0.25">
      <c r="U104" s="163"/>
      <c r="W104" s="6" t="s">
        <v>50</v>
      </c>
      <c r="X104">
        <f>IF(AND(IF(IFERROR(SEARCH("Simple",INDEX(I02_Weapon!$H$2:$H$39,MATCH(C_Skills!$W104,I02_Weapon!$A$2:$A$39,0),1),1),0)&gt;0,1,0)=1,SimpleWeaponsProficiency=1),1,0)</f>
        <v>0</v>
      </c>
      <c r="Y104">
        <f>IF(AND(IF(IFERROR(SEARCH("Martial",INDEX(I02_Weapon!$H$2:$H$39,MATCH(C_Skills!$W104,I02_Weapon!$A$2:$A$39,0),1),1),0)&gt;0,1,0)=1,MartialWeaponsProficiency=1),1,0)</f>
        <v>0</v>
      </c>
      <c r="Z104">
        <f t="shared" si="17"/>
        <v>0</v>
      </c>
      <c r="AA104">
        <f t="shared" si="18"/>
        <v>0</v>
      </c>
      <c r="AB104">
        <f t="shared" si="19"/>
        <v>0</v>
      </c>
      <c r="AC104" s="150"/>
      <c r="AF104" s="6">
        <f t="shared" si="16"/>
        <v>0</v>
      </c>
    </row>
    <row r="105" spans="21:32" x14ac:dyDescent="0.25">
      <c r="U105" s="163"/>
      <c r="W105" s="6" t="s">
        <v>143</v>
      </c>
      <c r="X105">
        <f>IF(AND(IF(IFERROR(SEARCH("Simple",INDEX(I02_Weapon!$H$2:$H$39,MATCH(C_Skills!$W105,I02_Weapon!$A$2:$A$39,0),1),1),0)&gt;0,1,0)=1,SimpleWeaponsProficiency=1),1,0)</f>
        <v>0</v>
      </c>
      <c r="Y105">
        <f>IF(AND(IF(IFERROR(SEARCH("Martial",INDEX(I02_Weapon!$H$2:$H$39,MATCH(C_Skills!$W105,I02_Weapon!$A$2:$A$39,0),1),1),0)&gt;0,1,0)=1,MartialWeaponsProficiency=1),1,0)</f>
        <v>0</v>
      </c>
      <c r="Z105">
        <f t="shared" si="17"/>
        <v>0</v>
      </c>
      <c r="AA105">
        <f t="shared" si="18"/>
        <v>0</v>
      </c>
      <c r="AB105">
        <f t="shared" si="19"/>
        <v>0</v>
      </c>
      <c r="AC105" s="150"/>
      <c r="AF105" s="6">
        <f t="shared" si="16"/>
        <v>0</v>
      </c>
    </row>
    <row r="106" spans="21:32" x14ac:dyDescent="0.25">
      <c r="U106" s="163"/>
      <c r="W106" s="6" t="s">
        <v>144</v>
      </c>
      <c r="X106">
        <f>IF(AND(IF(IFERROR(SEARCH("Simple",INDEX(I02_Weapon!$H$2:$H$39,MATCH(C_Skills!$W106,I02_Weapon!$A$2:$A$39,0),1),1),0)&gt;0,1,0)=1,SimpleWeaponsProficiency=1),1,0)</f>
        <v>0</v>
      </c>
      <c r="Y106">
        <f>IF(AND(IF(IFERROR(SEARCH("Martial",INDEX(I02_Weapon!$H$2:$H$39,MATCH(C_Skills!$W106,I02_Weapon!$A$2:$A$39,0),1),1),0)&gt;0,1,0)=1,MartialWeaponsProficiency=1),1,0)</f>
        <v>0</v>
      </c>
      <c r="Z106">
        <f t="shared" si="17"/>
        <v>0</v>
      </c>
      <c r="AA106">
        <f t="shared" si="18"/>
        <v>0</v>
      </c>
      <c r="AB106">
        <f t="shared" si="19"/>
        <v>0</v>
      </c>
      <c r="AC106" s="150"/>
      <c r="AF106" s="6">
        <f t="shared" si="16"/>
        <v>0</v>
      </c>
    </row>
    <row r="107" spans="21:32" x14ac:dyDescent="0.25">
      <c r="U107" s="163"/>
      <c r="W107" s="6" t="s">
        <v>145</v>
      </c>
      <c r="X107">
        <f>IF(AND(IF(IFERROR(SEARCH("Simple",INDEX(I02_Weapon!$H$2:$H$39,MATCH(C_Skills!$W107,I02_Weapon!$A$2:$A$39,0),1),1),0)&gt;0,1,0)=1,SimpleWeaponsProficiency=1),1,0)</f>
        <v>0</v>
      </c>
      <c r="Y107">
        <f>IF(AND(IF(IFERROR(SEARCH("Martial",INDEX(I02_Weapon!$H$2:$H$39,MATCH(C_Skills!$W107,I02_Weapon!$A$2:$A$39,0),1),1),0)&gt;0,1,0)=1,MartialWeaponsProficiency=1),1,0)</f>
        <v>0</v>
      </c>
      <c r="Z107">
        <f t="shared" si="17"/>
        <v>0</v>
      </c>
      <c r="AA107">
        <f t="shared" si="18"/>
        <v>0</v>
      </c>
      <c r="AB107">
        <f t="shared" si="19"/>
        <v>0</v>
      </c>
      <c r="AC107" s="150"/>
      <c r="AF107" s="6">
        <f t="shared" si="16"/>
        <v>0</v>
      </c>
    </row>
    <row r="108" spans="21:32" x14ac:dyDescent="0.25">
      <c r="U108" s="163"/>
      <c r="W108" s="6" t="s">
        <v>146</v>
      </c>
      <c r="X108">
        <f>IF(AND(IF(IFERROR(SEARCH("Simple",INDEX(I02_Weapon!$H$2:$H$39,MATCH(C_Skills!$W108,I02_Weapon!$A$2:$A$39,0),1),1),0)&gt;0,1,0)=1,SimpleWeaponsProficiency=1),1,0)</f>
        <v>0</v>
      </c>
      <c r="Y108">
        <f>IF(AND(IF(IFERROR(SEARCH("Martial",INDEX(I02_Weapon!$H$2:$H$39,MATCH(C_Skills!$W108,I02_Weapon!$A$2:$A$39,0),1),1),0)&gt;0,1,0)=1,MartialWeaponsProficiency=1),1,0)</f>
        <v>0</v>
      </c>
      <c r="Z108">
        <f t="shared" si="17"/>
        <v>0</v>
      </c>
      <c r="AA108">
        <f t="shared" si="18"/>
        <v>0</v>
      </c>
      <c r="AB108">
        <f t="shared" si="19"/>
        <v>0</v>
      </c>
      <c r="AC108" s="150"/>
      <c r="AF108" s="6">
        <f t="shared" si="16"/>
        <v>0</v>
      </c>
    </row>
    <row r="109" spans="21:32" x14ac:dyDescent="0.25">
      <c r="U109" s="163"/>
      <c r="W109" s="6" t="s">
        <v>147</v>
      </c>
      <c r="X109">
        <f>IF(AND(IF(IFERROR(SEARCH("Simple",INDEX(I02_Weapon!$H$2:$H$39,MATCH(C_Skills!$W109,I02_Weapon!$A$2:$A$39,0),1),1),0)&gt;0,1,0)=1,SimpleWeaponsProficiency=1),1,0)</f>
        <v>0</v>
      </c>
      <c r="Y109">
        <f>IF(AND(IF(IFERROR(SEARCH("Martial",INDEX(I02_Weapon!$H$2:$H$39,MATCH(C_Skills!$W109,I02_Weapon!$A$2:$A$39,0),1),1),0)&gt;0,1,0)=1,MartialWeaponsProficiency=1),1,0)</f>
        <v>0</v>
      </c>
      <c r="Z109">
        <f t="shared" si="17"/>
        <v>0</v>
      </c>
      <c r="AA109">
        <f t="shared" si="18"/>
        <v>0</v>
      </c>
      <c r="AB109">
        <f t="shared" si="19"/>
        <v>0</v>
      </c>
      <c r="AC109" s="150"/>
      <c r="AF109" s="6">
        <f t="shared" si="16"/>
        <v>0</v>
      </c>
    </row>
    <row r="110" spans="21:32" x14ac:dyDescent="0.25">
      <c r="U110" s="163"/>
      <c r="W110" s="6" t="s">
        <v>148</v>
      </c>
      <c r="X110">
        <f>IF(AND(IF(IFERROR(SEARCH("Simple",INDEX(I02_Weapon!$H$2:$H$39,MATCH(C_Skills!$W110,I02_Weapon!$A$2:$A$39,0),1),1),0)&gt;0,1,0)=1,SimpleWeaponsProficiency=1),1,0)</f>
        <v>0</v>
      </c>
      <c r="Y110">
        <f>IF(AND(IF(IFERROR(SEARCH("Martial",INDEX(I02_Weapon!$H$2:$H$39,MATCH(C_Skills!$W110,I02_Weapon!$A$2:$A$39,0),1),1),0)&gt;0,1,0)=1,MartialWeaponsProficiency=1),1,0)</f>
        <v>0</v>
      </c>
      <c r="Z110">
        <f t="shared" si="17"/>
        <v>0</v>
      </c>
      <c r="AA110">
        <f t="shared" si="18"/>
        <v>0</v>
      </c>
      <c r="AB110">
        <f t="shared" si="19"/>
        <v>0</v>
      </c>
      <c r="AC110" s="150"/>
      <c r="AF110" s="6">
        <f t="shared" si="16"/>
        <v>0</v>
      </c>
    </row>
    <row r="111" spans="21:32" x14ac:dyDescent="0.25">
      <c r="U111" s="163"/>
      <c r="W111" s="6" t="s">
        <v>149</v>
      </c>
      <c r="X111">
        <f>IF(AND(IF(IFERROR(SEARCH("Simple",INDEX(I02_Weapon!$H$2:$H$39,MATCH(C_Skills!$W111,I02_Weapon!$A$2:$A$39,0),1),1),0)&gt;0,1,0)=1,SimpleWeaponsProficiency=1),1,0)</f>
        <v>0</v>
      </c>
      <c r="Y111">
        <f>IF(AND(IF(IFERROR(SEARCH("Martial",INDEX(I02_Weapon!$H$2:$H$39,MATCH(C_Skills!$W111,I02_Weapon!$A$2:$A$39,0),1),1),0)&gt;0,1,0)=1,MartialWeaponsProficiency=1),1,0)</f>
        <v>0</v>
      </c>
      <c r="Z111">
        <f t="shared" si="17"/>
        <v>1</v>
      </c>
      <c r="AA111">
        <f t="shared" si="18"/>
        <v>1</v>
      </c>
      <c r="AB111">
        <f t="shared" si="19"/>
        <v>0</v>
      </c>
      <c r="AC111" s="150"/>
      <c r="AF111" s="6">
        <f t="shared" si="16"/>
        <v>0</v>
      </c>
    </row>
    <row r="112" spans="21:32" x14ac:dyDescent="0.25">
      <c r="U112" s="163"/>
      <c r="W112" s="6" t="s">
        <v>151</v>
      </c>
      <c r="X112">
        <f>IF(AND(IF(IFERROR(SEARCH("Simple",INDEX(I02_Weapon!$H$2:$H$39,MATCH(C_Skills!$W112,I02_Weapon!$A$2:$A$39,0),1),1),0)&gt;0,1,0)=1,SimpleWeaponsProficiency=1),1,0)</f>
        <v>0</v>
      </c>
      <c r="Y112">
        <f>IF(AND(IF(IFERROR(SEARCH("Martial",INDEX(I02_Weapon!$H$2:$H$39,MATCH(C_Skills!$W112,I02_Weapon!$A$2:$A$39,0),1),1),0)&gt;0,1,0)=1,MartialWeaponsProficiency=1),1,0)</f>
        <v>0</v>
      </c>
      <c r="Z112">
        <f t="shared" si="17"/>
        <v>0</v>
      </c>
      <c r="AA112">
        <f t="shared" si="18"/>
        <v>0</v>
      </c>
      <c r="AB112">
        <f t="shared" si="19"/>
        <v>0</v>
      </c>
      <c r="AC112" s="150"/>
      <c r="AF112" s="6">
        <f t="shared" si="16"/>
        <v>0</v>
      </c>
    </row>
    <row r="113" spans="21:32" x14ac:dyDescent="0.25">
      <c r="U113" s="163"/>
      <c r="W113" s="6" t="s">
        <v>52</v>
      </c>
      <c r="X113">
        <f>IF(AND(IF(IFERROR(SEARCH("Simple",INDEX(I02_Weapon!$H$2:$H$39,MATCH(C_Skills!$W113,I02_Weapon!$A$2:$A$39,0),1),1),0)&gt;0,1,0)=1,SimpleWeaponsProficiency=1),1,0)</f>
        <v>0</v>
      </c>
      <c r="Y113">
        <f>IF(AND(IF(IFERROR(SEARCH("Martial",INDEX(I02_Weapon!$H$2:$H$39,MATCH(C_Skills!$W113,I02_Weapon!$A$2:$A$39,0),1),1),0)&gt;0,1,0)=1,MartialWeaponsProficiency=1),1,0)</f>
        <v>0</v>
      </c>
      <c r="Z113">
        <f t="shared" si="17"/>
        <v>0</v>
      </c>
      <c r="AA113">
        <f t="shared" si="18"/>
        <v>0</v>
      </c>
      <c r="AB113">
        <f t="shared" si="19"/>
        <v>0</v>
      </c>
      <c r="AC113" s="150"/>
      <c r="AF113" s="6">
        <f t="shared" si="16"/>
        <v>0</v>
      </c>
    </row>
    <row r="114" spans="21:32" x14ac:dyDescent="0.25">
      <c r="U114" s="163"/>
      <c r="W114" s="6" t="s">
        <v>51</v>
      </c>
      <c r="X114">
        <f>IF(AND(IF(IFERROR(SEARCH("Simple",INDEX(I02_Weapon!$H$2:$H$39,MATCH(C_Skills!$W114,I02_Weapon!$A$2:$A$39,0),1),1),0)&gt;0,1,0)=1,SimpleWeaponsProficiency=1),1,0)</f>
        <v>0</v>
      </c>
      <c r="Y114">
        <f>IF(AND(IF(IFERROR(SEARCH("Martial",INDEX(I02_Weapon!$H$2:$H$39,MATCH(C_Skills!$W114,I02_Weapon!$A$2:$A$39,0),1),1),0)&gt;0,1,0)=1,MartialWeaponsProficiency=1),1,0)</f>
        <v>0</v>
      </c>
      <c r="Z114">
        <f t="shared" si="17"/>
        <v>1</v>
      </c>
      <c r="AA114">
        <f t="shared" si="18"/>
        <v>1</v>
      </c>
      <c r="AB114">
        <f t="shared" si="19"/>
        <v>0</v>
      </c>
      <c r="AC114" s="150"/>
      <c r="AF114" s="6">
        <f t="shared" si="16"/>
        <v>0</v>
      </c>
    </row>
    <row r="115" spans="21:32" x14ac:dyDescent="0.25">
      <c r="U115" s="163"/>
      <c r="W115" s="6" t="s">
        <v>152</v>
      </c>
      <c r="X115">
        <f>IF(AND(IF(IFERROR(SEARCH("Simple",INDEX(I02_Weapon!$H$2:$H$39,MATCH(C_Skills!$W115,I02_Weapon!$A$2:$A$39,0),1),1),0)&gt;0,1,0)=1,SimpleWeaponsProficiency=1),1,0)</f>
        <v>0</v>
      </c>
      <c r="Y115">
        <f>IF(AND(IF(IFERROR(SEARCH("Martial",INDEX(I02_Weapon!$H$2:$H$39,MATCH(C_Skills!$W115,I02_Weapon!$A$2:$A$39,0),1),1),0)&gt;0,1,0)=1,MartialWeaponsProficiency=1),1,0)</f>
        <v>0</v>
      </c>
      <c r="Z115">
        <f t="shared" si="17"/>
        <v>0</v>
      </c>
      <c r="AA115">
        <f t="shared" si="18"/>
        <v>0</v>
      </c>
      <c r="AB115">
        <f t="shared" si="19"/>
        <v>0</v>
      </c>
      <c r="AC115" s="150"/>
      <c r="AF115" s="6">
        <f t="shared" si="16"/>
        <v>0</v>
      </c>
    </row>
    <row r="116" spans="21:32" x14ac:dyDescent="0.25">
      <c r="U116" s="163"/>
      <c r="W116" s="6" t="s">
        <v>153</v>
      </c>
      <c r="X116">
        <f>IF(AND(IF(IFERROR(SEARCH("Simple",INDEX(I02_Weapon!$H$2:$H$39,MATCH(C_Skills!$W116,I02_Weapon!$A$2:$A$39,0),1),1),0)&gt;0,1,0)=1,SimpleWeaponsProficiency=1),1,0)</f>
        <v>0</v>
      </c>
      <c r="Y116">
        <f>IF(AND(IF(IFERROR(SEARCH("Martial",INDEX(I02_Weapon!$H$2:$H$39,MATCH(C_Skills!$W116,I02_Weapon!$A$2:$A$39,0),1),1),0)&gt;0,1,0)=1,MartialWeaponsProficiency=1),1,0)</f>
        <v>0</v>
      </c>
      <c r="Z116">
        <f t="shared" si="17"/>
        <v>0</v>
      </c>
      <c r="AA116">
        <f t="shared" si="18"/>
        <v>0</v>
      </c>
      <c r="AB116">
        <f t="shared" si="19"/>
        <v>0</v>
      </c>
      <c r="AC116" s="150"/>
      <c r="AF116" s="6">
        <f t="shared" si="16"/>
        <v>0</v>
      </c>
    </row>
    <row r="117" spans="21:32" x14ac:dyDescent="0.25">
      <c r="U117" s="163"/>
      <c r="W117" s="6" t="s">
        <v>155</v>
      </c>
      <c r="X117">
        <f>IF(AND(IF(IFERROR(SEARCH("Simple",INDEX(I02_Weapon!$H$2:$H$39,MATCH(C_Skills!$W117,I02_Weapon!$A$2:$A$39,0),1),1),0)&gt;0,1,0)=1,SimpleWeaponsProficiency=1),1,0)</f>
        <v>0</v>
      </c>
      <c r="Y117">
        <f>IF(AND(IF(IFERROR(SEARCH("Martial",INDEX(I02_Weapon!$H$2:$H$39,MATCH(C_Skills!$W117,I02_Weapon!$A$2:$A$39,0),1),1),0)&gt;0,1,0)=1,MartialWeaponsProficiency=1),1,0)</f>
        <v>0</v>
      </c>
      <c r="Z117">
        <f t="shared" si="17"/>
        <v>0</v>
      </c>
      <c r="AA117">
        <f t="shared" si="18"/>
        <v>0</v>
      </c>
      <c r="AB117">
        <f t="shared" si="19"/>
        <v>0</v>
      </c>
      <c r="AC117" s="150"/>
      <c r="AF117" s="6">
        <f t="shared" si="16"/>
        <v>0</v>
      </c>
    </row>
    <row r="118" spans="21:32" x14ac:dyDescent="0.25">
      <c r="U118" s="163"/>
      <c r="W118" s="6" t="s">
        <v>156</v>
      </c>
      <c r="X118">
        <f>IF(AND(IF(IFERROR(SEARCH("Simple",INDEX(I02_Weapon!$H$2:$H$39,MATCH(C_Skills!$W118,I02_Weapon!$A$2:$A$39,0),1),1),0)&gt;0,1,0)=1,SimpleWeaponsProficiency=1),1,0)</f>
        <v>0</v>
      </c>
      <c r="Y118">
        <f>IF(AND(IF(IFERROR(SEARCH("Martial",INDEX(I02_Weapon!$H$2:$H$39,MATCH(C_Skills!$W118,I02_Weapon!$A$2:$A$39,0),1),1),0)&gt;0,1,0)=1,MartialWeaponsProficiency=1),1,0)</f>
        <v>0</v>
      </c>
      <c r="Z118">
        <f t="shared" si="17"/>
        <v>0</v>
      </c>
      <c r="AA118">
        <f t="shared" si="18"/>
        <v>0</v>
      </c>
      <c r="AB118">
        <f t="shared" si="19"/>
        <v>0</v>
      </c>
      <c r="AC118" s="150"/>
      <c r="AF118" s="6">
        <f t="shared" si="16"/>
        <v>0</v>
      </c>
    </row>
    <row r="119" spans="21:32" x14ac:dyDescent="0.25">
      <c r="U119" s="163"/>
      <c r="W119" s="6" t="s">
        <v>157</v>
      </c>
      <c r="X119">
        <f>IF(AND(IF(IFERROR(SEARCH("Simple",INDEX(I02_Weapon!$H$2:$H$39,MATCH(C_Skills!$W119,I02_Weapon!$A$2:$A$39,0),1),1),0)&gt;0,1,0)=1,SimpleWeaponsProficiency=1),1,0)</f>
        <v>0</v>
      </c>
      <c r="Y119">
        <f>IF(AND(IF(IFERROR(SEARCH("Martial",INDEX(I02_Weapon!$H$2:$H$39,MATCH(C_Skills!$W119,I02_Weapon!$A$2:$A$39,0),1),1),0)&gt;0,1,0)=1,MartialWeaponsProficiency=1),1,0)</f>
        <v>0</v>
      </c>
      <c r="Z119">
        <f t="shared" si="17"/>
        <v>0</v>
      </c>
      <c r="AA119">
        <f t="shared" si="18"/>
        <v>0</v>
      </c>
      <c r="AB119">
        <f t="shared" si="19"/>
        <v>0</v>
      </c>
      <c r="AC119" s="150"/>
      <c r="AF119" s="6">
        <f t="shared" si="16"/>
        <v>0</v>
      </c>
    </row>
    <row r="120" spans="21:32" x14ac:dyDescent="0.25">
      <c r="U120" s="163"/>
      <c r="W120" s="6" t="s">
        <v>158</v>
      </c>
      <c r="X120">
        <f>IF(AND(IF(IFERROR(SEARCH("Simple",INDEX(I02_Weapon!$H$2:$H$39,MATCH(C_Skills!$W120,I02_Weapon!$A$2:$A$39,0),1),1),0)&gt;0,1,0)=1,SimpleWeaponsProficiency=1),1,0)</f>
        <v>0</v>
      </c>
      <c r="Y120">
        <f>IF(AND(IF(IFERROR(SEARCH("Martial",INDEX(I02_Weapon!$H$2:$H$39,MATCH(C_Skills!$W120,I02_Weapon!$A$2:$A$39,0),1),1),0)&gt;0,1,0)=1,MartialWeaponsProficiency=1),1,0)</f>
        <v>0</v>
      </c>
      <c r="Z120">
        <f t="shared" si="17"/>
        <v>0</v>
      </c>
      <c r="AA120">
        <f t="shared" si="18"/>
        <v>0</v>
      </c>
      <c r="AB120">
        <f t="shared" si="19"/>
        <v>0</v>
      </c>
      <c r="AC120" s="150"/>
      <c r="AF120" s="6">
        <f t="shared" si="16"/>
        <v>0</v>
      </c>
    </row>
    <row r="121" spans="21:32" x14ac:dyDescent="0.25">
      <c r="U121" s="163"/>
      <c r="W121" s="6" t="s">
        <v>38</v>
      </c>
      <c r="X121">
        <f>IF(AND(IF(IFERROR(SEARCH("Simple",INDEX(I02_Weapon!$H$2:$H$39,MATCH(C_Skills!$W121,I02_Weapon!$A$2:$A$39,0),1),1),0)&gt;0,1,0)=1,SimpleWeaponsProficiency=1),1,0)</f>
        <v>0</v>
      </c>
      <c r="Y121">
        <f>IF(AND(IF(IFERROR(SEARCH("Martial",INDEX(I02_Weapon!$H$2:$H$39,MATCH(C_Skills!$W121,I02_Weapon!$A$2:$A$39,0),1),1),0)&gt;0,1,0)=1,MartialWeaponsProficiency=1),1,0)</f>
        <v>0</v>
      </c>
      <c r="Z121">
        <f t="shared" si="17"/>
        <v>0</v>
      </c>
      <c r="AA121">
        <f t="shared" si="18"/>
        <v>0</v>
      </c>
      <c r="AB121">
        <f t="shared" si="19"/>
        <v>0</v>
      </c>
      <c r="AC121" s="150"/>
      <c r="AF121" s="6">
        <f t="shared" si="16"/>
        <v>0</v>
      </c>
    </row>
    <row r="122" spans="21:32" x14ac:dyDescent="0.25">
      <c r="U122" s="163"/>
      <c r="W122" s="6" t="s">
        <v>159</v>
      </c>
      <c r="X122">
        <f>IF(AND(IF(IFERROR(SEARCH("Simple",INDEX(I02_Weapon!$H$2:$H$39,MATCH(C_Skills!$W122,I02_Weapon!$A$2:$A$39,0),1),1),0)&gt;0,1,0)=1,SimpleWeaponsProficiency=1),1,0)</f>
        <v>0</v>
      </c>
      <c r="Y122">
        <f>IF(AND(IF(IFERROR(SEARCH("Martial",INDEX(I02_Weapon!$H$2:$H$39,MATCH(C_Skills!$W122,I02_Weapon!$A$2:$A$39,0),1),1),0)&gt;0,1,0)=1,MartialWeaponsProficiency=1),1,0)</f>
        <v>0</v>
      </c>
      <c r="Z122">
        <f t="shared" si="17"/>
        <v>0</v>
      </c>
      <c r="AA122">
        <f t="shared" si="18"/>
        <v>0</v>
      </c>
      <c r="AB122">
        <f t="shared" si="19"/>
        <v>0</v>
      </c>
      <c r="AC122" s="150"/>
      <c r="AF122" s="6">
        <f t="shared" si="16"/>
        <v>0</v>
      </c>
    </row>
    <row r="123" spans="21:32" x14ac:dyDescent="0.25">
      <c r="U123" s="163"/>
      <c r="AC123" s="150"/>
      <c r="AF123" s="6">
        <f t="shared" si="16"/>
        <v>0</v>
      </c>
    </row>
    <row r="124" spans="21:32" x14ac:dyDescent="0.25">
      <c r="U124" s="163"/>
      <c r="AC124" s="150"/>
      <c r="AF124" s="6">
        <f t="shared" si="16"/>
        <v>0</v>
      </c>
    </row>
    <row r="125" spans="21:32" x14ac:dyDescent="0.25">
      <c r="U125" s="163"/>
      <c r="AC125" s="150"/>
      <c r="AF125" s="6">
        <f t="shared" si="16"/>
        <v>0</v>
      </c>
    </row>
    <row r="126" spans="21:32" x14ac:dyDescent="0.25">
      <c r="U126" s="163"/>
      <c r="AC126" s="150"/>
      <c r="AF126" s="6">
        <f t="shared" si="16"/>
        <v>0</v>
      </c>
    </row>
    <row r="127" spans="21:32" x14ac:dyDescent="0.25">
      <c r="U127" s="163"/>
      <c r="AC127" s="150"/>
      <c r="AF127" s="6">
        <f t="shared" si="16"/>
        <v>0</v>
      </c>
    </row>
    <row r="128" spans="21:32" x14ac:dyDescent="0.25">
      <c r="U128" s="163"/>
      <c r="AC128" s="150"/>
      <c r="AF128" s="6">
        <f t="shared" si="16"/>
        <v>0</v>
      </c>
    </row>
    <row r="129" spans="21:32" x14ac:dyDescent="0.25">
      <c r="U129" s="163"/>
      <c r="AC129" s="150"/>
      <c r="AF129" s="6">
        <f t="shared" si="16"/>
        <v>0</v>
      </c>
    </row>
    <row r="130" spans="21:32" x14ac:dyDescent="0.25">
      <c r="U130" s="163"/>
      <c r="AC130" s="150"/>
      <c r="AF130" s="6">
        <f t="shared" si="16"/>
        <v>0</v>
      </c>
    </row>
    <row r="131" spans="21:32" x14ac:dyDescent="0.25">
      <c r="U131" s="163"/>
      <c r="AC131" s="150"/>
      <c r="AF131" s="6">
        <f t="shared" ref="AF131:AF141" si="20">IF(IFERROR(MATCH(AE131,$AC$2:$AC$201,0),0)&gt;0,1,0)</f>
        <v>0</v>
      </c>
    </row>
    <row r="132" spans="21:32" x14ac:dyDescent="0.25">
      <c r="U132" s="163"/>
      <c r="AC132" s="150"/>
      <c r="AF132" s="6">
        <f t="shared" si="20"/>
        <v>0</v>
      </c>
    </row>
    <row r="133" spans="21:32" x14ac:dyDescent="0.25">
      <c r="U133" s="163"/>
      <c r="AC133" s="150"/>
      <c r="AF133" s="6">
        <f t="shared" si="20"/>
        <v>0</v>
      </c>
    </row>
    <row r="134" spans="21:32" ht="15.75" thickBot="1" x14ac:dyDescent="0.3">
      <c r="U134" s="163"/>
      <c r="AC134" s="151"/>
      <c r="AF134" s="6">
        <f t="shared" si="20"/>
        <v>0</v>
      </c>
    </row>
    <row r="135" spans="21:32" x14ac:dyDescent="0.25">
      <c r="U135" s="163"/>
      <c r="AF135" s="6">
        <f t="shared" si="20"/>
        <v>0</v>
      </c>
    </row>
    <row r="136" spans="21:32" x14ac:dyDescent="0.25">
      <c r="U136" s="163"/>
      <c r="AF136" s="6">
        <f t="shared" si="20"/>
        <v>0</v>
      </c>
    </row>
    <row r="137" spans="21:32" x14ac:dyDescent="0.25">
      <c r="U137" s="163"/>
      <c r="AF137" s="6">
        <f t="shared" si="20"/>
        <v>0</v>
      </c>
    </row>
    <row r="138" spans="21:32" x14ac:dyDescent="0.25">
      <c r="U138" s="163"/>
      <c r="AF138" s="6">
        <f t="shared" si="20"/>
        <v>0</v>
      </c>
    </row>
    <row r="139" spans="21:32" x14ac:dyDescent="0.25">
      <c r="U139" s="163"/>
      <c r="AF139" s="6">
        <f t="shared" si="20"/>
        <v>0</v>
      </c>
    </row>
    <row r="140" spans="21:32" x14ac:dyDescent="0.25">
      <c r="U140" s="163"/>
      <c r="AF140" s="6">
        <f t="shared" si="20"/>
        <v>0</v>
      </c>
    </row>
    <row r="141" spans="21:32" x14ac:dyDescent="0.25">
      <c r="U141" s="163"/>
      <c r="AF141" s="6">
        <f t="shared" si="20"/>
        <v>0</v>
      </c>
    </row>
    <row r="142" spans="21:32" x14ac:dyDescent="0.25">
      <c r="U142" s="163"/>
    </row>
    <row r="143" spans="21:32" x14ac:dyDescent="0.25">
      <c r="U143" s="163"/>
    </row>
    <row r="144" spans="21:32" x14ac:dyDescent="0.25">
      <c r="U144" s="163"/>
    </row>
    <row r="145" spans="21:21" x14ac:dyDescent="0.25">
      <c r="U145" s="163"/>
    </row>
    <row r="146" spans="21:21" x14ac:dyDescent="0.25">
      <c r="U146" s="163"/>
    </row>
    <row r="147" spans="21:21" x14ac:dyDescent="0.25">
      <c r="U147" s="163"/>
    </row>
    <row r="148" spans="21:21" x14ac:dyDescent="0.25">
      <c r="U148" s="163"/>
    </row>
    <row r="149" spans="21:21" x14ac:dyDescent="0.25">
      <c r="U149" s="163"/>
    </row>
    <row r="150" spans="21:21" x14ac:dyDescent="0.25">
      <c r="U150" s="163"/>
    </row>
    <row r="151" spans="21:21" x14ac:dyDescent="0.25">
      <c r="U151" s="163"/>
    </row>
    <row r="152" spans="21:21" x14ac:dyDescent="0.25">
      <c r="U152" s="163"/>
    </row>
    <row r="153" spans="21:21" x14ac:dyDescent="0.25">
      <c r="U153" s="163"/>
    </row>
    <row r="154" spans="21:21" x14ac:dyDescent="0.25">
      <c r="U154" s="163"/>
    </row>
    <row r="155" spans="21:21" x14ac:dyDescent="0.25">
      <c r="U155" s="163"/>
    </row>
    <row r="156" spans="21:21" x14ac:dyDescent="0.25">
      <c r="U156" s="163"/>
    </row>
    <row r="157" spans="21:21" x14ac:dyDescent="0.25">
      <c r="U157" s="163"/>
    </row>
    <row r="158" spans="21:21" x14ac:dyDescent="0.25">
      <c r="U158" s="163"/>
    </row>
    <row r="159" spans="21:21" x14ac:dyDescent="0.25">
      <c r="U159" s="163"/>
    </row>
    <row r="160" spans="21:21" x14ac:dyDescent="0.25">
      <c r="U160" s="163"/>
    </row>
    <row r="161" spans="21:21" x14ac:dyDescent="0.25">
      <c r="U161" s="163"/>
    </row>
    <row r="162" spans="21:21" x14ac:dyDescent="0.25">
      <c r="U162" s="163"/>
    </row>
    <row r="163" spans="21:21" x14ac:dyDescent="0.25">
      <c r="U163" s="163"/>
    </row>
    <row r="164" spans="21:21" x14ac:dyDescent="0.25">
      <c r="U164" s="163"/>
    </row>
    <row r="165" spans="21:21" x14ac:dyDescent="0.25">
      <c r="U165" s="163"/>
    </row>
    <row r="166" spans="21:21" x14ac:dyDescent="0.25">
      <c r="U166" s="163"/>
    </row>
    <row r="167" spans="21:21" x14ac:dyDescent="0.25">
      <c r="U167" s="163"/>
    </row>
    <row r="168" spans="21:21" x14ac:dyDescent="0.25">
      <c r="U168" s="163"/>
    </row>
    <row r="169" spans="21:21" x14ac:dyDescent="0.25">
      <c r="U169" s="163"/>
    </row>
    <row r="170" spans="21:21" x14ac:dyDescent="0.25">
      <c r="U170" s="163"/>
    </row>
    <row r="171" spans="21:21" x14ac:dyDescent="0.25">
      <c r="U171" s="163"/>
    </row>
    <row r="172" spans="21:21" x14ac:dyDescent="0.25">
      <c r="U172" s="163"/>
    </row>
    <row r="173" spans="21:21" x14ac:dyDescent="0.25">
      <c r="U173" s="163"/>
    </row>
    <row r="174" spans="21:21" x14ac:dyDescent="0.25">
      <c r="U174" s="163"/>
    </row>
    <row r="175" spans="21:21" x14ac:dyDescent="0.25">
      <c r="U175" s="163"/>
    </row>
    <row r="176" spans="21:21" x14ac:dyDescent="0.25">
      <c r="U176" s="163"/>
    </row>
    <row r="177" spans="21:21" x14ac:dyDescent="0.25">
      <c r="U177" s="163"/>
    </row>
    <row r="178" spans="21:21" x14ac:dyDescent="0.25">
      <c r="U178" s="163"/>
    </row>
    <row r="179" spans="21:21" x14ac:dyDescent="0.25">
      <c r="U179" s="163"/>
    </row>
    <row r="180" spans="21:21" x14ac:dyDescent="0.25">
      <c r="U180" s="163"/>
    </row>
    <row r="181" spans="21:21" x14ac:dyDescent="0.25">
      <c r="U181" s="163"/>
    </row>
    <row r="182" spans="21:21" x14ac:dyDescent="0.25">
      <c r="U182" s="163"/>
    </row>
    <row r="183" spans="21:21" x14ac:dyDescent="0.25">
      <c r="U183" s="163"/>
    </row>
    <row r="184" spans="21:21" x14ac:dyDescent="0.25">
      <c r="U184" s="163"/>
    </row>
    <row r="185" spans="21:21" x14ac:dyDescent="0.25">
      <c r="U185" s="163"/>
    </row>
    <row r="186" spans="21:21" x14ac:dyDescent="0.25">
      <c r="U186" s="163"/>
    </row>
    <row r="187" spans="21:21" x14ac:dyDescent="0.25">
      <c r="U187" s="163"/>
    </row>
    <row r="188" spans="21:21" x14ac:dyDescent="0.25">
      <c r="U188" s="163"/>
    </row>
    <row r="189" spans="21:21" x14ac:dyDescent="0.25">
      <c r="U189" s="163"/>
    </row>
    <row r="190" spans="21:21" x14ac:dyDescent="0.25">
      <c r="U190" s="163"/>
    </row>
    <row r="191" spans="21:21" x14ac:dyDescent="0.25">
      <c r="U191" s="163"/>
    </row>
    <row r="192" spans="21:21" x14ac:dyDescent="0.25">
      <c r="U192" s="163"/>
    </row>
    <row r="193" spans="21:21" x14ac:dyDescent="0.25">
      <c r="U193" s="163"/>
    </row>
    <row r="194" spans="21:21" x14ac:dyDescent="0.25">
      <c r="U194" s="163"/>
    </row>
    <row r="195" spans="21:21" x14ac:dyDescent="0.25">
      <c r="U195" s="163"/>
    </row>
    <row r="196" spans="21:21" x14ac:dyDescent="0.25">
      <c r="U196" s="163"/>
    </row>
    <row r="197" spans="21:21" x14ac:dyDescent="0.25">
      <c r="U197" s="163"/>
    </row>
    <row r="198" spans="21:21" x14ac:dyDescent="0.25">
      <c r="U198" s="163"/>
    </row>
    <row r="199" spans="21:21" x14ac:dyDescent="0.25">
      <c r="U199" s="163"/>
    </row>
    <row r="200" spans="21:21" x14ac:dyDescent="0.25">
      <c r="U200" s="163"/>
    </row>
    <row r="201" spans="21:21" x14ac:dyDescent="0.25">
      <c r="U201" s="163"/>
    </row>
    <row r="202" spans="21:21" x14ac:dyDescent="0.25">
      <c r="U202" s="163"/>
    </row>
    <row r="203" spans="21:21" x14ac:dyDescent="0.25">
      <c r="U203" s="163"/>
    </row>
    <row r="204" spans="21:21" x14ac:dyDescent="0.25">
      <c r="U204" s="163"/>
    </row>
    <row r="205" spans="21:21" x14ac:dyDescent="0.25">
      <c r="U205" s="163"/>
    </row>
    <row r="206" spans="21:21" x14ac:dyDescent="0.25">
      <c r="U206" s="163"/>
    </row>
    <row r="207" spans="21:21" x14ac:dyDescent="0.25">
      <c r="U207" s="163"/>
    </row>
    <row r="208" spans="21:21" x14ac:dyDescent="0.25">
      <c r="U208" s="163"/>
    </row>
    <row r="209" spans="21:21" x14ac:dyDescent="0.25">
      <c r="U209" s="163"/>
    </row>
    <row r="210" spans="21:21" x14ac:dyDescent="0.25">
      <c r="U210" s="163"/>
    </row>
    <row r="211" spans="21:21" x14ac:dyDescent="0.25">
      <c r="U211" s="163"/>
    </row>
    <row r="212" spans="21:21" x14ac:dyDescent="0.25">
      <c r="U212" s="163"/>
    </row>
    <row r="213" spans="21:21" x14ac:dyDescent="0.25">
      <c r="U213" s="163"/>
    </row>
    <row r="214" spans="21:21" x14ac:dyDescent="0.25">
      <c r="U214" s="163"/>
    </row>
    <row r="215" spans="21:21" x14ac:dyDescent="0.25">
      <c r="U215" s="163"/>
    </row>
    <row r="216" spans="21:21" x14ac:dyDescent="0.25">
      <c r="U216" s="163"/>
    </row>
    <row r="217" spans="21:21" x14ac:dyDescent="0.25">
      <c r="U217" s="163"/>
    </row>
    <row r="218" spans="21:21" x14ac:dyDescent="0.25">
      <c r="U218" s="163"/>
    </row>
    <row r="219" spans="21:21" x14ac:dyDescent="0.25">
      <c r="U219" s="163"/>
    </row>
    <row r="220" spans="21:21" x14ac:dyDescent="0.25">
      <c r="U220" s="163"/>
    </row>
    <row r="221" spans="21:21" x14ac:dyDescent="0.25">
      <c r="U221" s="163"/>
    </row>
    <row r="222" spans="21:21" x14ac:dyDescent="0.25">
      <c r="U222" s="163"/>
    </row>
    <row r="223" spans="21:21" x14ac:dyDescent="0.25">
      <c r="U223" s="163"/>
    </row>
    <row r="224" spans="21:21" x14ac:dyDescent="0.25">
      <c r="U224" s="163"/>
    </row>
    <row r="225" spans="21:21" x14ac:dyDescent="0.25">
      <c r="U225" s="163"/>
    </row>
    <row r="226" spans="21:21" x14ac:dyDescent="0.25">
      <c r="U226" s="163"/>
    </row>
    <row r="227" spans="21:21" x14ac:dyDescent="0.25">
      <c r="U227" s="163"/>
    </row>
    <row r="228" spans="21:21" x14ac:dyDescent="0.25">
      <c r="U228" s="163"/>
    </row>
    <row r="229" spans="21:21" x14ac:dyDescent="0.25">
      <c r="U229" s="163"/>
    </row>
    <row r="230" spans="21:21" x14ac:dyDescent="0.25">
      <c r="U230" s="163"/>
    </row>
    <row r="231" spans="21:21" x14ac:dyDescent="0.25">
      <c r="U231" s="163"/>
    </row>
    <row r="232" spans="21:21" x14ac:dyDescent="0.25">
      <c r="U232" s="163"/>
    </row>
    <row r="233" spans="21:21" x14ac:dyDescent="0.25">
      <c r="U233" s="163"/>
    </row>
    <row r="234" spans="21:21" x14ac:dyDescent="0.25">
      <c r="U234" s="163"/>
    </row>
    <row r="235" spans="21:21" x14ac:dyDescent="0.25">
      <c r="U235" s="163"/>
    </row>
    <row r="236" spans="21:21" x14ac:dyDescent="0.25">
      <c r="U236" s="163"/>
    </row>
    <row r="237" spans="21:21" x14ac:dyDescent="0.25">
      <c r="U237" s="163"/>
    </row>
    <row r="238" spans="21:21" x14ac:dyDescent="0.25">
      <c r="U238" s="163"/>
    </row>
    <row r="239" spans="21:21" x14ac:dyDescent="0.25">
      <c r="U239" s="163"/>
    </row>
    <row r="240" spans="21:21" x14ac:dyDescent="0.25">
      <c r="U240" s="163"/>
    </row>
    <row r="241" spans="21:21" x14ac:dyDescent="0.25">
      <c r="U241" s="163"/>
    </row>
    <row r="242" spans="21:21" x14ac:dyDescent="0.25">
      <c r="U242" s="163"/>
    </row>
    <row r="243" spans="21:21" x14ac:dyDescent="0.25">
      <c r="U243" s="163"/>
    </row>
    <row r="244" spans="21:21" x14ac:dyDescent="0.25">
      <c r="U244" s="163"/>
    </row>
    <row r="245" spans="21:21" x14ac:dyDescent="0.25">
      <c r="U245" s="163"/>
    </row>
    <row r="246" spans="21:21" x14ac:dyDescent="0.25">
      <c r="U246" s="163"/>
    </row>
    <row r="247" spans="21:21" x14ac:dyDescent="0.25">
      <c r="U247" s="163"/>
    </row>
    <row r="248" spans="21:21" x14ac:dyDescent="0.25">
      <c r="U248" s="163"/>
    </row>
    <row r="249" spans="21:21" x14ac:dyDescent="0.25">
      <c r="U249" s="163"/>
    </row>
    <row r="250" spans="21:21" x14ac:dyDescent="0.25">
      <c r="U250" s="163"/>
    </row>
    <row r="251" spans="21:21" x14ac:dyDescent="0.25">
      <c r="U251" s="163"/>
    </row>
    <row r="252" spans="21:21" x14ac:dyDescent="0.25">
      <c r="U252" s="163"/>
    </row>
    <row r="253" spans="21:21" x14ac:dyDescent="0.25">
      <c r="U253" s="163"/>
    </row>
    <row r="254" spans="21:21" x14ac:dyDescent="0.25">
      <c r="U254" s="163"/>
    </row>
    <row r="255" spans="21:21" x14ac:dyDescent="0.25">
      <c r="U255" s="163"/>
    </row>
    <row r="256" spans="21:21" x14ac:dyDescent="0.25">
      <c r="U256" s="163"/>
    </row>
    <row r="257" spans="21:21" x14ac:dyDescent="0.25">
      <c r="U257" s="163"/>
    </row>
    <row r="258" spans="21:21" x14ac:dyDescent="0.25">
      <c r="U258" s="163"/>
    </row>
    <row r="259" spans="21:21" x14ac:dyDescent="0.25">
      <c r="U259" s="163"/>
    </row>
    <row r="260" spans="21:21" x14ac:dyDescent="0.25">
      <c r="U260" s="163"/>
    </row>
    <row r="261" spans="21:21" x14ac:dyDescent="0.25">
      <c r="U261" s="163"/>
    </row>
    <row r="262" spans="21:21" x14ac:dyDescent="0.25">
      <c r="U262" s="163"/>
    </row>
    <row r="263" spans="21:21" x14ac:dyDescent="0.25">
      <c r="U263" s="163"/>
    </row>
    <row r="264" spans="21:21" x14ac:dyDescent="0.25">
      <c r="U264" s="163"/>
    </row>
    <row r="265" spans="21:21" x14ac:dyDescent="0.25">
      <c r="U265" s="163"/>
    </row>
    <row r="266" spans="21:21" x14ac:dyDescent="0.25">
      <c r="U266" s="163"/>
    </row>
    <row r="267" spans="21:21" x14ac:dyDescent="0.25">
      <c r="U267" s="163"/>
    </row>
    <row r="268" spans="21:21" x14ac:dyDescent="0.25">
      <c r="U268" s="163"/>
    </row>
    <row r="269" spans="21:21" x14ac:dyDescent="0.25">
      <c r="U269" s="163"/>
    </row>
    <row r="270" spans="21:21" x14ac:dyDescent="0.25">
      <c r="U270" s="163"/>
    </row>
    <row r="271" spans="21:21" x14ac:dyDescent="0.25">
      <c r="U271" s="163"/>
    </row>
    <row r="272" spans="21:21" x14ac:dyDescent="0.25">
      <c r="U272" s="163"/>
    </row>
    <row r="273" spans="21:21" x14ac:dyDescent="0.25">
      <c r="U273" s="163"/>
    </row>
    <row r="274" spans="21:21" x14ac:dyDescent="0.25">
      <c r="U274" s="163"/>
    </row>
    <row r="275" spans="21:21" x14ac:dyDescent="0.25">
      <c r="U275" s="163"/>
    </row>
    <row r="276" spans="21:21" x14ac:dyDescent="0.25">
      <c r="U276" s="163"/>
    </row>
    <row r="277" spans="21:21" x14ac:dyDescent="0.25">
      <c r="U277" s="163"/>
    </row>
    <row r="278" spans="21:21" x14ac:dyDescent="0.25">
      <c r="U278" s="163"/>
    </row>
    <row r="279" spans="21:21" x14ac:dyDescent="0.25">
      <c r="U279" s="163"/>
    </row>
    <row r="280" spans="21:21" x14ac:dyDescent="0.25">
      <c r="U280" s="163"/>
    </row>
    <row r="281" spans="21:21" x14ac:dyDescent="0.25">
      <c r="U281" s="163"/>
    </row>
    <row r="282" spans="21:21" x14ac:dyDescent="0.25">
      <c r="U282" s="163"/>
    </row>
    <row r="283" spans="21:21" x14ac:dyDescent="0.25">
      <c r="U283" s="163"/>
    </row>
    <row r="284" spans="21:21" x14ac:dyDescent="0.25">
      <c r="U284" s="163"/>
    </row>
    <row r="285" spans="21:21" x14ac:dyDescent="0.25">
      <c r="U285" s="163"/>
    </row>
    <row r="286" spans="21:21" x14ac:dyDescent="0.25">
      <c r="U286" s="163"/>
    </row>
    <row r="287" spans="21:21" x14ac:dyDescent="0.25">
      <c r="U287" s="163"/>
    </row>
    <row r="288" spans="21:21" x14ac:dyDescent="0.25">
      <c r="U288" s="163"/>
    </row>
    <row r="289" spans="21:21" x14ac:dyDescent="0.25">
      <c r="U289" s="163"/>
    </row>
    <row r="290" spans="21:21" x14ac:dyDescent="0.25">
      <c r="U290" s="163"/>
    </row>
    <row r="291" spans="21:21" x14ac:dyDescent="0.25">
      <c r="U291" s="163"/>
    </row>
    <row r="292" spans="21:21" x14ac:dyDescent="0.25">
      <c r="U292" s="163"/>
    </row>
    <row r="293" spans="21:21" x14ac:dyDescent="0.25">
      <c r="U293" s="163"/>
    </row>
    <row r="294" spans="21:21" x14ac:dyDescent="0.25">
      <c r="U294" s="163"/>
    </row>
    <row r="295" spans="21:21" x14ac:dyDescent="0.25">
      <c r="U295" s="163"/>
    </row>
    <row r="296" spans="21:21" x14ac:dyDescent="0.25">
      <c r="U296" s="163"/>
    </row>
    <row r="297" spans="21:21" x14ac:dyDescent="0.25">
      <c r="U297" s="163"/>
    </row>
    <row r="298" spans="21:21" x14ac:dyDescent="0.25">
      <c r="U298" s="163"/>
    </row>
    <row r="299" spans="21:21" x14ac:dyDescent="0.25">
      <c r="U299" s="163"/>
    </row>
    <row r="300" spans="21:21" x14ac:dyDescent="0.25">
      <c r="U300" s="163"/>
    </row>
  </sheetData>
  <mergeCells count="125">
    <mergeCell ref="B41:C42"/>
    <mergeCell ref="D41:F42"/>
    <mergeCell ref="B43:C44"/>
    <mergeCell ref="D43:F44"/>
    <mergeCell ref="H41:I42"/>
    <mergeCell ref="J41:L42"/>
    <mergeCell ref="H43:I44"/>
    <mergeCell ref="J43:L44"/>
    <mergeCell ref="P47:R48"/>
    <mergeCell ref="B47:C48"/>
    <mergeCell ref="D47:F48"/>
    <mergeCell ref="H47:I48"/>
    <mergeCell ref="J47:L48"/>
    <mergeCell ref="N47:O48"/>
    <mergeCell ref="B45:C46"/>
    <mergeCell ref="D45:F46"/>
    <mergeCell ref="H45:I46"/>
    <mergeCell ref="J45:L46"/>
    <mergeCell ref="N45:O46"/>
    <mergeCell ref="H35:I36"/>
    <mergeCell ref="J35:L36"/>
    <mergeCell ref="H37:I38"/>
    <mergeCell ref="J37:L38"/>
    <mergeCell ref="H39:I40"/>
    <mergeCell ref="J39:L40"/>
    <mergeCell ref="B20:D20"/>
    <mergeCell ref="B21:D21"/>
    <mergeCell ref="B22:D22"/>
    <mergeCell ref="B25:T26"/>
    <mergeCell ref="B35:C36"/>
    <mergeCell ref="D35:F36"/>
    <mergeCell ref="H29:I30"/>
    <mergeCell ref="J29:L30"/>
    <mergeCell ref="H31:I32"/>
    <mergeCell ref="J31:L32"/>
    <mergeCell ref="B29:C30"/>
    <mergeCell ref="D29:F30"/>
    <mergeCell ref="B31:C32"/>
    <mergeCell ref="D31:F32"/>
    <mergeCell ref="B33:C34"/>
    <mergeCell ref="D33:F34"/>
    <mergeCell ref="B39:C40"/>
    <mergeCell ref="D39:F40"/>
    <mergeCell ref="B15:D15"/>
    <mergeCell ref="B16:D16"/>
    <mergeCell ref="B17:D17"/>
    <mergeCell ref="B18:D18"/>
    <mergeCell ref="B19:D19"/>
    <mergeCell ref="B10:D10"/>
    <mergeCell ref="B11:D11"/>
    <mergeCell ref="B12:D12"/>
    <mergeCell ref="B13:D13"/>
    <mergeCell ref="B14:D14"/>
    <mergeCell ref="B5:D5"/>
    <mergeCell ref="B6:D6"/>
    <mergeCell ref="B7:D7"/>
    <mergeCell ref="B8:D8"/>
    <mergeCell ref="B9:D9"/>
    <mergeCell ref="S11:S12"/>
    <mergeCell ref="T11:T12"/>
    <mergeCell ref="S13:S14"/>
    <mergeCell ref="T13:T14"/>
    <mergeCell ref="N5:N6"/>
    <mergeCell ref="P5:P6"/>
    <mergeCell ref="P7:P8"/>
    <mergeCell ref="P9:P10"/>
    <mergeCell ref="P11:P12"/>
    <mergeCell ref="N7:N8"/>
    <mergeCell ref="O5:O6"/>
    <mergeCell ref="O7:O8"/>
    <mergeCell ref="O9:O10"/>
    <mergeCell ref="O11:O12"/>
    <mergeCell ref="Q15:Q16"/>
    <mergeCell ref="R5:R6"/>
    <mergeCell ref="R7:R8"/>
    <mergeCell ref="R9:R10"/>
    <mergeCell ref="R11:R12"/>
    <mergeCell ref="R13:R14"/>
    <mergeCell ref="R15:R16"/>
    <mergeCell ref="Q5:Q6"/>
    <mergeCell ref="Q7:Q8"/>
    <mergeCell ref="Q9:Q10"/>
    <mergeCell ref="Q11:Q12"/>
    <mergeCell ref="B1:T2"/>
    <mergeCell ref="P13:P14"/>
    <mergeCell ref="P15:P16"/>
    <mergeCell ref="O13:O14"/>
    <mergeCell ref="O15:O16"/>
    <mergeCell ref="M15:M16"/>
    <mergeCell ref="N9:N10"/>
    <mergeCell ref="N11:N12"/>
    <mergeCell ref="N13:N14"/>
    <mergeCell ref="N15:N16"/>
    <mergeCell ref="M5:M6"/>
    <mergeCell ref="M7:M8"/>
    <mergeCell ref="M9:M10"/>
    <mergeCell ref="M11:M12"/>
    <mergeCell ref="M13:M14"/>
    <mergeCell ref="S15:S16"/>
    <mergeCell ref="T15:T16"/>
    <mergeCell ref="S5:S6"/>
    <mergeCell ref="T5:T6"/>
    <mergeCell ref="S7:S8"/>
    <mergeCell ref="T7:T8"/>
    <mergeCell ref="S9:S10"/>
    <mergeCell ref="T9:T10"/>
    <mergeCell ref="Q13:Q14"/>
    <mergeCell ref="N29:O30"/>
    <mergeCell ref="P29:R30"/>
    <mergeCell ref="N31:O32"/>
    <mergeCell ref="P31:R32"/>
    <mergeCell ref="N33:O34"/>
    <mergeCell ref="P33:R34"/>
    <mergeCell ref="W45:AB45"/>
    <mergeCell ref="N35:O36"/>
    <mergeCell ref="P35:R36"/>
    <mergeCell ref="N37:O38"/>
    <mergeCell ref="P37:R38"/>
    <mergeCell ref="N39:O40"/>
    <mergeCell ref="P39:R40"/>
    <mergeCell ref="P41:R42"/>
    <mergeCell ref="P43:R44"/>
    <mergeCell ref="P45:R46"/>
    <mergeCell ref="N41:O42"/>
    <mergeCell ref="N43:O44"/>
  </mergeCells>
  <conditionalFormatting sqref="N47:R48">
    <cfRule type="expression" dxfId="34" priority="2">
      <formula>$P$47=""</formula>
    </cfRule>
  </conditionalFormatting>
  <conditionalFormatting sqref="N45:R46">
    <cfRule type="expression" dxfId="33" priority="1">
      <formula>$P$45=""</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3"/>
  <dimension ref="A1"/>
  <sheetViews>
    <sheetView workbookViewId="0">
      <selection activeCell="E17" sqref="E17"/>
    </sheetView>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BF300"/>
  <sheetViews>
    <sheetView topLeftCell="A25" workbookViewId="0">
      <selection activeCell="K37" activeCellId="8" sqref="D2:F3 Q5:S6 Q8:S9 Q11:S12 Q14:S15 Q17:S18 M23:O24 M25:O26 K37:L56"/>
    </sheetView>
  </sheetViews>
  <sheetFormatPr defaultRowHeight="15.95" customHeight="1" x14ac:dyDescent="0.25"/>
  <cols>
    <col min="1" max="1" width="3.7109375" customWidth="1"/>
    <col min="2" max="9" width="6.7109375" customWidth="1"/>
    <col min="10" max="10" width="7.85546875" customWidth="1"/>
    <col min="11" max="20" width="6.7109375" customWidth="1"/>
    <col min="22" max="54" width="9.140625" customWidth="1"/>
    <col min="57" max="57" width="10.28515625" bestFit="1" customWidth="1"/>
  </cols>
  <sheetData>
    <row r="1" spans="1:58" ht="15.95" customHeight="1" x14ac:dyDescent="0.25">
      <c r="A1" s="132"/>
      <c r="B1" s="132"/>
      <c r="C1" s="132"/>
      <c r="D1" s="132"/>
      <c r="E1" s="132"/>
      <c r="F1" s="132"/>
      <c r="G1" s="132"/>
      <c r="H1" s="132"/>
      <c r="I1" s="132"/>
      <c r="J1" s="132"/>
      <c r="K1" s="132"/>
      <c r="L1" s="132"/>
      <c r="M1" s="132"/>
      <c r="N1" s="132"/>
      <c r="O1" s="132"/>
      <c r="P1" s="132"/>
      <c r="Q1" s="132"/>
      <c r="R1" s="132"/>
      <c r="S1" s="132"/>
      <c r="T1" s="132"/>
      <c r="U1" s="163"/>
      <c r="V1" s="162"/>
      <c r="W1" s="162"/>
      <c r="X1" s="162"/>
      <c r="Y1" s="162"/>
      <c r="Z1" s="162"/>
      <c r="AA1" s="162"/>
      <c r="AB1" s="162"/>
      <c r="AC1" s="162"/>
      <c r="AD1" s="162"/>
      <c r="AE1" s="162"/>
      <c r="AF1" s="162"/>
      <c r="AG1" s="162" t="s">
        <v>3537</v>
      </c>
      <c r="AH1" s="162">
        <f>Strength*15</f>
        <v>210</v>
      </c>
      <c r="AI1" s="162">
        <f>AH1/2</f>
        <v>105</v>
      </c>
      <c r="AJ1" s="162">
        <f>2*AH1</f>
        <v>420</v>
      </c>
      <c r="AK1" s="162"/>
      <c r="AL1" s="162"/>
      <c r="AM1" s="162"/>
      <c r="AN1" s="162"/>
      <c r="AO1" s="162"/>
      <c r="AP1" s="162"/>
      <c r="AQ1" s="162"/>
      <c r="AR1" s="162"/>
      <c r="AS1" s="162"/>
      <c r="AT1" s="162"/>
      <c r="AU1" s="162"/>
      <c r="AV1" s="162"/>
      <c r="AW1" s="162"/>
      <c r="AX1" s="162"/>
      <c r="AY1" s="162"/>
      <c r="AZ1" s="162"/>
      <c r="BA1" s="162"/>
      <c r="BB1" s="162"/>
    </row>
    <row r="2" spans="1:58" ht="15.95" customHeight="1" x14ac:dyDescent="0.25">
      <c r="A2" s="132"/>
      <c r="B2" s="805" t="s">
        <v>392</v>
      </c>
      <c r="C2" s="964"/>
      <c r="D2" s="974"/>
      <c r="E2" s="908"/>
      <c r="F2" s="975"/>
      <c r="G2" s="132"/>
      <c r="H2" s="132"/>
      <c r="I2" s="805" t="s">
        <v>3588</v>
      </c>
      <c r="J2" s="964"/>
      <c r="K2" s="976" t="str">
        <f>INDEX(D02_Background!CL2:CL101,SelectedBackgroundId,1)</f>
        <v>dark common clothes with hood</v>
      </c>
      <c r="L2" s="977"/>
      <c r="M2" s="978"/>
      <c r="N2" s="132"/>
      <c r="O2" s="132"/>
      <c r="P2" s="132"/>
      <c r="Q2" s="132"/>
      <c r="R2" s="132"/>
      <c r="S2" s="132"/>
      <c r="T2" s="132"/>
      <c r="U2" s="163"/>
      <c r="V2" s="195"/>
      <c r="W2" s="195" t="e">
        <f>MATCH(D2,I03_!$A$2:$A$101,0)</f>
        <v>#N/A</v>
      </c>
      <c r="X2" s="195"/>
      <c r="Y2" s="195"/>
      <c r="Z2" s="195"/>
      <c r="AA2" s="195"/>
      <c r="AB2" s="195"/>
      <c r="AC2" s="195"/>
      <c r="AD2" s="195"/>
      <c r="AE2" s="195"/>
      <c r="AF2" s="195"/>
      <c r="AG2" s="195" t="s">
        <v>3538</v>
      </c>
      <c r="AH2" s="195">
        <f>Strength*30</f>
        <v>420</v>
      </c>
      <c r="AI2" s="195">
        <f>AH2/2</f>
        <v>210</v>
      </c>
      <c r="AJ2" s="195">
        <f>2*AH2</f>
        <v>840</v>
      </c>
      <c r="AK2" s="195"/>
      <c r="AL2" s="195"/>
      <c r="AM2" s="195"/>
      <c r="AN2" s="195"/>
      <c r="AO2" s="195"/>
      <c r="AP2" s="195"/>
      <c r="AQ2" s="195"/>
      <c r="AR2" s="195"/>
      <c r="AS2" s="195"/>
      <c r="AT2" s="195"/>
      <c r="AU2" s="195"/>
      <c r="AV2" s="195"/>
      <c r="AW2" s="195"/>
      <c r="AX2" s="195"/>
      <c r="AY2" s="195"/>
      <c r="AZ2" s="195"/>
      <c r="BA2" s="195"/>
      <c r="BB2" s="195"/>
      <c r="BC2" s="196"/>
      <c r="BD2" s="196"/>
      <c r="BE2" s="196"/>
      <c r="BF2" s="196"/>
    </row>
    <row r="3" spans="1:58" ht="15.95" customHeight="1" x14ac:dyDescent="0.25">
      <c r="A3" s="132"/>
      <c r="B3" s="805"/>
      <c r="C3" s="964"/>
      <c r="D3" s="974"/>
      <c r="E3" s="908"/>
      <c r="F3" s="975"/>
      <c r="G3" s="132"/>
      <c r="H3" s="132"/>
      <c r="I3" s="805"/>
      <c r="J3" s="964"/>
      <c r="K3" s="976"/>
      <c r="L3" s="977"/>
      <c r="M3" s="978"/>
      <c r="N3" s="132"/>
      <c r="O3" s="132"/>
      <c r="P3" s="132"/>
      <c r="Q3" s="132"/>
      <c r="R3" s="132"/>
      <c r="S3" s="132"/>
      <c r="T3" s="132"/>
      <c r="U3" s="163"/>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c r="BC3" s="196"/>
      <c r="BD3" s="196"/>
      <c r="BE3" s="196"/>
      <c r="BF3" s="196"/>
    </row>
    <row r="4" spans="1:58" ht="15.95" customHeight="1" x14ac:dyDescent="0.25">
      <c r="A4" s="132"/>
      <c r="B4" s="132"/>
      <c r="C4" s="132"/>
      <c r="D4" s="132"/>
      <c r="E4" s="132"/>
      <c r="F4" s="132"/>
      <c r="G4" s="132"/>
      <c r="H4" s="132"/>
      <c r="I4" s="132"/>
      <c r="J4" s="132"/>
      <c r="K4" s="132"/>
      <c r="L4" s="132"/>
      <c r="M4" s="132"/>
      <c r="N4" s="132"/>
      <c r="O4" s="132"/>
      <c r="P4" s="132"/>
      <c r="Q4" s="132"/>
      <c r="R4" s="132"/>
      <c r="S4" s="132"/>
      <c r="T4" s="132"/>
      <c r="U4" s="163"/>
      <c r="V4" s="195"/>
      <c r="W4" s="195"/>
      <c r="X4" s="195"/>
      <c r="Y4" s="195"/>
      <c r="Z4" s="195"/>
      <c r="AA4" s="195"/>
      <c r="AB4" s="195"/>
      <c r="AC4" s="195"/>
      <c r="AD4" s="195"/>
      <c r="AE4" s="195"/>
      <c r="AF4" s="195"/>
      <c r="AG4" s="195"/>
      <c r="AH4" s="195"/>
      <c r="AI4" s="195"/>
      <c r="AJ4" s="195"/>
      <c r="AK4" s="195"/>
      <c r="AL4" s="195"/>
      <c r="AM4" s="195"/>
      <c r="AN4" s="195"/>
      <c r="AO4" s="195"/>
      <c r="AP4" s="195"/>
      <c r="AQ4" s="195"/>
      <c r="AR4" s="195"/>
      <c r="AS4" s="195"/>
      <c r="AT4" s="195"/>
      <c r="AU4" s="195"/>
      <c r="AV4" s="195"/>
      <c r="AW4" s="195"/>
      <c r="AX4" s="195"/>
      <c r="AY4" s="195" t="s">
        <v>3739</v>
      </c>
      <c r="AZ4" s="195"/>
      <c r="BA4" s="195" t="s">
        <v>3738</v>
      </c>
      <c r="BB4" s="195" t="e">
        <f>INDEX(D04_Classes!BT3:BT102,SelectedClassID,1)</f>
        <v>#N/A</v>
      </c>
      <c r="BC4" s="196"/>
      <c r="BD4" s="196"/>
      <c r="BE4" s="196"/>
      <c r="BF4" s="196"/>
    </row>
    <row r="5" spans="1:58" ht="15.95" customHeight="1" x14ac:dyDescent="0.25">
      <c r="A5" s="132"/>
      <c r="B5" s="968" t="s">
        <v>3540</v>
      </c>
      <c r="C5" s="969"/>
      <c r="D5" s="970" t="str">
        <f>IFERROR(IF(INDEX(I03_!$B$2:$U$102,$W$2,W5)=0,"",INDEX(I03_!$B$2:$U$102,$W$2,W5)),"")</f>
        <v/>
      </c>
      <c r="E5" s="971"/>
      <c r="F5" s="972"/>
      <c r="G5" s="161" t="str">
        <f>IFERROR(IF(INDEX(I03_!$V$2:$AO$8,$W$2,W5)=0,"",INDEX(I03_!$V$2:$AO$8,$W$2,W5)),"")</f>
        <v/>
      </c>
      <c r="H5" s="132"/>
      <c r="I5" s="968" t="s">
        <v>3540</v>
      </c>
      <c r="J5" s="969"/>
      <c r="K5" s="970" t="str">
        <f>IFERROR(IF(INDEX(D02_Background!$CF$2:$CK$101,SelectedBackgroundId,AF5)=0,"",INDEX(D02_Background!$CF$2:$CK$101,SelectedBackgroundId,AF5)),"")</f>
        <v>crowbar</v>
      </c>
      <c r="L5" s="971"/>
      <c r="M5" s="972"/>
      <c r="N5" s="132"/>
      <c r="O5" s="805" t="s">
        <v>89</v>
      </c>
      <c r="P5" s="964"/>
      <c r="Q5" s="974"/>
      <c r="R5" s="908"/>
      <c r="S5" s="975"/>
      <c r="T5" s="132"/>
      <c r="U5" s="163"/>
      <c r="V5" s="195"/>
      <c r="W5" s="195">
        <v>1</v>
      </c>
      <c r="X5" s="195">
        <f>IF(D5="",0,1)</f>
        <v>0</v>
      </c>
      <c r="Y5" s="195" t="str">
        <f>D5</f>
        <v/>
      </c>
      <c r="Z5" s="195" t="str">
        <f>G5</f>
        <v/>
      </c>
      <c r="AA5" s="195">
        <f>IF(Y5="",0,1)</f>
        <v>0</v>
      </c>
      <c r="AB5" s="195">
        <v>1</v>
      </c>
      <c r="AC5" s="195" t="str">
        <f>IFERROR(INDEX($Y$5:$Y$39,MATCH(AB5,$AA$5:$AA$39,0),1),"")</f>
        <v>crowbar</v>
      </c>
      <c r="AD5" s="195">
        <f>IFERROR(INDEX($Z$5:$Z$39,MATCH(AB5,$AA$5:$AA$39,0),1),"")</f>
        <v>1</v>
      </c>
      <c r="AE5" s="195"/>
      <c r="AF5" s="195">
        <v>1</v>
      </c>
      <c r="AG5" s="195"/>
      <c r="AH5" s="195"/>
      <c r="AI5" s="195"/>
      <c r="AJ5" s="195"/>
      <c r="AK5" s="195">
        <v>1</v>
      </c>
      <c r="AL5" s="195" t="e">
        <f>INDEX(D04_Classes!$AF$3:$AY$14,SelectedClassID,C_Inventory!AK5)</f>
        <v>#N/A</v>
      </c>
      <c r="AM5" s="195">
        <f>COUNTIF(AL5:AL24,"&lt;&gt;0")</f>
        <v>20</v>
      </c>
      <c r="AN5" s="195">
        <v>1</v>
      </c>
      <c r="AO5" s="195" t="e">
        <f>INDEX(D04_Classes!$AZ$3:$BS$14,SelectedClassID,C_Inventory!AN5)</f>
        <v>#N/A</v>
      </c>
      <c r="AP5" s="195">
        <f>COUNTIF(AO5:AO24,"&lt;&gt;0")</f>
        <v>20</v>
      </c>
      <c r="AQ5" s="195">
        <v>1</v>
      </c>
      <c r="AR5" s="195" t="e">
        <f>IF(OR(SelectedClassID=5,SelectedClassID=7),"Shield",0)</f>
        <v>#N/A</v>
      </c>
      <c r="AS5" s="195">
        <f>COUNTIF(AR5:AR24,"&lt;&gt;0")</f>
        <v>20</v>
      </c>
      <c r="AT5" s="195">
        <v>1</v>
      </c>
      <c r="AU5" s="195" t="e">
        <f>IF(OR(SelectedClassID=5,SelectedClassID=7),AO5,0)</f>
        <v>#N/A</v>
      </c>
      <c r="AV5" s="195">
        <f>COUNTIF(AU5:AU24,"&lt;&gt;0")</f>
        <v>20</v>
      </c>
      <c r="AW5" s="195" t="s">
        <v>3733</v>
      </c>
      <c r="AX5" s="195">
        <f>Q5</f>
        <v>0</v>
      </c>
      <c r="AY5" s="195" t="e">
        <f>AX5=$BB$4</f>
        <v>#N/A</v>
      </c>
      <c r="AZ5" s="195" t="e">
        <f>AY5*1</f>
        <v>#N/A</v>
      </c>
      <c r="BA5" s="195"/>
      <c r="BB5" s="195"/>
      <c r="BC5" s="196"/>
      <c r="BD5" s="196"/>
      <c r="BE5" s="196"/>
      <c r="BF5" s="196"/>
    </row>
    <row r="6" spans="1:58" ht="15.95" customHeight="1" x14ac:dyDescent="0.25">
      <c r="A6" s="132"/>
      <c r="B6" s="968" t="s">
        <v>3541</v>
      </c>
      <c r="C6" s="969"/>
      <c r="D6" s="970" t="str">
        <f>IFERROR(IF(INDEX(I03_!$B$2:$U$102,$W$2,W6)=0,"",INDEX(I03_!$B$2:$U$102,$W$2,W6)),"")</f>
        <v/>
      </c>
      <c r="E6" s="971"/>
      <c r="F6" s="972"/>
      <c r="G6" s="161" t="str">
        <f>IFERROR(IF(INDEX(I03_!$V$2:$AO$8,$W$2,W6)=0,"",INDEX(I03_!$V$2:$AO$8,$W$2,W6)),"")</f>
        <v/>
      </c>
      <c r="H6" s="132"/>
      <c r="I6" s="968" t="s">
        <v>3541</v>
      </c>
      <c r="J6" s="969"/>
      <c r="K6" s="970" t="str">
        <f>IFERROR(IF(INDEX(D02_Background!$CF$2:$CK$101,SelectedBackgroundId,AF6)=0,"",INDEX(D02_Background!$CF$2:$CK$101,SelectedBackgroundId,AF6)),"")</f>
        <v>belt pouch</v>
      </c>
      <c r="L6" s="971"/>
      <c r="M6" s="972"/>
      <c r="N6" s="132"/>
      <c r="O6" s="805"/>
      <c r="P6" s="964"/>
      <c r="Q6" s="974"/>
      <c r="R6" s="908"/>
      <c r="S6" s="975"/>
      <c r="T6" s="132"/>
      <c r="U6" s="163"/>
      <c r="V6" s="195"/>
      <c r="W6" s="195">
        <v>2</v>
      </c>
      <c r="X6" s="195">
        <f t="shared" ref="X6:X24" si="0">IF(D6="",0,1)</f>
        <v>0</v>
      </c>
      <c r="Y6" s="195" t="str">
        <f t="shared" ref="Y6:Y24" si="1">D6</f>
        <v/>
      </c>
      <c r="Z6" s="195" t="str">
        <f t="shared" ref="Z6:Z24" si="2">G6</f>
        <v/>
      </c>
      <c r="AA6" s="195">
        <f>IF(Y6="",0,AA5+X6)</f>
        <v>0</v>
      </c>
      <c r="AB6" s="195">
        <v>2</v>
      </c>
      <c r="AC6" s="195" t="str">
        <f t="shared" ref="AC6:AC39" si="3">IFERROR(INDEX($Y$5:$Y$39,MATCH(AB6,$AA$5:$AA$39,0),1),"")</f>
        <v>belt pouch</v>
      </c>
      <c r="AD6" s="195">
        <f t="shared" ref="AD6:AD39" si="4">IFERROR(INDEX($Z$5:$Z$39,MATCH(AB6,$AA$5:$AA$39,0),1),"")</f>
        <v>1</v>
      </c>
      <c r="AE6" s="195"/>
      <c r="AF6" s="195">
        <v>2</v>
      </c>
      <c r="AG6" s="195"/>
      <c r="AH6" s="195"/>
      <c r="AI6" s="195"/>
      <c r="AJ6" s="195"/>
      <c r="AK6" s="195">
        <v>2</v>
      </c>
      <c r="AL6" s="195" t="e">
        <f>INDEX(D04_Classes!$AF$3:$AY$14,SelectedClassID,C_Inventory!AK6)</f>
        <v>#N/A</v>
      </c>
      <c r="AM6" s="195"/>
      <c r="AN6" s="195">
        <v>2</v>
      </c>
      <c r="AO6" s="195" t="e">
        <f>INDEX(D04_Classes!$AZ$3:$BS$14,SelectedClassID,C_Inventory!AN6)</f>
        <v>#N/A</v>
      </c>
      <c r="AP6" s="195"/>
      <c r="AQ6" s="195">
        <v>2</v>
      </c>
      <c r="AR6" s="195" t="e">
        <f>IF(OR(SelectedClassID=5,SelectedClassID=7),AL5,0)</f>
        <v>#N/A</v>
      </c>
      <c r="AS6" s="195"/>
      <c r="AT6" s="195">
        <v>2</v>
      </c>
      <c r="AU6" s="195" t="e">
        <f>IF(OR(SelectedClassID=5,SelectedClassID=7),AO6,0)</f>
        <v>#N/A</v>
      </c>
      <c r="AV6" s="195"/>
      <c r="AW6" s="195" t="s">
        <v>3734</v>
      </c>
      <c r="AX6" s="195">
        <f>Q8</f>
        <v>0</v>
      </c>
      <c r="AY6" s="195" t="e">
        <f>AX6=$BB$4</f>
        <v>#N/A</v>
      </c>
      <c r="AZ6" s="195" t="e">
        <f>AY6*1</f>
        <v>#N/A</v>
      </c>
      <c r="BA6" s="195"/>
      <c r="BB6" s="195"/>
      <c r="BC6" s="196"/>
    </row>
    <row r="7" spans="1:58" ht="15.95" customHeight="1" x14ac:dyDescent="0.25">
      <c r="A7" s="132"/>
      <c r="B7" s="968" t="s">
        <v>3542</v>
      </c>
      <c r="C7" s="969"/>
      <c r="D7" s="970" t="str">
        <f>IFERROR(IF(INDEX(I03_!$B$2:$U$102,$W$2,W7)=0,"",INDEX(I03_!$B$2:$U$102,$W$2,W7)),"")</f>
        <v/>
      </c>
      <c r="E7" s="971"/>
      <c r="F7" s="972"/>
      <c r="G7" s="161" t="str">
        <f>IFERROR(IF(INDEX(I03_!$V$2:$AO$8,$W$2,W7)=0,"",INDEX(I03_!$V$2:$AO$8,$W$2,W7)),"")</f>
        <v/>
      </c>
      <c r="H7" s="132"/>
      <c r="I7" s="968" t="s">
        <v>3542</v>
      </c>
      <c r="J7" s="969"/>
      <c r="K7" s="970" t="str">
        <f>IFERROR(IF(INDEX(D02_Background!$CF$2:$CK$101,SelectedBackgroundId,AF7)=0,"",INDEX(D02_Background!$CF$2:$CK$101,SelectedBackgroundId,AF7)),"")</f>
        <v/>
      </c>
      <c r="L7" s="971"/>
      <c r="M7" s="972"/>
      <c r="N7" s="132"/>
      <c r="O7" s="132"/>
      <c r="P7" s="132"/>
      <c r="Q7" s="132"/>
      <c r="R7" s="132"/>
      <c r="S7" s="132"/>
      <c r="T7" s="132"/>
      <c r="U7" s="163"/>
      <c r="V7" s="195"/>
      <c r="W7" s="195">
        <v>3</v>
      </c>
      <c r="X7" s="195">
        <f t="shared" si="0"/>
        <v>0</v>
      </c>
      <c r="Y7" s="195" t="str">
        <f t="shared" si="1"/>
        <v/>
      </c>
      <c r="Z7" s="195" t="str">
        <f t="shared" si="2"/>
        <v/>
      </c>
      <c r="AA7" s="195">
        <f t="shared" ref="AA7:AA24" si="5">IF(Y7="",0,AA6+X7)</f>
        <v>0</v>
      </c>
      <c r="AB7" s="195">
        <v>3</v>
      </c>
      <c r="AC7" s="195" t="str">
        <f t="shared" si="3"/>
        <v>dark common clothes with hood</v>
      </c>
      <c r="AD7" s="195">
        <f t="shared" si="4"/>
        <v>1</v>
      </c>
      <c r="AE7" s="195"/>
      <c r="AF7" s="195">
        <v>3</v>
      </c>
      <c r="AG7" s="195"/>
      <c r="AH7" s="195"/>
      <c r="AI7" s="195"/>
      <c r="AJ7" s="195"/>
      <c r="AK7" s="195">
        <v>3</v>
      </c>
      <c r="AL7" s="195" t="e">
        <f>INDEX(D04_Classes!$AF$3:$AY$14,SelectedClassID,C_Inventory!AK7)</f>
        <v>#N/A</v>
      </c>
      <c r="AM7" s="195"/>
      <c r="AN7" s="195">
        <v>3</v>
      </c>
      <c r="AO7" s="195" t="e">
        <f>INDEX(D04_Classes!$AZ$3:$BS$14,SelectedClassID,C_Inventory!AN7)</f>
        <v>#N/A</v>
      </c>
      <c r="AP7" s="195"/>
      <c r="AQ7" s="195">
        <v>3</v>
      </c>
      <c r="AR7" s="195" t="e">
        <f>IF(OR(SelectedClassID=5,SelectedClassID=7),AL6,0)</f>
        <v>#N/A</v>
      </c>
      <c r="AS7" s="195"/>
      <c r="AT7" s="195">
        <v>3</v>
      </c>
      <c r="AU7" s="195" t="e">
        <f>IF(OR(SelectedClassID=5,SelectedClassID=7),AO7,0)</f>
        <v>#N/A</v>
      </c>
      <c r="AV7" s="195"/>
      <c r="AW7" s="195" t="s">
        <v>3735</v>
      </c>
      <c r="AX7" s="195">
        <f>Q11</f>
        <v>0</v>
      </c>
      <c r="AY7" s="195" t="e">
        <f>AX7=$BB$4</f>
        <v>#N/A</v>
      </c>
      <c r="AZ7" s="195" t="e">
        <f>AY7*1</f>
        <v>#N/A</v>
      </c>
      <c r="BA7" s="195"/>
      <c r="BB7" s="195"/>
      <c r="BC7" s="196"/>
    </row>
    <row r="8" spans="1:58" ht="15.95" customHeight="1" x14ac:dyDescent="0.25">
      <c r="A8" s="132"/>
      <c r="B8" s="968" t="s">
        <v>3543</v>
      </c>
      <c r="C8" s="969"/>
      <c r="D8" s="970" t="str">
        <f>IFERROR(IF(INDEX(I03_!$B$2:$U$102,$W$2,W8)=0,"",INDEX(I03_!$B$2:$U$102,$W$2,W8)),"")</f>
        <v/>
      </c>
      <c r="E8" s="971"/>
      <c r="F8" s="972"/>
      <c r="G8" s="161" t="str">
        <f>IFERROR(IF(INDEX(I03_!$V$2:$AO$8,$W$2,W8)=0,"",INDEX(I03_!$V$2:$AO$8,$W$2,W8)),"")</f>
        <v/>
      </c>
      <c r="H8" s="132"/>
      <c r="I8" s="968" t="s">
        <v>3543</v>
      </c>
      <c r="J8" s="969"/>
      <c r="K8" s="970" t="str">
        <f>IFERROR(IF(INDEX(D02_Background!$CF$2:$CK$101,SelectedBackgroundId,AF8)=0,"",INDEX(D02_Background!$CF$2:$CK$101,SelectedBackgroundId,AF8)),"")</f>
        <v/>
      </c>
      <c r="L8" s="971"/>
      <c r="M8" s="972"/>
      <c r="N8" s="132"/>
      <c r="O8" s="805" t="s">
        <v>3690</v>
      </c>
      <c r="P8" s="964"/>
      <c r="Q8" s="974"/>
      <c r="R8" s="908"/>
      <c r="S8" s="975"/>
      <c r="T8" s="132"/>
      <c r="U8" s="163"/>
      <c r="V8" s="195"/>
      <c r="W8" s="195">
        <v>4</v>
      </c>
      <c r="X8" s="195">
        <f t="shared" si="0"/>
        <v>0</v>
      </c>
      <c r="Y8" s="195" t="str">
        <f t="shared" si="1"/>
        <v/>
      </c>
      <c r="Z8" s="195" t="str">
        <f t="shared" si="2"/>
        <v/>
      </c>
      <c r="AA8" s="195">
        <f t="shared" si="5"/>
        <v>0</v>
      </c>
      <c r="AB8" s="195">
        <v>4</v>
      </c>
      <c r="AC8" s="195">
        <f t="shared" si="3"/>
        <v>0</v>
      </c>
      <c r="AD8" s="195">
        <f t="shared" si="4"/>
        <v>1</v>
      </c>
      <c r="AE8" s="195"/>
      <c r="AF8" s="195">
        <v>4</v>
      </c>
      <c r="AG8" s="195"/>
      <c r="AH8" s="195"/>
      <c r="AI8" s="195"/>
      <c r="AJ8" s="195"/>
      <c r="AK8" s="195">
        <v>4</v>
      </c>
      <c r="AL8" s="195" t="e">
        <f>INDEX(D04_Classes!$AF$3:$AY$14,SelectedClassID,C_Inventory!AK8)</f>
        <v>#N/A</v>
      </c>
      <c r="AM8" s="195"/>
      <c r="AN8" s="195">
        <v>4</v>
      </c>
      <c r="AO8" s="195" t="e">
        <f>INDEX(D04_Classes!$AZ$3:$BS$14,SelectedClassID,C_Inventory!AN8)</f>
        <v>#N/A</v>
      </c>
      <c r="AP8" s="195"/>
      <c r="AQ8" s="195">
        <v>4</v>
      </c>
      <c r="AR8" s="195" t="e">
        <f>IF(OR(SelectedClassID=5,SelectedClassID=7),AL7,0)</f>
        <v>#N/A</v>
      </c>
      <c r="AS8" s="195"/>
      <c r="AT8" s="195">
        <v>4</v>
      </c>
      <c r="AU8" s="195" t="e">
        <f>IF(OR(SelectedClassID=5,SelectedClassID=7),AO8,0)</f>
        <v>#N/A</v>
      </c>
      <c r="AV8" s="195"/>
      <c r="AW8" s="195" t="s">
        <v>3736</v>
      </c>
      <c r="AX8" s="195">
        <f>Q14</f>
        <v>0</v>
      </c>
      <c r="AY8" s="195" t="e">
        <f>AX8=$BB$4</f>
        <v>#N/A</v>
      </c>
      <c r="AZ8" s="195" t="e">
        <f>AY8*1</f>
        <v>#N/A</v>
      </c>
      <c r="BA8" s="195"/>
      <c r="BB8" s="195"/>
      <c r="BC8" s="196"/>
    </row>
    <row r="9" spans="1:58" ht="15.95" customHeight="1" x14ac:dyDescent="0.25">
      <c r="A9" s="132"/>
      <c r="B9" s="968" t="s">
        <v>3544</v>
      </c>
      <c r="C9" s="969"/>
      <c r="D9" s="970" t="str">
        <f>IFERROR(IF(INDEX(I03_!$B$2:$U$102,$W$2,W9)=0,"",INDEX(I03_!$B$2:$U$102,$W$2,W9)),"")</f>
        <v/>
      </c>
      <c r="E9" s="971"/>
      <c r="F9" s="972"/>
      <c r="G9" s="161" t="str">
        <f>IFERROR(IF(INDEX(I03_!$V$2:$AO$8,$W$2,W9)=0,"",INDEX(I03_!$V$2:$AO$8,$W$2,W9)),"")</f>
        <v/>
      </c>
      <c r="H9" s="132"/>
      <c r="I9" s="968" t="s">
        <v>3544</v>
      </c>
      <c r="J9" s="969"/>
      <c r="K9" s="970" t="str">
        <f>IFERROR(IF(INDEX(D02_Background!$CF$2:$CK$101,SelectedBackgroundId,AF9)=0,"",INDEX(D02_Background!$CF$2:$CK$101,SelectedBackgroundId,AF9)),"")</f>
        <v/>
      </c>
      <c r="L9" s="971"/>
      <c r="M9" s="972"/>
      <c r="N9" s="132"/>
      <c r="O9" s="805"/>
      <c r="P9" s="964"/>
      <c r="Q9" s="974"/>
      <c r="R9" s="908"/>
      <c r="S9" s="975"/>
      <c r="T9" s="132"/>
      <c r="U9" s="163"/>
      <c r="V9" s="195"/>
      <c r="W9" s="195">
        <v>5</v>
      </c>
      <c r="X9" s="195">
        <f t="shared" si="0"/>
        <v>0</v>
      </c>
      <c r="Y9" s="195" t="str">
        <f t="shared" si="1"/>
        <v/>
      </c>
      <c r="Z9" s="195" t="str">
        <f t="shared" si="2"/>
        <v/>
      </c>
      <c r="AA9" s="195">
        <f t="shared" si="5"/>
        <v>0</v>
      </c>
      <c r="AB9" s="195">
        <v>5</v>
      </c>
      <c r="AC9" s="195">
        <f t="shared" si="3"/>
        <v>0</v>
      </c>
      <c r="AD9" s="195">
        <f t="shared" si="4"/>
        <v>1</v>
      </c>
      <c r="AE9" s="195"/>
      <c r="AF9" s="195">
        <v>5</v>
      </c>
      <c r="AG9" s="195"/>
      <c r="AH9" s="195"/>
      <c r="AI9" s="195"/>
      <c r="AJ9" s="195"/>
      <c r="AK9" s="195">
        <v>5</v>
      </c>
      <c r="AL9" s="195" t="e">
        <f>INDEX(D04_Classes!$AF$3:$AY$14,SelectedClassID,C_Inventory!AK9)</f>
        <v>#N/A</v>
      </c>
      <c r="AM9" s="195"/>
      <c r="AN9" s="195">
        <v>5</v>
      </c>
      <c r="AO9" s="195" t="e">
        <f>INDEX(D04_Classes!$AZ$3:$BS$14,SelectedClassID,C_Inventory!AN9)</f>
        <v>#N/A</v>
      </c>
      <c r="AP9" s="195"/>
      <c r="AQ9" s="195">
        <v>5</v>
      </c>
      <c r="AR9" s="195" t="e">
        <f>IF(OR(SelectedClassID=5,SelectedClassID=7),AL8,0)</f>
        <v>#N/A</v>
      </c>
      <c r="AS9" s="195"/>
      <c r="AT9" s="195">
        <v>5</v>
      </c>
      <c r="AU9" s="195" t="e">
        <f>IF(OR(SelectedClassID=5,SelectedClassID=7),AO9,0)</f>
        <v>#N/A</v>
      </c>
      <c r="AV9" s="195"/>
      <c r="AW9" s="195"/>
      <c r="AX9" s="195"/>
      <c r="AY9" s="195"/>
      <c r="AZ9" s="195" t="e">
        <f>SUM(AZ5:AZ8)</f>
        <v>#N/A</v>
      </c>
      <c r="BA9" s="195"/>
      <c r="BB9" s="195"/>
      <c r="BC9" s="196"/>
    </row>
    <row r="10" spans="1:58" ht="15.95" customHeight="1" x14ac:dyDescent="0.25">
      <c r="A10" s="132"/>
      <c r="B10" s="968" t="s">
        <v>3545</v>
      </c>
      <c r="C10" s="969"/>
      <c r="D10" s="970" t="str">
        <f>IFERROR(IF(INDEX(I03_!$B$2:$U$102,$W$2,W10)=0,"",INDEX(I03_!$B$2:$U$102,$W$2,W10)),"")</f>
        <v/>
      </c>
      <c r="E10" s="971"/>
      <c r="F10" s="972"/>
      <c r="G10" s="161" t="str">
        <f>IFERROR(IF(INDEX(I03_!$V$2:$AO$8,$W$2,W10)=0,"",INDEX(I03_!$V$2:$AO$8,$W$2,W10)),"")</f>
        <v/>
      </c>
      <c r="H10" s="132"/>
      <c r="I10" s="968" t="s">
        <v>3545</v>
      </c>
      <c r="J10" s="969"/>
      <c r="K10" s="970" t="str">
        <f>IFERROR(IF(INDEX(D02_Background!$CF$2:$CK$101,SelectedBackgroundId,AF10)=0,"",INDEX(D02_Background!$CF$2:$CK$101,SelectedBackgroundId,AF10)),"")</f>
        <v/>
      </c>
      <c r="L10" s="971"/>
      <c r="M10" s="972"/>
      <c r="N10" s="132"/>
      <c r="O10" s="132"/>
      <c r="P10" s="132"/>
      <c r="Q10" s="132"/>
      <c r="R10" s="132"/>
      <c r="S10" s="132"/>
      <c r="T10" s="132"/>
      <c r="U10" s="163"/>
      <c r="V10" s="195"/>
      <c r="W10" s="195">
        <v>6</v>
      </c>
      <c r="X10" s="195">
        <f t="shared" si="0"/>
        <v>0</v>
      </c>
      <c r="Y10" s="195" t="str">
        <f t="shared" si="1"/>
        <v/>
      </c>
      <c r="Z10" s="195" t="str">
        <f t="shared" si="2"/>
        <v/>
      </c>
      <c r="AA10" s="195">
        <f t="shared" si="5"/>
        <v>0</v>
      </c>
      <c r="AB10" s="195">
        <v>6</v>
      </c>
      <c r="AC10" s="195">
        <f t="shared" si="3"/>
        <v>0</v>
      </c>
      <c r="AD10" s="195">
        <f t="shared" si="4"/>
        <v>1</v>
      </c>
      <c r="AE10" s="195"/>
      <c r="AF10" s="195">
        <v>6</v>
      </c>
      <c r="AG10" s="195"/>
      <c r="AH10" s="195"/>
      <c r="AI10" s="195"/>
      <c r="AJ10" s="195"/>
      <c r="AK10" s="195">
        <v>6</v>
      </c>
      <c r="AL10" s="195" t="e">
        <f>INDEX(D04_Classes!$AF$3:$AY$14,SelectedClassID,C_Inventory!AK10)</f>
        <v>#N/A</v>
      </c>
      <c r="AM10" s="195"/>
      <c r="AN10" s="195">
        <v>6</v>
      </c>
      <c r="AO10" s="195" t="e">
        <f>INDEX(D04_Classes!$AZ$3:$BS$14,SelectedClassID,C_Inventory!AN10)</f>
        <v>#N/A</v>
      </c>
      <c r="AP10" s="195"/>
      <c r="AQ10" s="195">
        <v>6</v>
      </c>
      <c r="AR10" s="195" t="e">
        <f>IF(OR(SelectedClassID=5,SelectedClassID=7),AL9,0)</f>
        <v>#N/A</v>
      </c>
      <c r="AS10" s="195"/>
      <c r="AT10" s="195">
        <v>6</v>
      </c>
      <c r="AU10" s="195" t="e">
        <f>IF(OR(SelectedClassID=5,SelectedClassID=7),AO10,0)</f>
        <v>#N/A</v>
      </c>
      <c r="AV10" s="195"/>
      <c r="AW10" s="195"/>
      <c r="AX10" s="195"/>
      <c r="AY10" s="195"/>
      <c r="AZ10" s="195"/>
      <c r="BA10" s="195"/>
      <c r="BB10" s="195"/>
      <c r="BC10" s="196"/>
    </row>
    <row r="11" spans="1:58" ht="15.95" customHeight="1" x14ac:dyDescent="0.25">
      <c r="A11" s="132"/>
      <c r="B11" s="968" t="s">
        <v>3546</v>
      </c>
      <c r="C11" s="969"/>
      <c r="D11" s="970" t="str">
        <f>IFERROR(IF(INDEX(I03_!$B$2:$U$102,$W$2,W11)=0,"",INDEX(I03_!$B$2:$U$102,$W$2,W11)),"")</f>
        <v/>
      </c>
      <c r="E11" s="971"/>
      <c r="F11" s="972"/>
      <c r="G11" s="161" t="str">
        <f>IFERROR(IF(INDEX(I03_!$V$2:$AO$8,$W$2,W11)=0,"",INDEX(I03_!$V$2:$AO$8,$W$2,W11)),"")</f>
        <v/>
      </c>
      <c r="H11" s="132"/>
      <c r="I11" s="132"/>
      <c r="J11" s="132"/>
      <c r="K11" s="132"/>
      <c r="L11" s="132"/>
      <c r="M11" s="132"/>
      <c r="N11" s="132"/>
      <c r="O11" s="805" t="s">
        <v>3691</v>
      </c>
      <c r="P11" s="964"/>
      <c r="Q11" s="974"/>
      <c r="R11" s="908"/>
      <c r="S11" s="975"/>
      <c r="T11" s="132"/>
      <c r="U11" s="163"/>
      <c r="V11" s="195"/>
      <c r="W11" s="195">
        <v>7</v>
      </c>
      <c r="X11" s="195">
        <f t="shared" si="0"/>
        <v>0</v>
      </c>
      <c r="Y11" s="195" t="str">
        <f t="shared" si="1"/>
        <v/>
      </c>
      <c r="Z11" s="195" t="str">
        <f t="shared" si="2"/>
        <v/>
      </c>
      <c r="AA11" s="195">
        <f t="shared" si="5"/>
        <v>0</v>
      </c>
      <c r="AB11" s="195">
        <v>7</v>
      </c>
      <c r="AC11" s="195" t="str">
        <f t="shared" si="3"/>
        <v/>
      </c>
      <c r="AD11" s="195" t="str">
        <f t="shared" si="4"/>
        <v/>
      </c>
      <c r="AE11" s="195"/>
      <c r="AF11" s="195"/>
      <c r="AG11" s="195"/>
      <c r="AH11" s="195"/>
      <c r="AI11" s="195"/>
      <c r="AJ11" s="195"/>
      <c r="AK11" s="195">
        <v>7</v>
      </c>
      <c r="AL11" s="195" t="e">
        <f>INDEX(D04_Classes!$AF$3:$AY$14,SelectedClassID,C_Inventory!AK11)</f>
        <v>#N/A</v>
      </c>
      <c r="AM11" s="195"/>
      <c r="AN11" s="195">
        <v>7</v>
      </c>
      <c r="AO11" s="195" t="e">
        <f>INDEX(D04_Classes!$AZ$3:$BS$14,SelectedClassID,C_Inventory!AN11)</f>
        <v>#N/A</v>
      </c>
      <c r="AP11" s="195"/>
      <c r="AQ11" s="195">
        <v>7</v>
      </c>
      <c r="AR11" s="195" t="e">
        <f>IF(OR(SelectedClassID=5,SelectedClassID=7),AL10,0)</f>
        <v>#N/A</v>
      </c>
      <c r="AS11" s="195"/>
      <c r="AT11" s="195">
        <v>7</v>
      </c>
      <c r="AU11" s="195" t="e">
        <f>IF(OR(SelectedClassID=5,SelectedClassID=7),AO11,0)</f>
        <v>#N/A</v>
      </c>
      <c r="AV11" s="195"/>
      <c r="AW11" s="195"/>
      <c r="AX11" s="195"/>
      <c r="AY11" s="195"/>
      <c r="AZ11" s="195"/>
      <c r="BA11" s="195"/>
      <c r="BB11" s="195"/>
      <c r="BC11" s="196"/>
      <c r="BD11" s="196"/>
      <c r="BE11" s="196"/>
      <c r="BF11" s="196"/>
    </row>
    <row r="12" spans="1:58" ht="15.95" customHeight="1" x14ac:dyDescent="0.25">
      <c r="A12" s="132"/>
      <c r="B12" s="968" t="s">
        <v>3660</v>
      </c>
      <c r="C12" s="969"/>
      <c r="D12" s="970" t="str">
        <f>IFERROR(IF(INDEX(I03_!$B$2:$U$102,$W$2,W12)=0,"",INDEX(I03_!$B$2:$U$102,$W$2,W12)),"")</f>
        <v/>
      </c>
      <c r="E12" s="971"/>
      <c r="F12" s="972"/>
      <c r="G12" s="161" t="str">
        <f>IFERROR(IF(INDEX(I03_!$V$2:$AO$8,$W$2,W12)=0,"",INDEX(I03_!$V$2:$AO$8,$W$2,W12)),"")</f>
        <v/>
      </c>
      <c r="H12" s="132"/>
      <c r="I12" s="132"/>
      <c r="J12" s="132"/>
      <c r="K12" s="132"/>
      <c r="L12" s="132"/>
      <c r="M12" s="132"/>
      <c r="N12" s="132"/>
      <c r="O12" s="805"/>
      <c r="P12" s="964"/>
      <c r="Q12" s="974"/>
      <c r="R12" s="908"/>
      <c r="S12" s="975"/>
      <c r="T12" s="132"/>
      <c r="U12" s="163"/>
      <c r="V12" s="195"/>
      <c r="W12" s="195">
        <v>8</v>
      </c>
      <c r="X12" s="195">
        <f t="shared" si="0"/>
        <v>0</v>
      </c>
      <c r="Y12" s="195" t="str">
        <f t="shared" si="1"/>
        <v/>
      </c>
      <c r="Z12" s="195" t="str">
        <f t="shared" si="2"/>
        <v/>
      </c>
      <c r="AA12" s="195">
        <f t="shared" si="5"/>
        <v>0</v>
      </c>
      <c r="AB12" s="195">
        <v>8</v>
      </c>
      <c r="AC12" s="195" t="str">
        <f t="shared" si="3"/>
        <v/>
      </c>
      <c r="AD12" s="195" t="str">
        <f t="shared" si="4"/>
        <v/>
      </c>
      <c r="AE12" s="195"/>
      <c r="AF12" s="973" t="s">
        <v>89</v>
      </c>
      <c r="AG12" s="973"/>
      <c r="AH12" s="973" t="s">
        <v>392</v>
      </c>
      <c r="AI12" s="973"/>
      <c r="AJ12" s="195"/>
      <c r="AK12" s="195">
        <v>8</v>
      </c>
      <c r="AL12" s="195" t="e">
        <f>INDEX(D04_Classes!$AF$3:$AY$14,SelectedClassID,C_Inventory!AK12)</f>
        <v>#N/A</v>
      </c>
      <c r="AM12" s="195"/>
      <c r="AN12" s="195">
        <v>8</v>
      </c>
      <c r="AO12" s="195" t="e">
        <f>INDEX(D04_Classes!$AZ$3:$BS$14,SelectedClassID,C_Inventory!AN12)</f>
        <v>#N/A</v>
      </c>
      <c r="AP12" s="195"/>
      <c r="AQ12" s="195">
        <v>8</v>
      </c>
      <c r="AR12" s="195" t="e">
        <f>IF(OR(SelectedClassID=5,SelectedClassID=7),AL11,0)</f>
        <v>#N/A</v>
      </c>
      <c r="AS12" s="195"/>
      <c r="AT12" s="195">
        <v>8</v>
      </c>
      <c r="AU12" s="195" t="e">
        <f>IF(OR(SelectedClassID=5,SelectedClassID=7),AO12,0)</f>
        <v>#N/A</v>
      </c>
      <c r="AV12" s="195"/>
      <c r="AW12" s="195"/>
      <c r="AX12" s="195"/>
      <c r="AY12" s="195"/>
      <c r="AZ12" s="195"/>
      <c r="BA12" s="195"/>
      <c r="BB12" s="195"/>
      <c r="BC12" s="196"/>
      <c r="BD12" s="196"/>
      <c r="BE12" s="196"/>
      <c r="BF12" s="196"/>
    </row>
    <row r="13" spans="1:58" ht="15.95" customHeight="1" x14ac:dyDescent="0.25">
      <c r="A13" s="132"/>
      <c r="B13" s="968" t="s">
        <v>3661</v>
      </c>
      <c r="C13" s="969"/>
      <c r="D13" s="970" t="str">
        <f>IFERROR(IF(INDEX(I03_!$B$2:$U$102,$W$2,W13)=0,"",INDEX(I03_!$B$2:$U$102,$W$2,W13)),"")</f>
        <v/>
      </c>
      <c r="E13" s="971"/>
      <c r="F13" s="972"/>
      <c r="G13" s="161" t="str">
        <f>IFERROR(IF(INDEX(I03_!$V$2:$AO$8,$W$2,W13)=0,"",INDEX(I03_!$V$2:$AO$8,$W$2,W13)),"")</f>
        <v/>
      </c>
      <c r="H13" s="132"/>
      <c r="I13" s="132"/>
      <c r="J13" s="132"/>
      <c r="K13" s="132"/>
      <c r="L13" s="132"/>
      <c r="M13" s="132"/>
      <c r="N13" s="132"/>
      <c r="O13" s="132"/>
      <c r="P13" s="132"/>
      <c r="Q13" s="132"/>
      <c r="R13" s="132"/>
      <c r="S13" s="132"/>
      <c r="T13" s="132"/>
      <c r="U13" s="163"/>
      <c r="V13" s="195"/>
      <c r="W13" s="195">
        <v>9</v>
      </c>
      <c r="X13" s="195">
        <f t="shared" si="0"/>
        <v>0</v>
      </c>
      <c r="Y13" s="195" t="str">
        <f t="shared" si="1"/>
        <v/>
      </c>
      <c r="Z13" s="195" t="str">
        <f t="shared" si="2"/>
        <v/>
      </c>
      <c r="AA13" s="195">
        <f t="shared" si="5"/>
        <v>0</v>
      </c>
      <c r="AB13" s="195">
        <v>9</v>
      </c>
      <c r="AC13" s="195" t="str">
        <f t="shared" si="3"/>
        <v/>
      </c>
      <c r="AD13" s="195" t="str">
        <f t="shared" si="4"/>
        <v/>
      </c>
      <c r="AE13" s="195"/>
      <c r="AF13" s="195">
        <v>1</v>
      </c>
      <c r="AG13" s="195" t="str">
        <f>IFERROR(IF(INDEX(D04_Classes!$V$3:$X$102,SelectedClassID,1)=0,"",INDEX(D04_Classes!$V$3:$X$102,SelectedClassID,1)),"")</f>
        <v/>
      </c>
      <c r="AH13" s="195">
        <v>1</v>
      </c>
      <c r="AI13" s="195" t="str">
        <f>IFERROR(IF(INDEX(D04_Classes!$S$3:$U$102,SelectedClassID,1)=0,"",INDEX(D04_Classes!$S$3:$U$102,SelectedClassID,1)),"")</f>
        <v/>
      </c>
      <c r="AJ13" s="195"/>
      <c r="AK13" s="195">
        <v>9</v>
      </c>
      <c r="AL13" s="195" t="e">
        <f>INDEX(D04_Classes!$AF$3:$AY$14,SelectedClassID,C_Inventory!AK13)</f>
        <v>#N/A</v>
      </c>
      <c r="AM13" s="195"/>
      <c r="AN13" s="195">
        <v>9</v>
      </c>
      <c r="AO13" s="195" t="e">
        <f>INDEX(D04_Classes!$AZ$3:$BS$14,SelectedClassID,C_Inventory!AN13)</f>
        <v>#N/A</v>
      </c>
      <c r="AP13" s="195"/>
      <c r="AQ13" s="195">
        <v>9</v>
      </c>
      <c r="AR13" s="195" t="e">
        <f>IF(OR(SelectedClassID=5,SelectedClassID=7),AL12,0)</f>
        <v>#N/A</v>
      </c>
      <c r="AS13" s="195"/>
      <c r="AT13" s="195">
        <v>9</v>
      </c>
      <c r="AU13" s="195" t="e">
        <f>IF(OR(SelectedClassID=5,SelectedClassID=7),AO13,0)</f>
        <v>#N/A</v>
      </c>
      <c r="AV13" s="195"/>
      <c r="AW13" s="195"/>
      <c r="AX13" s="195"/>
      <c r="AY13" s="195"/>
      <c r="AZ13" s="195"/>
      <c r="BA13" s="195"/>
      <c r="BB13" s="195"/>
      <c r="BC13" s="196"/>
      <c r="BD13" s="196"/>
      <c r="BE13" s="196"/>
      <c r="BF13" s="196"/>
    </row>
    <row r="14" spans="1:58" ht="15.95" customHeight="1" x14ac:dyDescent="0.25">
      <c r="A14" s="132"/>
      <c r="B14" s="968" t="s">
        <v>3662</v>
      </c>
      <c r="C14" s="969"/>
      <c r="D14" s="970" t="str">
        <f>IFERROR(IF(INDEX(I03_!$B$2:$U$102,$W$2,W14)=0,"",INDEX(I03_!$B$2:$U$102,$W$2,W14)),"")</f>
        <v/>
      </c>
      <c r="E14" s="971"/>
      <c r="F14" s="972"/>
      <c r="G14" s="161" t="str">
        <f>IFERROR(IF(INDEX(I03_!$V$2:$AO$8,$W$2,W14)=0,"",INDEX(I03_!$V$2:$AO$8,$W$2,W14)),"")</f>
        <v/>
      </c>
      <c r="H14" s="132"/>
      <c r="I14" s="805" t="s">
        <v>3731</v>
      </c>
      <c r="J14" s="964"/>
      <c r="K14" s="976">
        <f>AI20+AI21+AI22</f>
        <v>0</v>
      </c>
      <c r="L14" s="977"/>
      <c r="M14" s="978"/>
      <c r="N14" s="132"/>
      <c r="O14" s="805" t="s">
        <v>3692</v>
      </c>
      <c r="P14" s="964"/>
      <c r="Q14" s="974"/>
      <c r="R14" s="908"/>
      <c r="S14" s="975"/>
      <c r="T14" s="132"/>
      <c r="U14" s="163"/>
      <c r="V14" s="195"/>
      <c r="W14" s="195">
        <v>10</v>
      </c>
      <c r="X14" s="195">
        <f t="shared" si="0"/>
        <v>0</v>
      </c>
      <c r="Y14" s="195" t="str">
        <f t="shared" si="1"/>
        <v/>
      </c>
      <c r="Z14" s="195" t="str">
        <f t="shared" si="2"/>
        <v/>
      </c>
      <c r="AA14" s="195">
        <f t="shared" si="5"/>
        <v>0</v>
      </c>
      <c r="AB14" s="195">
        <v>10</v>
      </c>
      <c r="AC14" s="195" t="str">
        <f t="shared" si="3"/>
        <v/>
      </c>
      <c r="AD14" s="195" t="str">
        <f t="shared" si="4"/>
        <v/>
      </c>
      <c r="AE14" s="195"/>
      <c r="AF14" s="195" t="str">
        <f>IF(AG14="","",AF13+1)</f>
        <v/>
      </c>
      <c r="AG14" s="195" t="str">
        <f>IFERROR(IF(INDEX(D04_Classes!$V$3:$X$102,SelectedClassID,2)=0,"",INDEX(D04_Classes!$V$3:$X$102,SelectedClassID,2)),"")</f>
        <v/>
      </c>
      <c r="AH14" s="195" t="str">
        <f>IF(AI14="","",AH13+1)</f>
        <v/>
      </c>
      <c r="AI14" s="195" t="str">
        <f>IFERROR(IF(INDEX(D04_Classes!$S$3:$U$102,SelectedClassID,2)=0,"",INDEX(D04_Classes!$S$3:$U$102,SelectedClassID,2)),"")</f>
        <v/>
      </c>
      <c r="AJ14" s="195"/>
      <c r="AK14" s="195">
        <v>10</v>
      </c>
      <c r="AL14" s="195" t="e">
        <f>INDEX(D04_Classes!$AF$3:$AY$14,SelectedClassID,C_Inventory!AK14)</f>
        <v>#N/A</v>
      </c>
      <c r="AM14" s="195"/>
      <c r="AN14" s="195">
        <v>10</v>
      </c>
      <c r="AO14" s="195" t="e">
        <f>INDEX(D04_Classes!$AZ$3:$BS$14,SelectedClassID,C_Inventory!AN14)</f>
        <v>#N/A</v>
      </c>
      <c r="AP14" s="195"/>
      <c r="AQ14" s="195">
        <v>10</v>
      </c>
      <c r="AR14" s="195" t="e">
        <f>IF(OR(SelectedClassID=5,SelectedClassID=7),AL13,0)</f>
        <v>#N/A</v>
      </c>
      <c r="AS14" s="195"/>
      <c r="AT14" s="195">
        <v>10</v>
      </c>
      <c r="AU14" s="195" t="e">
        <f>IF(OR(SelectedClassID=5,SelectedClassID=7),AO14,0)</f>
        <v>#N/A</v>
      </c>
      <c r="AV14" s="195"/>
      <c r="AW14" s="195"/>
      <c r="AX14" s="195"/>
      <c r="AY14" s="195"/>
      <c r="AZ14" s="195"/>
      <c r="BA14" s="195"/>
      <c r="BB14" s="195"/>
      <c r="BC14" s="196"/>
      <c r="BD14" s="196"/>
      <c r="BE14" s="196"/>
      <c r="BF14" s="196"/>
    </row>
    <row r="15" spans="1:58" ht="15.95" customHeight="1" x14ac:dyDescent="0.25">
      <c r="A15" s="132"/>
      <c r="B15" s="968" t="s">
        <v>3670</v>
      </c>
      <c r="C15" s="969"/>
      <c r="D15" s="970" t="str">
        <f>IFERROR(IF(INDEX(I03_!$B$2:$U$102,$W$2,W15)=0,"",INDEX(I03_!$B$2:$U$102,$W$2,W15)),"")</f>
        <v/>
      </c>
      <c r="E15" s="971"/>
      <c r="F15" s="972"/>
      <c r="G15" s="161" t="str">
        <f>IFERROR(IF(INDEX(I03_!$V$2:$AO$8,$W$2,W15)=0,"",INDEX(I03_!$V$2:$AO$8,$W$2,W15)),"")</f>
        <v/>
      </c>
      <c r="H15" s="132"/>
      <c r="I15" s="805"/>
      <c r="J15" s="964"/>
      <c r="K15" s="976"/>
      <c r="L15" s="977"/>
      <c r="M15" s="978"/>
      <c r="N15" s="132"/>
      <c r="O15" s="805"/>
      <c r="P15" s="964"/>
      <c r="Q15" s="974"/>
      <c r="R15" s="908"/>
      <c r="S15" s="975"/>
      <c r="T15" s="132"/>
      <c r="U15" s="163"/>
      <c r="V15" s="195"/>
      <c r="W15" s="195">
        <v>11</v>
      </c>
      <c r="X15" s="195">
        <f t="shared" si="0"/>
        <v>0</v>
      </c>
      <c r="Y15" s="195" t="str">
        <f t="shared" si="1"/>
        <v/>
      </c>
      <c r="Z15" s="195" t="str">
        <f t="shared" si="2"/>
        <v/>
      </c>
      <c r="AA15" s="195">
        <f t="shared" si="5"/>
        <v>0</v>
      </c>
      <c r="AB15" s="195">
        <v>11</v>
      </c>
      <c r="AC15" s="195" t="str">
        <f t="shared" si="3"/>
        <v/>
      </c>
      <c r="AD15" s="195" t="str">
        <f t="shared" si="4"/>
        <v/>
      </c>
      <c r="AE15" s="195"/>
      <c r="AF15" s="195" t="str">
        <f>IF(AG15="","",AF14+1)</f>
        <v/>
      </c>
      <c r="AG15" s="195" t="str">
        <f>IFERROR(IF(INDEX(D04_Classes!$V$3:$X$102,SelectedClassID,3)=0,"",INDEX(D04_Classes!$V$3:$X$102,SelectedClassID,3)),"")</f>
        <v/>
      </c>
      <c r="AH15" s="195" t="str">
        <f>IF(AI15="","",AH14+1)</f>
        <v/>
      </c>
      <c r="AI15" s="195" t="str">
        <f>IFERROR(IF(INDEX(D04_Classes!$S$3:$U$102,SelectedClassID,3)=0,"",INDEX(D04_Classes!$S$3:$U$102,SelectedClassID,3)),"")</f>
        <v/>
      </c>
      <c r="AJ15" s="195"/>
      <c r="AK15" s="195">
        <v>11</v>
      </c>
      <c r="AL15" s="195" t="e">
        <f>INDEX(D04_Classes!$AF$3:$AY$14,SelectedClassID,C_Inventory!AK15)</f>
        <v>#N/A</v>
      </c>
      <c r="AM15" s="195"/>
      <c r="AN15" s="195">
        <v>11</v>
      </c>
      <c r="AO15" s="195" t="e">
        <f>INDEX(D04_Classes!$AZ$3:$BS$14,SelectedClassID,C_Inventory!AN15)</f>
        <v>#N/A</v>
      </c>
      <c r="AP15" s="195"/>
      <c r="AQ15" s="195">
        <v>11</v>
      </c>
      <c r="AR15" s="195" t="e">
        <f>IF(OR(SelectedClassID=5,SelectedClassID=7),AL14,0)</f>
        <v>#N/A</v>
      </c>
      <c r="AS15" s="195"/>
      <c r="AT15" s="195">
        <v>11</v>
      </c>
      <c r="AU15" s="195" t="e">
        <f>IF(OR(SelectedClassID=5,SelectedClassID=7),AO15,0)</f>
        <v>#N/A</v>
      </c>
      <c r="AV15" s="195"/>
      <c r="AW15" s="195"/>
      <c r="AX15" s="195"/>
      <c r="AY15" s="195"/>
      <c r="AZ15" s="195"/>
      <c r="BA15" s="195"/>
      <c r="BB15" s="195"/>
      <c r="BC15" s="196"/>
      <c r="BD15" s="196"/>
      <c r="BE15" s="196"/>
      <c r="BF15" s="196"/>
    </row>
    <row r="16" spans="1:58" ht="15.95" customHeight="1" x14ac:dyDescent="0.25">
      <c r="A16" s="132"/>
      <c r="B16" s="968" t="s">
        <v>3672</v>
      </c>
      <c r="C16" s="969"/>
      <c r="D16" s="970" t="str">
        <f>IFERROR(IF(INDEX(I03_!$B$2:$U$102,$W$2,W16)=0,"",INDEX(I03_!$B$2:$U$102,$W$2,W16)),"")</f>
        <v/>
      </c>
      <c r="E16" s="971"/>
      <c r="F16" s="972"/>
      <c r="G16" s="161" t="str">
        <f>IFERROR(IF(INDEX(I03_!$V$2:$AO$8,$W$2,W16)=0,"",INDEX(I03_!$V$2:$AO$8,$W$2,W16)),"")</f>
        <v/>
      </c>
      <c r="H16" s="132"/>
      <c r="I16" s="805" t="s">
        <v>3732</v>
      </c>
      <c r="J16" s="964"/>
      <c r="K16" s="976">
        <f>AH17+AH18</f>
        <v>0</v>
      </c>
      <c r="L16" s="977"/>
      <c r="M16" s="978"/>
      <c r="N16" s="132"/>
      <c r="O16" s="132"/>
      <c r="P16" s="132"/>
      <c r="Q16" s="132"/>
      <c r="R16" s="132"/>
      <c r="S16" s="132"/>
      <c r="T16" s="132"/>
      <c r="U16" s="163"/>
      <c r="V16" s="195"/>
      <c r="W16" s="195">
        <v>12</v>
      </c>
      <c r="X16" s="195">
        <f t="shared" si="0"/>
        <v>0</v>
      </c>
      <c r="Y16" s="195" t="str">
        <f t="shared" si="1"/>
        <v/>
      </c>
      <c r="Z16" s="195" t="str">
        <f t="shared" si="2"/>
        <v/>
      </c>
      <c r="AA16" s="195">
        <f t="shared" si="5"/>
        <v>0</v>
      </c>
      <c r="AB16" s="195">
        <v>12</v>
      </c>
      <c r="AC16" s="195" t="str">
        <f t="shared" si="3"/>
        <v/>
      </c>
      <c r="AD16" s="195" t="str">
        <f t="shared" si="4"/>
        <v/>
      </c>
      <c r="AE16" s="195"/>
      <c r="AF16" s="195"/>
      <c r="AG16" s="195"/>
      <c r="AH16" s="195" t="s">
        <v>3616</v>
      </c>
      <c r="AI16" s="195" t="s">
        <v>3744</v>
      </c>
      <c r="AJ16" s="195" t="s">
        <v>3745</v>
      </c>
      <c r="AK16" s="195">
        <v>12</v>
      </c>
      <c r="AL16" s="195" t="e">
        <f>INDEX(D04_Classes!$AF$3:$AY$14,SelectedClassID,C_Inventory!AK16)</f>
        <v>#N/A</v>
      </c>
      <c r="AM16" s="195"/>
      <c r="AN16" s="195">
        <v>12</v>
      </c>
      <c r="AO16" s="195" t="e">
        <f>INDEX(D04_Classes!$AZ$3:$BS$14,SelectedClassID,C_Inventory!AN16)</f>
        <v>#N/A</v>
      </c>
      <c r="AP16" s="195"/>
      <c r="AQ16" s="195">
        <v>12</v>
      </c>
      <c r="AR16" s="195" t="e">
        <f>IF(OR(SelectedClassID=5,SelectedClassID=7),AL15,0)</f>
        <v>#N/A</v>
      </c>
      <c r="AS16" s="195"/>
      <c r="AT16" s="195">
        <v>12</v>
      </c>
      <c r="AU16" s="195" t="e">
        <f>IF(OR(SelectedClassID=5,SelectedClassID=7),AO16,0)</f>
        <v>#N/A</v>
      </c>
      <c r="AV16" s="195"/>
      <c r="AW16" s="195"/>
      <c r="AX16" s="195"/>
      <c r="AY16" s="195"/>
      <c r="AZ16" s="195"/>
      <c r="BA16" s="195"/>
      <c r="BB16" s="195"/>
      <c r="BC16" s="196"/>
      <c r="BD16" s="196"/>
      <c r="BE16" s="196"/>
      <c r="BF16" s="196"/>
    </row>
    <row r="17" spans="1:58" ht="15.95" customHeight="1" x14ac:dyDescent="0.25">
      <c r="A17" s="132"/>
      <c r="B17" s="968" t="s">
        <v>3674</v>
      </c>
      <c r="C17" s="969"/>
      <c r="D17" s="970" t="str">
        <f>IFERROR(IF(INDEX(I03_!$B$2:$U$102,$W$2,W17)=0,"",INDEX(I03_!$B$2:$U$102,$W$2,W17)),"")</f>
        <v/>
      </c>
      <c r="E17" s="971"/>
      <c r="F17" s="972"/>
      <c r="G17" s="161" t="str">
        <f>IFERROR(IF(INDEX(I03_!$V$2:$AO$8,$W$2,W17)=0,"",INDEX(I03_!$V$2:$AO$8,$W$2,W17)),"")</f>
        <v/>
      </c>
      <c r="H17" s="132"/>
      <c r="I17" s="805"/>
      <c r="J17" s="964"/>
      <c r="K17" s="976"/>
      <c r="L17" s="977"/>
      <c r="M17" s="978"/>
      <c r="N17" s="132"/>
      <c r="O17" s="805" t="s">
        <v>3693</v>
      </c>
      <c r="P17" s="964"/>
      <c r="Q17" s="974"/>
      <c r="R17" s="908"/>
      <c r="S17" s="975"/>
      <c r="T17" s="132"/>
      <c r="U17" s="163"/>
      <c r="V17" s="195"/>
      <c r="W17" s="195">
        <v>13</v>
      </c>
      <c r="X17" s="195">
        <f t="shared" si="0"/>
        <v>0</v>
      </c>
      <c r="Y17" s="195" t="str">
        <f t="shared" si="1"/>
        <v/>
      </c>
      <c r="Z17" s="195" t="str">
        <f t="shared" si="2"/>
        <v/>
      </c>
      <c r="AA17" s="195">
        <f t="shared" si="5"/>
        <v>0</v>
      </c>
      <c r="AB17" s="195">
        <v>13</v>
      </c>
      <c r="AC17" s="195" t="str">
        <f t="shared" si="3"/>
        <v/>
      </c>
      <c r="AD17" s="195" t="str">
        <f t="shared" si="4"/>
        <v/>
      </c>
      <c r="AE17" s="195"/>
      <c r="AF17" s="195" t="s">
        <v>3601</v>
      </c>
      <c r="AG17" s="195">
        <f>COUNTIF(D5:F24,"Longbow")+COUNTIF(K5:M10,"Longbow")+COUNTIF(Q8,"Longbow")+COUNTIF(Q11,"Longbow")+COUNTIF(Q14,"Longbow")+COUNTIF(Q20,"Longbow")+COUNTIF(D26:F28,"Longbow")</f>
        <v>0</v>
      </c>
      <c r="AH17" s="195">
        <f>20*AG17</f>
        <v>0</v>
      </c>
      <c r="AI17" s="195"/>
      <c r="AJ17" s="195"/>
      <c r="AK17" s="195">
        <v>13</v>
      </c>
      <c r="AL17" s="195" t="e">
        <f>INDEX(D04_Classes!$AF$3:$AY$14,SelectedClassID,C_Inventory!AK17)</f>
        <v>#N/A</v>
      </c>
      <c r="AM17" s="195"/>
      <c r="AN17" s="195">
        <v>13</v>
      </c>
      <c r="AO17" s="195" t="e">
        <f>INDEX(D04_Classes!$AZ$3:$BS$14,SelectedClassID,C_Inventory!AN17)</f>
        <v>#N/A</v>
      </c>
      <c r="AP17" s="195"/>
      <c r="AQ17" s="195">
        <v>13</v>
      </c>
      <c r="AR17" s="195" t="e">
        <f>IF(OR(SelectedClassID=5,SelectedClassID=7),AL16,0)</f>
        <v>#N/A</v>
      </c>
      <c r="AS17" s="195"/>
      <c r="AT17" s="195">
        <v>13</v>
      </c>
      <c r="AU17" s="195" t="e">
        <f>IF(OR(SelectedClassID=5,SelectedClassID=7),AO17,0)</f>
        <v>#N/A</v>
      </c>
      <c r="AV17" s="195"/>
      <c r="AW17" s="195"/>
      <c r="AX17" s="195"/>
      <c r="AY17" s="195"/>
      <c r="AZ17" s="195"/>
      <c r="BA17" s="195"/>
      <c r="BB17" s="195"/>
      <c r="BC17" s="196"/>
      <c r="BD17" s="196"/>
      <c r="BE17" s="196"/>
      <c r="BF17" s="196"/>
    </row>
    <row r="18" spans="1:58" ht="15.95" customHeight="1" x14ac:dyDescent="0.25">
      <c r="A18" s="132"/>
      <c r="B18" s="968" t="s">
        <v>3676</v>
      </c>
      <c r="C18" s="969"/>
      <c r="D18" s="970" t="str">
        <f>IFERROR(IF(INDEX(I03_!$B$2:$U$102,$W$2,W18)=0,"",INDEX(I03_!$B$2:$U$102,$W$2,W18)),"")</f>
        <v/>
      </c>
      <c r="E18" s="971"/>
      <c r="F18" s="972"/>
      <c r="G18" s="161" t="str">
        <f>IFERROR(IF(INDEX(I03_!$V$2:$AO$8,$W$2,W18)=0,"",INDEX(I03_!$V$2:$AO$8,$W$2,W18)),"")</f>
        <v/>
      </c>
      <c r="H18" s="132"/>
      <c r="I18" s="805" t="s">
        <v>3737</v>
      </c>
      <c r="J18" s="964"/>
      <c r="K18" s="976">
        <f>AJ24</f>
        <v>0</v>
      </c>
      <c r="L18" s="977"/>
      <c r="M18" s="978"/>
      <c r="N18" s="132"/>
      <c r="O18" s="805"/>
      <c r="P18" s="964"/>
      <c r="Q18" s="974"/>
      <c r="R18" s="908"/>
      <c r="S18" s="975"/>
      <c r="T18" s="132"/>
      <c r="U18" s="163"/>
      <c r="V18" s="195"/>
      <c r="W18" s="195">
        <v>14</v>
      </c>
      <c r="X18" s="195">
        <f t="shared" si="0"/>
        <v>0</v>
      </c>
      <c r="Y18" s="195" t="str">
        <f t="shared" si="1"/>
        <v/>
      </c>
      <c r="Z18" s="195" t="str">
        <f t="shared" si="2"/>
        <v/>
      </c>
      <c r="AA18" s="195">
        <f t="shared" si="5"/>
        <v>0</v>
      </c>
      <c r="AB18" s="195">
        <v>14</v>
      </c>
      <c r="AC18" s="195" t="str">
        <f t="shared" si="3"/>
        <v/>
      </c>
      <c r="AD18" s="195" t="str">
        <f t="shared" si="4"/>
        <v/>
      </c>
      <c r="AE18" s="195"/>
      <c r="AF18" s="195" t="s">
        <v>3740</v>
      </c>
      <c r="AG18" s="195">
        <f>COUNTIF(D5:F24,"Shortbow")+COUNTIF(K5:M10,"Shortbow")+COUNTIF(Q8,"Shortbow")+COUNTIF(Q11,"Shortbow")+COUNTIF(Q14,"Shortbow")+COUNTIF(Q20,"Shortbow")+COUNTIF(D26:F28,"Shortbow")</f>
        <v>0</v>
      </c>
      <c r="AH18" s="195">
        <f>20*AG18</f>
        <v>0</v>
      </c>
      <c r="AI18" s="195"/>
      <c r="AJ18" s="195"/>
      <c r="AK18" s="195">
        <v>14</v>
      </c>
      <c r="AL18" s="195" t="e">
        <f>INDEX(D04_Classes!$AF$3:$AY$14,SelectedClassID,C_Inventory!AK18)</f>
        <v>#N/A</v>
      </c>
      <c r="AM18" s="195"/>
      <c r="AN18" s="195">
        <v>14</v>
      </c>
      <c r="AO18" s="195" t="e">
        <f>INDEX(D04_Classes!$AZ$3:$BS$14,SelectedClassID,C_Inventory!AN18)</f>
        <v>#N/A</v>
      </c>
      <c r="AP18" s="195"/>
      <c r="AQ18" s="195">
        <v>14</v>
      </c>
      <c r="AR18" s="195" t="e">
        <f>IF(OR(SelectedClassID=5,SelectedClassID=7),AL17,0)</f>
        <v>#N/A</v>
      </c>
      <c r="AS18" s="195"/>
      <c r="AT18" s="195">
        <v>14</v>
      </c>
      <c r="AU18" s="195" t="e">
        <f>IF(OR(SelectedClassID=5,SelectedClassID=7),AO18,0)</f>
        <v>#N/A</v>
      </c>
      <c r="AV18" s="195"/>
      <c r="AW18" s="195"/>
      <c r="AX18" s="195"/>
      <c r="AY18" s="195"/>
      <c r="AZ18" s="195"/>
      <c r="BA18" s="195"/>
      <c r="BB18" s="195"/>
      <c r="BC18" s="196"/>
      <c r="BD18" s="196"/>
      <c r="BE18" s="196"/>
      <c r="BF18" s="196"/>
    </row>
    <row r="19" spans="1:58" ht="15.95" customHeight="1" x14ac:dyDescent="0.25">
      <c r="A19" s="132"/>
      <c r="B19" s="968" t="s">
        <v>3678</v>
      </c>
      <c r="C19" s="969"/>
      <c r="D19" s="970" t="str">
        <f>IFERROR(IF(INDEX(I03_!$B$2:$U$102,$W$2,W19)=0,"",INDEX(I03_!$B$2:$U$102,$W$2,W19)),"")</f>
        <v/>
      </c>
      <c r="E19" s="971"/>
      <c r="F19" s="972"/>
      <c r="G19" s="161" t="str">
        <f>IFERROR(IF(INDEX(I03_!$V$2:$AO$8,$W$2,W19)=0,"",INDEX(I03_!$V$2:$AO$8,$W$2,W19)),"")</f>
        <v/>
      </c>
      <c r="H19" s="132"/>
      <c r="I19" s="805"/>
      <c r="J19" s="964"/>
      <c r="K19" s="976"/>
      <c r="L19" s="977"/>
      <c r="M19" s="978"/>
      <c r="N19" s="132"/>
      <c r="O19" s="132"/>
      <c r="P19" s="132"/>
      <c r="Q19" s="132"/>
      <c r="R19" s="132"/>
      <c r="S19" s="132"/>
      <c r="T19" s="132"/>
      <c r="U19" s="163"/>
      <c r="V19" s="195"/>
      <c r="W19" s="195">
        <v>15</v>
      </c>
      <c r="X19" s="195">
        <f t="shared" si="0"/>
        <v>0</v>
      </c>
      <c r="Y19" s="195" t="str">
        <f t="shared" si="1"/>
        <v/>
      </c>
      <c r="Z19" s="195" t="str">
        <f t="shared" si="2"/>
        <v/>
      </c>
      <c r="AA19" s="195">
        <f t="shared" si="5"/>
        <v>0</v>
      </c>
      <c r="AB19" s="195">
        <v>15</v>
      </c>
      <c r="AC19" s="195" t="str">
        <f t="shared" si="3"/>
        <v/>
      </c>
      <c r="AD19" s="195" t="str">
        <f t="shared" si="4"/>
        <v/>
      </c>
      <c r="AE19" s="195"/>
      <c r="AF19" s="195"/>
      <c r="AG19" s="195"/>
      <c r="AH19" s="195"/>
      <c r="AI19" s="195"/>
      <c r="AJ19" s="195"/>
      <c r="AK19" s="195">
        <v>15</v>
      </c>
      <c r="AL19" s="195" t="e">
        <f>INDEX(D04_Classes!$AF$3:$AY$14,SelectedClassID,C_Inventory!AK19)</f>
        <v>#N/A</v>
      </c>
      <c r="AM19" s="195"/>
      <c r="AN19" s="195">
        <v>15</v>
      </c>
      <c r="AO19" s="195" t="e">
        <f>INDEX(D04_Classes!$AZ$3:$BS$14,SelectedClassID,C_Inventory!AN19)</f>
        <v>#N/A</v>
      </c>
      <c r="AP19" s="195"/>
      <c r="AQ19" s="195">
        <v>15</v>
      </c>
      <c r="AR19" s="195" t="e">
        <f>IF(OR(SelectedClassID=5,SelectedClassID=7),AL18,0)</f>
        <v>#N/A</v>
      </c>
      <c r="AS19" s="195"/>
      <c r="AT19" s="195">
        <v>15</v>
      </c>
      <c r="AU19" s="195" t="e">
        <f>IF(OR(SelectedClassID=5,SelectedClassID=7),AO19,0)</f>
        <v>#N/A</v>
      </c>
      <c r="AV19" s="195"/>
      <c r="AW19" s="195"/>
      <c r="AX19" s="195"/>
      <c r="AY19" s="195"/>
      <c r="AZ19" s="195"/>
      <c r="BA19" s="195"/>
      <c r="BB19" s="195"/>
      <c r="BC19" s="196"/>
      <c r="BD19" s="196"/>
      <c r="BE19" s="196"/>
      <c r="BF19" s="196"/>
    </row>
    <row r="20" spans="1:58" ht="15.95" customHeight="1" x14ac:dyDescent="0.25">
      <c r="A20" s="132"/>
      <c r="B20" s="968" t="s">
        <v>3680</v>
      </c>
      <c r="C20" s="969"/>
      <c r="D20" s="970" t="str">
        <f>IFERROR(IF(INDEX(I03_!$B$2:$U$102,$W$2,W20)=0,"",INDEX(I03_!$B$2:$U$102,$W$2,W20)),"")</f>
        <v/>
      </c>
      <c r="E20" s="971"/>
      <c r="F20" s="972"/>
      <c r="G20" s="161" t="str">
        <f>IFERROR(IF(INDEX(I03_!$V$2:$AO$8,$W$2,W20)=0,"",INDEX(I03_!$V$2:$AO$8,$W$2,W20)),"")</f>
        <v/>
      </c>
      <c r="H20" s="132"/>
      <c r="I20" s="132"/>
      <c r="J20" s="132"/>
      <c r="K20" s="132"/>
      <c r="L20" s="132"/>
      <c r="M20" s="132"/>
      <c r="N20" s="132"/>
      <c r="O20" s="805" t="s">
        <v>3746</v>
      </c>
      <c r="P20" s="964"/>
      <c r="Q20" s="965" t="e">
        <f>IF(AZ9=1,INDEX(D04_Classes!BU3:BU102,SelectedClassID,1),"n/a")</f>
        <v>#N/A</v>
      </c>
      <c r="R20" s="966"/>
      <c r="S20" s="967"/>
      <c r="T20" s="132"/>
      <c r="U20" s="163"/>
      <c r="V20" s="195"/>
      <c r="W20" s="195">
        <v>16</v>
      </c>
      <c r="X20" s="195">
        <f t="shared" si="0"/>
        <v>0</v>
      </c>
      <c r="Y20" s="195" t="str">
        <f t="shared" si="1"/>
        <v/>
      </c>
      <c r="Z20" s="195" t="str">
        <f t="shared" si="2"/>
        <v/>
      </c>
      <c r="AA20" s="195">
        <f t="shared" si="5"/>
        <v>0</v>
      </c>
      <c r="AB20" s="195">
        <v>16</v>
      </c>
      <c r="AC20" s="195" t="str">
        <f t="shared" si="3"/>
        <v/>
      </c>
      <c r="AD20" s="195" t="str">
        <f t="shared" si="4"/>
        <v/>
      </c>
      <c r="AE20" s="195"/>
      <c r="AF20" s="195" t="s">
        <v>3741</v>
      </c>
      <c r="AG20" s="195">
        <f>COUNTIF(D5:F24,"Light crossbow")+COUNTIF(K5:M10,"Light crossbow")+COUNTIF(Q8,"Light crossbow")+COUNTIF(Q11,"Light crossbow")+COUNTIF(Q14,"Light crossbow")+COUNTIF(Q20,"Light crossbow")+COUNTIF(D26:F28,"Light crossbow")</f>
        <v>0</v>
      </c>
      <c r="AH20" s="195"/>
      <c r="AI20" s="195">
        <f>AG20*20</f>
        <v>0</v>
      </c>
      <c r="AJ20" s="195"/>
      <c r="AK20" s="195">
        <v>16</v>
      </c>
      <c r="AL20" s="195" t="e">
        <f>INDEX(D04_Classes!$AF$3:$AY$14,SelectedClassID,C_Inventory!AK20)</f>
        <v>#N/A</v>
      </c>
      <c r="AM20" s="195"/>
      <c r="AN20" s="195">
        <v>16</v>
      </c>
      <c r="AO20" s="195" t="e">
        <f>INDEX(D04_Classes!$AZ$3:$BS$14,SelectedClassID,C_Inventory!AN20)</f>
        <v>#N/A</v>
      </c>
      <c r="AP20" s="195"/>
      <c r="AQ20" s="195">
        <v>16</v>
      </c>
      <c r="AR20" s="195" t="e">
        <f>IF(OR(SelectedClassID=5,SelectedClassID=7),AL19,0)</f>
        <v>#N/A</v>
      </c>
      <c r="AS20" s="195"/>
      <c r="AT20" s="195">
        <v>16</v>
      </c>
      <c r="AU20" s="195" t="e">
        <f>IF(OR(SelectedClassID=5,SelectedClassID=7),AO20,0)</f>
        <v>#N/A</v>
      </c>
      <c r="AV20" s="195"/>
      <c r="AW20" s="195"/>
      <c r="AX20" s="195"/>
      <c r="AY20" s="195"/>
      <c r="AZ20" s="195"/>
      <c r="BA20" s="195"/>
      <c r="BB20" s="195"/>
      <c r="BC20" s="196"/>
      <c r="BD20" s="196"/>
      <c r="BE20" s="196"/>
      <c r="BF20" s="196"/>
    </row>
    <row r="21" spans="1:58" ht="15.95" customHeight="1" x14ac:dyDescent="0.25">
      <c r="A21" s="132"/>
      <c r="B21" s="968" t="s">
        <v>3682</v>
      </c>
      <c r="C21" s="969"/>
      <c r="D21" s="970" t="str">
        <f>IFERROR(IF(INDEX(I03_!$B$2:$U$102,$W$2,W21)=0,"",INDEX(I03_!$B$2:$U$102,$W$2,W21)),"")</f>
        <v/>
      </c>
      <c r="E21" s="971"/>
      <c r="F21" s="972"/>
      <c r="G21" s="161" t="str">
        <f>IFERROR(IF(INDEX(I03_!$V$2:$AO$8,$W$2,W21)=0,"",INDEX(I03_!$V$2:$AO$8,$W$2,W21)),"")</f>
        <v/>
      </c>
      <c r="H21" s="132"/>
      <c r="I21" s="132"/>
      <c r="J21" s="132"/>
      <c r="K21" s="132"/>
      <c r="L21" s="132"/>
      <c r="M21" s="132"/>
      <c r="N21" s="132"/>
      <c r="O21" s="805"/>
      <c r="P21" s="964"/>
      <c r="Q21" s="965"/>
      <c r="R21" s="966"/>
      <c r="S21" s="967"/>
      <c r="T21" s="132"/>
      <c r="U21" s="163"/>
      <c r="V21" s="195"/>
      <c r="W21" s="195">
        <v>17</v>
      </c>
      <c r="X21" s="195">
        <f t="shared" si="0"/>
        <v>0</v>
      </c>
      <c r="Y21" s="195" t="str">
        <f t="shared" si="1"/>
        <v/>
      </c>
      <c r="Z21" s="195" t="str">
        <f t="shared" si="2"/>
        <v/>
      </c>
      <c r="AA21" s="195">
        <f t="shared" si="5"/>
        <v>0</v>
      </c>
      <c r="AB21" s="195">
        <v>17</v>
      </c>
      <c r="AC21" s="195" t="str">
        <f t="shared" si="3"/>
        <v/>
      </c>
      <c r="AD21" s="195" t="str">
        <f t="shared" si="4"/>
        <v/>
      </c>
      <c r="AE21" s="195"/>
      <c r="AF21" s="195" t="s">
        <v>3742</v>
      </c>
      <c r="AG21" s="195">
        <f>COUNTIF(D5:F24,"Heavy crossbow")+COUNTIF(K5:M10,"Heavy crossbow")+COUNTIF(Q8,"Heavy crossbow")+COUNTIF(Q11,"Heavy crossbow")+COUNTIF(Q14,"Heavy crossbow")+COUNTIF(Q20,"Heavy crossbow")+COUNTIF(D26:F28,"Heavy crossbow")</f>
        <v>0</v>
      </c>
      <c r="AH21" s="195"/>
      <c r="AI21" s="195">
        <f>AG21*20</f>
        <v>0</v>
      </c>
      <c r="AJ21" s="195"/>
      <c r="AK21" s="195">
        <v>17</v>
      </c>
      <c r="AL21" s="195" t="e">
        <f>INDEX(D04_Classes!$AF$3:$AY$14,SelectedClassID,C_Inventory!AK21)</f>
        <v>#N/A</v>
      </c>
      <c r="AM21" s="195"/>
      <c r="AN21" s="195">
        <v>17</v>
      </c>
      <c r="AO21" s="195" t="e">
        <f>INDEX(D04_Classes!$AZ$3:$BS$14,SelectedClassID,C_Inventory!AN21)</f>
        <v>#N/A</v>
      </c>
      <c r="AP21" s="195"/>
      <c r="AQ21" s="195">
        <v>17</v>
      </c>
      <c r="AR21" s="195" t="e">
        <f>IF(OR(SelectedClassID=5,SelectedClassID=7),AL20,0)</f>
        <v>#N/A</v>
      </c>
      <c r="AS21" s="195"/>
      <c r="AT21" s="195">
        <v>17</v>
      </c>
      <c r="AU21" s="195" t="e">
        <f>IF(OR(SelectedClassID=5,SelectedClassID=7),AO21,0)</f>
        <v>#N/A</v>
      </c>
      <c r="AV21" s="195"/>
      <c r="AW21" s="195"/>
      <c r="AX21" s="195"/>
      <c r="AY21" s="195"/>
      <c r="AZ21" s="195"/>
      <c r="BA21" s="195"/>
      <c r="BB21" s="195"/>
      <c r="BC21" s="196"/>
      <c r="BD21" s="196"/>
      <c r="BE21" s="196"/>
      <c r="BF21" s="196"/>
    </row>
    <row r="22" spans="1:58" ht="15.95" customHeight="1" x14ac:dyDescent="0.25">
      <c r="A22" s="132"/>
      <c r="B22" s="968" t="s">
        <v>3684</v>
      </c>
      <c r="C22" s="969"/>
      <c r="D22" s="970" t="str">
        <f>IFERROR(IF(INDEX(I03_!$B$2:$U$102,$W$2,W22)=0,"",INDEX(I03_!$B$2:$U$102,$W$2,W22)),"")</f>
        <v/>
      </c>
      <c r="E22" s="971"/>
      <c r="F22" s="972"/>
      <c r="G22" s="161" t="str">
        <f>IFERROR(IF(INDEX(I03_!$V$2:$AO$8,$W$2,W22)=0,"",INDEX(I03_!$V$2:$AO$8,$W$2,W22)),"")</f>
        <v/>
      </c>
      <c r="H22" s="132"/>
      <c r="I22" s="132"/>
      <c r="J22" s="132"/>
      <c r="K22" s="132"/>
      <c r="L22" s="132"/>
      <c r="M22" s="132"/>
      <c r="N22" s="132"/>
      <c r="O22" s="132"/>
      <c r="P22" s="132"/>
      <c r="Q22" s="132"/>
      <c r="R22" s="132"/>
      <c r="S22" s="132"/>
      <c r="T22" s="132"/>
      <c r="U22" s="163"/>
      <c r="V22" s="195"/>
      <c r="W22" s="195">
        <v>18</v>
      </c>
      <c r="X22" s="195">
        <f t="shared" si="0"/>
        <v>0</v>
      </c>
      <c r="Y22" s="195" t="str">
        <f t="shared" si="1"/>
        <v/>
      </c>
      <c r="Z22" s="195" t="str">
        <f t="shared" si="2"/>
        <v/>
      </c>
      <c r="AA22" s="195">
        <f t="shared" si="5"/>
        <v>0</v>
      </c>
      <c r="AB22" s="195">
        <v>18</v>
      </c>
      <c r="AC22" s="195" t="str">
        <f t="shared" si="3"/>
        <v/>
      </c>
      <c r="AD22" s="195" t="str">
        <f t="shared" si="4"/>
        <v/>
      </c>
      <c r="AE22" s="195"/>
      <c r="AF22" s="195" t="s">
        <v>3743</v>
      </c>
      <c r="AG22" s="195">
        <f>COUNTIF(D5:F24,"Hand crossbow")+COUNTIF(K5:M10,"Hand crossbow")+COUNTIF(Q8,"Hand crossbow")+COUNTIF(Q11,"Hand crossbow")+COUNTIF(Q14,"Hand crossbow")+COUNTIF(Q20,"Hand crossbow")+COUNTIF(D26:F28,"Hand crossbow")</f>
        <v>0</v>
      </c>
      <c r="AH22" s="195"/>
      <c r="AI22" s="195">
        <f>AG22*20</f>
        <v>0</v>
      </c>
      <c r="AJ22" s="195"/>
      <c r="AK22" s="195">
        <v>18</v>
      </c>
      <c r="AL22" s="195" t="e">
        <f>INDEX(D04_Classes!$AF$3:$AY$14,SelectedClassID,C_Inventory!AK22)</f>
        <v>#N/A</v>
      </c>
      <c r="AM22" s="195"/>
      <c r="AN22" s="195">
        <v>18</v>
      </c>
      <c r="AO22" s="195" t="e">
        <f>INDEX(D04_Classes!$AZ$3:$BS$14,SelectedClassID,C_Inventory!AN22)</f>
        <v>#N/A</v>
      </c>
      <c r="AP22" s="195"/>
      <c r="AQ22" s="195">
        <v>18</v>
      </c>
      <c r="AR22" s="195" t="e">
        <f>IF(OR(SelectedClassID=5,SelectedClassID=7),AL21,0)</f>
        <v>#N/A</v>
      </c>
      <c r="AS22" s="195"/>
      <c r="AT22" s="195">
        <v>18</v>
      </c>
      <c r="AU22" s="195" t="e">
        <f>IF(OR(SelectedClassID=5,SelectedClassID=7),AO22,0)</f>
        <v>#N/A</v>
      </c>
      <c r="AV22" s="195"/>
      <c r="AW22" s="195"/>
      <c r="AX22" s="195"/>
      <c r="AY22" s="195"/>
      <c r="AZ22" s="195"/>
      <c r="BA22" s="195"/>
      <c r="BB22" s="195"/>
      <c r="BC22" s="196"/>
      <c r="BD22" s="196"/>
      <c r="BE22" s="196"/>
      <c r="BF22" s="196"/>
    </row>
    <row r="23" spans="1:58" ht="15.95" customHeight="1" x14ac:dyDescent="0.25">
      <c r="A23" s="132"/>
      <c r="B23" s="968" t="s">
        <v>3686</v>
      </c>
      <c r="C23" s="969"/>
      <c r="D23" s="970" t="str">
        <f>IFERROR(IF(INDEX(I03_!$B$2:$U$102,$W$2,W23)=0,"",INDEX(I03_!$B$2:$U$102,$W$2,W23)),"")</f>
        <v/>
      </c>
      <c r="E23" s="971"/>
      <c r="F23" s="972"/>
      <c r="G23" s="161" t="str">
        <f>IFERROR(IF(INDEX(I03_!$V$2:$AO$8,$W$2,W23)=0,"",INDEX(I03_!$V$2:$AO$8,$W$2,W23)),"")</f>
        <v/>
      </c>
      <c r="H23" s="132"/>
      <c r="I23" s="805" t="s">
        <v>3572</v>
      </c>
      <c r="J23" s="964"/>
      <c r="K23" s="805" t="e">
        <f>IF(INDEX(D04_Classes!$Y$3:$Y$102,SelectedClassID,1)=0,"",INDEX(D04_Classes!$Y$3:$Y$102,SelectedClassID,1))</f>
        <v>#N/A</v>
      </c>
      <c r="L23" s="964"/>
      <c r="M23" s="974"/>
      <c r="N23" s="908"/>
      <c r="O23" s="975"/>
      <c r="P23" s="132"/>
      <c r="Q23" s="132"/>
      <c r="R23" s="132"/>
      <c r="S23" s="132"/>
      <c r="T23" s="132"/>
      <c r="U23" s="163"/>
      <c r="V23" s="195"/>
      <c r="W23" s="195">
        <v>19</v>
      </c>
      <c r="X23" s="195">
        <f t="shared" si="0"/>
        <v>0</v>
      </c>
      <c r="Y23" s="195" t="str">
        <f t="shared" si="1"/>
        <v/>
      </c>
      <c r="Z23" s="195" t="str">
        <f t="shared" si="2"/>
        <v/>
      </c>
      <c r="AA23" s="195">
        <f t="shared" si="5"/>
        <v>0</v>
      </c>
      <c r="AB23" s="195">
        <v>19</v>
      </c>
      <c r="AC23" s="195" t="str">
        <f t="shared" si="3"/>
        <v/>
      </c>
      <c r="AD23" s="195" t="str">
        <f t="shared" si="4"/>
        <v/>
      </c>
      <c r="AE23" s="195"/>
      <c r="AF23" s="195"/>
      <c r="AG23" s="195"/>
      <c r="AH23" s="195"/>
      <c r="AI23" s="195"/>
      <c r="AJ23" s="195"/>
      <c r="AK23" s="195">
        <v>19</v>
      </c>
      <c r="AL23" s="195" t="e">
        <f>INDEX(D04_Classes!$AF$3:$AY$14,SelectedClassID,C_Inventory!AK23)</f>
        <v>#N/A</v>
      </c>
      <c r="AM23" s="195"/>
      <c r="AN23" s="195">
        <v>19</v>
      </c>
      <c r="AO23" s="195" t="e">
        <f>INDEX(D04_Classes!$AZ$3:$BS$14,SelectedClassID,C_Inventory!AN23)</f>
        <v>#N/A</v>
      </c>
      <c r="AP23" s="195"/>
      <c r="AQ23" s="195">
        <v>19</v>
      </c>
      <c r="AR23" s="195" t="e">
        <f>IF(OR(SelectedClassID=5,SelectedClassID=7),AL22,0)</f>
        <v>#N/A</v>
      </c>
      <c r="AS23" s="195"/>
      <c r="AT23" s="195">
        <v>19</v>
      </c>
      <c r="AU23" s="195" t="e">
        <f>IF(OR(SelectedClassID=5,SelectedClassID=7),AO23,0)</f>
        <v>#N/A</v>
      </c>
      <c r="AV23" s="195"/>
      <c r="AW23" s="195"/>
      <c r="AX23" s="195"/>
      <c r="AY23" s="195"/>
      <c r="AZ23" s="195"/>
      <c r="BA23" s="195"/>
      <c r="BB23" s="195"/>
      <c r="BC23" s="196"/>
      <c r="BD23" s="196"/>
      <c r="BE23" s="196"/>
      <c r="BF23" s="196"/>
    </row>
    <row r="24" spans="1:58" ht="15.95" customHeight="1" x14ac:dyDescent="0.25">
      <c r="A24" s="132"/>
      <c r="B24" s="968" t="s">
        <v>3688</v>
      </c>
      <c r="C24" s="969"/>
      <c r="D24" s="970" t="str">
        <f>IFERROR(IF(INDEX(I03_!$B$2:$U$102,$W$2,W24)=0,"",INDEX(I03_!$B$2:$U$102,$W$2,W24)),"")</f>
        <v/>
      </c>
      <c r="E24" s="971"/>
      <c r="F24" s="972"/>
      <c r="G24" s="161" t="str">
        <f>IFERROR(IF(INDEX(I03_!$V$2:$AO$8,$W$2,W24)=0,"",INDEX(I03_!$V$2:$AO$8,$W$2,W24)),"")</f>
        <v/>
      </c>
      <c r="H24" s="132"/>
      <c r="I24" s="805"/>
      <c r="J24" s="964"/>
      <c r="K24" s="805"/>
      <c r="L24" s="964"/>
      <c r="M24" s="974"/>
      <c r="N24" s="908"/>
      <c r="O24" s="975"/>
      <c r="P24" s="132"/>
      <c r="Q24" s="132"/>
      <c r="R24" s="132"/>
      <c r="S24" s="132"/>
      <c r="T24" s="132"/>
      <c r="U24" s="163"/>
      <c r="V24" s="195"/>
      <c r="W24" s="195">
        <v>20</v>
      </c>
      <c r="X24" s="195">
        <f t="shared" si="0"/>
        <v>0</v>
      </c>
      <c r="Y24" s="195" t="str">
        <f t="shared" si="1"/>
        <v/>
      </c>
      <c r="Z24" s="195" t="str">
        <f t="shared" si="2"/>
        <v/>
      </c>
      <c r="AA24" s="195">
        <f t="shared" si="5"/>
        <v>0</v>
      </c>
      <c r="AB24" s="195">
        <v>20</v>
      </c>
      <c r="AC24" s="195" t="str">
        <f t="shared" si="3"/>
        <v/>
      </c>
      <c r="AD24" s="195" t="str">
        <f t="shared" si="4"/>
        <v/>
      </c>
      <c r="AE24" s="195"/>
      <c r="AF24" s="195" t="s">
        <v>3737</v>
      </c>
      <c r="AG24" s="195">
        <f>COUNTIF(D5:F24,"Javelin")+COUNTIF(K5:M10,"Javelin")+COUNTIF(Q8,"Javelin")+COUNTIF(Q11,"Javelin")+COUNTIF(Q14,"Javelin")+COUNTIF(Q20,"Javelin")+COUNTIF(D26:F28,"Javelin")</f>
        <v>0</v>
      </c>
      <c r="AH24" s="195"/>
      <c r="AI24" s="195"/>
      <c r="AJ24" s="195">
        <f>AG24*5</f>
        <v>0</v>
      </c>
      <c r="AK24" s="195">
        <v>20</v>
      </c>
      <c r="AL24" s="195" t="e">
        <f>INDEX(D04_Classes!$AF$3:$AY$14,SelectedClassID,C_Inventory!AK24)</f>
        <v>#N/A</v>
      </c>
      <c r="AM24" s="195"/>
      <c r="AN24" s="195">
        <v>20</v>
      </c>
      <c r="AO24" s="195" t="e">
        <f>INDEX(D04_Classes!$AZ$3:$BS$14,SelectedClassID,C_Inventory!AN24)</f>
        <v>#N/A</v>
      </c>
      <c r="AP24" s="195"/>
      <c r="AQ24" s="195">
        <v>20</v>
      </c>
      <c r="AR24" s="195" t="e">
        <f>IF(OR(SelectedClassID=5,SelectedClassID=7),AL23,0)</f>
        <v>#N/A</v>
      </c>
      <c r="AS24" s="195"/>
      <c r="AT24" s="195">
        <v>20</v>
      </c>
      <c r="AU24" s="195" t="e">
        <f>IF(OR(SelectedClassID=5,SelectedClassID=7),AO24,0)</f>
        <v>#N/A</v>
      </c>
      <c r="AV24" s="195"/>
      <c r="AW24" s="195"/>
      <c r="AX24" s="195"/>
      <c r="AY24" s="195"/>
      <c r="AZ24" s="195"/>
      <c r="BA24" s="195"/>
      <c r="BB24" s="195"/>
      <c r="BC24" s="196"/>
      <c r="BD24" s="196"/>
      <c r="BE24" s="196"/>
      <c r="BF24" s="196"/>
    </row>
    <row r="25" spans="1:58" ht="15.95" customHeight="1" x14ac:dyDescent="0.25">
      <c r="A25" s="132"/>
      <c r="B25" s="132"/>
      <c r="C25" s="132"/>
      <c r="D25" s="132"/>
      <c r="E25" s="132"/>
      <c r="F25" s="132"/>
      <c r="G25" s="132"/>
      <c r="H25" s="132"/>
      <c r="I25" s="805" t="s">
        <v>3573</v>
      </c>
      <c r="J25" s="964"/>
      <c r="K25" s="805"/>
      <c r="L25" s="964"/>
      <c r="M25" s="974"/>
      <c r="N25" s="908"/>
      <c r="O25" s="975"/>
      <c r="P25" s="132"/>
      <c r="Q25" s="132"/>
      <c r="R25" s="132"/>
      <c r="S25" s="132"/>
      <c r="T25" s="132"/>
      <c r="U25" s="163"/>
      <c r="V25" s="195"/>
      <c r="W25" s="195">
        <v>21</v>
      </c>
      <c r="X25" s="195">
        <f t="shared" ref="X25:X30" si="6">IF(K5="",0,1)</f>
        <v>1</v>
      </c>
      <c r="Y25" s="195" t="str">
        <f t="shared" ref="Y25:Y30" si="7">K5</f>
        <v>crowbar</v>
      </c>
      <c r="Z25" s="195">
        <v>1</v>
      </c>
      <c r="AA25" s="195">
        <f>IF(Y25="",0,MAX(AA5:AA24)+1)</f>
        <v>1</v>
      </c>
      <c r="AB25" s="195">
        <v>21</v>
      </c>
      <c r="AC25" s="195" t="str">
        <f t="shared" si="3"/>
        <v/>
      </c>
      <c r="AD25" s="195" t="str">
        <f t="shared" si="4"/>
        <v/>
      </c>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6"/>
      <c r="BD25" s="196"/>
      <c r="BE25" s="196"/>
      <c r="BF25" s="196"/>
    </row>
    <row r="26" spans="1:58" ht="15.95" customHeight="1" x14ac:dyDescent="0.25">
      <c r="A26" s="132"/>
      <c r="B26" s="968" t="s">
        <v>3540</v>
      </c>
      <c r="C26" s="969"/>
      <c r="D26" s="970" t="str">
        <f>IFERROR(IF(INDEX(D04_Classes!$Z$3:$Z$102,SelectedClassID,1)=0,"",INDEX(D04_Classes!$Z$3:$Z$102,SelectedClassID,1)),"")</f>
        <v/>
      </c>
      <c r="E26" s="971"/>
      <c r="F26" s="972"/>
      <c r="G26" s="161" t="str">
        <f>IFERROR(IF(INDEX(D04_Classes!$AA$3:$AA$102,SelectedClassID,1)=0,"",INDEX(D04_Classes!$AA$3:$AA$102,SelectedClassID,1)),"")</f>
        <v/>
      </c>
      <c r="H26" s="132"/>
      <c r="I26" s="805"/>
      <c r="J26" s="964"/>
      <c r="K26" s="805"/>
      <c r="L26" s="964"/>
      <c r="M26" s="974"/>
      <c r="N26" s="908"/>
      <c r="O26" s="975"/>
      <c r="P26" s="132"/>
      <c r="Q26" s="132"/>
      <c r="R26" s="132"/>
      <c r="S26" s="132"/>
      <c r="T26" s="132"/>
      <c r="U26" s="163"/>
      <c r="V26" s="195"/>
      <c r="W26" s="195">
        <v>22</v>
      </c>
      <c r="X26" s="195">
        <f t="shared" si="6"/>
        <v>1</v>
      </c>
      <c r="Y26" s="195" t="str">
        <f t="shared" si="7"/>
        <v>belt pouch</v>
      </c>
      <c r="Z26" s="195">
        <v>1</v>
      </c>
      <c r="AA26" s="195">
        <f>IF(Y26="",0,AA25+X26)</f>
        <v>2</v>
      </c>
      <c r="AB26" s="195">
        <v>22</v>
      </c>
      <c r="AC26" s="195" t="str">
        <f t="shared" si="3"/>
        <v/>
      </c>
      <c r="AD26" s="195" t="str">
        <f t="shared" si="4"/>
        <v/>
      </c>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c r="BB26" s="195"/>
      <c r="BC26" s="196"/>
      <c r="BD26" s="196"/>
      <c r="BE26" s="196"/>
      <c r="BF26" s="196"/>
    </row>
    <row r="27" spans="1:58" ht="15.95" customHeight="1" x14ac:dyDescent="0.25">
      <c r="A27" s="132"/>
      <c r="B27" s="968" t="s">
        <v>3541</v>
      </c>
      <c r="C27" s="969"/>
      <c r="D27" s="970" t="str">
        <f>IFERROR(IF(INDEX(D04_Classes!$AB$3:$AB$102,SelectedClassID,1)=0,"",INDEX(D04_Classes!$AB$3:$AB$102,SelectedClassID,1)),"")</f>
        <v/>
      </c>
      <c r="E27" s="971"/>
      <c r="F27" s="972"/>
      <c r="G27" s="161" t="str">
        <f>IFERROR(IF(INDEX(D04_Classes!$AC$3:$AC$102,SelectedClassID,1)=0,"",INDEX(D04_Classes!$AC$3:$AC$102,SelectedClassID,1)),"")</f>
        <v/>
      </c>
      <c r="H27" s="132"/>
      <c r="I27" s="132"/>
      <c r="J27" s="132"/>
      <c r="K27" s="132"/>
      <c r="L27" s="132"/>
      <c r="M27" s="132"/>
      <c r="N27" s="132"/>
      <c r="O27" s="132"/>
      <c r="P27" s="132"/>
      <c r="Q27" s="132"/>
      <c r="R27" s="132"/>
      <c r="S27" s="132"/>
      <c r="T27" s="132"/>
      <c r="U27" s="163"/>
      <c r="V27" s="195"/>
      <c r="W27" s="195">
        <v>23</v>
      </c>
      <c r="X27" s="195">
        <f t="shared" si="6"/>
        <v>0</v>
      </c>
      <c r="Y27" s="195" t="str">
        <f t="shared" si="7"/>
        <v/>
      </c>
      <c r="Z27" s="195">
        <v>1</v>
      </c>
      <c r="AA27" s="195">
        <f>IF(Y27="",0,AA26+X27)</f>
        <v>0</v>
      </c>
      <c r="AB27" s="195">
        <v>23</v>
      </c>
      <c r="AC27" s="195" t="str">
        <f t="shared" si="3"/>
        <v/>
      </c>
      <c r="AD27" s="195" t="str">
        <f t="shared" si="4"/>
        <v/>
      </c>
      <c r="AE27" s="195"/>
      <c r="AF27" s="195"/>
      <c r="AG27" s="195"/>
      <c r="AH27" s="195"/>
      <c r="AI27" s="195"/>
      <c r="AJ27" s="195"/>
      <c r="AK27" s="195"/>
      <c r="AL27" s="195"/>
      <c r="AM27" s="195"/>
      <c r="AN27" s="195"/>
      <c r="AO27" s="195"/>
      <c r="AP27" s="195"/>
      <c r="AQ27" s="195"/>
      <c r="AR27" s="195"/>
      <c r="AS27" s="195"/>
      <c r="AT27" s="195"/>
      <c r="AU27" s="195"/>
      <c r="AV27" s="195"/>
      <c r="AW27" s="195"/>
      <c r="AX27" s="195"/>
      <c r="AY27" s="195"/>
      <c r="AZ27" s="195"/>
      <c r="BA27" s="195"/>
      <c r="BB27" s="195"/>
      <c r="BC27" s="196"/>
      <c r="BD27" s="196"/>
      <c r="BE27" s="196"/>
      <c r="BF27" s="196"/>
    </row>
    <row r="28" spans="1:58" ht="15.95" customHeight="1" x14ac:dyDescent="0.25">
      <c r="A28" s="132"/>
      <c r="B28" s="968" t="s">
        <v>3542</v>
      </c>
      <c r="C28" s="969"/>
      <c r="D28" s="970" t="str">
        <f>IFERROR(IF(INDEX(D04_Classes!$AD$3:$AD$102,SelectedClassID,1)=0,"",INDEX(D04_Classes!$AD$3:$AD$102,SelectedClassID,1)),"")</f>
        <v/>
      </c>
      <c r="E28" s="971"/>
      <c r="F28" s="972"/>
      <c r="G28" s="161" t="str">
        <f>IFERROR(IF(INDEX(D04_Classes!$AE$3:$AE$102,SelectedClassID,1)=0,"",INDEX(D04_Classes!$AE$3:$AE$102,SelectedClassID,1)),"")</f>
        <v/>
      </c>
      <c r="H28" s="132"/>
      <c r="I28" s="805" t="s">
        <v>3556</v>
      </c>
      <c r="J28" s="964"/>
      <c r="K28" s="976">
        <f>INDEX(D02_Background!CM2:CM101,SelectedBackgroundId,1)</f>
        <v>15</v>
      </c>
      <c r="L28" s="977"/>
      <c r="M28" s="978"/>
      <c r="N28" s="132"/>
      <c r="O28" s="132"/>
      <c r="P28" s="132"/>
      <c r="Q28" s="132"/>
      <c r="R28" s="132"/>
      <c r="S28" s="132"/>
      <c r="T28" s="132"/>
      <c r="U28" s="163"/>
      <c r="V28" s="195"/>
      <c r="W28" s="195">
        <v>24</v>
      </c>
      <c r="X28" s="195">
        <f t="shared" si="6"/>
        <v>0</v>
      </c>
      <c r="Y28" s="195" t="str">
        <f t="shared" si="7"/>
        <v/>
      </c>
      <c r="Z28" s="195">
        <v>1</v>
      </c>
      <c r="AA28" s="195">
        <f>IF(Y28="",0,AA27+X28)</f>
        <v>0</v>
      </c>
      <c r="AB28" s="195">
        <v>24</v>
      </c>
      <c r="AC28" s="195" t="str">
        <f t="shared" si="3"/>
        <v/>
      </c>
      <c r="AD28" s="195" t="str">
        <f t="shared" si="4"/>
        <v/>
      </c>
      <c r="AE28" s="195"/>
      <c r="AF28" s="195"/>
      <c r="AG28" s="195"/>
      <c r="AH28" s="195"/>
      <c r="AI28" s="195"/>
      <c r="AJ28" s="195"/>
      <c r="AK28" s="195"/>
      <c r="AL28" s="195"/>
      <c r="AM28" s="195"/>
      <c r="AN28" s="195"/>
      <c r="AO28" s="195"/>
      <c r="AP28" s="195"/>
      <c r="AQ28" s="195"/>
      <c r="AR28" s="195"/>
      <c r="AS28" s="195"/>
      <c r="AT28" s="195"/>
      <c r="AU28" s="195"/>
      <c r="AV28" s="195"/>
      <c r="AW28" s="195"/>
      <c r="AX28" s="195"/>
      <c r="AY28" s="195"/>
      <c r="AZ28" s="195"/>
      <c r="BA28" s="195"/>
      <c r="BB28" s="195"/>
      <c r="BC28" s="196"/>
      <c r="BD28" s="196"/>
      <c r="BE28" s="196"/>
      <c r="BF28" s="196"/>
    </row>
    <row r="29" spans="1:58" ht="15.95" customHeight="1" x14ac:dyDescent="0.25">
      <c r="A29" s="132"/>
      <c r="B29" s="132"/>
      <c r="C29" s="132"/>
      <c r="D29" s="132"/>
      <c r="E29" s="132"/>
      <c r="F29" s="132"/>
      <c r="G29" s="132"/>
      <c r="H29" s="132"/>
      <c r="I29" s="805"/>
      <c r="J29" s="964"/>
      <c r="K29" s="976"/>
      <c r="L29" s="977"/>
      <c r="M29" s="978"/>
      <c r="N29" s="132"/>
      <c r="O29" s="132"/>
      <c r="P29" s="132"/>
      <c r="Q29" s="132"/>
      <c r="R29" s="132"/>
      <c r="S29" s="132"/>
      <c r="T29" s="132"/>
      <c r="U29" s="163"/>
      <c r="V29" s="195"/>
      <c r="W29" s="195">
        <v>25</v>
      </c>
      <c r="X29" s="195">
        <f t="shared" si="6"/>
        <v>0</v>
      </c>
      <c r="Y29" s="195" t="str">
        <f t="shared" si="7"/>
        <v/>
      </c>
      <c r="Z29" s="195">
        <v>1</v>
      </c>
      <c r="AA29" s="195">
        <f>IF(Y29="",0,AA28+X29)</f>
        <v>0</v>
      </c>
      <c r="AB29" s="195">
        <v>25</v>
      </c>
      <c r="AC29" s="195" t="str">
        <f t="shared" si="3"/>
        <v/>
      </c>
      <c r="AD29" s="195" t="str">
        <f t="shared" si="4"/>
        <v/>
      </c>
      <c r="AE29" s="195"/>
      <c r="AF29" s="195" t="s">
        <v>3572</v>
      </c>
      <c r="AG29" s="195" t="e">
        <f>MATCH(K23,I03_!$A$105:$A$110,0)</f>
        <v>#N/A</v>
      </c>
      <c r="AH29" s="195"/>
      <c r="AI29" s="195"/>
      <c r="AJ29" s="195"/>
      <c r="AK29" s="195"/>
      <c r="AL29" s="195"/>
      <c r="AM29" s="195"/>
      <c r="AN29" s="195"/>
      <c r="AO29" s="195"/>
      <c r="AP29" s="195"/>
      <c r="AQ29" s="195"/>
      <c r="AR29" s="195"/>
      <c r="AS29" s="195"/>
      <c r="AT29" s="195"/>
      <c r="AU29" s="195"/>
      <c r="AV29" s="195"/>
      <c r="AW29" s="195"/>
      <c r="AX29" s="195"/>
      <c r="AY29" s="195"/>
      <c r="AZ29" s="195"/>
      <c r="BA29" s="195"/>
      <c r="BB29" s="195"/>
      <c r="BC29" s="196"/>
      <c r="BD29" s="196"/>
      <c r="BE29" s="196"/>
      <c r="BF29" s="196"/>
    </row>
    <row r="30" spans="1:58" ht="15.95" customHeight="1" x14ac:dyDescent="0.25">
      <c r="A30" s="132"/>
      <c r="B30" s="132"/>
      <c r="C30" s="132"/>
      <c r="D30" s="132"/>
      <c r="E30" s="132"/>
      <c r="F30" s="132"/>
      <c r="G30" s="132"/>
      <c r="H30" s="132"/>
      <c r="I30" s="132"/>
      <c r="J30" s="132"/>
      <c r="K30" s="132"/>
      <c r="L30" s="132"/>
      <c r="M30" s="132"/>
      <c r="N30" s="132"/>
      <c r="O30" s="132"/>
      <c r="P30" s="132"/>
      <c r="Q30" s="132"/>
      <c r="R30" s="132"/>
      <c r="S30" s="132"/>
      <c r="T30" s="132"/>
      <c r="U30" s="163"/>
      <c r="V30" s="195"/>
      <c r="W30" s="195">
        <v>26</v>
      </c>
      <c r="X30" s="195">
        <f t="shared" si="6"/>
        <v>0</v>
      </c>
      <c r="Y30" s="195" t="str">
        <f t="shared" si="7"/>
        <v/>
      </c>
      <c r="Z30" s="195">
        <v>1</v>
      </c>
      <c r="AA30" s="195">
        <f>IF(Y30="",0,AA29+X30)</f>
        <v>0</v>
      </c>
      <c r="AB30" s="195">
        <v>26</v>
      </c>
      <c r="AC30" s="195" t="str">
        <f t="shared" si="3"/>
        <v/>
      </c>
      <c r="AD30" s="195" t="str">
        <f t="shared" si="4"/>
        <v/>
      </c>
      <c r="AE30" s="195"/>
      <c r="AF30" s="195"/>
      <c r="AG30" s="195"/>
      <c r="AH30" s="195"/>
      <c r="AI30" s="195"/>
      <c r="AJ30" s="195"/>
      <c r="AK30" s="195"/>
      <c r="AL30" s="195"/>
      <c r="AM30" s="195"/>
      <c r="AN30" s="195"/>
      <c r="AO30" s="195"/>
      <c r="AP30" s="195"/>
      <c r="AQ30" s="195"/>
      <c r="AR30" s="195"/>
      <c r="AS30" s="195"/>
      <c r="AT30" s="195"/>
      <c r="AU30" s="195"/>
      <c r="AV30" s="195"/>
      <c r="AW30" s="195"/>
      <c r="AX30" s="195"/>
      <c r="AY30" s="195"/>
      <c r="AZ30" s="195"/>
      <c r="BA30" s="195"/>
      <c r="BB30" s="195"/>
      <c r="BC30" s="196"/>
      <c r="BD30" s="196"/>
      <c r="BE30" s="196"/>
      <c r="BF30" s="196"/>
    </row>
    <row r="31" spans="1:58" ht="15.95" customHeight="1" x14ac:dyDescent="0.25">
      <c r="A31" s="132"/>
      <c r="B31" s="132"/>
      <c r="C31" s="132"/>
      <c r="D31" s="132"/>
      <c r="E31" s="132"/>
      <c r="F31" s="132"/>
      <c r="G31" s="132"/>
      <c r="H31" s="132"/>
      <c r="I31" s="132"/>
      <c r="J31" s="132"/>
      <c r="K31" s="132"/>
      <c r="L31" s="132"/>
      <c r="M31" s="132"/>
      <c r="N31" s="132"/>
      <c r="O31" s="132"/>
      <c r="P31" s="132"/>
      <c r="Q31" s="132"/>
      <c r="R31" s="132"/>
      <c r="S31" s="132"/>
      <c r="T31" s="132"/>
      <c r="U31" s="163"/>
      <c r="V31" s="195"/>
      <c r="W31" s="195">
        <v>27</v>
      </c>
      <c r="X31" s="195"/>
      <c r="Y31" s="195" t="str">
        <f>K2</f>
        <v>dark common clothes with hood</v>
      </c>
      <c r="Z31" s="195">
        <v>1</v>
      </c>
      <c r="AA31" s="195">
        <f>MAX(AA25:AA30)+1</f>
        <v>3</v>
      </c>
      <c r="AB31" s="195">
        <v>27</v>
      </c>
      <c r="AC31" s="195" t="str">
        <f t="shared" si="3"/>
        <v/>
      </c>
      <c r="AD31" s="195" t="str">
        <f t="shared" si="4"/>
        <v/>
      </c>
      <c r="AE31" s="195"/>
      <c r="AF31" s="199" t="e">
        <f>IF($K$23="","",1)</f>
        <v>#N/A</v>
      </c>
      <c r="AG31" s="199" t="e">
        <f>INDEX(I03_!$B$105:$U$110,C_Inventory!$AG$29,C_Inventory!$AF31)</f>
        <v>#N/A</v>
      </c>
      <c r="AH31" s="195"/>
      <c r="AI31" s="195"/>
      <c r="AJ31" s="195"/>
      <c r="AK31" s="195"/>
      <c r="AL31" s="195"/>
      <c r="AM31" s="195"/>
      <c r="AN31" s="195"/>
      <c r="AO31" s="195"/>
      <c r="AP31" s="195"/>
      <c r="AQ31" s="195"/>
      <c r="AR31" s="195"/>
      <c r="AS31" s="195"/>
      <c r="AT31" s="195"/>
      <c r="AU31" s="195"/>
      <c r="AV31" s="195"/>
      <c r="AW31" s="195"/>
      <c r="AX31" s="195"/>
      <c r="AY31" s="195"/>
      <c r="AZ31" s="195"/>
      <c r="BA31" s="195"/>
      <c r="BB31" s="195"/>
      <c r="BC31" s="196"/>
      <c r="BD31" s="196"/>
      <c r="BE31" s="196"/>
      <c r="BF31" s="196"/>
    </row>
    <row r="32" spans="1:58" ht="15.95" customHeight="1" x14ac:dyDescent="0.25">
      <c r="A32" s="132"/>
      <c r="B32" s="132"/>
      <c r="C32" s="132"/>
      <c r="D32" s="132"/>
      <c r="E32" s="132"/>
      <c r="F32" s="132"/>
      <c r="G32" s="132"/>
      <c r="H32" s="132"/>
      <c r="I32" s="132"/>
      <c r="J32" s="132"/>
      <c r="K32" s="132"/>
      <c r="L32" s="132"/>
      <c r="M32" s="132"/>
      <c r="N32" s="132"/>
      <c r="O32" s="132"/>
      <c r="P32" s="132"/>
      <c r="Q32" s="132"/>
      <c r="R32" s="132"/>
      <c r="S32" s="132"/>
      <c r="T32" s="132"/>
      <c r="U32" s="163"/>
      <c r="V32" s="195"/>
      <c r="W32" s="195">
        <v>28</v>
      </c>
      <c r="X32" s="195" t="s">
        <v>3747</v>
      </c>
      <c r="Y32" s="195">
        <f>Q5</f>
        <v>0</v>
      </c>
      <c r="Z32" s="195">
        <v>1</v>
      </c>
      <c r="AA32" s="195">
        <f>IF(Y32="n/a",0,$AA$31+1)</f>
        <v>4</v>
      </c>
      <c r="AB32" s="195">
        <v>28</v>
      </c>
      <c r="AC32" s="195" t="str">
        <f t="shared" si="3"/>
        <v/>
      </c>
      <c r="AD32" s="195" t="str">
        <f t="shared" si="4"/>
        <v/>
      </c>
      <c r="AE32" s="195"/>
      <c r="AF32" s="199" t="e">
        <f>IF($K$23="","",2)</f>
        <v>#N/A</v>
      </c>
      <c r="AG32" s="199" t="e">
        <f>INDEX(I03_!$B$105:$U$110,C_Inventory!$AG$29,C_Inventory!$AF32)</f>
        <v>#N/A</v>
      </c>
      <c r="AH32" s="195"/>
      <c r="AI32" s="195"/>
      <c r="AJ32" s="195"/>
      <c r="AK32" s="195"/>
      <c r="AL32" s="195"/>
      <c r="AM32" s="195"/>
      <c r="AN32" s="195"/>
      <c r="AO32" s="195"/>
      <c r="AP32" s="195"/>
      <c r="AQ32" s="195"/>
      <c r="AR32" s="195"/>
      <c r="AS32" s="195"/>
      <c r="AT32" s="195"/>
      <c r="AU32" s="195"/>
      <c r="AV32" s="195"/>
      <c r="AW32" s="195"/>
      <c r="AX32" s="195"/>
      <c r="AY32" s="195"/>
      <c r="AZ32" s="195"/>
      <c r="BA32" s="195"/>
      <c r="BB32" s="195"/>
      <c r="BC32" s="196"/>
      <c r="BD32" s="196"/>
      <c r="BE32" s="196"/>
      <c r="BF32" s="196"/>
    </row>
    <row r="33" spans="1:58" ht="15.95" customHeight="1" x14ac:dyDescent="0.25">
      <c r="A33" s="132"/>
      <c r="B33" s="132"/>
      <c r="C33" s="132"/>
      <c r="D33" s="132"/>
      <c r="E33" s="132"/>
      <c r="F33" s="132"/>
      <c r="G33" s="132"/>
      <c r="H33" s="132"/>
      <c r="I33" s="132"/>
      <c r="J33" s="132"/>
      <c r="K33" s="132"/>
      <c r="L33" s="132"/>
      <c r="M33" s="132"/>
      <c r="N33" s="132"/>
      <c r="O33" s="132"/>
      <c r="P33" s="132"/>
      <c r="Q33" s="132"/>
      <c r="R33" s="132"/>
      <c r="S33" s="132"/>
      <c r="T33" s="132"/>
      <c r="U33" s="163"/>
      <c r="V33" s="195"/>
      <c r="W33" s="195">
        <v>29</v>
      </c>
      <c r="X33" s="195" t="s">
        <v>3748</v>
      </c>
      <c r="Y33" s="195">
        <f>Q8</f>
        <v>0</v>
      </c>
      <c r="Z33" s="195">
        <v>1</v>
      </c>
      <c r="AA33" s="195">
        <f>IF(OR(Y33="n/a",Y33="javelin"),0,$AA$31+COUNTIF($AA$32:AA32,"&gt;0")+1)</f>
        <v>5</v>
      </c>
      <c r="AB33" s="195">
        <v>29</v>
      </c>
      <c r="AC33" s="195" t="str">
        <f t="shared" si="3"/>
        <v/>
      </c>
      <c r="AD33" s="195" t="str">
        <f t="shared" si="4"/>
        <v/>
      </c>
      <c r="AE33" s="195"/>
      <c r="AF33" s="199" t="e">
        <f>IF($K$23="","",3)</f>
        <v>#N/A</v>
      </c>
      <c r="AG33" s="199" t="e">
        <f>INDEX(I03_!$B$105:$U$110,C_Inventory!$AG$29,C_Inventory!$AF33)</f>
        <v>#N/A</v>
      </c>
      <c r="AH33" s="195"/>
      <c r="AI33" s="195"/>
      <c r="AJ33" s="195"/>
      <c r="AK33" s="195"/>
      <c r="AL33" s="195"/>
      <c r="AM33" s="195"/>
      <c r="AN33" s="195"/>
      <c r="AO33" s="195"/>
      <c r="AP33" s="195"/>
      <c r="AQ33" s="195"/>
      <c r="AR33" s="195"/>
      <c r="AS33" s="195"/>
      <c r="AT33" s="195"/>
      <c r="AU33" s="195"/>
      <c r="AV33" s="195"/>
      <c r="AW33" s="195"/>
      <c r="AX33" s="195"/>
      <c r="AY33" s="195"/>
      <c r="AZ33" s="195"/>
      <c r="BA33" s="195"/>
      <c r="BB33" s="195"/>
      <c r="BC33" s="196"/>
      <c r="BD33" s="196"/>
      <c r="BE33" s="196"/>
      <c r="BF33" s="196"/>
    </row>
    <row r="34" spans="1:58" ht="15.95" customHeight="1" x14ac:dyDescent="0.25">
      <c r="A34" s="132"/>
      <c r="B34" s="132"/>
      <c r="C34" s="132"/>
      <c r="D34" s="132"/>
      <c r="E34" s="132"/>
      <c r="F34" s="132"/>
      <c r="G34" s="132"/>
      <c r="H34" s="132"/>
      <c r="I34" s="132"/>
      <c r="J34" s="132"/>
      <c r="K34" s="132"/>
      <c r="L34" s="132"/>
      <c r="M34" s="132"/>
      <c r="N34" s="132"/>
      <c r="O34" s="132"/>
      <c r="P34" s="132"/>
      <c r="Q34" s="132"/>
      <c r="R34" s="132"/>
      <c r="S34" s="132"/>
      <c r="T34" s="132"/>
      <c r="U34" s="163"/>
      <c r="V34" s="195"/>
      <c r="W34" s="195">
        <v>30</v>
      </c>
      <c r="X34" s="195" t="s">
        <v>3749</v>
      </c>
      <c r="Y34" s="195">
        <f>Q11</f>
        <v>0</v>
      </c>
      <c r="Z34" s="195">
        <v>1</v>
      </c>
      <c r="AA34" s="195">
        <f>IF(OR(Y34="n/a",Y34="javelin"),0,$AA$31+COUNTIF($AA$32:AA33,"&gt;0")+1)</f>
        <v>6</v>
      </c>
      <c r="AB34" s="195">
        <v>30</v>
      </c>
      <c r="AC34" s="195" t="str">
        <f t="shared" si="3"/>
        <v/>
      </c>
      <c r="AD34" s="195" t="str">
        <f t="shared" si="4"/>
        <v/>
      </c>
      <c r="AE34" s="195"/>
      <c r="AF34" s="199" t="e">
        <f>IF($K$23="","",4)</f>
        <v>#N/A</v>
      </c>
      <c r="AG34" s="199" t="e">
        <f>INDEX(I03_!$B$105:$U$110,C_Inventory!$AG$29,C_Inventory!$AF34)</f>
        <v>#N/A</v>
      </c>
      <c r="AH34" s="195"/>
      <c r="AI34" s="195"/>
      <c r="AJ34" s="195"/>
      <c r="AK34" s="195"/>
      <c r="AL34" s="195"/>
      <c r="AM34" s="195"/>
      <c r="AN34" s="195"/>
      <c r="AO34" s="195"/>
      <c r="AP34" s="195"/>
      <c r="AQ34" s="195"/>
      <c r="AR34" s="195"/>
      <c r="AS34" s="195"/>
      <c r="AT34" s="195"/>
      <c r="AU34" s="195"/>
      <c r="AV34" s="195"/>
      <c r="AW34" s="195"/>
      <c r="AX34" s="195"/>
      <c r="AY34" s="195"/>
      <c r="AZ34" s="195"/>
      <c r="BA34" s="195"/>
      <c r="BB34" s="195"/>
      <c r="BC34" s="196"/>
      <c r="BD34" s="196"/>
      <c r="BE34" s="196"/>
      <c r="BF34" s="196"/>
    </row>
    <row r="35" spans="1:58" ht="15.95" customHeight="1" x14ac:dyDescent="0.25">
      <c r="A35" s="132"/>
      <c r="B35" s="132"/>
      <c r="C35" s="132"/>
      <c r="D35" s="132"/>
      <c r="E35" s="132"/>
      <c r="F35" s="132"/>
      <c r="G35" s="132"/>
      <c r="H35" s="132"/>
      <c r="I35" s="132"/>
      <c r="J35" s="132"/>
      <c r="K35" s="132"/>
      <c r="L35" s="132"/>
      <c r="M35" s="132"/>
      <c r="N35" s="132"/>
      <c r="O35" s="132"/>
      <c r="P35" s="132"/>
      <c r="Q35" s="132"/>
      <c r="R35" s="132"/>
      <c r="S35" s="132"/>
      <c r="T35" s="132"/>
      <c r="U35" s="163"/>
      <c r="V35" s="195"/>
      <c r="W35" s="195">
        <v>31</v>
      </c>
      <c r="X35" s="195" t="s">
        <v>3750</v>
      </c>
      <c r="Y35" s="195" t="str">
        <f>IF(Q14="","n/a",Q14)</f>
        <v>n/a</v>
      </c>
      <c r="Z35" s="195">
        <v>1</v>
      </c>
      <c r="AA35" s="195">
        <f>IF(OR(Y35="n/a",Y35="javelin"),0,$AA$31+COUNTIF($AA$32:AA34,"&gt;0")+1)</f>
        <v>0</v>
      </c>
      <c r="AB35" s="195">
        <v>31</v>
      </c>
      <c r="AC35" s="195" t="str">
        <f t="shared" si="3"/>
        <v/>
      </c>
      <c r="AD35" s="195" t="str">
        <f t="shared" si="4"/>
        <v/>
      </c>
      <c r="AE35" s="195"/>
      <c r="AF35" s="199" t="e">
        <f>IF($K$23="","",5)</f>
        <v>#N/A</v>
      </c>
      <c r="AG35" s="199" t="e">
        <f>INDEX(I03_!$B$105:$U$110,C_Inventory!$AG$29,C_Inventory!$AF35)</f>
        <v>#N/A</v>
      </c>
      <c r="AH35" s="195"/>
      <c r="AI35" s="195"/>
      <c r="AJ35" s="195"/>
      <c r="AK35" s="195"/>
      <c r="AL35" s="195"/>
      <c r="AM35" s="195"/>
      <c r="AN35" s="195"/>
      <c r="AO35" s="195"/>
      <c r="AP35" s="195"/>
      <c r="AQ35" s="195"/>
      <c r="AR35" s="195"/>
      <c r="AS35" s="195"/>
      <c r="AT35" s="195"/>
      <c r="AU35" s="195"/>
      <c r="AV35" s="195"/>
      <c r="AW35" s="195"/>
      <c r="AX35" s="195"/>
      <c r="AY35" s="195"/>
      <c r="AZ35" s="195"/>
      <c r="BA35" s="195"/>
      <c r="BB35" s="195"/>
      <c r="BC35" s="196"/>
      <c r="BD35" s="196"/>
      <c r="BE35" s="196"/>
      <c r="BF35" s="196"/>
    </row>
    <row r="36" spans="1:58" ht="15.95" customHeight="1" x14ac:dyDescent="0.3">
      <c r="A36" s="132"/>
      <c r="B36" s="132"/>
      <c r="C36" s="132"/>
      <c r="D36" s="132"/>
      <c r="E36" s="132"/>
      <c r="F36" s="132"/>
      <c r="G36" s="185" t="s">
        <v>3757</v>
      </c>
      <c r="H36" s="185" t="s">
        <v>3755</v>
      </c>
      <c r="I36" s="185" t="s">
        <v>3756</v>
      </c>
      <c r="J36" s="185" t="s">
        <v>3755</v>
      </c>
      <c r="K36" s="982" t="s">
        <v>3782</v>
      </c>
      <c r="L36" s="982"/>
      <c r="M36" s="132"/>
      <c r="N36" s="805" t="s">
        <v>200</v>
      </c>
      <c r="O36" s="964"/>
      <c r="P36" s="965">
        <f>SUMIFS(J37:J56,K37:K56,"backpack")</f>
        <v>0</v>
      </c>
      <c r="Q36" s="966"/>
      <c r="R36" s="967"/>
      <c r="S36" s="132"/>
      <c r="T36" s="132"/>
      <c r="U36" s="163"/>
      <c r="V36" s="195"/>
      <c r="W36" s="195">
        <v>32</v>
      </c>
      <c r="X36" s="195" t="s">
        <v>3751</v>
      </c>
      <c r="Y36" s="195" t="str">
        <f>IF(Q17="","n/a",Q17)</f>
        <v>n/a</v>
      </c>
      <c r="Z36" s="195">
        <v>1</v>
      </c>
      <c r="AA36" s="195">
        <f>IF(OR(Y36="n/a",Y36="javelin"),0,$AA$31+COUNTIF($AA$32:AA35,"&gt;0")+1)</f>
        <v>0</v>
      </c>
      <c r="AB36" s="195">
        <v>32</v>
      </c>
      <c r="AC36" s="195" t="str">
        <f t="shared" si="3"/>
        <v/>
      </c>
      <c r="AD36" s="195" t="str">
        <f t="shared" si="4"/>
        <v/>
      </c>
      <c r="AE36" s="195"/>
      <c r="AF36" s="199" t="e">
        <f>IF($K$23="","",6)</f>
        <v>#N/A</v>
      </c>
      <c r="AG36" s="199" t="e">
        <f>INDEX(I03_!$B$105:$U$110,C_Inventory!$AG$29,C_Inventory!$AF36)</f>
        <v>#N/A</v>
      </c>
      <c r="AH36" s="195"/>
      <c r="AI36" s="195"/>
      <c r="AJ36" s="195"/>
      <c r="AK36" s="195"/>
      <c r="AL36" s="195"/>
      <c r="AM36" s="195"/>
      <c r="AN36" s="195"/>
      <c r="AO36" s="195"/>
      <c r="AP36" s="195"/>
      <c r="AQ36" s="195"/>
      <c r="AR36" s="195"/>
      <c r="AS36" s="195"/>
      <c r="AT36" s="195"/>
      <c r="AU36" s="195"/>
      <c r="AV36" s="195"/>
      <c r="AW36" s="195"/>
      <c r="AX36" s="195"/>
      <c r="AY36" s="195"/>
      <c r="AZ36" s="195"/>
      <c r="BA36" s="195"/>
      <c r="BB36" s="195"/>
      <c r="BC36" s="196"/>
      <c r="BD36" s="196"/>
      <c r="BE36" s="196"/>
      <c r="BF36" s="196"/>
    </row>
    <row r="37" spans="1:58" ht="15.95" customHeight="1" x14ac:dyDescent="0.25">
      <c r="A37" s="132"/>
      <c r="B37" s="968" t="s">
        <v>3540</v>
      </c>
      <c r="C37" s="969"/>
      <c r="D37" s="979" t="str">
        <f>AC5</f>
        <v>crowbar</v>
      </c>
      <c r="E37" s="980"/>
      <c r="F37" s="981"/>
      <c r="G37" s="161">
        <f>AD5</f>
        <v>1</v>
      </c>
      <c r="H37" s="161">
        <f>IFERROR(INDEX('I04_Weight&amp;Cost'!$C$2:$C$2000,MATCH(C_Inventory!D37,'I04_Weight&amp;Cost'!$A$2:$A$2000,0),1),0)</f>
        <v>0</v>
      </c>
      <c r="I37" s="161">
        <f>IFERROR(INDEX('I04_Weight&amp;Cost'!$B$2:$B$2000,MATCH(C_Inventory!D37,'I04_Weight&amp;Cost'!$A$2:$A$2000,0),1),0)</f>
        <v>0</v>
      </c>
      <c r="J37">
        <f>IFERROR(H37*G37,0)</f>
        <v>0</v>
      </c>
      <c r="K37" s="963"/>
      <c r="L37" s="963"/>
      <c r="M37" s="132"/>
      <c r="N37" s="805"/>
      <c r="O37" s="964"/>
      <c r="P37" s="965"/>
      <c r="Q37" s="966"/>
      <c r="R37" s="967"/>
      <c r="S37" s="132"/>
      <c r="T37" s="132"/>
      <c r="U37" s="163"/>
      <c r="V37" s="195"/>
      <c r="W37" s="195">
        <v>33</v>
      </c>
      <c r="X37" s="195" t="s">
        <v>3752</v>
      </c>
      <c r="Y37" s="195" t="e">
        <f>IF(OR(Q20="",Q20=0),"n/a",Q18)</f>
        <v>#N/A</v>
      </c>
      <c r="Z37" s="195">
        <v>1</v>
      </c>
      <c r="AA37" s="195" t="e">
        <f>IF(OR(Y37="n/a",Y37="javelin"),0,$AA$31+COUNTIF($AA$32:AA36,"&gt;0")+1)</f>
        <v>#N/A</v>
      </c>
      <c r="AB37" s="195">
        <v>33</v>
      </c>
      <c r="AC37" s="195" t="str">
        <f t="shared" si="3"/>
        <v/>
      </c>
      <c r="AD37" s="195" t="str">
        <f t="shared" si="4"/>
        <v/>
      </c>
      <c r="AE37" s="195"/>
      <c r="AF37" s="199" t="e">
        <f>IF($K$23="","",7)</f>
        <v>#N/A</v>
      </c>
      <c r="AG37" s="199" t="e">
        <f>INDEX(I03_!$B$105:$U$110,C_Inventory!$AG$29,C_Inventory!$AF37)</f>
        <v>#N/A</v>
      </c>
      <c r="AH37" s="195"/>
      <c r="AI37" s="195"/>
      <c r="AJ37" s="195"/>
      <c r="AK37" s="195"/>
      <c r="AL37" s="195"/>
      <c r="AM37" s="195"/>
      <c r="AN37" s="195"/>
      <c r="AO37" s="195"/>
      <c r="AP37" s="195"/>
      <c r="AQ37" s="195"/>
      <c r="AR37" s="195"/>
      <c r="AS37" s="195"/>
      <c r="AT37" s="195"/>
      <c r="AU37" s="195"/>
      <c r="AV37" s="195"/>
      <c r="AW37" s="195"/>
      <c r="AX37" s="195"/>
      <c r="AY37" s="195"/>
      <c r="AZ37" s="195"/>
      <c r="BA37" s="195"/>
      <c r="BB37" s="195"/>
      <c r="BC37" s="196"/>
      <c r="BD37" s="196" t="s">
        <v>3619</v>
      </c>
      <c r="BE37" s="196"/>
      <c r="BF37" s="196"/>
    </row>
    <row r="38" spans="1:58" ht="15.95" customHeight="1" x14ac:dyDescent="0.25">
      <c r="A38" s="132"/>
      <c r="B38" s="968" t="s">
        <v>3541</v>
      </c>
      <c r="C38" s="969"/>
      <c r="D38" s="979" t="str">
        <f t="shared" ref="D38:D56" si="8">AC6</f>
        <v>belt pouch</v>
      </c>
      <c r="E38" s="980"/>
      <c r="F38" s="981"/>
      <c r="G38" s="161">
        <f t="shared" ref="G38:G56" si="9">AD6</f>
        <v>1</v>
      </c>
      <c r="H38" s="161">
        <f>IFERROR(INDEX('I04_Weight&amp;Cost'!$C$2:$C$2000,MATCH(C_Inventory!D38,'I04_Weight&amp;Cost'!$A$2:$A$2000,0),1),0)</f>
        <v>0</v>
      </c>
      <c r="I38" s="161">
        <f>IFERROR(INDEX('I04_Weight&amp;Cost'!$B$2:$B$2000,MATCH(C_Inventory!D38,'I04_Weight&amp;Cost'!$A$2:$A$2000,0),1),0)</f>
        <v>0</v>
      </c>
      <c r="J38">
        <f t="shared" ref="J38:J56" si="10">IFERROR(H38*G38,0)</f>
        <v>0</v>
      </c>
      <c r="K38" s="963"/>
      <c r="L38" s="963"/>
      <c r="M38" s="132"/>
      <c r="N38" s="132"/>
      <c r="O38" s="132"/>
      <c r="P38" s="132"/>
      <c r="Q38" s="132"/>
      <c r="R38" s="132"/>
      <c r="S38" s="132"/>
      <c r="T38" s="132"/>
      <c r="U38" s="163"/>
      <c r="V38" s="195"/>
      <c r="W38" s="195"/>
      <c r="X38" s="195"/>
      <c r="Y38" s="195" t="e">
        <f>IF(K23="","",CONCATENATE(K23,": ",M23))</f>
        <v>#N/A</v>
      </c>
      <c r="Z38" s="195">
        <v>1</v>
      </c>
      <c r="AA38" s="195" t="e">
        <f>IF(OR(Y38=""),0,$AA$31+COUNTIF($AA$32:AA37,"&gt;0")+1)</f>
        <v>#N/A</v>
      </c>
      <c r="AB38" s="195">
        <v>34</v>
      </c>
      <c r="AC38" s="195" t="str">
        <f>IFERROR(INDEX($Y$5:$Y$39,MATCH(AB38,$AA$5:$AA$39,0),1),"")</f>
        <v/>
      </c>
      <c r="AD38" s="195" t="str">
        <f t="shared" si="4"/>
        <v/>
      </c>
      <c r="AE38" s="195"/>
      <c r="AF38" s="199" t="e">
        <f>IF($K$23="","",8)</f>
        <v>#N/A</v>
      </c>
      <c r="AG38" s="199" t="e">
        <f>INDEX(I03_!$B$105:$U$110,C_Inventory!$AG$29,C_Inventory!$AF38)</f>
        <v>#N/A</v>
      </c>
      <c r="AH38" s="195"/>
      <c r="AI38" s="195"/>
      <c r="AJ38" s="195"/>
      <c r="AK38" s="195"/>
      <c r="AL38" s="195"/>
      <c r="AM38" s="195"/>
      <c r="AN38" s="195"/>
      <c r="AO38" s="195"/>
      <c r="AP38" s="195"/>
      <c r="AQ38" s="195"/>
      <c r="AR38" s="195"/>
      <c r="AS38" s="195"/>
      <c r="AT38" s="195"/>
      <c r="AU38" s="195"/>
      <c r="AV38" s="195"/>
      <c r="AW38" s="195"/>
      <c r="AX38" s="195"/>
      <c r="AY38" s="195"/>
      <c r="AZ38" s="195"/>
      <c r="BA38" s="195"/>
      <c r="BB38" s="195"/>
      <c r="BC38" s="196"/>
      <c r="BD38" s="196" t="s">
        <v>3783</v>
      </c>
      <c r="BE38" s="196"/>
      <c r="BF38" s="196"/>
    </row>
    <row r="39" spans="1:58" ht="15.95" customHeight="1" x14ac:dyDescent="0.25">
      <c r="A39" s="132"/>
      <c r="B39" s="968" t="s">
        <v>3542</v>
      </c>
      <c r="C39" s="969"/>
      <c r="D39" s="979" t="str">
        <f t="shared" si="8"/>
        <v>dark common clothes with hood</v>
      </c>
      <c r="E39" s="980"/>
      <c r="F39" s="981"/>
      <c r="G39" s="161">
        <f t="shared" si="9"/>
        <v>1</v>
      </c>
      <c r="H39" s="161">
        <f>IFERROR(INDEX('I04_Weight&amp;Cost'!$C$2:$C$2000,MATCH(C_Inventory!D39,'I04_Weight&amp;Cost'!$A$2:$A$2000,0),1),0)</f>
        <v>0</v>
      </c>
      <c r="I39" s="161">
        <f>IFERROR(INDEX('I04_Weight&amp;Cost'!$B$2:$B$2000,MATCH(C_Inventory!D39,'I04_Weight&amp;Cost'!$A$2:$A$2000,0),1),0)</f>
        <v>0</v>
      </c>
      <c r="J39">
        <f t="shared" si="10"/>
        <v>0</v>
      </c>
      <c r="K39" s="963"/>
      <c r="L39" s="963"/>
      <c r="M39" s="132"/>
      <c r="N39" s="132"/>
      <c r="O39" s="132"/>
      <c r="P39" s="132"/>
      <c r="Q39" s="132"/>
      <c r="R39" s="132"/>
      <c r="S39" s="132"/>
      <c r="T39" s="132"/>
      <c r="U39" s="163"/>
      <c r="V39" s="195"/>
      <c r="W39" s="195"/>
      <c r="X39" s="195"/>
      <c r="Y39" s="195" t="str">
        <f>IF(K25="","",CONCATENATE(K25,": ",M25))</f>
        <v/>
      </c>
      <c r="Z39" s="195">
        <v>1</v>
      </c>
      <c r="AA39" s="195">
        <f>IF(OR(Y39=""),0,$AA$31+COUNTIF($AA$32:AA38,"&gt;0")+1)</f>
        <v>0</v>
      </c>
      <c r="AB39" s="195">
        <v>35</v>
      </c>
      <c r="AC39" s="195" t="str">
        <f t="shared" si="3"/>
        <v/>
      </c>
      <c r="AD39" s="195" t="str">
        <f t="shared" si="4"/>
        <v/>
      </c>
      <c r="AE39" s="195"/>
      <c r="AF39" s="199" t="e">
        <f>IF($K$23="","",9)</f>
        <v>#N/A</v>
      </c>
      <c r="AG39" s="199" t="e">
        <f>INDEX(I03_!$B$105:$U$110,C_Inventory!$AG$29,C_Inventory!$AF39)</f>
        <v>#N/A</v>
      </c>
      <c r="AH39" s="195"/>
      <c r="AI39" s="195"/>
      <c r="AJ39" s="195"/>
      <c r="AK39" s="195"/>
      <c r="AL39" s="195"/>
      <c r="AM39" s="195"/>
      <c r="AN39" s="195"/>
      <c r="AO39" s="195"/>
      <c r="AP39" s="195"/>
      <c r="AQ39" s="195"/>
      <c r="AR39" s="195"/>
      <c r="AS39" s="195"/>
      <c r="AT39" s="195"/>
      <c r="AU39" s="195"/>
      <c r="AV39" s="195"/>
      <c r="AW39" s="195"/>
      <c r="AX39" s="195"/>
      <c r="AY39" s="195"/>
      <c r="AZ39" s="195"/>
      <c r="BA39" s="195"/>
      <c r="BB39" s="195"/>
      <c r="BC39" s="196"/>
      <c r="BD39" s="196" t="s">
        <v>3800</v>
      </c>
      <c r="BE39" s="196"/>
      <c r="BF39" s="196"/>
    </row>
    <row r="40" spans="1:58" ht="15.95" customHeight="1" x14ac:dyDescent="0.25">
      <c r="A40" s="132"/>
      <c r="B40" s="968" t="s">
        <v>3543</v>
      </c>
      <c r="C40" s="969"/>
      <c r="D40" s="979">
        <f t="shared" si="8"/>
        <v>0</v>
      </c>
      <c r="E40" s="980"/>
      <c r="F40" s="981"/>
      <c r="G40" s="161">
        <f t="shared" si="9"/>
        <v>1</v>
      </c>
      <c r="H40" s="161">
        <f>IFERROR(INDEX('I04_Weight&amp;Cost'!$C$2:$C$2000,MATCH(C_Inventory!D40,'I04_Weight&amp;Cost'!$A$2:$A$2000,0),1),0)</f>
        <v>0</v>
      </c>
      <c r="I40" s="161">
        <f>IFERROR(INDEX('I04_Weight&amp;Cost'!$B$2:$B$2000,MATCH(C_Inventory!D40,'I04_Weight&amp;Cost'!$A$2:$A$2000,0),1),0)</f>
        <v>0</v>
      </c>
      <c r="J40">
        <f t="shared" si="10"/>
        <v>0</v>
      </c>
      <c r="K40" s="963"/>
      <c r="L40" s="963"/>
      <c r="M40" s="132"/>
      <c r="N40" s="132"/>
      <c r="O40" s="132"/>
      <c r="P40" s="132"/>
      <c r="Q40" s="132"/>
      <c r="R40" s="132"/>
      <c r="S40" s="132"/>
      <c r="T40" s="132"/>
      <c r="U40" s="163"/>
      <c r="V40" s="195"/>
      <c r="W40" s="195"/>
      <c r="X40" s="195"/>
      <c r="Y40" s="195"/>
      <c r="Z40" s="195"/>
      <c r="AA40" s="195"/>
      <c r="AB40" s="195"/>
      <c r="AC40" s="195"/>
      <c r="AD40" s="195"/>
      <c r="AE40" s="195"/>
      <c r="AF40" s="199" t="e">
        <f>IF($K$23="","",10)</f>
        <v>#N/A</v>
      </c>
      <c r="AG40" s="199" t="e">
        <f>INDEX(I03_!$B$105:$U$110,C_Inventory!$AG$29,C_Inventory!$AF40)</f>
        <v>#N/A</v>
      </c>
      <c r="AH40" s="195"/>
      <c r="AI40" s="195"/>
      <c r="AJ40" s="195"/>
      <c r="AK40" s="195"/>
      <c r="AL40" s="195"/>
      <c r="AM40" s="195"/>
      <c r="AN40" s="195"/>
      <c r="AO40" s="195"/>
      <c r="AP40" s="195"/>
      <c r="AQ40" s="195"/>
      <c r="AR40" s="195"/>
      <c r="AS40" s="195"/>
      <c r="AT40" s="195"/>
      <c r="AU40" s="195"/>
      <c r="AV40" s="195"/>
      <c r="AW40" s="195"/>
      <c r="AX40" s="195"/>
      <c r="AY40" s="195"/>
      <c r="AZ40" s="195"/>
      <c r="BA40" s="195"/>
      <c r="BB40" s="195"/>
      <c r="BC40" s="196"/>
      <c r="BD40" s="196" t="s">
        <v>3801</v>
      </c>
      <c r="BE40" s="196"/>
      <c r="BF40" s="196"/>
    </row>
    <row r="41" spans="1:58" ht="15.95" customHeight="1" x14ac:dyDescent="0.25">
      <c r="A41" s="132"/>
      <c r="B41" s="968" t="s">
        <v>3544</v>
      </c>
      <c r="C41" s="969"/>
      <c r="D41" s="979">
        <f t="shared" si="8"/>
        <v>0</v>
      </c>
      <c r="E41" s="980"/>
      <c r="F41" s="981"/>
      <c r="G41" s="161">
        <f t="shared" si="9"/>
        <v>1</v>
      </c>
      <c r="H41" s="161">
        <f>IFERROR(INDEX('I04_Weight&amp;Cost'!$C$2:$C$2000,MATCH(C_Inventory!D41,'I04_Weight&amp;Cost'!$A$2:$A$2000,0),1),0)</f>
        <v>0</v>
      </c>
      <c r="I41" s="161">
        <f>IFERROR(INDEX('I04_Weight&amp;Cost'!$B$2:$B$2000,MATCH(C_Inventory!D41,'I04_Weight&amp;Cost'!$A$2:$A$2000,0),1),0)</f>
        <v>0</v>
      </c>
      <c r="J41">
        <f t="shared" si="10"/>
        <v>0</v>
      </c>
      <c r="K41" s="963"/>
      <c r="L41" s="963"/>
      <c r="M41" s="132"/>
      <c r="N41" s="805" t="s">
        <v>3537</v>
      </c>
      <c r="O41" s="964"/>
      <c r="P41" s="965">
        <f>INT(Strength)*15</f>
        <v>210</v>
      </c>
      <c r="Q41" s="966"/>
      <c r="R41" s="967"/>
      <c r="S41" s="132"/>
      <c r="T41" s="132"/>
      <c r="U41" s="163"/>
      <c r="V41" s="195"/>
      <c r="W41" s="195"/>
      <c r="X41" s="195"/>
      <c r="Y41" s="195"/>
      <c r="Z41" s="195"/>
      <c r="AA41" s="195"/>
      <c r="AB41" s="195"/>
      <c r="AC41" s="195"/>
      <c r="AD41" s="195"/>
      <c r="AE41" s="195"/>
      <c r="AF41" s="195"/>
      <c r="AG41" s="195"/>
      <c r="AH41" s="195"/>
      <c r="AI41" s="195"/>
      <c r="AJ41" s="195"/>
      <c r="AK41" s="195"/>
      <c r="AL41" s="195"/>
      <c r="AM41" s="195"/>
      <c r="AN41" s="195"/>
      <c r="AO41" s="195"/>
      <c r="AP41" s="195"/>
      <c r="AQ41" s="195"/>
      <c r="AR41" s="195"/>
      <c r="AS41" s="195"/>
      <c r="AT41" s="195"/>
      <c r="AU41" s="195"/>
      <c r="AV41" s="195"/>
      <c r="AW41" s="195"/>
      <c r="AX41" s="195"/>
      <c r="AY41" s="195"/>
      <c r="AZ41" s="195"/>
      <c r="BA41" s="195"/>
      <c r="BB41" s="195"/>
      <c r="BC41" s="196"/>
      <c r="BD41" s="196" t="s">
        <v>3802</v>
      </c>
      <c r="BE41" s="196"/>
      <c r="BF41" s="196"/>
    </row>
    <row r="42" spans="1:58" ht="15.95" customHeight="1" x14ac:dyDescent="0.25">
      <c r="A42" s="132"/>
      <c r="B42" s="968" t="s">
        <v>3545</v>
      </c>
      <c r="C42" s="969"/>
      <c r="D42" s="979">
        <f t="shared" si="8"/>
        <v>0</v>
      </c>
      <c r="E42" s="980"/>
      <c r="F42" s="981"/>
      <c r="G42" s="161">
        <f t="shared" si="9"/>
        <v>1</v>
      </c>
      <c r="H42" s="161">
        <f>IFERROR(INDEX('I04_Weight&amp;Cost'!$C$2:$C$2000,MATCH(C_Inventory!D42,'I04_Weight&amp;Cost'!$A$2:$A$2000,0),1),0)</f>
        <v>0</v>
      </c>
      <c r="I42" s="161">
        <f>IFERROR(INDEX('I04_Weight&amp;Cost'!$B$2:$B$2000,MATCH(C_Inventory!D42,'I04_Weight&amp;Cost'!$A$2:$A$2000,0),1),0)</f>
        <v>0</v>
      </c>
      <c r="J42">
        <f t="shared" si="10"/>
        <v>0</v>
      </c>
      <c r="K42" s="963"/>
      <c r="L42" s="963"/>
      <c r="M42" s="132"/>
      <c r="N42" s="805"/>
      <c r="O42" s="964"/>
      <c r="P42" s="965"/>
      <c r="Q42" s="966"/>
      <c r="R42" s="967"/>
      <c r="S42" s="132"/>
      <c r="T42" s="132"/>
      <c r="U42" s="163"/>
      <c r="V42" s="195"/>
      <c r="W42" s="195"/>
      <c r="X42" s="195"/>
      <c r="Y42" s="195"/>
      <c r="Z42" s="195"/>
      <c r="AA42" s="195"/>
      <c r="AB42" s="195"/>
      <c r="AC42" s="195"/>
      <c r="AD42" s="195"/>
      <c r="AE42" s="195"/>
      <c r="AF42" s="195"/>
      <c r="AG42" s="195"/>
      <c r="AH42" s="195"/>
      <c r="AI42" s="195"/>
      <c r="AJ42" s="195"/>
      <c r="AK42" s="195"/>
      <c r="AL42" s="195"/>
      <c r="AM42" s="195"/>
      <c r="AN42" s="195"/>
      <c r="AO42" s="195"/>
      <c r="AP42" s="195"/>
      <c r="AQ42" s="195"/>
      <c r="AR42" s="195"/>
      <c r="AS42" s="195"/>
      <c r="AT42" s="195"/>
      <c r="AU42" s="195"/>
      <c r="AV42" s="195"/>
      <c r="AW42" s="195"/>
      <c r="AX42" s="195"/>
      <c r="AY42" s="195"/>
      <c r="AZ42" s="195"/>
      <c r="BA42" s="195"/>
      <c r="BB42" s="195"/>
      <c r="BC42" s="196"/>
      <c r="BD42" s="196"/>
      <c r="BE42" s="196"/>
      <c r="BF42" s="196"/>
    </row>
    <row r="43" spans="1:58" ht="15.95" customHeight="1" x14ac:dyDescent="0.25">
      <c r="A43" s="132"/>
      <c r="B43" s="968" t="s">
        <v>3546</v>
      </c>
      <c r="C43" s="969"/>
      <c r="D43" s="979" t="str">
        <f t="shared" si="8"/>
        <v/>
      </c>
      <c r="E43" s="980"/>
      <c r="F43" s="981"/>
      <c r="G43" s="161" t="str">
        <f t="shared" si="9"/>
        <v/>
      </c>
      <c r="H43" s="161">
        <f>IFERROR(INDEX('I04_Weight&amp;Cost'!$C$2:$C$2000,MATCH(C_Inventory!D43,'I04_Weight&amp;Cost'!$A$2:$A$2000,0),1),0)</f>
        <v>0</v>
      </c>
      <c r="I43" s="161">
        <f>IFERROR(INDEX('I04_Weight&amp;Cost'!$B$2:$B$2000,MATCH(C_Inventory!D43,'I04_Weight&amp;Cost'!$A$2:$A$2000,0),1),0)</f>
        <v>0</v>
      </c>
      <c r="J43">
        <f t="shared" si="10"/>
        <v>0</v>
      </c>
      <c r="K43" s="963"/>
      <c r="L43" s="963"/>
      <c r="M43" s="132"/>
      <c r="N43" s="132"/>
      <c r="O43" s="132"/>
      <c r="P43" s="132"/>
      <c r="Q43" s="132"/>
      <c r="R43" s="132"/>
      <c r="S43" s="132"/>
      <c r="T43" s="132"/>
      <c r="U43" s="163"/>
      <c r="V43" s="195"/>
      <c r="W43" s="195"/>
      <c r="X43" s="195"/>
      <c r="Y43" s="195"/>
      <c r="Z43" s="195"/>
      <c r="AA43" s="195"/>
      <c r="AB43" s="195"/>
      <c r="AC43" s="195"/>
      <c r="AD43" s="195"/>
      <c r="AE43" s="195"/>
      <c r="AF43" s="195"/>
      <c r="AG43" s="195"/>
      <c r="AH43" s="195"/>
      <c r="AI43" s="195"/>
      <c r="AJ43" s="195"/>
      <c r="AK43" s="195"/>
      <c r="AL43" s="195"/>
      <c r="AM43" s="195"/>
      <c r="AN43" s="195"/>
      <c r="AO43" s="195"/>
      <c r="AP43" s="195"/>
      <c r="AQ43" s="195"/>
      <c r="AR43" s="195"/>
      <c r="AS43" s="195"/>
      <c r="AT43" s="195"/>
      <c r="AU43" s="195"/>
      <c r="AV43" s="195"/>
      <c r="AW43" s="195"/>
      <c r="AX43" s="195"/>
      <c r="AY43" s="195"/>
      <c r="AZ43" s="195"/>
      <c r="BA43" s="195"/>
      <c r="BB43" s="195"/>
      <c r="BC43" s="196"/>
      <c r="BD43" s="196"/>
      <c r="BE43" s="196"/>
      <c r="BF43" s="196"/>
    </row>
    <row r="44" spans="1:58" ht="15.95" customHeight="1" x14ac:dyDescent="0.25">
      <c r="A44" s="132"/>
      <c r="B44" s="968" t="s">
        <v>3660</v>
      </c>
      <c r="C44" s="969"/>
      <c r="D44" s="979" t="str">
        <f t="shared" si="8"/>
        <v/>
      </c>
      <c r="E44" s="980"/>
      <c r="F44" s="981"/>
      <c r="G44" s="161" t="str">
        <f t="shared" si="9"/>
        <v/>
      </c>
      <c r="H44" s="161">
        <f>IFERROR(INDEX('I04_Weight&amp;Cost'!$C$2:$C$2000,MATCH(C_Inventory!D44,'I04_Weight&amp;Cost'!$A$2:$A$2000,0),1),0)</f>
        <v>0</v>
      </c>
      <c r="I44" s="161">
        <f>IFERROR(INDEX('I04_Weight&amp;Cost'!$B$2:$B$2000,MATCH(C_Inventory!D44,'I04_Weight&amp;Cost'!$A$2:$A$2000,0),1),0)</f>
        <v>0</v>
      </c>
      <c r="J44">
        <f t="shared" si="10"/>
        <v>0</v>
      </c>
      <c r="K44" s="963"/>
      <c r="L44" s="963"/>
      <c r="M44" s="132"/>
      <c r="N44" s="805" t="s">
        <v>122</v>
      </c>
      <c r="O44" s="964"/>
      <c r="P44" s="965">
        <f>5*Strength</f>
        <v>70</v>
      </c>
      <c r="Q44" s="966"/>
      <c r="R44" s="967"/>
      <c r="S44" s="132"/>
      <c r="T44" s="132"/>
      <c r="U44" s="163"/>
      <c r="V44" s="195"/>
      <c r="W44" s="195"/>
      <c r="X44" s="195"/>
      <c r="Y44" s="195"/>
      <c r="Z44" s="195"/>
      <c r="AA44" s="195"/>
      <c r="AB44" s="195"/>
      <c r="AC44" s="195"/>
      <c r="AD44" s="195"/>
      <c r="AE44" s="195"/>
      <c r="AF44" s="195"/>
      <c r="AG44" s="195"/>
      <c r="AH44" s="195"/>
      <c r="AI44" s="195"/>
      <c r="AJ44" s="195"/>
      <c r="AK44" s="195"/>
      <c r="AL44" s="195"/>
      <c r="AM44" s="195"/>
      <c r="AN44" s="195"/>
      <c r="AO44" s="195"/>
      <c r="AP44" s="195"/>
      <c r="AQ44" s="195"/>
      <c r="AR44" s="195"/>
      <c r="AS44" s="195"/>
      <c r="AT44" s="195"/>
      <c r="AU44" s="195"/>
      <c r="AV44" s="195"/>
      <c r="AW44" s="195"/>
      <c r="AX44" s="195"/>
      <c r="AY44" s="195"/>
      <c r="AZ44" s="195"/>
      <c r="BA44" s="195"/>
      <c r="BB44" s="195"/>
      <c r="BC44" s="196"/>
      <c r="BD44" s="196"/>
      <c r="BE44" s="196"/>
      <c r="BF44" s="196"/>
    </row>
    <row r="45" spans="1:58" ht="15.95" customHeight="1" x14ac:dyDescent="0.25">
      <c r="A45" s="132"/>
      <c r="B45" s="968" t="s">
        <v>3661</v>
      </c>
      <c r="C45" s="969"/>
      <c r="D45" s="979" t="str">
        <f t="shared" si="8"/>
        <v/>
      </c>
      <c r="E45" s="980"/>
      <c r="F45" s="981"/>
      <c r="G45" s="161" t="str">
        <f t="shared" si="9"/>
        <v/>
      </c>
      <c r="H45" s="161">
        <f>IFERROR(INDEX('I04_Weight&amp;Cost'!$C$2:$C$2000,MATCH(C_Inventory!D45,'I04_Weight&amp;Cost'!$A$2:$A$2000,0),1),0)</f>
        <v>0</v>
      </c>
      <c r="I45" s="161">
        <f>IFERROR(INDEX('I04_Weight&amp;Cost'!$B$2:$B$2000,MATCH(C_Inventory!D45,'I04_Weight&amp;Cost'!$A$2:$A$2000,0),1),0)</f>
        <v>0</v>
      </c>
      <c r="J45">
        <f t="shared" si="10"/>
        <v>0</v>
      </c>
      <c r="K45" s="963"/>
      <c r="L45" s="963"/>
      <c r="M45" s="132"/>
      <c r="N45" s="805"/>
      <c r="O45" s="964"/>
      <c r="P45" s="965"/>
      <c r="Q45" s="966"/>
      <c r="R45" s="967"/>
      <c r="S45" s="132"/>
      <c r="T45" s="132"/>
      <c r="U45" s="163"/>
      <c r="V45" s="195"/>
      <c r="W45" s="195"/>
      <c r="X45" s="195"/>
      <c r="Y45" s="195"/>
      <c r="Z45" s="195"/>
      <c r="AA45" s="195"/>
      <c r="AB45" s="195"/>
      <c r="AC45" s="195"/>
      <c r="AD45" s="195"/>
      <c r="AE45" s="195"/>
      <c r="AF45" s="195"/>
      <c r="AG45" s="195"/>
      <c r="AH45" s="195"/>
      <c r="AI45" s="195"/>
      <c r="AJ45" s="195"/>
      <c r="AK45" s="195"/>
      <c r="AL45" s="195"/>
      <c r="AM45" s="195"/>
      <c r="AN45" s="195"/>
      <c r="AO45" s="195"/>
      <c r="AP45" s="195"/>
      <c r="AQ45" s="195"/>
      <c r="AR45" s="195"/>
      <c r="AS45" s="195"/>
      <c r="AT45" s="195"/>
      <c r="AU45" s="195"/>
      <c r="AV45" s="195"/>
      <c r="AW45" s="195"/>
      <c r="AX45" s="195"/>
      <c r="AY45" s="195"/>
      <c r="AZ45" s="195"/>
      <c r="BA45" s="195"/>
      <c r="BB45" s="195"/>
      <c r="BC45" s="196"/>
      <c r="BD45" s="196"/>
      <c r="BE45" s="196"/>
      <c r="BF45" s="196"/>
    </row>
    <row r="46" spans="1:58" ht="15.95" customHeight="1" x14ac:dyDescent="0.25">
      <c r="A46" s="132"/>
      <c r="B46" s="968" t="s">
        <v>3662</v>
      </c>
      <c r="C46" s="969"/>
      <c r="D46" s="979" t="str">
        <f t="shared" si="8"/>
        <v/>
      </c>
      <c r="E46" s="980"/>
      <c r="F46" s="981"/>
      <c r="G46" s="161" t="str">
        <f t="shared" si="9"/>
        <v/>
      </c>
      <c r="H46" s="161">
        <f>IFERROR(INDEX('I04_Weight&amp;Cost'!$C$2:$C$2000,MATCH(C_Inventory!D46,'I04_Weight&amp;Cost'!$A$2:$A$2000,0),1),0)</f>
        <v>0</v>
      </c>
      <c r="I46" s="161">
        <f>IFERROR(INDEX('I04_Weight&amp;Cost'!$B$2:$B$2000,MATCH(C_Inventory!D46,'I04_Weight&amp;Cost'!$A$2:$A$2000,0),1),0)</f>
        <v>0</v>
      </c>
      <c r="J46">
        <f t="shared" si="10"/>
        <v>0</v>
      </c>
      <c r="K46" s="963"/>
      <c r="L46" s="963"/>
      <c r="M46" s="132"/>
      <c r="N46" s="805" t="s">
        <v>602</v>
      </c>
      <c r="O46" s="964"/>
      <c r="P46" s="965">
        <f>10*Strength</f>
        <v>140</v>
      </c>
      <c r="Q46" s="966"/>
      <c r="R46" s="967"/>
      <c r="S46" s="132"/>
      <c r="T46" s="132"/>
      <c r="U46" s="163"/>
      <c r="V46" s="195"/>
      <c r="W46" s="195"/>
      <c r="X46" s="195"/>
      <c r="Y46" s="195"/>
      <c r="Z46" s="195"/>
      <c r="AA46" s="195"/>
      <c r="AB46" s="195"/>
      <c r="AC46" s="195"/>
      <c r="AD46" s="195"/>
      <c r="AE46" s="195"/>
      <c r="AF46" s="195"/>
      <c r="AG46" s="195"/>
      <c r="AH46" s="195"/>
      <c r="AI46" s="195"/>
      <c r="AJ46" s="195"/>
      <c r="AK46" s="195"/>
      <c r="AL46" s="195"/>
      <c r="AM46" s="195"/>
      <c r="AN46" s="195"/>
      <c r="AO46" s="195"/>
      <c r="AP46" s="195"/>
      <c r="AQ46" s="195"/>
      <c r="AR46" s="195"/>
      <c r="AS46" s="195"/>
      <c r="AT46" s="195"/>
      <c r="AU46" s="195"/>
      <c r="AV46" s="195"/>
      <c r="AW46" s="195"/>
      <c r="AX46" s="195"/>
      <c r="AY46" s="195"/>
      <c r="AZ46" s="195"/>
      <c r="BA46" s="195"/>
      <c r="BB46" s="195"/>
      <c r="BC46" s="196"/>
      <c r="BD46" s="196"/>
      <c r="BE46" s="196"/>
      <c r="BF46" s="196"/>
    </row>
    <row r="47" spans="1:58" ht="15.95" customHeight="1" x14ac:dyDescent="0.25">
      <c r="A47" s="132"/>
      <c r="B47" s="968" t="s">
        <v>3670</v>
      </c>
      <c r="C47" s="969"/>
      <c r="D47" s="979" t="str">
        <f t="shared" si="8"/>
        <v/>
      </c>
      <c r="E47" s="980"/>
      <c r="F47" s="981"/>
      <c r="G47" s="161" t="str">
        <f t="shared" si="9"/>
        <v/>
      </c>
      <c r="H47" s="161">
        <f>IFERROR(INDEX('I04_Weight&amp;Cost'!$C$2:$C$2000,MATCH(C_Inventory!D47,'I04_Weight&amp;Cost'!$A$2:$A$2000,0),1),0)</f>
        <v>0</v>
      </c>
      <c r="I47" s="161">
        <f>IFERROR(INDEX('I04_Weight&amp;Cost'!$B$2:$B$2000,MATCH(C_Inventory!D47,'I04_Weight&amp;Cost'!$A$2:$A$2000,0),1),0)</f>
        <v>0</v>
      </c>
      <c r="J47">
        <f t="shared" si="10"/>
        <v>0</v>
      </c>
      <c r="K47" s="963"/>
      <c r="L47" s="963"/>
      <c r="M47" s="132"/>
      <c r="N47" s="805"/>
      <c r="O47" s="964"/>
      <c r="P47" s="965"/>
      <c r="Q47" s="966"/>
      <c r="R47" s="967"/>
      <c r="S47" s="132"/>
      <c r="T47" s="132"/>
      <c r="U47" s="163"/>
      <c r="V47" s="195"/>
      <c r="W47" s="195"/>
      <c r="X47" s="195"/>
      <c r="Y47" s="195"/>
      <c r="Z47" s="195"/>
      <c r="AA47" s="195"/>
      <c r="AB47" s="195"/>
      <c r="AC47" s="195"/>
      <c r="AD47" s="195"/>
      <c r="AE47" s="195"/>
      <c r="AF47" s="195"/>
      <c r="AG47" s="195"/>
      <c r="AH47" s="195"/>
      <c r="AI47" s="195"/>
      <c r="AJ47" s="195"/>
      <c r="AK47" s="195"/>
      <c r="AL47" s="195"/>
      <c r="AM47" s="195"/>
      <c r="AN47" s="195"/>
      <c r="AO47" s="195"/>
      <c r="AP47" s="195"/>
      <c r="AQ47" s="195"/>
      <c r="AR47" s="195"/>
      <c r="AS47" s="195"/>
      <c r="AT47" s="195"/>
      <c r="AU47" s="195"/>
      <c r="AV47" s="195"/>
      <c r="AW47" s="195"/>
      <c r="AX47" s="195"/>
      <c r="AY47" s="195"/>
      <c r="AZ47" s="195"/>
      <c r="BA47" s="195"/>
      <c r="BB47" s="195"/>
      <c r="BC47" s="196"/>
      <c r="BD47" s="196"/>
      <c r="BE47" s="196"/>
      <c r="BF47" s="196"/>
    </row>
    <row r="48" spans="1:58" ht="15.95" customHeight="1" x14ac:dyDescent="0.25">
      <c r="A48" s="132"/>
      <c r="B48" s="968" t="s">
        <v>3672</v>
      </c>
      <c r="C48" s="969"/>
      <c r="D48" s="979" t="str">
        <f t="shared" si="8"/>
        <v/>
      </c>
      <c r="E48" s="980"/>
      <c r="F48" s="981"/>
      <c r="G48" s="161" t="str">
        <f t="shared" si="9"/>
        <v/>
      </c>
      <c r="H48" s="161">
        <f>IFERROR(INDEX('I04_Weight&amp;Cost'!$C$2:$C$2000,MATCH(C_Inventory!D48,'I04_Weight&amp;Cost'!$A$2:$A$2000,0),1),0)</f>
        <v>0</v>
      </c>
      <c r="I48" s="161">
        <f>IFERROR(INDEX('I04_Weight&amp;Cost'!$B$2:$B$2000,MATCH(C_Inventory!D48,'I04_Weight&amp;Cost'!$A$2:$A$2000,0),1),0)</f>
        <v>0</v>
      </c>
      <c r="J48">
        <f t="shared" si="10"/>
        <v>0</v>
      </c>
      <c r="K48" s="963"/>
      <c r="L48" s="963"/>
      <c r="M48" s="132"/>
      <c r="N48" s="805" t="s">
        <v>164</v>
      </c>
      <c r="O48" s="964"/>
      <c r="P48" s="965">
        <f>P41</f>
        <v>210</v>
      </c>
      <c r="Q48" s="966"/>
      <c r="R48" s="967"/>
      <c r="S48" s="132"/>
      <c r="T48" s="132"/>
      <c r="U48" s="163"/>
      <c r="V48" s="195"/>
      <c r="W48" s="195"/>
      <c r="X48" s="195"/>
      <c r="Y48" s="195"/>
      <c r="Z48" s="195"/>
      <c r="AA48" s="195"/>
      <c r="AB48" s="195"/>
      <c r="AC48" s="195"/>
      <c r="AD48" s="195"/>
      <c r="AE48" s="195"/>
      <c r="AF48" s="195"/>
      <c r="AG48" s="195"/>
      <c r="AH48" s="195"/>
      <c r="AI48" s="195"/>
      <c r="AJ48" s="195"/>
      <c r="AK48" s="195"/>
      <c r="AL48" s="195"/>
      <c r="AM48" s="195"/>
      <c r="AN48" s="195"/>
      <c r="AO48" s="195"/>
      <c r="AP48" s="195"/>
      <c r="AQ48" s="195"/>
      <c r="AR48" s="195"/>
      <c r="AS48" s="195"/>
      <c r="AT48" s="195"/>
      <c r="AU48" s="195"/>
      <c r="AV48" s="195"/>
      <c r="AW48" s="195"/>
      <c r="AX48" s="195"/>
      <c r="AY48" s="195"/>
      <c r="AZ48" s="195"/>
      <c r="BA48" s="195"/>
      <c r="BB48" s="195"/>
      <c r="BC48" s="196"/>
      <c r="BD48" s="196"/>
      <c r="BE48" s="196"/>
      <c r="BF48" s="196"/>
    </row>
    <row r="49" spans="1:58" ht="15.95" customHeight="1" x14ac:dyDescent="0.25">
      <c r="A49" s="132"/>
      <c r="B49" s="968" t="s">
        <v>3674</v>
      </c>
      <c r="C49" s="969"/>
      <c r="D49" s="979" t="str">
        <f t="shared" si="8"/>
        <v/>
      </c>
      <c r="E49" s="980"/>
      <c r="F49" s="981"/>
      <c r="G49" s="161" t="str">
        <f t="shared" si="9"/>
        <v/>
      </c>
      <c r="H49" s="161">
        <f>IFERROR(INDEX('I04_Weight&amp;Cost'!$C$2:$C$2000,MATCH(C_Inventory!D49,'I04_Weight&amp;Cost'!$A$2:$A$2000,0),1),0)</f>
        <v>0</v>
      </c>
      <c r="I49" s="161">
        <f>IFERROR(INDEX('I04_Weight&amp;Cost'!$B$2:$B$2000,MATCH(C_Inventory!D49,'I04_Weight&amp;Cost'!$A$2:$A$2000,0),1),0)</f>
        <v>0</v>
      </c>
      <c r="J49">
        <f t="shared" si="10"/>
        <v>0</v>
      </c>
      <c r="K49" s="963"/>
      <c r="L49" s="963"/>
      <c r="M49" s="132"/>
      <c r="N49" s="805"/>
      <c r="O49" s="964"/>
      <c r="P49" s="965"/>
      <c r="Q49" s="966"/>
      <c r="R49" s="967"/>
      <c r="S49" s="132"/>
      <c r="T49" s="132"/>
      <c r="U49" s="163"/>
      <c r="V49" s="195"/>
      <c r="W49" s="195"/>
      <c r="X49" s="195"/>
      <c r="Y49" s="195"/>
      <c r="Z49" s="195"/>
      <c r="AA49" s="195"/>
      <c r="AB49" s="195"/>
      <c r="AC49" s="195"/>
      <c r="AD49" s="195"/>
      <c r="AE49" s="195"/>
      <c r="AF49" s="195"/>
      <c r="AG49" s="195"/>
      <c r="AH49" s="195"/>
      <c r="AI49" s="195"/>
      <c r="AJ49" s="195"/>
      <c r="AK49" s="195"/>
      <c r="AL49" s="195"/>
      <c r="AM49" s="195"/>
      <c r="AN49" s="195"/>
      <c r="AO49" s="195"/>
      <c r="AP49" s="195"/>
      <c r="AQ49" s="195"/>
      <c r="AR49" s="195"/>
      <c r="AS49" s="195"/>
      <c r="AT49" s="195"/>
      <c r="AU49" s="195"/>
      <c r="AV49" s="195"/>
      <c r="AW49" s="195"/>
      <c r="AX49" s="195"/>
      <c r="AY49" s="195"/>
      <c r="AZ49" s="195"/>
      <c r="BA49" s="195"/>
      <c r="BB49" s="195"/>
      <c r="BC49" s="196"/>
      <c r="BD49" s="196"/>
      <c r="BE49" s="196"/>
      <c r="BF49" s="196"/>
    </row>
    <row r="50" spans="1:58" ht="15.95" customHeight="1" x14ac:dyDescent="0.25">
      <c r="A50" s="132"/>
      <c r="B50" s="968" t="s">
        <v>3676</v>
      </c>
      <c r="C50" s="969"/>
      <c r="D50" s="970" t="str">
        <f t="shared" si="8"/>
        <v/>
      </c>
      <c r="E50" s="971"/>
      <c r="F50" s="972"/>
      <c r="G50" s="161" t="str">
        <f t="shared" si="9"/>
        <v/>
      </c>
      <c r="H50" s="161">
        <f>IFERROR(INDEX('I04_Weight&amp;Cost'!$C$2:$C$2000,MATCH(C_Inventory!D50,'I04_Weight&amp;Cost'!$A$2:$A$2000,0),1),0)</f>
        <v>0</v>
      </c>
      <c r="I50" s="161">
        <f>IFERROR(INDEX('I04_Weight&amp;Cost'!$B$2:$B$2000,MATCH(C_Inventory!D50,'I04_Weight&amp;Cost'!$A$2:$A$2000,0),1),0)</f>
        <v>0</v>
      </c>
      <c r="J50">
        <f t="shared" si="10"/>
        <v>0</v>
      </c>
      <c r="K50" s="963"/>
      <c r="L50" s="963"/>
      <c r="M50" s="132"/>
      <c r="N50" s="132"/>
      <c r="O50" s="132"/>
      <c r="P50" s="132"/>
      <c r="Q50" s="132"/>
      <c r="R50" s="132"/>
      <c r="S50" s="132"/>
      <c r="T50" s="132"/>
      <c r="U50" s="163"/>
      <c r="V50" s="195"/>
      <c r="W50" s="195"/>
      <c r="X50" s="195"/>
      <c r="Y50" s="195"/>
      <c r="Z50" s="195"/>
      <c r="AA50" s="195"/>
      <c r="AB50" s="195"/>
      <c r="AC50" s="195"/>
      <c r="AD50" s="195"/>
      <c r="AE50" s="195"/>
      <c r="AF50" s="195"/>
      <c r="AG50" s="195"/>
      <c r="AH50" s="195"/>
      <c r="AI50" s="195"/>
      <c r="AJ50" s="195"/>
      <c r="AK50" s="195"/>
      <c r="AL50" s="195"/>
      <c r="AM50" s="195"/>
      <c r="AN50" s="195"/>
      <c r="AO50" s="195"/>
      <c r="AP50" s="195"/>
      <c r="AQ50" s="195"/>
      <c r="AR50" s="195"/>
      <c r="AS50" s="195"/>
      <c r="AT50" s="195"/>
      <c r="AU50" s="195"/>
      <c r="AV50" s="195"/>
      <c r="AW50" s="195"/>
      <c r="AX50" s="195"/>
      <c r="AY50" s="195"/>
      <c r="AZ50" s="195"/>
      <c r="BA50" s="195"/>
      <c r="BB50" s="195"/>
      <c r="BC50" s="196"/>
      <c r="BD50" s="196"/>
      <c r="BE50" s="196"/>
      <c r="BF50" s="196"/>
    </row>
    <row r="51" spans="1:58" ht="15.95" customHeight="1" x14ac:dyDescent="0.25">
      <c r="A51" s="132"/>
      <c r="B51" s="968" t="s">
        <v>3678</v>
      </c>
      <c r="C51" s="969"/>
      <c r="D51" s="970" t="str">
        <f t="shared" si="8"/>
        <v/>
      </c>
      <c r="E51" s="971"/>
      <c r="F51" s="972"/>
      <c r="G51" s="161" t="str">
        <f t="shared" si="9"/>
        <v/>
      </c>
      <c r="H51" s="161">
        <f>IFERROR(INDEX('I04_Weight&amp;Cost'!$C$2:$C$2000,MATCH(C_Inventory!D51,'I04_Weight&amp;Cost'!$A$2:$A$2000,0),1),0)</f>
        <v>0</v>
      </c>
      <c r="I51" s="161">
        <f>IFERROR(INDEX('I04_Weight&amp;Cost'!$B$2:$B$2000,MATCH(C_Inventory!D51,'I04_Weight&amp;Cost'!$A$2:$A$2000,0),1),0)</f>
        <v>0</v>
      </c>
      <c r="J51">
        <f t="shared" si="10"/>
        <v>0</v>
      </c>
      <c r="K51" s="963"/>
      <c r="L51" s="963"/>
      <c r="M51" s="132"/>
      <c r="N51" s="805" t="s">
        <v>3898</v>
      </c>
      <c r="O51" s="964"/>
      <c r="P51" s="965">
        <f>SUMIFS(J37:J56,K37:K56,"backpack")+SUMIFS(J37:J56,K37:K56,"character")</f>
        <v>0</v>
      </c>
      <c r="Q51" s="966"/>
      <c r="R51" s="967"/>
      <c r="S51" s="132"/>
      <c r="T51" s="132"/>
      <c r="U51" s="163"/>
      <c r="V51" s="195"/>
      <c r="W51" s="195"/>
      <c r="X51" s="195"/>
      <c r="Y51" s="195"/>
      <c r="Z51" s="195"/>
      <c r="AA51" s="195"/>
      <c r="AB51" s="195"/>
      <c r="AC51" s="195"/>
      <c r="AD51" s="195"/>
      <c r="AE51" s="195"/>
      <c r="AF51" s="195"/>
      <c r="AG51" s="195"/>
      <c r="AH51" s="195"/>
      <c r="AI51" s="195"/>
      <c r="AJ51" s="195"/>
      <c r="AK51" s="195"/>
      <c r="AL51" s="195"/>
      <c r="AM51" s="195"/>
      <c r="AN51" s="195"/>
      <c r="AO51" s="195"/>
      <c r="AP51" s="195"/>
      <c r="AQ51" s="195"/>
      <c r="AR51" s="195"/>
      <c r="AS51" s="195"/>
      <c r="AT51" s="195"/>
      <c r="AU51" s="195"/>
      <c r="AV51" s="195"/>
      <c r="AW51" s="195"/>
      <c r="AX51" s="195"/>
      <c r="AY51" s="195"/>
      <c r="AZ51" s="195"/>
      <c r="BA51" s="195"/>
      <c r="BB51" s="195"/>
      <c r="BC51" s="196"/>
      <c r="BD51" s="196"/>
      <c r="BE51" s="196"/>
      <c r="BF51" s="196"/>
    </row>
    <row r="52" spans="1:58" ht="15.95" customHeight="1" x14ac:dyDescent="0.25">
      <c r="A52" s="132"/>
      <c r="B52" s="968" t="s">
        <v>3680</v>
      </c>
      <c r="C52" s="969"/>
      <c r="D52" s="970" t="str">
        <f t="shared" si="8"/>
        <v/>
      </c>
      <c r="E52" s="971"/>
      <c r="F52" s="972"/>
      <c r="G52" s="161" t="str">
        <f t="shared" si="9"/>
        <v/>
      </c>
      <c r="H52" s="161">
        <f>IFERROR(INDEX('I04_Weight&amp;Cost'!$C$2:$C$2000,MATCH(C_Inventory!D52,'I04_Weight&amp;Cost'!$A$2:$A$2000,0),1),0)</f>
        <v>0</v>
      </c>
      <c r="I52" s="161">
        <f>IFERROR(INDEX('I04_Weight&amp;Cost'!$B$2:$B$2000,MATCH(C_Inventory!D52,'I04_Weight&amp;Cost'!$A$2:$A$2000,0),1),0)</f>
        <v>0</v>
      </c>
      <c r="J52">
        <f t="shared" si="10"/>
        <v>0</v>
      </c>
      <c r="K52" s="963"/>
      <c r="L52" s="963"/>
      <c r="M52" s="132"/>
      <c r="N52" s="805"/>
      <c r="O52" s="964"/>
      <c r="P52" s="965"/>
      <c r="Q52" s="966"/>
      <c r="R52" s="967"/>
      <c r="S52" s="132"/>
      <c r="T52" s="132"/>
      <c r="U52" s="163"/>
      <c r="V52" s="195"/>
      <c r="W52" s="195"/>
      <c r="X52" s="195"/>
      <c r="Y52" s="195"/>
      <c r="Z52" s="195"/>
      <c r="AA52" s="195"/>
      <c r="AB52" s="195"/>
      <c r="AC52" s="195"/>
      <c r="AD52" s="195"/>
      <c r="AE52" s="195"/>
      <c r="AF52" s="195"/>
      <c r="AG52" s="195"/>
      <c r="AH52" s="195"/>
      <c r="AI52" s="195"/>
      <c r="AJ52" s="195"/>
      <c r="AK52" s="195"/>
      <c r="AL52" s="195"/>
      <c r="AM52" s="195"/>
      <c r="AN52" s="195"/>
      <c r="AO52" s="195"/>
      <c r="AP52" s="195"/>
      <c r="AQ52" s="195"/>
      <c r="AR52" s="195"/>
      <c r="AS52" s="195"/>
      <c r="AT52" s="195"/>
      <c r="AU52" s="195"/>
      <c r="AV52" s="195"/>
      <c r="AW52" s="195"/>
      <c r="AX52" s="195"/>
      <c r="AY52" s="195"/>
      <c r="AZ52" s="195"/>
      <c r="BA52" s="195"/>
      <c r="BB52" s="195"/>
      <c r="BC52" s="196"/>
      <c r="BD52" s="196"/>
      <c r="BE52" s="196"/>
      <c r="BF52" s="196"/>
    </row>
    <row r="53" spans="1:58" ht="15.95" customHeight="1" x14ac:dyDescent="0.25">
      <c r="A53" s="132"/>
      <c r="B53" s="968" t="s">
        <v>3682</v>
      </c>
      <c r="C53" s="969"/>
      <c r="D53" s="970" t="str">
        <f t="shared" si="8"/>
        <v/>
      </c>
      <c r="E53" s="971"/>
      <c r="F53" s="972"/>
      <c r="G53" s="161" t="str">
        <f t="shared" si="9"/>
        <v/>
      </c>
      <c r="H53" s="161">
        <f>IFERROR(INDEX('I04_Weight&amp;Cost'!$C$2:$C$2000,MATCH(C_Inventory!D53,'I04_Weight&amp;Cost'!$A$2:$A$2000,0),1),0)</f>
        <v>0</v>
      </c>
      <c r="I53" s="161">
        <f>IFERROR(INDEX('I04_Weight&amp;Cost'!$B$2:$B$2000,MATCH(C_Inventory!D53,'I04_Weight&amp;Cost'!$A$2:$A$2000,0),1),0)</f>
        <v>0</v>
      </c>
      <c r="J53">
        <f t="shared" si="10"/>
        <v>0</v>
      </c>
      <c r="K53" s="963"/>
      <c r="L53" s="963"/>
      <c r="M53" s="132"/>
      <c r="N53" s="132"/>
      <c r="O53" s="132"/>
      <c r="P53" s="132"/>
      <c r="Q53" s="132"/>
      <c r="R53" s="132"/>
      <c r="S53" s="132"/>
      <c r="T53" s="132"/>
      <c r="U53" s="163"/>
      <c r="V53" s="195"/>
      <c r="W53" s="195"/>
      <c r="X53" s="195"/>
      <c r="Y53" s="195"/>
      <c r="Z53" s="195"/>
      <c r="AA53" s="195"/>
      <c r="AB53" s="195"/>
      <c r="AC53" s="195"/>
      <c r="AD53" s="195"/>
      <c r="AE53" s="195"/>
      <c r="AF53" s="195"/>
      <c r="AG53" s="195"/>
      <c r="AH53" s="195"/>
      <c r="AI53" s="195"/>
      <c r="AJ53" s="195"/>
      <c r="AK53" s="195"/>
      <c r="AL53" s="195"/>
      <c r="AM53" s="195"/>
      <c r="AN53" s="195"/>
      <c r="AO53" s="195"/>
      <c r="AP53" s="195"/>
      <c r="AQ53" s="195"/>
      <c r="AR53" s="195"/>
      <c r="AS53" s="195"/>
      <c r="AT53" s="195"/>
      <c r="AU53" s="195"/>
      <c r="AV53" s="195"/>
      <c r="AW53" s="195"/>
      <c r="AX53" s="195"/>
      <c r="AY53" s="195"/>
      <c r="AZ53" s="195"/>
      <c r="BA53" s="195"/>
      <c r="BB53" s="195"/>
      <c r="BC53" s="196"/>
      <c r="BD53" s="196"/>
      <c r="BE53" s="196"/>
      <c r="BF53" s="196"/>
    </row>
    <row r="54" spans="1:58" ht="15.95" customHeight="1" x14ac:dyDescent="0.25">
      <c r="A54" s="132"/>
      <c r="B54" s="968" t="s">
        <v>3684</v>
      </c>
      <c r="C54" s="969"/>
      <c r="D54" s="970" t="str">
        <f t="shared" si="8"/>
        <v/>
      </c>
      <c r="E54" s="971"/>
      <c r="F54" s="972"/>
      <c r="G54" s="161" t="str">
        <f t="shared" si="9"/>
        <v/>
      </c>
      <c r="H54" s="161">
        <f>IFERROR(INDEX('I04_Weight&amp;Cost'!$C$2:$C$2000,MATCH(C_Inventory!D54,'I04_Weight&amp;Cost'!$A$2:$A$2000,0),1),0)</f>
        <v>0</v>
      </c>
      <c r="I54" s="161">
        <f>IFERROR(INDEX('I04_Weight&amp;Cost'!$B$2:$B$2000,MATCH(C_Inventory!D54,'I04_Weight&amp;Cost'!$A$2:$A$2000,0),1),0)</f>
        <v>0</v>
      </c>
      <c r="J54">
        <f t="shared" si="10"/>
        <v>0</v>
      </c>
      <c r="K54" s="963"/>
      <c r="L54" s="963"/>
      <c r="M54" s="132"/>
      <c r="N54" s="805" t="s">
        <v>3899</v>
      </c>
      <c r="O54" s="964"/>
      <c r="P54" s="965">
        <f>SUMIFS(J37:J56,K37:K56,"character")</f>
        <v>0</v>
      </c>
      <c r="Q54" s="966"/>
      <c r="R54" s="967"/>
      <c r="S54" s="132"/>
      <c r="T54" s="132"/>
      <c r="U54" s="163"/>
      <c r="V54" s="195"/>
      <c r="W54" s="195"/>
      <c r="X54" s="195"/>
      <c r="Y54" s="195"/>
      <c r="Z54" s="195"/>
      <c r="AA54" s="195"/>
      <c r="AB54" s="195"/>
      <c r="AC54" s="195"/>
      <c r="AD54" s="195"/>
      <c r="AE54" s="195"/>
      <c r="AF54" s="195"/>
      <c r="AG54" s="195"/>
      <c r="AH54" s="195"/>
      <c r="AI54" s="195"/>
      <c r="AJ54" s="195"/>
      <c r="AK54" s="195"/>
      <c r="AL54" s="195"/>
      <c r="AM54" s="195"/>
      <c r="AN54" s="195"/>
      <c r="AO54" s="195"/>
      <c r="AP54" s="195"/>
      <c r="AQ54" s="195"/>
      <c r="AR54" s="195"/>
      <c r="AS54" s="195"/>
      <c r="AT54" s="195"/>
      <c r="AU54" s="195"/>
      <c r="AV54" s="195"/>
      <c r="AW54" s="195"/>
      <c r="AX54" s="195"/>
      <c r="AY54" s="195"/>
      <c r="AZ54" s="195"/>
      <c r="BA54" s="195"/>
      <c r="BB54" s="195"/>
      <c r="BC54" s="196"/>
      <c r="BD54" s="196"/>
      <c r="BE54" s="196"/>
      <c r="BF54" s="196"/>
    </row>
    <row r="55" spans="1:58" ht="15.95" customHeight="1" x14ac:dyDescent="0.25">
      <c r="A55" s="132"/>
      <c r="B55" s="968" t="s">
        <v>3686</v>
      </c>
      <c r="C55" s="969"/>
      <c r="D55" s="970" t="str">
        <f t="shared" si="8"/>
        <v/>
      </c>
      <c r="E55" s="971"/>
      <c r="F55" s="972"/>
      <c r="G55" s="161" t="str">
        <f t="shared" si="9"/>
        <v/>
      </c>
      <c r="H55" s="161">
        <f>IFERROR(INDEX('I04_Weight&amp;Cost'!$C$2:$C$2000,MATCH(C_Inventory!D55,'I04_Weight&amp;Cost'!$A$2:$A$2000,0),1),0)</f>
        <v>0</v>
      </c>
      <c r="I55" s="161">
        <f>IFERROR(INDEX('I04_Weight&amp;Cost'!$B$2:$B$2000,MATCH(C_Inventory!D55,'I04_Weight&amp;Cost'!$A$2:$A$2000,0),1),0)</f>
        <v>0</v>
      </c>
      <c r="J55">
        <f t="shared" si="10"/>
        <v>0</v>
      </c>
      <c r="K55" s="963"/>
      <c r="L55" s="963"/>
      <c r="M55" s="132"/>
      <c r="N55" s="805"/>
      <c r="O55" s="964"/>
      <c r="P55" s="965"/>
      <c r="Q55" s="966"/>
      <c r="R55" s="967"/>
      <c r="S55" s="132"/>
      <c r="T55" s="132"/>
      <c r="U55" s="163"/>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5"/>
      <c r="AR55" s="195"/>
      <c r="AS55" s="195"/>
      <c r="AT55" s="195"/>
      <c r="AU55" s="195"/>
      <c r="AV55" s="195"/>
      <c r="AW55" s="195"/>
      <c r="AX55" s="195"/>
      <c r="AY55" s="195"/>
      <c r="AZ55" s="195"/>
      <c r="BA55" s="195"/>
      <c r="BB55" s="195"/>
      <c r="BC55" s="196"/>
      <c r="BD55" s="196"/>
      <c r="BE55" s="196"/>
      <c r="BF55" s="196"/>
    </row>
    <row r="56" spans="1:58" ht="15.95" customHeight="1" x14ac:dyDescent="0.25">
      <c r="A56" s="132"/>
      <c r="B56" s="968" t="s">
        <v>3688</v>
      </c>
      <c r="C56" s="969"/>
      <c r="D56" s="970" t="str">
        <f t="shared" si="8"/>
        <v/>
      </c>
      <c r="E56" s="971"/>
      <c r="F56" s="972"/>
      <c r="G56" s="161" t="str">
        <f t="shared" si="9"/>
        <v/>
      </c>
      <c r="H56" s="161">
        <f>IFERROR(INDEX('I04_Weight&amp;Cost'!$C$2:$C$2000,MATCH(C_Inventory!D56,'I04_Weight&amp;Cost'!$A$2:$A$2000,0),1),0)</f>
        <v>0</v>
      </c>
      <c r="I56" s="161">
        <f>IFERROR(INDEX('I04_Weight&amp;Cost'!$B$2:$B$2000,MATCH(C_Inventory!D56,'I04_Weight&amp;Cost'!$A$2:$A$2000,0),1),0)</f>
        <v>0</v>
      </c>
      <c r="J56">
        <f t="shared" si="10"/>
        <v>0</v>
      </c>
      <c r="K56" s="963"/>
      <c r="L56" s="963"/>
      <c r="M56" s="132"/>
      <c r="N56" s="132"/>
      <c r="O56" s="132"/>
      <c r="P56" s="132"/>
      <c r="Q56" s="132"/>
      <c r="R56" s="132"/>
      <c r="S56" s="132"/>
      <c r="T56" s="132"/>
      <c r="U56" s="163"/>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96"/>
      <c r="AZ56" s="196"/>
      <c r="BA56" s="196"/>
      <c r="BB56" s="196"/>
      <c r="BC56" s="196"/>
      <c r="BD56" s="196"/>
      <c r="BE56" s="196"/>
      <c r="BF56" s="196"/>
    </row>
    <row r="57" spans="1:58" ht="15.95" customHeight="1" x14ac:dyDescent="0.25">
      <c r="A57" s="132"/>
      <c r="B57" s="132"/>
      <c r="C57" s="132"/>
      <c r="D57" s="132"/>
      <c r="E57" s="132"/>
      <c r="F57" s="132"/>
      <c r="G57" s="132"/>
      <c r="H57" s="132"/>
      <c r="I57" s="132"/>
      <c r="J57" s="132"/>
      <c r="K57" s="132"/>
      <c r="L57" s="132"/>
      <c r="M57" s="132"/>
      <c r="N57" s="132"/>
      <c r="O57" s="132"/>
      <c r="P57" s="132"/>
      <c r="Q57" s="132"/>
      <c r="R57" s="132"/>
      <c r="S57" s="132"/>
      <c r="T57" s="132"/>
      <c r="U57" s="163"/>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96"/>
      <c r="AZ57" s="196"/>
      <c r="BA57" s="196"/>
      <c r="BB57" s="196"/>
      <c r="BC57" s="196"/>
      <c r="BD57" s="196"/>
      <c r="BE57" s="196"/>
      <c r="BF57" s="196"/>
    </row>
    <row r="58" spans="1:58" ht="15.95" customHeight="1" x14ac:dyDescent="0.25">
      <c r="A58" s="132"/>
      <c r="B58" s="132"/>
      <c r="C58" s="132"/>
      <c r="D58" s="132"/>
      <c r="E58" s="132"/>
      <c r="F58" s="132"/>
      <c r="G58" s="132"/>
      <c r="H58" s="132"/>
      <c r="I58" s="132"/>
      <c r="J58" s="132"/>
      <c r="K58" s="132"/>
      <c r="L58" s="132"/>
      <c r="M58" s="132"/>
      <c r="N58" s="132"/>
      <c r="O58" s="132"/>
      <c r="P58" s="132"/>
      <c r="Q58" s="132"/>
      <c r="R58" s="132"/>
      <c r="S58" s="132"/>
      <c r="T58" s="132"/>
      <c r="U58" s="163"/>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6"/>
      <c r="BF58" s="196"/>
    </row>
    <row r="59" spans="1:58" ht="15.95" customHeight="1" x14ac:dyDescent="0.25">
      <c r="A59" s="132"/>
      <c r="B59" s="132"/>
      <c r="C59" s="132"/>
      <c r="D59" s="132"/>
      <c r="E59" s="132"/>
      <c r="F59" s="132"/>
      <c r="G59" s="132"/>
      <c r="H59" s="132"/>
      <c r="I59" s="132"/>
      <c r="J59" s="132"/>
      <c r="K59" s="132"/>
      <c r="L59" s="132"/>
      <c r="M59" s="132"/>
      <c r="N59" s="132"/>
      <c r="O59" s="132"/>
      <c r="P59" s="132"/>
      <c r="Q59" s="132"/>
      <c r="R59" s="132"/>
      <c r="S59" s="132"/>
      <c r="T59" s="132"/>
      <c r="U59" s="163"/>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c r="BE59" s="196"/>
      <c r="BF59" s="196"/>
    </row>
    <row r="60" spans="1:58" ht="15.95" customHeight="1" x14ac:dyDescent="0.25">
      <c r="U60" s="163"/>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6"/>
      <c r="BC60" s="196"/>
      <c r="BD60" s="196"/>
      <c r="BE60" s="196"/>
      <c r="BF60" s="196"/>
    </row>
    <row r="61" spans="1:58" ht="15.95" customHeight="1" x14ac:dyDescent="0.25">
      <c r="U61" s="163"/>
      <c r="V61" s="196"/>
      <c r="W61" s="196"/>
      <c r="X61" s="196"/>
      <c r="Y61" s="196"/>
      <c r="Z61" s="196"/>
      <c r="AA61" s="196"/>
      <c r="AB61" s="196"/>
      <c r="AC61" s="196"/>
      <c r="AD61" s="196"/>
      <c r="AE61" s="196"/>
      <c r="AF61" s="196"/>
      <c r="AG61" s="196"/>
      <c r="AH61" s="196"/>
      <c r="AI61" s="196"/>
      <c r="AJ61" s="196"/>
      <c r="AK61" s="196"/>
      <c r="AL61" s="196"/>
      <c r="AM61" s="196"/>
      <c r="AN61" s="196"/>
      <c r="AO61" s="196"/>
      <c r="AP61" s="196"/>
      <c r="AQ61" s="196"/>
      <c r="AR61" s="196"/>
      <c r="AS61" s="196"/>
      <c r="AT61" s="196"/>
      <c r="AU61" s="196"/>
      <c r="AV61" s="196"/>
      <c r="AW61" s="196"/>
      <c r="AX61" s="196"/>
      <c r="AY61" s="196"/>
      <c r="AZ61" s="196"/>
      <c r="BA61" s="196"/>
      <c r="BB61" s="196"/>
      <c r="BC61" s="196"/>
      <c r="BD61" s="196"/>
      <c r="BE61" s="196"/>
      <c r="BF61" s="196"/>
    </row>
    <row r="62" spans="1:58" ht="15.95" customHeight="1" x14ac:dyDescent="0.25">
      <c r="U62" s="163"/>
      <c r="V62" s="196"/>
      <c r="W62" s="196"/>
      <c r="X62" s="196"/>
      <c r="Y62" s="196"/>
      <c r="Z62" s="196"/>
      <c r="AA62" s="196"/>
      <c r="AB62" s="196"/>
      <c r="AC62" s="196"/>
      <c r="AD62" s="196"/>
      <c r="AE62" s="196"/>
      <c r="AF62" s="196"/>
      <c r="AG62" s="196"/>
      <c r="AH62" s="196"/>
      <c r="AI62" s="196"/>
      <c r="AJ62" s="196"/>
      <c r="AK62" s="196"/>
      <c r="AL62" s="196"/>
      <c r="AM62" s="196"/>
      <c r="AN62" s="196"/>
      <c r="AO62" s="196"/>
      <c r="AP62" s="196"/>
      <c r="AQ62" s="196"/>
      <c r="AR62" s="196"/>
      <c r="AS62" s="196"/>
      <c r="AT62" s="196"/>
      <c r="AU62" s="196"/>
      <c r="AV62" s="196"/>
      <c r="AW62" s="196"/>
      <c r="AX62" s="196"/>
      <c r="AY62" s="196"/>
      <c r="AZ62" s="196"/>
      <c r="BA62" s="196"/>
      <c r="BB62" s="196"/>
      <c r="BC62" s="196"/>
      <c r="BD62" s="196"/>
      <c r="BE62" s="196"/>
      <c r="BF62" s="196"/>
    </row>
    <row r="63" spans="1:58" ht="15.95" customHeight="1" x14ac:dyDescent="0.25">
      <c r="U63" s="163"/>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6"/>
      <c r="BF63" s="196"/>
    </row>
    <row r="64" spans="1:58" ht="15.95" customHeight="1" x14ac:dyDescent="0.25">
      <c r="U64" s="163"/>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6"/>
      <c r="BF64" s="196"/>
    </row>
    <row r="65" spans="2:58" ht="15.95" customHeight="1" x14ac:dyDescent="0.25">
      <c r="U65" s="163"/>
      <c r="V65" s="196"/>
      <c r="W65" s="196"/>
      <c r="X65" s="196"/>
      <c r="Y65" s="196"/>
      <c r="Z65" s="196"/>
      <c r="AA65" s="196"/>
      <c r="AB65" s="196"/>
      <c r="AC65" s="196"/>
      <c r="AD65" s="196"/>
      <c r="AE65" s="196"/>
      <c r="AF65" s="196"/>
      <c r="AG65" s="196"/>
      <c r="AH65" s="196"/>
      <c r="AI65" s="196"/>
      <c r="AJ65" s="196"/>
      <c r="AK65" s="196"/>
      <c r="AL65" s="196"/>
      <c r="AM65" s="196"/>
      <c r="AN65" s="196"/>
      <c r="AO65" s="196"/>
      <c r="AP65" s="196"/>
      <c r="AQ65" s="196"/>
      <c r="AR65" s="196"/>
      <c r="AS65" s="196"/>
      <c r="AT65" s="196"/>
      <c r="AU65" s="196"/>
      <c r="AV65" s="196"/>
      <c r="AW65" s="196"/>
      <c r="AX65" s="196"/>
      <c r="AY65" s="196"/>
      <c r="AZ65" s="196"/>
      <c r="BA65" s="196"/>
      <c r="BB65" s="196"/>
      <c r="BC65" s="196"/>
      <c r="BD65" s="196"/>
      <c r="BE65" s="196"/>
      <c r="BF65" s="196"/>
    </row>
    <row r="66" spans="2:58" ht="15.95" customHeight="1" x14ac:dyDescent="0.25">
      <c r="U66" s="163"/>
      <c r="V66" s="196"/>
      <c r="W66" s="196"/>
      <c r="X66" s="196"/>
      <c r="Y66" s="196"/>
      <c r="Z66" s="196"/>
      <c r="AA66" s="196"/>
      <c r="AB66" s="196"/>
      <c r="AC66" s="196"/>
      <c r="AD66" s="196"/>
      <c r="AE66" s="196"/>
      <c r="AF66" s="196"/>
      <c r="AG66" s="196"/>
      <c r="AH66" s="196"/>
      <c r="AI66" s="196"/>
      <c r="AJ66" s="196"/>
      <c r="AK66" s="196"/>
      <c r="AL66" s="196"/>
      <c r="AM66" s="196"/>
      <c r="AN66" s="196"/>
      <c r="AO66" s="196"/>
      <c r="AP66" s="196"/>
      <c r="AQ66" s="196"/>
      <c r="AR66" s="196"/>
      <c r="AS66" s="196"/>
      <c r="AT66" s="196"/>
      <c r="AU66" s="196"/>
      <c r="AV66" s="196"/>
      <c r="AW66" s="196"/>
      <c r="AX66" s="196"/>
      <c r="AY66" s="196"/>
      <c r="AZ66" s="196"/>
      <c r="BA66" s="196"/>
      <c r="BB66" s="196"/>
      <c r="BC66" s="196"/>
      <c r="BD66" s="196"/>
      <c r="BE66" s="196"/>
      <c r="BF66" s="196"/>
    </row>
    <row r="67" spans="2:58" ht="15.95" customHeight="1" x14ac:dyDescent="0.25">
      <c r="B67" t="s">
        <v>3784</v>
      </c>
      <c r="U67" s="163"/>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6"/>
      <c r="BF67" s="196"/>
    </row>
    <row r="68" spans="2:58" ht="15.95" customHeight="1" x14ac:dyDescent="0.25">
      <c r="U68" s="163"/>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row>
    <row r="69" spans="2:58" ht="15.95" customHeight="1" x14ac:dyDescent="0.25">
      <c r="B69" t="s">
        <v>3785</v>
      </c>
      <c r="U69" s="163"/>
      <c r="V69" s="196"/>
      <c r="W69" s="196"/>
      <c r="X69" s="196"/>
      <c r="Y69" s="196"/>
      <c r="Z69" s="196"/>
      <c r="AA69" s="196"/>
      <c r="AB69" s="196"/>
      <c r="AC69" s="196"/>
      <c r="AD69" s="196"/>
      <c r="AE69" s="196"/>
      <c r="AF69" s="196"/>
      <c r="AG69" s="196"/>
      <c r="AH69" s="196"/>
      <c r="AI69" s="196"/>
      <c r="AJ69" s="196"/>
      <c r="AK69" s="196"/>
      <c r="AL69" s="196"/>
      <c r="AM69" s="196"/>
      <c r="AN69" s="196"/>
      <c r="AO69" s="196"/>
      <c r="AP69" s="196"/>
      <c r="AQ69" s="196"/>
      <c r="AR69" s="196"/>
      <c r="AS69" s="196"/>
      <c r="AT69" s="196"/>
      <c r="AU69" s="196"/>
      <c r="AV69" s="196"/>
      <c r="AW69" s="196"/>
      <c r="AX69" s="196"/>
      <c r="AY69" s="196"/>
      <c r="AZ69" s="196"/>
      <c r="BA69" s="196"/>
      <c r="BB69" s="196"/>
      <c r="BC69" s="196"/>
      <c r="BD69" s="196"/>
      <c r="BE69" s="196"/>
      <c r="BF69" s="196"/>
    </row>
    <row r="70" spans="2:58" ht="15.95" customHeight="1" x14ac:dyDescent="0.25">
      <c r="B70" t="s">
        <v>3787</v>
      </c>
      <c r="U70" s="163"/>
      <c r="V70" s="196"/>
      <c r="W70" s="196"/>
      <c r="X70" s="196"/>
      <c r="Y70" s="196"/>
      <c r="Z70" s="196"/>
      <c r="AA70" s="196"/>
      <c r="AB70" s="196"/>
      <c r="AC70" s="196"/>
      <c r="AD70" s="196"/>
      <c r="AE70" s="196"/>
      <c r="AF70" s="196"/>
      <c r="AG70" s="196"/>
      <c r="AH70" s="196"/>
      <c r="AI70" s="196"/>
      <c r="AJ70" s="196"/>
      <c r="AK70" s="196"/>
      <c r="AL70" s="196"/>
      <c r="AM70" s="196"/>
      <c r="AN70" s="196"/>
      <c r="AO70" s="196"/>
      <c r="AP70" s="196"/>
      <c r="AQ70" s="196"/>
      <c r="AR70" s="196"/>
      <c r="AS70" s="196"/>
      <c r="AT70" s="196"/>
      <c r="AU70" s="196"/>
      <c r="AV70" s="196"/>
      <c r="AW70" s="196"/>
      <c r="AX70" s="196"/>
      <c r="AY70" s="196"/>
      <c r="AZ70" s="196"/>
      <c r="BA70" s="196"/>
      <c r="BB70" s="196"/>
      <c r="BC70" s="196"/>
      <c r="BD70" s="196"/>
      <c r="BE70" s="196"/>
      <c r="BF70" s="196"/>
    </row>
    <row r="71" spans="2:58" ht="15.95" customHeight="1" x14ac:dyDescent="0.25">
      <c r="B71" t="s">
        <v>3788</v>
      </c>
      <c r="U71" s="163"/>
      <c r="V71" s="196"/>
      <c r="W71" s="196"/>
      <c r="X71" s="196"/>
      <c r="Y71" s="196" t="s">
        <v>3786</v>
      </c>
      <c r="Z71" s="196"/>
      <c r="AA71" s="196"/>
      <c r="AB71" s="196"/>
      <c r="AC71" s="196"/>
      <c r="AD71" s="196"/>
      <c r="AE71" s="196"/>
      <c r="AF71" s="196"/>
      <c r="AG71" s="196"/>
      <c r="AH71" s="196"/>
      <c r="AI71" s="196"/>
      <c r="AJ71" s="196"/>
      <c r="AK71" s="196"/>
      <c r="AL71" s="196"/>
      <c r="AM71" s="196"/>
      <c r="AN71" s="196"/>
      <c r="AO71" s="196"/>
      <c r="AP71" s="196"/>
      <c r="AQ71" s="196"/>
      <c r="AR71" s="196"/>
      <c r="AS71" s="196"/>
      <c r="AT71" s="196"/>
      <c r="AU71" s="196"/>
      <c r="AV71" s="196"/>
      <c r="AW71" s="196"/>
      <c r="AX71" s="196"/>
      <c r="AY71" s="196"/>
      <c r="AZ71" s="196"/>
      <c r="BA71" s="196"/>
      <c r="BB71" s="196"/>
      <c r="BC71" s="196"/>
      <c r="BD71" s="196"/>
      <c r="BE71" s="196"/>
      <c r="BF71" s="196"/>
    </row>
    <row r="72" spans="2:58" ht="15.95" customHeight="1" x14ac:dyDescent="0.25">
      <c r="B72" t="s">
        <v>3789</v>
      </c>
      <c r="U72" s="163"/>
      <c r="V72" s="196"/>
      <c r="W72" s="196"/>
      <c r="X72" s="196"/>
      <c r="Y72" s="196"/>
      <c r="Z72" s="196"/>
      <c r="AA72" s="196"/>
      <c r="AB72" s="196"/>
      <c r="AC72" s="196"/>
      <c r="AD72" s="196"/>
      <c r="AE72" s="196"/>
      <c r="AF72" s="196"/>
      <c r="AG72" s="196"/>
      <c r="AH72" s="196"/>
      <c r="AI72" s="196"/>
      <c r="AJ72" s="196"/>
      <c r="AK72" s="196"/>
      <c r="AL72" s="196"/>
      <c r="AM72" s="196"/>
      <c r="AN72" s="196"/>
      <c r="AO72" s="196"/>
      <c r="AP72" s="196"/>
      <c r="AQ72" s="196"/>
      <c r="AR72" s="196"/>
      <c r="AS72" s="196"/>
      <c r="AT72" s="196"/>
      <c r="AU72" s="196"/>
      <c r="AV72" s="196"/>
      <c r="AW72" s="196"/>
      <c r="AX72" s="196"/>
      <c r="AY72" s="196"/>
      <c r="AZ72" s="196"/>
      <c r="BA72" s="196"/>
      <c r="BB72" s="196"/>
      <c r="BC72" s="196"/>
      <c r="BD72" s="196"/>
      <c r="BE72" s="196"/>
      <c r="BF72" s="196"/>
    </row>
    <row r="73" spans="2:58" ht="15.95" customHeight="1" x14ac:dyDescent="0.25">
      <c r="B73" t="s">
        <v>3790</v>
      </c>
      <c r="U73" s="163"/>
      <c r="V73" s="196"/>
      <c r="W73" s="196"/>
      <c r="X73" s="196"/>
      <c r="Y73" s="196"/>
      <c r="Z73" s="196"/>
      <c r="AA73" s="196"/>
      <c r="AB73" s="196"/>
      <c r="AC73" s="196"/>
      <c r="AD73" s="196"/>
      <c r="AE73" s="196"/>
      <c r="AF73" s="196"/>
      <c r="AG73" s="196"/>
      <c r="AH73" s="196"/>
      <c r="AI73" s="196"/>
      <c r="AJ73" s="196"/>
      <c r="AK73" s="196"/>
      <c r="AL73" s="196"/>
      <c r="AM73" s="196"/>
      <c r="AN73" s="196"/>
      <c r="AO73" s="196"/>
      <c r="AP73" s="196"/>
      <c r="AQ73" s="196"/>
      <c r="AR73" s="196"/>
      <c r="AS73" s="196"/>
      <c r="AT73" s="196"/>
      <c r="AU73" s="196"/>
      <c r="AV73" s="196"/>
      <c r="AW73" s="196"/>
      <c r="AX73" s="196"/>
      <c r="AY73" s="196"/>
      <c r="AZ73" s="196"/>
      <c r="BA73" s="196"/>
      <c r="BB73" s="196"/>
      <c r="BC73" s="196"/>
      <c r="BD73" s="196"/>
      <c r="BE73" s="196"/>
      <c r="BF73" s="196"/>
    </row>
    <row r="74" spans="2:58" ht="15.95" customHeight="1" x14ac:dyDescent="0.25">
      <c r="B74" t="s">
        <v>3791</v>
      </c>
      <c r="U74" s="163"/>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row>
    <row r="75" spans="2:58" ht="15.95" customHeight="1" x14ac:dyDescent="0.25">
      <c r="B75" t="s">
        <v>3792</v>
      </c>
      <c r="U75" s="163"/>
      <c r="V75" s="196"/>
      <c r="W75" s="196"/>
      <c r="X75" s="196"/>
      <c r="Y75" s="196" t="s">
        <v>3786</v>
      </c>
      <c r="Z75" s="196"/>
      <c r="AA75" s="196"/>
      <c r="AB75" s="196"/>
      <c r="AC75" s="196"/>
      <c r="AD75" s="196"/>
      <c r="AE75" s="196"/>
      <c r="AF75" s="196"/>
      <c r="AG75" s="196"/>
      <c r="AH75" s="196"/>
      <c r="AI75" s="196"/>
      <c r="AJ75" s="196"/>
      <c r="AK75" s="196"/>
      <c r="AL75" s="196"/>
      <c r="AM75" s="196"/>
      <c r="AN75" s="196"/>
      <c r="AO75" s="196"/>
      <c r="AP75" s="196"/>
      <c r="AQ75" s="196"/>
      <c r="AR75" s="196"/>
      <c r="AS75" s="196"/>
      <c r="AT75" s="196"/>
      <c r="AU75" s="196"/>
      <c r="AV75" s="196"/>
      <c r="AW75" s="196"/>
      <c r="AX75" s="196"/>
      <c r="AY75" s="196"/>
      <c r="AZ75" s="196"/>
      <c r="BA75" s="196"/>
      <c r="BB75" s="196"/>
      <c r="BC75" s="196"/>
      <c r="BD75" s="196"/>
      <c r="BE75" s="196"/>
      <c r="BF75" s="196"/>
    </row>
    <row r="76" spans="2:58" ht="15.95" customHeight="1" x14ac:dyDescent="0.25">
      <c r="B76" t="s">
        <v>3793</v>
      </c>
      <c r="U76" s="163"/>
      <c r="V76" s="196"/>
      <c r="W76" s="196"/>
      <c r="X76" s="196"/>
      <c r="Y76" s="196"/>
      <c r="Z76" s="196"/>
      <c r="AA76" s="196"/>
      <c r="AB76" s="196"/>
      <c r="AC76" s="196"/>
      <c r="AD76" s="196"/>
      <c r="AE76" s="196"/>
      <c r="AF76" s="196"/>
      <c r="AG76" s="196"/>
      <c r="AH76" s="196"/>
      <c r="AI76" s="196"/>
      <c r="AJ76" s="196"/>
      <c r="AK76" s="196"/>
      <c r="AL76" s="196"/>
      <c r="AM76" s="196"/>
      <c r="AN76" s="196"/>
      <c r="AO76" s="196"/>
      <c r="AP76" s="196"/>
      <c r="AQ76" s="196"/>
      <c r="AR76" s="196"/>
      <c r="AS76" s="196"/>
      <c r="AT76" s="196"/>
      <c r="AU76" s="196"/>
      <c r="AV76" s="196"/>
      <c r="AW76" s="196"/>
      <c r="AX76" s="196"/>
      <c r="AY76" s="196"/>
      <c r="AZ76" s="196"/>
      <c r="BA76" s="196"/>
      <c r="BB76" s="196"/>
      <c r="BC76" s="196"/>
      <c r="BD76" s="196"/>
      <c r="BE76" s="196"/>
      <c r="BF76" s="196"/>
    </row>
    <row r="77" spans="2:58" ht="15.95" customHeight="1" x14ac:dyDescent="0.25">
      <c r="B77" t="s">
        <v>3794</v>
      </c>
      <c r="U77" s="163"/>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row>
    <row r="78" spans="2:58" ht="15.95" customHeight="1" x14ac:dyDescent="0.25">
      <c r="B78" t="s">
        <v>3795</v>
      </c>
      <c r="U78" s="163"/>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row>
    <row r="79" spans="2:58" ht="15.95" customHeight="1" x14ac:dyDescent="0.25">
      <c r="B79" t="s">
        <v>3796</v>
      </c>
      <c r="U79" s="163"/>
      <c r="V79" s="196"/>
      <c r="W79" s="196"/>
      <c r="X79" s="196"/>
      <c r="Y79" s="196" t="s">
        <v>3786</v>
      </c>
      <c r="Z79" s="196"/>
      <c r="AA79" s="196"/>
      <c r="AB79" s="196"/>
      <c r="AC79" s="196"/>
      <c r="AD79" s="196"/>
      <c r="AE79" s="196"/>
      <c r="AF79" s="196"/>
      <c r="AG79" s="196"/>
      <c r="AH79" s="196"/>
      <c r="AI79" s="196"/>
      <c r="AJ79" s="196"/>
      <c r="AK79" s="196"/>
      <c r="AL79" s="196"/>
      <c r="AM79" s="196"/>
      <c r="AN79" s="196"/>
      <c r="AO79" s="196"/>
      <c r="AP79" s="196"/>
      <c r="AQ79" s="196"/>
      <c r="AR79" s="196"/>
      <c r="AS79" s="196"/>
      <c r="AT79" s="196"/>
      <c r="AU79" s="196"/>
      <c r="AV79" s="196"/>
      <c r="AW79" s="196"/>
      <c r="AX79" s="196"/>
      <c r="AY79" s="196"/>
      <c r="AZ79" s="196"/>
      <c r="BA79" s="196"/>
      <c r="BB79" s="196"/>
      <c r="BC79" s="196"/>
      <c r="BD79" s="196"/>
      <c r="BE79" s="196"/>
      <c r="BF79" s="196"/>
    </row>
    <row r="80" spans="2:58" ht="15.95" customHeight="1" x14ac:dyDescent="0.25">
      <c r="B80" t="s">
        <v>3797</v>
      </c>
      <c r="U80" s="163"/>
      <c r="V80" s="196"/>
      <c r="W80" s="196"/>
      <c r="X80" s="196"/>
      <c r="Y80" s="196"/>
      <c r="Z80" s="196"/>
      <c r="AA80" s="196"/>
      <c r="AB80" s="196"/>
      <c r="AC80" s="196"/>
      <c r="AD80" s="196"/>
      <c r="AE80" s="196"/>
      <c r="AF80" s="196"/>
      <c r="AG80" s="196"/>
      <c r="AH80" s="196"/>
      <c r="AI80" s="196"/>
      <c r="AJ80" s="196"/>
      <c r="AK80" s="196"/>
      <c r="AL80" s="196"/>
      <c r="AM80" s="196"/>
      <c r="AN80" s="196"/>
      <c r="AO80" s="196"/>
      <c r="AP80" s="196"/>
      <c r="AQ80" s="196"/>
      <c r="AR80" s="196"/>
      <c r="AS80" s="196"/>
      <c r="AT80" s="196"/>
      <c r="AU80" s="196"/>
      <c r="AV80" s="196"/>
      <c r="AW80" s="196"/>
      <c r="AX80" s="196"/>
      <c r="AY80" s="196"/>
      <c r="AZ80" s="196"/>
      <c r="BA80" s="196"/>
      <c r="BB80" s="196"/>
      <c r="BC80" s="196"/>
      <c r="BD80" s="196"/>
      <c r="BE80" s="196"/>
      <c r="BF80" s="196"/>
    </row>
    <row r="81" spans="21:58" ht="15.95" customHeight="1" x14ac:dyDescent="0.25">
      <c r="U81" s="163"/>
      <c r="V81" s="196"/>
      <c r="W81" s="196"/>
      <c r="X81" s="196"/>
      <c r="Y81" s="196"/>
      <c r="Z81" s="196"/>
      <c r="AA81" s="196"/>
      <c r="AB81" s="196"/>
      <c r="AC81" s="196"/>
      <c r="AD81" s="196"/>
      <c r="AE81" s="196"/>
      <c r="AF81" s="196"/>
      <c r="AG81" s="196"/>
      <c r="AH81" s="196"/>
      <c r="AI81" s="196"/>
      <c r="AJ81" s="196"/>
      <c r="AK81" s="196"/>
      <c r="AL81" s="196"/>
      <c r="AM81" s="196"/>
      <c r="AN81" s="196"/>
      <c r="AO81" s="196"/>
      <c r="AP81" s="196"/>
      <c r="AQ81" s="196"/>
      <c r="AR81" s="196"/>
      <c r="AS81" s="196"/>
      <c r="AT81" s="196"/>
      <c r="AU81" s="196"/>
      <c r="AV81" s="196"/>
      <c r="AW81" s="196"/>
      <c r="AX81" s="196"/>
      <c r="AY81" s="196"/>
      <c r="AZ81" s="196"/>
      <c r="BA81" s="196"/>
      <c r="BB81" s="196"/>
      <c r="BC81" s="196"/>
      <c r="BD81" s="196"/>
      <c r="BE81" s="196"/>
      <c r="BF81" s="196"/>
    </row>
    <row r="82" spans="21:58" ht="15.95" customHeight="1" x14ac:dyDescent="0.25">
      <c r="U82" s="163"/>
      <c r="V82" s="196"/>
      <c r="W82" s="196"/>
      <c r="X82" s="196"/>
      <c r="Y82" s="196"/>
      <c r="Z82" s="196"/>
      <c r="AA82" s="196"/>
      <c r="AB82" s="196"/>
      <c r="AC82" s="196"/>
      <c r="AD82" s="196"/>
      <c r="AE82" s="196"/>
      <c r="AF82" s="196"/>
      <c r="AG82" s="196"/>
      <c r="AH82" s="196"/>
      <c r="AI82" s="196"/>
      <c r="AJ82" s="196"/>
      <c r="AK82" s="196"/>
      <c r="AL82" s="196"/>
      <c r="AM82" s="196"/>
      <c r="AN82" s="196"/>
      <c r="AO82" s="196"/>
      <c r="AP82" s="196"/>
      <c r="AQ82" s="196"/>
      <c r="AR82" s="196"/>
      <c r="AS82" s="196"/>
      <c r="AT82" s="196"/>
      <c r="AU82" s="196"/>
      <c r="AV82" s="196"/>
      <c r="AW82" s="196"/>
      <c r="AX82" s="196"/>
      <c r="AY82" s="196"/>
      <c r="AZ82" s="196"/>
      <c r="BA82" s="196"/>
      <c r="BB82" s="196"/>
      <c r="BC82" s="196"/>
      <c r="BD82" s="196"/>
      <c r="BE82" s="196"/>
      <c r="BF82" s="196"/>
    </row>
    <row r="83" spans="21:58" ht="15.95" customHeight="1" x14ac:dyDescent="0.25">
      <c r="U83" s="163"/>
      <c r="V83" s="196"/>
      <c r="W83" s="196"/>
      <c r="X83" s="196"/>
      <c r="Y83" s="196" t="s">
        <v>3786</v>
      </c>
      <c r="Z83" s="196"/>
      <c r="AA83" s="196"/>
      <c r="AB83" s="196"/>
      <c r="AC83" s="196"/>
      <c r="AD83" s="196"/>
      <c r="AE83" s="196"/>
      <c r="AF83" s="196"/>
      <c r="AG83" s="196"/>
      <c r="AH83" s="196"/>
      <c r="AI83" s="196"/>
      <c r="AJ83" s="196"/>
      <c r="AK83" s="196"/>
      <c r="AL83" s="196"/>
      <c r="AM83" s="196"/>
      <c r="AN83" s="196"/>
      <c r="AO83" s="196"/>
      <c r="AP83" s="196"/>
      <c r="AQ83" s="196"/>
      <c r="AR83" s="196"/>
      <c r="AS83" s="196"/>
      <c r="AT83" s="196"/>
      <c r="AU83" s="196"/>
      <c r="AV83" s="196"/>
      <c r="AW83" s="196"/>
      <c r="AX83" s="196"/>
      <c r="AY83" s="196"/>
      <c r="AZ83" s="196"/>
      <c r="BA83" s="196"/>
      <c r="BB83" s="196"/>
      <c r="BC83" s="196"/>
      <c r="BD83" s="196"/>
      <c r="BE83" s="196"/>
      <c r="BF83" s="196"/>
    </row>
    <row r="84" spans="21:58" ht="15.95" customHeight="1" x14ac:dyDescent="0.25">
      <c r="U84" s="163"/>
      <c r="V84" s="196"/>
      <c r="W84" s="196"/>
      <c r="X84" s="196"/>
      <c r="Y84" s="196"/>
      <c r="Z84" s="196"/>
      <c r="AA84" s="196"/>
      <c r="AB84" s="196"/>
      <c r="AC84" s="196"/>
      <c r="AD84" s="196"/>
      <c r="AE84" s="196"/>
      <c r="AF84" s="196"/>
      <c r="AG84" s="196"/>
      <c r="AH84" s="196"/>
      <c r="AI84" s="196"/>
      <c r="AJ84" s="196"/>
      <c r="AK84" s="196"/>
      <c r="AL84" s="196"/>
      <c r="AM84" s="196"/>
      <c r="AN84" s="196"/>
      <c r="AO84" s="196"/>
      <c r="AP84" s="196"/>
      <c r="AQ84" s="196"/>
      <c r="AR84" s="196"/>
      <c r="AS84" s="196"/>
      <c r="AT84" s="196"/>
      <c r="AU84" s="196"/>
      <c r="AV84" s="196"/>
      <c r="AW84" s="196"/>
      <c r="AX84" s="196"/>
      <c r="AY84" s="196"/>
      <c r="AZ84" s="196"/>
      <c r="BA84" s="196"/>
      <c r="BB84" s="196"/>
      <c r="BC84" s="196"/>
      <c r="BD84" s="196"/>
      <c r="BE84" s="196"/>
      <c r="BF84" s="196"/>
    </row>
    <row r="85" spans="21:58" ht="15.95" customHeight="1" x14ac:dyDescent="0.25">
      <c r="U85" s="163"/>
      <c r="V85" s="196"/>
      <c r="W85" s="196"/>
      <c r="X85" s="196"/>
      <c r="Y85" s="196"/>
      <c r="Z85" s="196"/>
      <c r="AA85" s="196"/>
      <c r="AB85" s="196"/>
      <c r="AC85" s="196"/>
      <c r="AD85" s="196"/>
      <c r="AE85" s="196"/>
      <c r="AF85" s="196"/>
      <c r="AG85" s="196"/>
      <c r="AH85" s="196"/>
      <c r="AI85" s="196"/>
      <c r="AJ85" s="196"/>
      <c r="AK85" s="196"/>
      <c r="AL85" s="196"/>
      <c r="AM85" s="196"/>
      <c r="AN85" s="196"/>
      <c r="AO85" s="196"/>
      <c r="AP85" s="196"/>
      <c r="AQ85" s="196"/>
      <c r="AR85" s="196"/>
      <c r="AS85" s="196"/>
      <c r="AT85" s="196"/>
      <c r="AU85" s="196"/>
      <c r="AV85" s="196"/>
      <c r="AW85" s="196"/>
      <c r="AX85" s="196"/>
      <c r="AY85" s="196"/>
      <c r="AZ85" s="196"/>
      <c r="BA85" s="196"/>
      <c r="BB85" s="196"/>
      <c r="BC85" s="196"/>
      <c r="BD85" s="196"/>
      <c r="BE85" s="196"/>
      <c r="BF85" s="196"/>
    </row>
    <row r="86" spans="21:58" ht="15.95" customHeight="1" x14ac:dyDescent="0.25">
      <c r="U86" s="163"/>
      <c r="V86" s="196"/>
      <c r="W86" s="196"/>
      <c r="X86" s="196"/>
      <c r="Y86" s="196"/>
      <c r="Z86" s="196"/>
      <c r="AA86" s="196"/>
      <c r="AB86" s="196"/>
      <c r="AC86" s="196"/>
      <c r="AD86" s="196"/>
      <c r="AE86" s="196"/>
      <c r="AF86" s="196"/>
      <c r="AG86" s="196"/>
      <c r="AH86" s="196"/>
      <c r="AI86" s="196"/>
      <c r="AJ86" s="196"/>
      <c r="AK86" s="196"/>
      <c r="AL86" s="196"/>
      <c r="AM86" s="196"/>
      <c r="AN86" s="196"/>
      <c r="AO86" s="196"/>
      <c r="AP86" s="196"/>
      <c r="AQ86" s="196"/>
      <c r="AR86" s="196"/>
      <c r="AS86" s="196"/>
      <c r="AT86" s="196"/>
      <c r="AU86" s="196"/>
      <c r="AV86" s="196"/>
      <c r="AW86" s="196"/>
      <c r="AX86" s="196"/>
      <c r="AY86" s="196"/>
      <c r="AZ86" s="196"/>
      <c r="BA86" s="196"/>
      <c r="BB86" s="196"/>
      <c r="BC86" s="196"/>
      <c r="BD86" s="196"/>
      <c r="BE86" s="196"/>
      <c r="BF86" s="196"/>
    </row>
    <row r="87" spans="21:58" ht="15.95" customHeight="1" x14ac:dyDescent="0.25">
      <c r="U87" s="163"/>
      <c r="V87" s="196"/>
      <c r="W87" s="196"/>
      <c r="X87" s="196"/>
      <c r="Y87" s="196" t="s">
        <v>3786</v>
      </c>
      <c r="Z87" s="196"/>
      <c r="AA87" s="196"/>
      <c r="AB87" s="196"/>
      <c r="AC87" s="196"/>
      <c r="AD87" s="196"/>
      <c r="AE87" s="196"/>
      <c r="AF87" s="196"/>
      <c r="AG87" s="196"/>
      <c r="AH87" s="196"/>
      <c r="AI87" s="196"/>
      <c r="AJ87" s="196"/>
      <c r="AK87" s="196"/>
      <c r="AL87" s="196"/>
      <c r="AM87" s="196"/>
      <c r="AN87" s="196"/>
      <c r="AO87" s="196"/>
      <c r="AP87" s="196"/>
      <c r="AQ87" s="196"/>
      <c r="AR87" s="196"/>
      <c r="AS87" s="196"/>
      <c r="AT87" s="196"/>
      <c r="AU87" s="196"/>
      <c r="AV87" s="196"/>
      <c r="AW87" s="196"/>
      <c r="AX87" s="196"/>
      <c r="AY87" s="196"/>
      <c r="AZ87" s="196"/>
      <c r="BA87" s="196"/>
      <c r="BB87" s="196"/>
      <c r="BC87" s="196"/>
      <c r="BD87" s="196"/>
      <c r="BE87" s="196"/>
      <c r="BF87" s="196"/>
    </row>
    <row r="88" spans="21:58" ht="15.95" customHeight="1" x14ac:dyDescent="0.25">
      <c r="U88" s="163"/>
      <c r="V88" s="196"/>
      <c r="W88" s="196"/>
      <c r="X88" s="196"/>
      <c r="Y88" s="196"/>
      <c r="Z88" s="196"/>
      <c r="AA88" s="196"/>
      <c r="AB88" s="196"/>
      <c r="AC88" s="196"/>
      <c r="AD88" s="196"/>
      <c r="AE88" s="196"/>
      <c r="AF88" s="196"/>
      <c r="AG88" s="196"/>
      <c r="AH88" s="196"/>
      <c r="AI88" s="196"/>
      <c r="AJ88" s="196"/>
      <c r="AK88" s="196"/>
      <c r="AL88" s="196"/>
      <c r="AM88" s="196"/>
      <c r="AN88" s="196"/>
      <c r="AO88" s="196"/>
      <c r="AP88" s="196"/>
      <c r="AQ88" s="196"/>
      <c r="AR88" s="196"/>
      <c r="AS88" s="196"/>
      <c r="AT88" s="196"/>
      <c r="AU88" s="196"/>
      <c r="AV88" s="196"/>
      <c r="AW88" s="196"/>
      <c r="AX88" s="196"/>
      <c r="AY88" s="196"/>
      <c r="AZ88" s="196"/>
      <c r="BA88" s="196"/>
      <c r="BB88" s="196"/>
      <c r="BC88" s="196"/>
      <c r="BD88" s="196"/>
      <c r="BE88" s="196"/>
      <c r="BF88" s="196"/>
    </row>
    <row r="89" spans="21:58" ht="15.95" customHeight="1" x14ac:dyDescent="0.25">
      <c r="U89" s="163"/>
      <c r="V89" s="196"/>
      <c r="W89" s="196"/>
      <c r="X89" s="196"/>
      <c r="Y89" s="196"/>
      <c r="Z89" s="196"/>
      <c r="AA89" s="196"/>
      <c r="AB89" s="196"/>
      <c r="AC89" s="196"/>
      <c r="AD89" s="196"/>
      <c r="AE89" s="196"/>
      <c r="AF89" s="196"/>
      <c r="AG89" s="196"/>
      <c r="AH89" s="196"/>
      <c r="AI89" s="196"/>
      <c r="AJ89" s="196"/>
      <c r="AK89" s="196"/>
      <c r="AL89" s="196"/>
      <c r="AM89" s="196"/>
      <c r="AN89" s="196"/>
      <c r="AO89" s="196"/>
      <c r="AP89" s="196"/>
      <c r="AQ89" s="196"/>
      <c r="AR89" s="196"/>
      <c r="AS89" s="196"/>
      <c r="AT89" s="196"/>
      <c r="AU89" s="196"/>
      <c r="AV89" s="196"/>
      <c r="AW89" s="196"/>
      <c r="AX89" s="196"/>
      <c r="AY89" s="196"/>
      <c r="AZ89" s="196"/>
      <c r="BA89" s="196"/>
      <c r="BB89" s="196"/>
      <c r="BC89" s="196"/>
      <c r="BD89" s="196"/>
      <c r="BE89" s="196"/>
      <c r="BF89" s="196"/>
    </row>
    <row r="90" spans="21:58" ht="15.95" customHeight="1" x14ac:dyDescent="0.25">
      <c r="U90" s="163"/>
      <c r="V90" s="196"/>
      <c r="W90" s="196"/>
      <c r="X90" s="196"/>
      <c r="Y90" s="196"/>
      <c r="Z90" s="196"/>
      <c r="AA90" s="196"/>
      <c r="AB90" s="196"/>
      <c r="AC90" s="196"/>
      <c r="AD90" s="196"/>
      <c r="AE90" s="196"/>
      <c r="AF90" s="196"/>
      <c r="AG90" s="196"/>
      <c r="AH90" s="196"/>
      <c r="AI90" s="196"/>
      <c r="AJ90" s="196"/>
      <c r="AK90" s="196"/>
      <c r="AL90" s="196"/>
      <c r="AM90" s="196"/>
      <c r="AN90" s="196"/>
      <c r="AO90" s="196"/>
      <c r="AP90" s="196"/>
      <c r="AQ90" s="196"/>
      <c r="AR90" s="196"/>
      <c r="AS90" s="196"/>
      <c r="AT90" s="196"/>
      <c r="AU90" s="196"/>
      <c r="AV90" s="196"/>
      <c r="AW90" s="196"/>
      <c r="AX90" s="196"/>
      <c r="AY90" s="196"/>
      <c r="AZ90" s="196"/>
      <c r="BA90" s="196"/>
      <c r="BB90" s="196"/>
      <c r="BC90" s="196"/>
      <c r="BD90" s="196"/>
      <c r="BE90" s="196"/>
      <c r="BF90" s="196"/>
    </row>
    <row r="91" spans="21:58" ht="15.95" customHeight="1" x14ac:dyDescent="0.25">
      <c r="U91" s="163"/>
      <c r="V91" s="196"/>
      <c r="W91" s="196"/>
      <c r="X91" s="196"/>
      <c r="Y91" s="196" t="s">
        <v>3786</v>
      </c>
      <c r="Z91" s="196"/>
      <c r="AA91" s="196"/>
      <c r="AB91" s="196"/>
      <c r="AC91" s="196"/>
      <c r="AD91" s="196"/>
      <c r="AE91" s="196"/>
      <c r="AF91" s="196"/>
      <c r="AG91" s="196"/>
      <c r="AH91" s="196"/>
      <c r="AI91" s="196"/>
      <c r="AJ91" s="196"/>
      <c r="AK91" s="196"/>
      <c r="AL91" s="196"/>
      <c r="AM91" s="196"/>
      <c r="AN91" s="196"/>
      <c r="AO91" s="196"/>
      <c r="AP91" s="196"/>
      <c r="AQ91" s="196"/>
      <c r="AR91" s="196"/>
      <c r="AS91" s="196"/>
      <c r="AT91" s="196"/>
      <c r="AU91" s="196"/>
      <c r="AV91" s="196"/>
      <c r="AW91" s="196"/>
      <c r="AX91" s="196"/>
      <c r="AY91" s="196"/>
      <c r="AZ91" s="196"/>
      <c r="BA91" s="196"/>
      <c r="BB91" s="196"/>
      <c r="BC91" s="196"/>
      <c r="BD91" s="196"/>
      <c r="BE91" s="196"/>
      <c r="BF91" s="196"/>
    </row>
    <row r="92" spans="21:58" ht="15.95" customHeight="1" x14ac:dyDescent="0.25">
      <c r="U92" s="163"/>
      <c r="V92" s="196"/>
      <c r="W92" s="196"/>
      <c r="X92" s="196"/>
      <c r="Y92" s="196"/>
      <c r="Z92" s="196"/>
      <c r="AA92" s="196"/>
      <c r="AB92" s="196"/>
      <c r="AC92" s="196"/>
      <c r="AD92" s="196"/>
      <c r="AE92" s="196"/>
      <c r="AF92" s="196"/>
      <c r="AG92" s="196"/>
      <c r="AH92" s="196"/>
      <c r="AI92" s="196"/>
      <c r="AJ92" s="196"/>
      <c r="AK92" s="196"/>
      <c r="AL92" s="196"/>
      <c r="AM92" s="196"/>
      <c r="AN92" s="196"/>
      <c r="AO92" s="196"/>
      <c r="AP92" s="196"/>
      <c r="AQ92" s="196"/>
      <c r="AR92" s="196"/>
      <c r="AS92" s="196"/>
      <c r="AT92" s="196"/>
      <c r="AU92" s="196"/>
      <c r="AV92" s="196"/>
      <c r="AW92" s="196"/>
      <c r="AX92" s="196"/>
      <c r="AY92" s="196"/>
      <c r="AZ92" s="196"/>
      <c r="BA92" s="196"/>
      <c r="BB92" s="196"/>
      <c r="BC92" s="196"/>
      <c r="BD92" s="196"/>
      <c r="BE92" s="196"/>
      <c r="BF92" s="196"/>
    </row>
    <row r="93" spans="21:58" ht="15.95" customHeight="1" x14ac:dyDescent="0.25">
      <c r="U93" s="163"/>
      <c r="V93" s="196"/>
      <c r="W93" s="196"/>
      <c r="X93" s="196"/>
      <c r="Y93" s="196"/>
      <c r="Z93" s="196"/>
      <c r="AA93" s="196"/>
      <c r="AB93" s="196"/>
      <c r="AC93" s="196"/>
      <c r="AD93" s="196"/>
      <c r="AE93" s="196"/>
      <c r="AF93" s="196"/>
      <c r="AG93" s="196"/>
      <c r="AH93" s="196"/>
      <c r="AI93" s="196"/>
      <c r="AJ93" s="196"/>
      <c r="AK93" s="196"/>
      <c r="AL93" s="196"/>
      <c r="AM93" s="196"/>
      <c r="AN93" s="196"/>
      <c r="AO93" s="196"/>
      <c r="AP93" s="196"/>
      <c r="AQ93" s="196"/>
      <c r="AR93" s="196"/>
      <c r="AS93" s="196"/>
      <c r="AT93" s="196"/>
      <c r="AU93" s="196"/>
      <c r="AV93" s="196"/>
      <c r="AW93" s="196"/>
      <c r="AX93" s="196"/>
      <c r="AY93" s="196"/>
      <c r="AZ93" s="196"/>
      <c r="BA93" s="196"/>
      <c r="BB93" s="196"/>
      <c r="BC93" s="196"/>
      <c r="BD93" s="196"/>
      <c r="BE93" s="196"/>
      <c r="BF93" s="196"/>
    </row>
    <row r="94" spans="21:58" ht="15.95" customHeight="1" x14ac:dyDescent="0.25">
      <c r="U94" s="163"/>
      <c r="V94" s="196"/>
      <c r="W94" s="196"/>
      <c r="X94" s="196"/>
      <c r="Y94" s="196"/>
      <c r="Z94" s="196"/>
      <c r="AA94" s="196"/>
      <c r="AB94" s="196"/>
      <c r="AC94" s="196"/>
      <c r="AD94" s="196"/>
      <c r="AE94" s="196"/>
      <c r="AF94" s="196"/>
      <c r="AG94" s="196"/>
      <c r="AH94" s="196"/>
      <c r="AI94" s="196"/>
      <c r="AJ94" s="196"/>
      <c r="AK94" s="196"/>
      <c r="AL94" s="196"/>
      <c r="AM94" s="196"/>
      <c r="AN94" s="196"/>
      <c r="AO94" s="196"/>
      <c r="AP94" s="196"/>
      <c r="AQ94" s="196"/>
      <c r="AR94" s="196"/>
      <c r="AS94" s="196"/>
      <c r="AT94" s="196"/>
      <c r="AU94" s="196"/>
      <c r="AV94" s="196"/>
      <c r="AW94" s="196"/>
      <c r="AX94" s="196"/>
      <c r="AY94" s="196"/>
      <c r="AZ94" s="196"/>
      <c r="BA94" s="196"/>
      <c r="BB94" s="196"/>
      <c r="BC94" s="196"/>
      <c r="BD94" s="196"/>
      <c r="BE94" s="196"/>
      <c r="BF94" s="196"/>
    </row>
    <row r="95" spans="21:58" ht="15.95" customHeight="1" x14ac:dyDescent="0.25">
      <c r="U95" s="163"/>
      <c r="V95" s="196"/>
      <c r="W95" s="196"/>
      <c r="X95" s="196"/>
      <c r="Y95" s="196" t="s">
        <v>3786</v>
      </c>
      <c r="Z95" s="196"/>
      <c r="AA95" s="196"/>
      <c r="AB95" s="196"/>
      <c r="AC95" s="196"/>
      <c r="AD95" s="196"/>
      <c r="AE95" s="196"/>
      <c r="AF95" s="196"/>
      <c r="AG95" s="196"/>
      <c r="AH95" s="196"/>
      <c r="AI95" s="196"/>
      <c r="AJ95" s="196"/>
      <c r="AK95" s="196"/>
      <c r="AL95" s="196"/>
      <c r="AM95" s="196"/>
      <c r="AN95" s="196"/>
      <c r="AO95" s="196"/>
      <c r="AP95" s="196"/>
      <c r="AQ95" s="196"/>
      <c r="AR95" s="196"/>
      <c r="AS95" s="196"/>
      <c r="AT95" s="196"/>
      <c r="AU95" s="196"/>
      <c r="AV95" s="196"/>
      <c r="AW95" s="196"/>
      <c r="AX95" s="196"/>
      <c r="AY95" s="196"/>
      <c r="AZ95" s="196"/>
      <c r="BA95" s="196"/>
      <c r="BB95" s="196"/>
      <c r="BC95" s="196"/>
      <c r="BD95" s="196"/>
      <c r="BE95" s="196"/>
      <c r="BF95" s="196"/>
    </row>
    <row r="96" spans="21:58" ht="15.95" customHeight="1" x14ac:dyDescent="0.25">
      <c r="U96" s="163"/>
      <c r="V96" s="196"/>
      <c r="W96" s="196"/>
      <c r="X96" s="196"/>
      <c r="Y96" s="196"/>
      <c r="Z96" s="196"/>
      <c r="AA96" s="196"/>
      <c r="AB96" s="196"/>
      <c r="AC96" s="196"/>
      <c r="AD96" s="196"/>
      <c r="AE96" s="196"/>
      <c r="AF96" s="196"/>
      <c r="AG96" s="196"/>
      <c r="AH96" s="196"/>
      <c r="AI96" s="196"/>
      <c r="AJ96" s="196"/>
      <c r="AK96" s="196"/>
      <c r="AL96" s="196"/>
      <c r="AM96" s="196"/>
      <c r="AN96" s="196"/>
      <c r="AO96" s="196"/>
      <c r="AP96" s="196"/>
      <c r="AQ96" s="196"/>
      <c r="AR96" s="196"/>
      <c r="AS96" s="196"/>
      <c r="AT96" s="196"/>
      <c r="AU96" s="196"/>
      <c r="AV96" s="196"/>
      <c r="AW96" s="196"/>
      <c r="AX96" s="196"/>
      <c r="AY96" s="196"/>
      <c r="AZ96" s="196"/>
      <c r="BA96" s="196"/>
      <c r="BB96" s="196"/>
      <c r="BC96" s="196"/>
      <c r="BD96" s="196"/>
      <c r="BE96" s="196"/>
      <c r="BF96" s="196"/>
    </row>
    <row r="97" spans="2:58" ht="15.95" customHeight="1" x14ac:dyDescent="0.25">
      <c r="U97" s="163"/>
      <c r="V97" s="196"/>
      <c r="W97" s="196"/>
      <c r="X97" s="196"/>
      <c r="Y97" s="196"/>
      <c r="Z97" s="196"/>
      <c r="AA97" s="196"/>
      <c r="AB97" s="196"/>
      <c r="AC97" s="196"/>
      <c r="AD97" s="196"/>
      <c r="AE97" s="196"/>
      <c r="AF97" s="196"/>
      <c r="AG97" s="196"/>
      <c r="AH97" s="196"/>
      <c r="AI97" s="196"/>
      <c r="AJ97" s="196"/>
      <c r="AK97" s="196"/>
      <c r="AL97" s="196"/>
      <c r="AM97" s="196"/>
      <c r="AN97" s="196"/>
      <c r="AO97" s="196"/>
      <c r="AP97" s="196"/>
      <c r="AQ97" s="196"/>
      <c r="AR97" s="196"/>
      <c r="AS97" s="196"/>
      <c r="AT97" s="196"/>
      <c r="AU97" s="196"/>
      <c r="AV97" s="196"/>
      <c r="AW97" s="196"/>
      <c r="AX97" s="196"/>
      <c r="AY97" s="196"/>
      <c r="AZ97" s="196"/>
      <c r="BA97" s="196"/>
      <c r="BB97" s="196"/>
      <c r="BC97" s="196"/>
      <c r="BD97" s="196"/>
      <c r="BE97" s="196"/>
      <c r="BF97" s="196"/>
    </row>
    <row r="98" spans="2:58" ht="15.95" customHeight="1" x14ac:dyDescent="0.25">
      <c r="U98" s="163"/>
      <c r="V98" s="196"/>
      <c r="W98" s="196"/>
      <c r="X98" s="196"/>
      <c r="Y98" s="196"/>
      <c r="Z98" s="196"/>
      <c r="AA98" s="196"/>
      <c r="AB98" s="196"/>
      <c r="AC98" s="196"/>
      <c r="AD98" s="196"/>
      <c r="AE98" s="196"/>
      <c r="AF98" s="196"/>
      <c r="AG98" s="196"/>
      <c r="AH98" s="196"/>
      <c r="AI98" s="196"/>
      <c r="AJ98" s="196"/>
      <c r="AK98" s="196"/>
      <c r="AL98" s="196"/>
      <c r="AM98" s="196"/>
      <c r="AN98" s="196"/>
      <c r="AO98" s="196"/>
      <c r="AP98" s="196"/>
      <c r="AQ98" s="196"/>
      <c r="AR98" s="196"/>
      <c r="AS98" s="196"/>
      <c r="AT98" s="196"/>
      <c r="AU98" s="196"/>
      <c r="AV98" s="196"/>
      <c r="AW98" s="196"/>
      <c r="AX98" s="196"/>
      <c r="AY98" s="196"/>
      <c r="AZ98" s="196"/>
      <c r="BA98" s="196"/>
      <c r="BB98" s="196"/>
      <c r="BC98" s="196"/>
      <c r="BD98" s="196"/>
      <c r="BE98" s="196"/>
      <c r="BF98" s="196"/>
    </row>
    <row r="99" spans="2:58" ht="15.95" customHeight="1" x14ac:dyDescent="0.25">
      <c r="U99" s="163"/>
      <c r="V99" s="196"/>
      <c r="W99" s="196"/>
      <c r="X99" s="196"/>
      <c r="Y99" s="196" t="s">
        <v>3786</v>
      </c>
      <c r="Z99" s="196"/>
      <c r="AA99" s="196"/>
      <c r="AB99" s="196"/>
      <c r="AC99" s="196"/>
      <c r="AD99" s="196"/>
      <c r="AE99" s="196"/>
      <c r="AF99" s="196"/>
      <c r="AG99" s="196"/>
      <c r="AH99" s="196"/>
      <c r="AI99" s="196"/>
      <c r="AJ99" s="196"/>
      <c r="AK99" s="196"/>
      <c r="AL99" s="196"/>
      <c r="AM99" s="196"/>
      <c r="AN99" s="196"/>
      <c r="AO99" s="196"/>
      <c r="AP99" s="196"/>
      <c r="AQ99" s="196"/>
      <c r="AR99" s="196"/>
      <c r="AS99" s="196"/>
      <c r="AT99" s="196"/>
      <c r="AU99" s="196"/>
      <c r="AV99" s="196"/>
      <c r="AW99" s="196"/>
      <c r="AX99" s="196"/>
      <c r="AY99" s="196"/>
      <c r="AZ99" s="196"/>
      <c r="BA99" s="196"/>
      <c r="BB99" s="196"/>
      <c r="BC99" s="196"/>
      <c r="BD99" s="196"/>
      <c r="BE99" s="196"/>
      <c r="BF99" s="196"/>
    </row>
    <row r="100" spans="2:58" ht="15.95" customHeight="1" x14ac:dyDescent="0.25">
      <c r="U100" s="163"/>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c r="AX100" s="196"/>
      <c r="AY100" s="196"/>
      <c r="AZ100" s="196"/>
      <c r="BA100" s="196"/>
      <c r="BB100" s="196"/>
      <c r="BC100" s="196"/>
      <c r="BD100" s="196"/>
      <c r="BE100" s="196"/>
      <c r="BF100" s="196"/>
    </row>
    <row r="101" spans="2:58" ht="15.95" customHeight="1" x14ac:dyDescent="0.25">
      <c r="U101" s="163"/>
    </row>
    <row r="102" spans="2:58" ht="15.95" customHeight="1" x14ac:dyDescent="0.25">
      <c r="B102" t="s">
        <v>3798</v>
      </c>
      <c r="U102" s="163"/>
    </row>
    <row r="103" spans="2:58" ht="15.95" customHeight="1" x14ac:dyDescent="0.25">
      <c r="U103" s="163"/>
      <c r="Y103" t="s">
        <v>3786</v>
      </c>
    </row>
    <row r="104" spans="2:58" ht="15.95" customHeight="1" x14ac:dyDescent="0.25">
      <c r="U104" s="163"/>
    </row>
    <row r="105" spans="2:58" ht="15.95" customHeight="1" x14ac:dyDescent="0.25">
      <c r="U105" s="163"/>
    </row>
    <row r="106" spans="2:58" ht="15.95" customHeight="1" x14ac:dyDescent="0.25">
      <c r="U106" s="163"/>
    </row>
    <row r="107" spans="2:58" ht="15.95" customHeight="1" x14ac:dyDescent="0.25">
      <c r="U107" s="163"/>
      <c r="Y107" t="s">
        <v>3786</v>
      </c>
    </row>
    <row r="108" spans="2:58" ht="15.95" customHeight="1" x14ac:dyDescent="0.25">
      <c r="U108" s="163"/>
    </row>
    <row r="109" spans="2:58" ht="15.95" customHeight="1" x14ac:dyDescent="0.25">
      <c r="U109" s="163"/>
    </row>
    <row r="110" spans="2:58" ht="15.95" customHeight="1" x14ac:dyDescent="0.25">
      <c r="U110" s="163"/>
    </row>
    <row r="111" spans="2:58" ht="15.95" customHeight="1" x14ac:dyDescent="0.25">
      <c r="U111" s="163"/>
      <c r="Y111" t="s">
        <v>3786</v>
      </c>
    </row>
    <row r="112" spans="2:58" ht="15.95" customHeight="1" x14ac:dyDescent="0.25">
      <c r="U112" s="163"/>
    </row>
    <row r="113" spans="2:25" ht="15.95" customHeight="1" x14ac:dyDescent="0.25">
      <c r="U113" s="163"/>
    </row>
    <row r="114" spans="2:25" ht="15.95" customHeight="1" x14ac:dyDescent="0.25">
      <c r="U114" s="163"/>
    </row>
    <row r="115" spans="2:25" ht="15.95" customHeight="1" x14ac:dyDescent="0.25">
      <c r="U115" s="163"/>
      <c r="Y115" t="s">
        <v>3786</v>
      </c>
    </row>
    <row r="116" spans="2:25" ht="15.95" customHeight="1" x14ac:dyDescent="0.25">
      <c r="U116" s="163"/>
    </row>
    <row r="117" spans="2:25" ht="15.95" customHeight="1" x14ac:dyDescent="0.25">
      <c r="U117" s="163"/>
    </row>
    <row r="118" spans="2:25" ht="15.95" customHeight="1" x14ac:dyDescent="0.25">
      <c r="U118" s="163"/>
    </row>
    <row r="119" spans="2:25" ht="15.95" customHeight="1" x14ac:dyDescent="0.25">
      <c r="U119" s="163"/>
      <c r="Y119" t="s">
        <v>3786</v>
      </c>
    </row>
    <row r="120" spans="2:25" ht="15.95" customHeight="1" x14ac:dyDescent="0.25">
      <c r="U120" s="163"/>
    </row>
    <row r="121" spans="2:25" ht="15.95" customHeight="1" x14ac:dyDescent="0.25">
      <c r="B121" t="s">
        <v>3799</v>
      </c>
      <c r="U121" s="163"/>
      <c r="Y121">
        <v>0</v>
      </c>
    </row>
    <row r="122" spans="2:25" ht="15.95" customHeight="1" x14ac:dyDescent="0.25">
      <c r="U122" s="163"/>
    </row>
    <row r="123" spans="2:25" ht="15.95" customHeight="1" x14ac:dyDescent="0.25">
      <c r="U123" s="163"/>
    </row>
    <row r="124" spans="2:25" ht="15.95" customHeight="1" x14ac:dyDescent="0.25">
      <c r="U124" s="163"/>
    </row>
    <row r="125" spans="2:25" ht="15.95" customHeight="1" x14ac:dyDescent="0.25">
      <c r="U125" s="163"/>
    </row>
    <row r="126" spans="2:25" ht="15.95" customHeight="1" x14ac:dyDescent="0.25">
      <c r="U126" s="163"/>
    </row>
    <row r="127" spans="2:25" ht="15.95" customHeight="1" x14ac:dyDescent="0.25">
      <c r="U127" s="163"/>
    </row>
    <row r="128" spans="2:25" ht="15.95" customHeight="1" x14ac:dyDescent="0.25">
      <c r="U128" s="163"/>
    </row>
    <row r="129" spans="21:21" ht="15.95" customHeight="1" x14ac:dyDescent="0.25">
      <c r="U129" s="163"/>
    </row>
    <row r="130" spans="21:21" ht="15.95" customHeight="1" x14ac:dyDescent="0.25">
      <c r="U130" s="163"/>
    </row>
    <row r="131" spans="21:21" ht="15.95" customHeight="1" x14ac:dyDescent="0.25">
      <c r="U131" s="163"/>
    </row>
    <row r="132" spans="21:21" ht="15.95" customHeight="1" x14ac:dyDescent="0.25">
      <c r="U132" s="163"/>
    </row>
    <row r="133" spans="21:21" ht="15.95" customHeight="1" x14ac:dyDescent="0.25">
      <c r="U133" s="163"/>
    </row>
    <row r="134" spans="21:21" ht="15.95" customHeight="1" x14ac:dyDescent="0.25">
      <c r="U134" s="163"/>
    </row>
    <row r="135" spans="21:21" ht="15.95" customHeight="1" x14ac:dyDescent="0.25">
      <c r="U135" s="163"/>
    </row>
    <row r="136" spans="21:21" ht="15.95" customHeight="1" x14ac:dyDescent="0.25">
      <c r="U136" s="163"/>
    </row>
    <row r="137" spans="21:21" ht="15.95" customHeight="1" x14ac:dyDescent="0.25">
      <c r="U137" s="163"/>
    </row>
    <row r="138" spans="21:21" ht="15.95" customHeight="1" x14ac:dyDescent="0.25">
      <c r="U138" s="163"/>
    </row>
    <row r="139" spans="21:21" ht="15.95" customHeight="1" x14ac:dyDescent="0.25">
      <c r="U139" s="163"/>
    </row>
    <row r="140" spans="21:21" ht="15.95" customHeight="1" x14ac:dyDescent="0.25">
      <c r="U140" s="163"/>
    </row>
    <row r="141" spans="21:21" ht="15.95" customHeight="1" x14ac:dyDescent="0.25">
      <c r="U141" s="163"/>
    </row>
    <row r="142" spans="21:21" ht="15.95" customHeight="1" x14ac:dyDescent="0.25">
      <c r="U142" s="163"/>
    </row>
    <row r="143" spans="21:21" ht="15.95" customHeight="1" x14ac:dyDescent="0.25">
      <c r="U143" s="163"/>
    </row>
    <row r="144" spans="21:21" ht="15.95" customHeight="1" x14ac:dyDescent="0.25">
      <c r="U144" s="163"/>
    </row>
    <row r="145" spans="21:21" ht="15.95" customHeight="1" x14ac:dyDescent="0.25">
      <c r="U145" s="163"/>
    </row>
    <row r="146" spans="21:21" ht="15.95" customHeight="1" x14ac:dyDescent="0.25">
      <c r="U146" s="163"/>
    </row>
    <row r="147" spans="21:21" ht="15.95" customHeight="1" x14ac:dyDescent="0.25">
      <c r="U147" s="163"/>
    </row>
    <row r="148" spans="21:21" ht="15.95" customHeight="1" x14ac:dyDescent="0.25">
      <c r="U148" s="163"/>
    </row>
    <row r="149" spans="21:21" ht="15.95" customHeight="1" x14ac:dyDescent="0.25">
      <c r="U149" s="163"/>
    </row>
    <row r="150" spans="21:21" ht="15.95" customHeight="1" x14ac:dyDescent="0.25">
      <c r="U150" s="163"/>
    </row>
    <row r="151" spans="21:21" ht="15.95" customHeight="1" x14ac:dyDescent="0.25">
      <c r="U151" s="163"/>
    </row>
    <row r="152" spans="21:21" ht="15.95" customHeight="1" x14ac:dyDescent="0.25">
      <c r="U152" s="163"/>
    </row>
    <row r="153" spans="21:21" ht="15.95" customHeight="1" x14ac:dyDescent="0.25">
      <c r="U153" s="163"/>
    </row>
    <row r="154" spans="21:21" ht="15.95" customHeight="1" x14ac:dyDescent="0.25">
      <c r="U154" s="163"/>
    </row>
    <row r="155" spans="21:21" ht="15.95" customHeight="1" x14ac:dyDescent="0.25">
      <c r="U155" s="163"/>
    </row>
    <row r="156" spans="21:21" ht="15.95" customHeight="1" x14ac:dyDescent="0.25">
      <c r="U156" s="163"/>
    </row>
    <row r="157" spans="21:21" ht="15.95" customHeight="1" x14ac:dyDescent="0.25">
      <c r="U157" s="163"/>
    </row>
    <row r="158" spans="21:21" ht="15.95" customHeight="1" x14ac:dyDescent="0.25">
      <c r="U158" s="163"/>
    </row>
    <row r="159" spans="21:21" ht="15.95" customHeight="1" x14ac:dyDescent="0.25">
      <c r="U159" s="163"/>
    </row>
    <row r="160" spans="21:21" ht="15.95" customHeight="1" x14ac:dyDescent="0.25">
      <c r="U160" s="163"/>
    </row>
    <row r="161" spans="21:21" ht="15.95" customHeight="1" x14ac:dyDescent="0.25">
      <c r="U161" s="163"/>
    </row>
    <row r="162" spans="21:21" ht="15.95" customHeight="1" x14ac:dyDescent="0.25">
      <c r="U162" s="163"/>
    </row>
    <row r="163" spans="21:21" ht="15.95" customHeight="1" x14ac:dyDescent="0.25">
      <c r="U163" s="163"/>
    </row>
    <row r="164" spans="21:21" ht="15.95" customHeight="1" x14ac:dyDescent="0.25">
      <c r="U164" s="163"/>
    </row>
    <row r="165" spans="21:21" ht="15.95" customHeight="1" x14ac:dyDescent="0.25">
      <c r="U165" s="163"/>
    </row>
    <row r="166" spans="21:21" ht="15.95" customHeight="1" x14ac:dyDescent="0.25">
      <c r="U166" s="163"/>
    </row>
    <row r="167" spans="21:21" ht="15.95" customHeight="1" x14ac:dyDescent="0.25">
      <c r="U167" s="163"/>
    </row>
    <row r="168" spans="21:21" ht="15.95" customHeight="1" x14ac:dyDescent="0.25">
      <c r="U168" s="163"/>
    </row>
    <row r="169" spans="21:21" ht="15.95" customHeight="1" x14ac:dyDescent="0.25">
      <c r="U169" s="163"/>
    </row>
    <row r="170" spans="21:21" ht="15.95" customHeight="1" x14ac:dyDescent="0.25">
      <c r="U170" s="163"/>
    </row>
    <row r="171" spans="21:21" ht="15.95" customHeight="1" x14ac:dyDescent="0.25">
      <c r="U171" s="163"/>
    </row>
    <row r="172" spans="21:21" ht="15.95" customHeight="1" x14ac:dyDescent="0.25">
      <c r="U172" s="163"/>
    </row>
    <row r="173" spans="21:21" ht="15.95" customHeight="1" x14ac:dyDescent="0.25">
      <c r="U173" s="163"/>
    </row>
    <row r="174" spans="21:21" ht="15.95" customHeight="1" x14ac:dyDescent="0.25">
      <c r="U174" s="163"/>
    </row>
    <row r="175" spans="21:21" ht="15.95" customHeight="1" x14ac:dyDescent="0.25">
      <c r="U175" s="163"/>
    </row>
    <row r="176" spans="21:21" ht="15.95" customHeight="1" x14ac:dyDescent="0.25">
      <c r="U176" s="163"/>
    </row>
    <row r="177" spans="21:21" ht="15.95" customHeight="1" x14ac:dyDescent="0.25">
      <c r="U177" s="163"/>
    </row>
    <row r="178" spans="21:21" ht="15.95" customHeight="1" x14ac:dyDescent="0.25">
      <c r="U178" s="163"/>
    </row>
    <row r="179" spans="21:21" ht="15.95" customHeight="1" x14ac:dyDescent="0.25">
      <c r="U179" s="163"/>
    </row>
    <row r="180" spans="21:21" ht="15.95" customHeight="1" x14ac:dyDescent="0.25">
      <c r="U180" s="163"/>
    </row>
    <row r="181" spans="21:21" ht="15.95" customHeight="1" x14ac:dyDescent="0.25">
      <c r="U181" s="163"/>
    </row>
    <row r="182" spans="21:21" ht="15.95" customHeight="1" x14ac:dyDescent="0.25">
      <c r="U182" s="163"/>
    </row>
    <row r="183" spans="21:21" ht="15.95" customHeight="1" x14ac:dyDescent="0.25">
      <c r="U183" s="163"/>
    </row>
    <row r="184" spans="21:21" ht="15.95" customHeight="1" x14ac:dyDescent="0.25">
      <c r="U184" s="163"/>
    </row>
    <row r="185" spans="21:21" ht="15.95" customHeight="1" x14ac:dyDescent="0.25">
      <c r="U185" s="163"/>
    </row>
    <row r="186" spans="21:21" ht="15.95" customHeight="1" x14ac:dyDescent="0.25">
      <c r="U186" s="163"/>
    </row>
    <row r="187" spans="21:21" ht="15.95" customHeight="1" x14ac:dyDescent="0.25">
      <c r="U187" s="163"/>
    </row>
    <row r="188" spans="21:21" ht="15.95" customHeight="1" x14ac:dyDescent="0.25">
      <c r="U188" s="163"/>
    </row>
    <row r="189" spans="21:21" ht="15.95" customHeight="1" x14ac:dyDescent="0.25">
      <c r="U189" s="163"/>
    </row>
    <row r="190" spans="21:21" ht="15.95" customHeight="1" x14ac:dyDescent="0.25">
      <c r="U190" s="163"/>
    </row>
    <row r="191" spans="21:21" ht="15.95" customHeight="1" x14ac:dyDescent="0.25">
      <c r="U191" s="163"/>
    </row>
    <row r="192" spans="21:21" ht="15.95" customHeight="1" x14ac:dyDescent="0.25">
      <c r="U192" s="163"/>
    </row>
    <row r="193" spans="21:21" ht="15.95" customHeight="1" x14ac:dyDescent="0.25">
      <c r="U193" s="163"/>
    </row>
    <row r="194" spans="21:21" ht="15.95" customHeight="1" x14ac:dyDescent="0.25">
      <c r="U194" s="163"/>
    </row>
    <row r="195" spans="21:21" ht="15.95" customHeight="1" x14ac:dyDescent="0.25">
      <c r="U195" s="163"/>
    </row>
    <row r="196" spans="21:21" ht="15.95" customHeight="1" x14ac:dyDescent="0.25">
      <c r="U196" s="163"/>
    </row>
    <row r="197" spans="21:21" ht="15.95" customHeight="1" x14ac:dyDescent="0.25">
      <c r="U197" s="163"/>
    </row>
    <row r="198" spans="21:21" ht="15.95" customHeight="1" x14ac:dyDescent="0.25">
      <c r="U198" s="163"/>
    </row>
    <row r="199" spans="21:21" ht="15.95" customHeight="1" x14ac:dyDescent="0.25">
      <c r="U199" s="163"/>
    </row>
    <row r="200" spans="21:21" ht="15.95" customHeight="1" x14ac:dyDescent="0.25">
      <c r="U200" s="163"/>
    </row>
    <row r="201" spans="21:21" ht="15.95" customHeight="1" x14ac:dyDescent="0.25">
      <c r="U201" s="163"/>
    </row>
    <row r="202" spans="21:21" ht="15.95" customHeight="1" x14ac:dyDescent="0.25">
      <c r="U202" s="163"/>
    </row>
    <row r="203" spans="21:21" ht="15.95" customHeight="1" x14ac:dyDescent="0.25">
      <c r="U203" s="163"/>
    </row>
    <row r="204" spans="21:21" ht="15.95" customHeight="1" x14ac:dyDescent="0.25">
      <c r="U204" s="163"/>
    </row>
    <row r="205" spans="21:21" ht="15.95" customHeight="1" x14ac:dyDescent="0.25">
      <c r="U205" s="163"/>
    </row>
    <row r="206" spans="21:21" ht="15.95" customHeight="1" x14ac:dyDescent="0.25">
      <c r="U206" s="163"/>
    </row>
    <row r="207" spans="21:21" ht="15.95" customHeight="1" x14ac:dyDescent="0.25">
      <c r="U207" s="163"/>
    </row>
    <row r="208" spans="21:21" ht="15.95" customHeight="1" x14ac:dyDescent="0.25">
      <c r="U208" s="163"/>
    </row>
    <row r="209" spans="21:21" ht="15.95" customHeight="1" x14ac:dyDescent="0.25">
      <c r="U209" s="163"/>
    </row>
    <row r="210" spans="21:21" ht="15.95" customHeight="1" x14ac:dyDescent="0.25">
      <c r="U210" s="163"/>
    </row>
    <row r="211" spans="21:21" ht="15.95" customHeight="1" x14ac:dyDescent="0.25">
      <c r="U211" s="163"/>
    </row>
    <row r="212" spans="21:21" ht="15.95" customHeight="1" x14ac:dyDescent="0.25">
      <c r="U212" s="163"/>
    </row>
    <row r="213" spans="21:21" ht="15.95" customHeight="1" x14ac:dyDescent="0.25">
      <c r="U213" s="163"/>
    </row>
    <row r="214" spans="21:21" ht="15.95" customHeight="1" x14ac:dyDescent="0.25">
      <c r="U214" s="163"/>
    </row>
    <row r="215" spans="21:21" ht="15.95" customHeight="1" x14ac:dyDescent="0.25">
      <c r="U215" s="163"/>
    </row>
    <row r="216" spans="21:21" ht="15.95" customHeight="1" x14ac:dyDescent="0.25">
      <c r="U216" s="163"/>
    </row>
    <row r="217" spans="21:21" ht="15.95" customHeight="1" x14ac:dyDescent="0.25">
      <c r="U217" s="163"/>
    </row>
    <row r="218" spans="21:21" ht="15.95" customHeight="1" x14ac:dyDescent="0.25">
      <c r="U218" s="163"/>
    </row>
    <row r="219" spans="21:21" ht="15.95" customHeight="1" x14ac:dyDescent="0.25">
      <c r="U219" s="163"/>
    </row>
    <row r="220" spans="21:21" ht="15.95" customHeight="1" x14ac:dyDescent="0.25">
      <c r="U220" s="163"/>
    </row>
    <row r="221" spans="21:21" ht="15.95" customHeight="1" x14ac:dyDescent="0.25">
      <c r="U221" s="163"/>
    </row>
    <row r="222" spans="21:21" ht="15.95" customHeight="1" x14ac:dyDescent="0.25">
      <c r="U222" s="163"/>
    </row>
    <row r="223" spans="21:21" ht="15.95" customHeight="1" x14ac:dyDescent="0.25">
      <c r="U223" s="163"/>
    </row>
    <row r="224" spans="21:21" ht="15.95" customHeight="1" x14ac:dyDescent="0.25">
      <c r="U224" s="163"/>
    </row>
    <row r="225" spans="21:21" ht="15.95" customHeight="1" x14ac:dyDescent="0.25">
      <c r="U225" s="163"/>
    </row>
    <row r="226" spans="21:21" ht="15.95" customHeight="1" x14ac:dyDescent="0.25">
      <c r="U226" s="163"/>
    </row>
    <row r="227" spans="21:21" ht="15.95" customHeight="1" x14ac:dyDescent="0.25">
      <c r="U227" s="163"/>
    </row>
    <row r="228" spans="21:21" ht="15.95" customHeight="1" x14ac:dyDescent="0.25">
      <c r="U228" s="163"/>
    </row>
    <row r="229" spans="21:21" ht="15.95" customHeight="1" x14ac:dyDescent="0.25">
      <c r="U229" s="163"/>
    </row>
    <row r="230" spans="21:21" ht="15.95" customHeight="1" x14ac:dyDescent="0.25">
      <c r="U230" s="163"/>
    </row>
    <row r="231" spans="21:21" ht="15.95" customHeight="1" x14ac:dyDescent="0.25">
      <c r="U231" s="163"/>
    </row>
    <row r="232" spans="21:21" ht="15.95" customHeight="1" x14ac:dyDescent="0.25">
      <c r="U232" s="163"/>
    </row>
    <row r="233" spans="21:21" ht="15.95" customHeight="1" x14ac:dyDescent="0.25">
      <c r="U233" s="163"/>
    </row>
    <row r="234" spans="21:21" ht="15.95" customHeight="1" x14ac:dyDescent="0.25">
      <c r="U234" s="163"/>
    </row>
    <row r="235" spans="21:21" ht="15.95" customHeight="1" x14ac:dyDescent="0.25">
      <c r="U235" s="163"/>
    </row>
    <row r="236" spans="21:21" ht="15.95" customHeight="1" x14ac:dyDescent="0.25">
      <c r="U236" s="163"/>
    </row>
    <row r="237" spans="21:21" ht="15.95" customHeight="1" x14ac:dyDescent="0.25">
      <c r="U237" s="163"/>
    </row>
    <row r="238" spans="21:21" ht="15.95" customHeight="1" x14ac:dyDescent="0.25">
      <c r="U238" s="163"/>
    </row>
    <row r="239" spans="21:21" ht="15.95" customHeight="1" x14ac:dyDescent="0.25">
      <c r="U239" s="163"/>
    </row>
    <row r="240" spans="21:21" ht="15.95" customHeight="1" x14ac:dyDescent="0.25">
      <c r="U240" s="163"/>
    </row>
    <row r="241" spans="21:21" ht="15.95" customHeight="1" x14ac:dyDescent="0.25">
      <c r="U241" s="163"/>
    </row>
    <row r="242" spans="21:21" ht="15.95" customHeight="1" x14ac:dyDescent="0.25">
      <c r="U242" s="163"/>
    </row>
    <row r="243" spans="21:21" ht="15.95" customHeight="1" x14ac:dyDescent="0.25">
      <c r="U243" s="163"/>
    </row>
    <row r="244" spans="21:21" ht="15.95" customHeight="1" x14ac:dyDescent="0.25">
      <c r="U244" s="163"/>
    </row>
    <row r="245" spans="21:21" ht="15.95" customHeight="1" x14ac:dyDescent="0.25">
      <c r="U245" s="163"/>
    </row>
    <row r="246" spans="21:21" ht="15.95" customHeight="1" x14ac:dyDescent="0.25">
      <c r="U246" s="163"/>
    </row>
    <row r="247" spans="21:21" ht="15.95" customHeight="1" x14ac:dyDescent="0.25">
      <c r="U247" s="163"/>
    </row>
    <row r="248" spans="21:21" ht="15.95" customHeight="1" x14ac:dyDescent="0.25">
      <c r="U248" s="163"/>
    </row>
    <row r="249" spans="21:21" ht="15.95" customHeight="1" x14ac:dyDescent="0.25">
      <c r="U249" s="163"/>
    </row>
    <row r="250" spans="21:21" ht="15.95" customHeight="1" x14ac:dyDescent="0.25">
      <c r="U250" s="163"/>
    </row>
    <row r="251" spans="21:21" ht="15.95" customHeight="1" x14ac:dyDescent="0.25">
      <c r="U251" s="163"/>
    </row>
    <row r="252" spans="21:21" ht="15.95" customHeight="1" x14ac:dyDescent="0.25">
      <c r="U252" s="163"/>
    </row>
    <row r="253" spans="21:21" ht="15.95" customHeight="1" x14ac:dyDescent="0.25">
      <c r="U253" s="163"/>
    </row>
    <row r="254" spans="21:21" ht="15.95" customHeight="1" x14ac:dyDescent="0.25">
      <c r="U254" s="163"/>
    </row>
    <row r="255" spans="21:21" ht="15.95" customHeight="1" x14ac:dyDescent="0.25">
      <c r="U255" s="163"/>
    </row>
    <row r="256" spans="21:21" ht="15.95" customHeight="1" x14ac:dyDescent="0.25">
      <c r="U256" s="163"/>
    </row>
    <row r="257" spans="21:21" ht="15.95" customHeight="1" x14ac:dyDescent="0.25">
      <c r="U257" s="163"/>
    </row>
    <row r="258" spans="21:21" ht="15.95" customHeight="1" x14ac:dyDescent="0.25">
      <c r="U258" s="163"/>
    </row>
    <row r="259" spans="21:21" ht="15.95" customHeight="1" x14ac:dyDescent="0.25">
      <c r="U259" s="163"/>
    </row>
    <row r="260" spans="21:21" ht="15.95" customHeight="1" x14ac:dyDescent="0.25">
      <c r="U260" s="163"/>
    </row>
    <row r="261" spans="21:21" ht="15.95" customHeight="1" x14ac:dyDescent="0.25">
      <c r="U261" s="163"/>
    </row>
    <row r="262" spans="21:21" ht="15.95" customHeight="1" x14ac:dyDescent="0.25">
      <c r="U262" s="163"/>
    </row>
    <row r="263" spans="21:21" ht="15.95" customHeight="1" x14ac:dyDescent="0.25">
      <c r="U263" s="163"/>
    </row>
    <row r="264" spans="21:21" ht="15.95" customHeight="1" x14ac:dyDescent="0.25">
      <c r="U264" s="163"/>
    </row>
    <row r="265" spans="21:21" ht="15.95" customHeight="1" x14ac:dyDescent="0.25">
      <c r="U265" s="163"/>
    </row>
    <row r="266" spans="21:21" ht="15.95" customHeight="1" x14ac:dyDescent="0.25">
      <c r="U266" s="163"/>
    </row>
    <row r="267" spans="21:21" ht="15.95" customHeight="1" x14ac:dyDescent="0.25">
      <c r="U267" s="163"/>
    </row>
    <row r="268" spans="21:21" ht="15.95" customHeight="1" x14ac:dyDescent="0.25">
      <c r="U268" s="163"/>
    </row>
    <row r="269" spans="21:21" ht="15.95" customHeight="1" x14ac:dyDescent="0.25">
      <c r="U269" s="163"/>
    </row>
    <row r="270" spans="21:21" ht="15.95" customHeight="1" x14ac:dyDescent="0.25">
      <c r="U270" s="163"/>
    </row>
    <row r="271" spans="21:21" ht="15.95" customHeight="1" x14ac:dyDescent="0.25">
      <c r="U271" s="163"/>
    </row>
    <row r="272" spans="21:21" ht="15.95" customHeight="1" x14ac:dyDescent="0.25">
      <c r="U272" s="163"/>
    </row>
    <row r="273" spans="21:21" ht="15.95" customHeight="1" x14ac:dyDescent="0.25">
      <c r="U273" s="163"/>
    </row>
    <row r="274" spans="21:21" ht="15.95" customHeight="1" x14ac:dyDescent="0.25">
      <c r="U274" s="163"/>
    </row>
    <row r="275" spans="21:21" ht="15.95" customHeight="1" x14ac:dyDescent="0.25">
      <c r="U275" s="163"/>
    </row>
    <row r="276" spans="21:21" ht="15.95" customHeight="1" x14ac:dyDescent="0.25">
      <c r="U276" s="163"/>
    </row>
    <row r="277" spans="21:21" ht="15.95" customHeight="1" x14ac:dyDescent="0.25">
      <c r="U277" s="163"/>
    </row>
    <row r="278" spans="21:21" ht="15.95" customHeight="1" x14ac:dyDescent="0.25">
      <c r="U278" s="163"/>
    </row>
    <row r="279" spans="21:21" ht="15.95" customHeight="1" x14ac:dyDescent="0.25">
      <c r="U279" s="163"/>
    </row>
    <row r="280" spans="21:21" ht="15.95" customHeight="1" x14ac:dyDescent="0.25">
      <c r="U280" s="163"/>
    </row>
    <row r="281" spans="21:21" ht="15.95" customHeight="1" x14ac:dyDescent="0.25">
      <c r="U281" s="163"/>
    </row>
    <row r="282" spans="21:21" ht="15.95" customHeight="1" x14ac:dyDescent="0.25">
      <c r="U282" s="163"/>
    </row>
    <row r="283" spans="21:21" ht="15.95" customHeight="1" x14ac:dyDescent="0.25">
      <c r="U283" s="163"/>
    </row>
    <row r="284" spans="21:21" ht="15.95" customHeight="1" x14ac:dyDescent="0.25">
      <c r="U284" s="163"/>
    </row>
    <row r="285" spans="21:21" ht="15.95" customHeight="1" x14ac:dyDescent="0.25">
      <c r="U285" s="163"/>
    </row>
    <row r="286" spans="21:21" ht="15.95" customHeight="1" x14ac:dyDescent="0.25">
      <c r="U286" s="163"/>
    </row>
    <row r="287" spans="21:21" ht="15.95" customHeight="1" x14ac:dyDescent="0.25">
      <c r="U287" s="163"/>
    </row>
    <row r="288" spans="21:21" ht="15.95" customHeight="1" x14ac:dyDescent="0.25">
      <c r="U288" s="163"/>
    </row>
    <row r="289" spans="21:21" ht="15.95" customHeight="1" x14ac:dyDescent="0.25">
      <c r="U289" s="163"/>
    </row>
    <row r="290" spans="21:21" ht="15.95" customHeight="1" x14ac:dyDescent="0.25">
      <c r="U290" s="163"/>
    </row>
    <row r="291" spans="21:21" ht="15.95" customHeight="1" x14ac:dyDescent="0.25">
      <c r="U291" s="163"/>
    </row>
    <row r="292" spans="21:21" ht="15.95" customHeight="1" x14ac:dyDescent="0.25">
      <c r="U292" s="163"/>
    </row>
    <row r="293" spans="21:21" ht="15.95" customHeight="1" x14ac:dyDescent="0.25">
      <c r="U293" s="163"/>
    </row>
    <row r="294" spans="21:21" ht="15.95" customHeight="1" x14ac:dyDescent="0.25">
      <c r="U294" s="163"/>
    </row>
    <row r="295" spans="21:21" ht="15.95" customHeight="1" x14ac:dyDescent="0.25">
      <c r="U295" s="163"/>
    </row>
    <row r="296" spans="21:21" ht="15.95" customHeight="1" x14ac:dyDescent="0.25">
      <c r="U296" s="163"/>
    </row>
    <row r="297" spans="21:21" ht="15.95" customHeight="1" x14ac:dyDescent="0.25">
      <c r="U297" s="163"/>
    </row>
    <row r="298" spans="21:21" ht="15.95" customHeight="1" x14ac:dyDescent="0.25">
      <c r="U298" s="163"/>
    </row>
    <row r="299" spans="21:21" ht="15.95" customHeight="1" x14ac:dyDescent="0.25">
      <c r="U299" s="163"/>
    </row>
    <row r="300" spans="21:21" ht="15.95" customHeight="1" x14ac:dyDescent="0.25">
      <c r="U300" s="163"/>
    </row>
  </sheetData>
  <mergeCells count="165">
    <mergeCell ref="N36:O37"/>
    <mergeCell ref="P36:R37"/>
    <mergeCell ref="O17:P18"/>
    <mergeCell ref="Q17:S18"/>
    <mergeCell ref="I28:J29"/>
    <mergeCell ref="K28:M29"/>
    <mergeCell ref="O8:P9"/>
    <mergeCell ref="Q8:S9"/>
    <mergeCell ref="O11:P12"/>
    <mergeCell ref="Q11:S12"/>
    <mergeCell ref="O14:P15"/>
    <mergeCell ref="Q14:S15"/>
    <mergeCell ref="K10:M10"/>
    <mergeCell ref="K36:L36"/>
    <mergeCell ref="K37:L37"/>
    <mergeCell ref="B49:C49"/>
    <mergeCell ref="D49:F49"/>
    <mergeCell ref="B50:C50"/>
    <mergeCell ref="D50:F50"/>
    <mergeCell ref="B51:C51"/>
    <mergeCell ref="D51:F51"/>
    <mergeCell ref="B46:C46"/>
    <mergeCell ref="D46:F46"/>
    <mergeCell ref="B47:C47"/>
    <mergeCell ref="D47:F47"/>
    <mergeCell ref="B48:C48"/>
    <mergeCell ref="D48:F48"/>
    <mergeCell ref="B55:C55"/>
    <mergeCell ref="D55:F55"/>
    <mergeCell ref="B56:C56"/>
    <mergeCell ref="D56:F56"/>
    <mergeCell ref="B52:C52"/>
    <mergeCell ref="D52:F52"/>
    <mergeCell ref="B53:C53"/>
    <mergeCell ref="D53:F53"/>
    <mergeCell ref="B54:C54"/>
    <mergeCell ref="D54:F54"/>
    <mergeCell ref="B43:C43"/>
    <mergeCell ref="D43:F43"/>
    <mergeCell ref="B44:C44"/>
    <mergeCell ref="D44:F44"/>
    <mergeCell ref="B45:C45"/>
    <mergeCell ref="D45:F45"/>
    <mergeCell ref="B40:C40"/>
    <mergeCell ref="D40:F40"/>
    <mergeCell ref="B41:C41"/>
    <mergeCell ref="D41:F41"/>
    <mergeCell ref="B42:C42"/>
    <mergeCell ref="D42:F42"/>
    <mergeCell ref="B38:C38"/>
    <mergeCell ref="D38:F38"/>
    <mergeCell ref="B39:C39"/>
    <mergeCell ref="D39:F39"/>
    <mergeCell ref="B21:C21"/>
    <mergeCell ref="B22:C22"/>
    <mergeCell ref="B23:C23"/>
    <mergeCell ref="B24:C24"/>
    <mergeCell ref="D21:F21"/>
    <mergeCell ref="D22:F22"/>
    <mergeCell ref="D24:F24"/>
    <mergeCell ref="D23:F23"/>
    <mergeCell ref="B27:C27"/>
    <mergeCell ref="D27:F27"/>
    <mergeCell ref="B28:C28"/>
    <mergeCell ref="D28:F28"/>
    <mergeCell ref="B8:C8"/>
    <mergeCell ref="D8:F8"/>
    <mergeCell ref="B9:C9"/>
    <mergeCell ref="D9:F9"/>
    <mergeCell ref="B10:C10"/>
    <mergeCell ref="D10:F10"/>
    <mergeCell ref="B37:C37"/>
    <mergeCell ref="D37:F37"/>
    <mergeCell ref="B16:C16"/>
    <mergeCell ref="D16:F16"/>
    <mergeCell ref="D11:F11"/>
    <mergeCell ref="D12:F12"/>
    <mergeCell ref="D13:F13"/>
    <mergeCell ref="D14:F14"/>
    <mergeCell ref="D20:F20"/>
    <mergeCell ref="B18:C18"/>
    <mergeCell ref="D18:F18"/>
    <mergeCell ref="B19:C19"/>
    <mergeCell ref="D19:F19"/>
    <mergeCell ref="B20:C20"/>
    <mergeCell ref="D15:F15"/>
    <mergeCell ref="B2:C3"/>
    <mergeCell ref="D2:F3"/>
    <mergeCell ref="O5:P6"/>
    <mergeCell ref="Q5:S6"/>
    <mergeCell ref="K25:L26"/>
    <mergeCell ref="B5:C5"/>
    <mergeCell ref="D5:F5"/>
    <mergeCell ref="B6:C6"/>
    <mergeCell ref="D6:F6"/>
    <mergeCell ref="B7:C7"/>
    <mergeCell ref="D7:F7"/>
    <mergeCell ref="I2:J3"/>
    <mergeCell ref="K2:M3"/>
    <mergeCell ref="I5:J5"/>
    <mergeCell ref="K5:M5"/>
    <mergeCell ref="K23:L24"/>
    <mergeCell ref="I9:J9"/>
    <mergeCell ref="K9:M9"/>
    <mergeCell ref="I10:J10"/>
    <mergeCell ref="B17:C17"/>
    <mergeCell ref="D17:F17"/>
    <mergeCell ref="B11:C11"/>
    <mergeCell ref="B12:C12"/>
    <mergeCell ref="B13:C13"/>
    <mergeCell ref="I6:J6"/>
    <mergeCell ref="K6:M6"/>
    <mergeCell ref="I7:J7"/>
    <mergeCell ref="AF12:AG12"/>
    <mergeCell ref="AH12:AI12"/>
    <mergeCell ref="B26:C26"/>
    <mergeCell ref="D26:F26"/>
    <mergeCell ref="I23:J24"/>
    <mergeCell ref="M23:O24"/>
    <mergeCell ref="O20:P21"/>
    <mergeCell ref="Q20:S21"/>
    <mergeCell ref="I14:J15"/>
    <mergeCell ref="K14:M15"/>
    <mergeCell ref="I16:J17"/>
    <mergeCell ref="K16:M17"/>
    <mergeCell ref="I18:J19"/>
    <mergeCell ref="K18:M19"/>
    <mergeCell ref="K7:M7"/>
    <mergeCell ref="I8:J8"/>
    <mergeCell ref="K8:M8"/>
    <mergeCell ref="I25:J26"/>
    <mergeCell ref="M25:O26"/>
    <mergeCell ref="B14:C14"/>
    <mergeCell ref="B15:C15"/>
    <mergeCell ref="K38:L38"/>
    <mergeCell ref="K39:L39"/>
    <mergeCell ref="K40:L40"/>
    <mergeCell ref="K41:L41"/>
    <mergeCell ref="K42:L42"/>
    <mergeCell ref="K44:L44"/>
    <mergeCell ref="K43:L43"/>
    <mergeCell ref="K50:L50"/>
    <mergeCell ref="K51:L51"/>
    <mergeCell ref="K52:L52"/>
    <mergeCell ref="K53:L53"/>
    <mergeCell ref="K54:L54"/>
    <mergeCell ref="K55:L55"/>
    <mergeCell ref="K56:L56"/>
    <mergeCell ref="N41:O42"/>
    <mergeCell ref="P41:R42"/>
    <mergeCell ref="N46:O47"/>
    <mergeCell ref="P46:R47"/>
    <mergeCell ref="N48:O49"/>
    <mergeCell ref="P48:R49"/>
    <mergeCell ref="K45:L45"/>
    <mergeCell ref="K46:L46"/>
    <mergeCell ref="K47:L47"/>
    <mergeCell ref="K48:L48"/>
    <mergeCell ref="K49:L49"/>
    <mergeCell ref="N44:O45"/>
    <mergeCell ref="P44:R45"/>
    <mergeCell ref="N51:O52"/>
    <mergeCell ref="P51:R52"/>
    <mergeCell ref="N54:O55"/>
    <mergeCell ref="P54:R55"/>
  </mergeCells>
  <dataValidations count="9">
    <dataValidation type="list" allowBlank="1" showInputMessage="1" showErrorMessage="1" sqref="Q5:S6">
      <formula1>OFFSET($AG$13,0,0,MAX($AF$13:$AF$15),1)</formula1>
    </dataValidation>
    <dataValidation type="list" allowBlank="1" showInputMessage="1" showErrorMessage="1" sqref="D2:F3">
      <formula1>OFFSET($AI$13,0,0,MAX($AH$13:$AH$15),1)</formula1>
    </dataValidation>
    <dataValidation type="list" allowBlank="1" showInputMessage="1" showErrorMessage="1" sqref="Q8:S9">
      <formula1>OFFSET($AL$5:$AL$24,0,0,$AM$5,1)</formula1>
    </dataValidation>
    <dataValidation type="list" allowBlank="1" showInputMessage="1" showErrorMessage="1" sqref="Q11:S12">
      <formula1>OFFSET($AO$5:$AO$24,0,0,$AP$5,1)</formula1>
    </dataValidation>
    <dataValidation type="list" allowBlank="1" showInputMessage="1" showErrorMessage="1" sqref="Q14:S15">
      <formula1>OFFSET($AR$5,0,0,$AS$5,1)</formula1>
    </dataValidation>
    <dataValidation type="list" allowBlank="1" showInputMessage="1" showErrorMessage="1" sqref="Q17:S18">
      <formula1>OFFSET($AU$5,0,0,$AV$5,1)</formula1>
    </dataValidation>
    <dataValidation type="list" allowBlank="1" showInputMessage="1" showErrorMessage="1" sqref="K37:L56">
      <formula1>$BD$37:$BD$41</formula1>
    </dataValidation>
    <dataValidation type="list" allowBlank="1" showInputMessage="1" showErrorMessage="1" sqref="M23:O24">
      <formula1>OFFSET($AG$31,0,0,COUNTA($AG$31:$AG$40),1)</formula1>
    </dataValidation>
    <dataValidation type="list" allowBlank="1" showInputMessage="1" showErrorMessage="1" sqref="BF12">
      <formula1>Array</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8"/>
  <dimension ref="A1:ES509"/>
  <sheetViews>
    <sheetView topLeftCell="AC13" zoomScale="115" zoomScaleNormal="115" workbookViewId="0">
      <selection activeCell="AG26" sqref="AG26"/>
    </sheetView>
  </sheetViews>
  <sheetFormatPr defaultRowHeight="15" x14ac:dyDescent="0.25"/>
  <cols>
    <col min="2" max="2" width="13.5703125" bestFit="1" customWidth="1"/>
    <col min="3" max="4" width="12.7109375" customWidth="1"/>
    <col min="7" max="7" width="10.7109375" bestFit="1" customWidth="1"/>
    <col min="8" max="8" width="10.5703125" bestFit="1" customWidth="1"/>
  </cols>
  <sheetData>
    <row r="1" spans="1:38" ht="15" customHeight="1" x14ac:dyDescent="0.3">
      <c r="A1" s="153"/>
      <c r="B1" s="153"/>
      <c r="C1" s="153"/>
      <c r="D1" s="153"/>
      <c r="E1" s="153"/>
      <c r="F1" s="153"/>
      <c r="G1" s="153"/>
      <c r="H1" s="153"/>
      <c r="I1" s="153"/>
      <c r="J1" s="153"/>
    </row>
    <row r="2" spans="1:38" ht="15" customHeight="1" thickBot="1" x14ac:dyDescent="0.35">
      <c r="A2" s="153"/>
      <c r="B2" s="153"/>
      <c r="C2" s="153"/>
      <c r="D2" s="153"/>
      <c r="E2" s="153"/>
      <c r="F2" s="153"/>
      <c r="G2" s="153"/>
      <c r="H2" s="153"/>
      <c r="I2" s="153"/>
      <c r="J2" s="153"/>
    </row>
    <row r="3" spans="1:38" ht="51" customHeight="1" thickBot="1" x14ac:dyDescent="0.35">
      <c r="A3" s="153" t="s">
        <v>593</v>
      </c>
      <c r="B3" s="153" t="s">
        <v>6151</v>
      </c>
      <c r="C3" s="153" t="s">
        <v>6152</v>
      </c>
      <c r="D3" s="153"/>
      <c r="E3" s="983" t="s">
        <v>7133</v>
      </c>
      <c r="F3" s="984"/>
      <c r="G3" s="984" t="s">
        <v>3856</v>
      </c>
      <c r="H3" s="984"/>
      <c r="I3" s="984" t="s">
        <v>7149</v>
      </c>
      <c r="J3" s="985"/>
      <c r="Y3" t="s">
        <v>4395</v>
      </c>
      <c r="Z3" t="s">
        <v>4137</v>
      </c>
      <c r="AC3" t="s">
        <v>2353</v>
      </c>
    </row>
    <row r="4" spans="1:38" ht="16.5" x14ac:dyDescent="0.3">
      <c r="A4" s="153">
        <v>1</v>
      </c>
      <c r="B4" s="153" t="str">
        <f>IFERROR(INDEX(D041_ClassFeatures!$B$2:$B$2033,MATCH(C_Variables!A4,D041_ClassFeatures!$A$2:$A$2033,0),1),"")</f>
        <v>Ability Score Improvement</v>
      </c>
      <c r="C4" s="153">
        <f>IF(B4="",0,IF(IFERROR(MATCH(B4,C_Input!$BC$160:$BC$239,0),0)&gt;0,1,0))</f>
        <v>0</v>
      </c>
      <c r="D4" s="153"/>
      <c r="E4" s="186">
        <f>C_Input!AC42</f>
        <v>18</v>
      </c>
      <c r="F4" s="187">
        <f t="shared" ref="F4:F9" si="0">IFERROR(IF(E4&gt;10,ROUNDDOWN((E4-10)/2,0),ROUND((E4-10)/2,0)),"")</f>
        <v>4</v>
      </c>
      <c r="G4" s="186">
        <v>15</v>
      </c>
      <c r="H4" s="187">
        <f t="shared" ref="H4:H9" si="1">IFERROR(IF(G4&gt;10,ROUNDDOWN((G4-10)/2,0),ROUND((G4-10)/2,0)),"")</f>
        <v>2</v>
      </c>
      <c r="I4" s="624">
        <f t="shared" ref="I4:I9" si="2">IF(Typeofabilityroll="Ability Roll",E4+ROW()/100000,G4+ROW()/100000)</f>
        <v>18.000039999999998</v>
      </c>
      <c r="J4" s="187">
        <f t="shared" ref="J4:J9" si="3">IFERROR(IF(I4&gt;10,ROUNDDOWN((I4-10)/2,0),ROUND((I4-10)/2,0)),"")</f>
        <v>4</v>
      </c>
      <c r="L4" s="355" t="s">
        <v>4385</v>
      </c>
      <c r="M4" s="356">
        <f>MainClassSelected</f>
        <v>0</v>
      </c>
      <c r="N4" s="356" t="str">
        <f>IFERROR(INDEX($U$4:$U$15,MATCH(M4,$W$4:$W$15,0),1),"")</f>
        <v/>
      </c>
      <c r="O4" s="356">
        <f>Archetype1</f>
        <v>0</v>
      </c>
      <c r="P4" s="356" t="str">
        <f>IFERROR(INDEX(D04_Classes!$DB$3:$DB$102,MATCH(C_Variables!$M4,D04_Classes!$B$3:$B$102,0),1),"")</f>
        <v/>
      </c>
      <c r="Q4" s="356">
        <f>MainClassLevel</f>
        <v>1</v>
      </c>
      <c r="R4" s="357">
        <f>IF(Q4="",0,IF(Q4&gt;=P4,1,0))</f>
        <v>0</v>
      </c>
      <c r="U4" s="364" t="s">
        <v>3875</v>
      </c>
      <c r="V4" s="365">
        <f t="shared" ref="V4:V14" si="4">IFERROR(INDEX($O$4:$O$9,MATCH(U4,$N$4:$N$9,0),1),0)</f>
        <v>0</v>
      </c>
      <c r="W4" s="365" t="s">
        <v>619</v>
      </c>
      <c r="X4" s="365">
        <f>COUNTIF(C_Input!$R$58:$R$77,W4)</f>
        <v>0</v>
      </c>
      <c r="Y4" s="365">
        <f t="shared" ref="Y4:Y15" si="5">IF(MainClassSelected=W4,1,0)</f>
        <v>0</v>
      </c>
      <c r="Z4" s="365">
        <f>IF(AND(X4&gt;0,Y4=0),1,0)</f>
        <v>0</v>
      </c>
      <c r="AA4" s="370" t="s">
        <v>1112</v>
      </c>
      <c r="AB4" s="318" t="s">
        <v>4178</v>
      </c>
      <c r="AC4" s="318">
        <f>INDEX($X$4:$X$15,MATCH($AA4,$W$4:$W$15,0),1)</f>
        <v>0</v>
      </c>
      <c r="AD4" s="319">
        <f>IFERROR(INDEX(D00_Leveling!$Y$4:$BH$23,MATCH(C_Variables!$AC4,D00_Leveling!$A$4:$A$23,0),MATCH(C_Variables!$AB4,D00_Leveling!$Y$3:$BH$3,0)),0)</f>
        <v>0</v>
      </c>
      <c r="AF4" s="334" t="s">
        <v>4392</v>
      </c>
      <c r="AG4" s="334"/>
      <c r="AH4" s="334">
        <f>COUNTIF(C_Input!$AN$190:$AN$269,C_Variables!AF4)</f>
        <v>0</v>
      </c>
      <c r="AK4" t="s">
        <v>5393</v>
      </c>
      <c r="AL4">
        <f>BardLevel+ClericLevel+DruidLevel+ROUNDDOWN(PaladinLevel/2,0)+ROUNDDOWN(RangerLevel/2,0)+SorcererLevel+WizardLevel+IF(V8="Eldritch Knight",ROUNDDOWN(FighterLevel/3,0),0)+IF(V12="Arcane Trickster",ROUNDDOWN(RogueLevel/3,0),0)</f>
        <v>0</v>
      </c>
    </row>
    <row r="5" spans="1:38" ht="16.5" x14ac:dyDescent="0.3">
      <c r="A5" s="155">
        <f>IFERROR(IF(A4+1&lt;MAX(D041_ClassFeatures!$A$2:$A$2033),A4+1,""),"")</f>
        <v>2</v>
      </c>
      <c r="B5" s="153" t="str">
        <f>IFERROR(INDEX(D041_ClassFeatures!$B$2:$B$2033,MATCH(C_Variables!A5,D041_ClassFeatures!$A$2:$A$2033,0),1),"")</f>
        <v>Action Surge</v>
      </c>
      <c r="C5" s="153">
        <f>IF(B5="",0,IF(IFERROR(MATCH(B5,C_Input!$BC$160:$BC$239,0),0)&gt;0,1,0))</f>
        <v>0</v>
      </c>
      <c r="D5" s="153"/>
      <c r="E5" s="188">
        <f>C_Input!AC44</f>
        <v>14</v>
      </c>
      <c r="F5" s="189">
        <f t="shared" si="0"/>
        <v>2</v>
      </c>
      <c r="G5" s="188">
        <v>14</v>
      </c>
      <c r="H5" s="189">
        <f t="shared" si="1"/>
        <v>2</v>
      </c>
      <c r="I5" s="625">
        <f t="shared" si="2"/>
        <v>14.00005</v>
      </c>
      <c r="J5" s="189">
        <f t="shared" si="3"/>
        <v>2</v>
      </c>
      <c r="L5" s="358" t="s">
        <v>4386</v>
      </c>
      <c r="M5" s="359" t="str">
        <f>Multiclass1</f>
        <v/>
      </c>
      <c r="N5" s="359" t="str">
        <f t="shared" ref="N5:N9" si="6">IFERROR(INDEX($U$4:$U$15,MATCH(M5,$W$4:$W$15,0),1),"")</f>
        <v/>
      </c>
      <c r="O5" s="359">
        <f>Archetype2</f>
        <v>0</v>
      </c>
      <c r="P5" s="359" t="str">
        <f>IFERROR(INDEX(D04_Classes!$DB$3:$DB$102,MATCH(C_Variables!$M5,D04_Classes!$B$3:$B$102,0),1),"")</f>
        <v/>
      </c>
      <c r="Q5" s="359" t="str">
        <f>C_Input!P61</f>
        <v/>
      </c>
      <c r="R5" s="360">
        <f>IF(Q5="",0,IF(Q5&gt;=P5,1,0))</f>
        <v>0</v>
      </c>
      <c r="U5" s="366" t="s">
        <v>3877</v>
      </c>
      <c r="V5" s="367">
        <f t="shared" si="4"/>
        <v>0</v>
      </c>
      <c r="W5" s="367" t="s">
        <v>1112</v>
      </c>
      <c r="X5" s="367">
        <f>COUNTIF(C_Input!$R$58:$R$77,W5)</f>
        <v>0</v>
      </c>
      <c r="Y5" s="367">
        <f t="shared" si="5"/>
        <v>0</v>
      </c>
      <c r="Z5" s="367">
        <f t="shared" ref="Z5:Z15" si="7">IF(AND(X5&gt;0,Y5=0),1,0)</f>
        <v>0</v>
      </c>
      <c r="AA5" s="371" t="s">
        <v>1112</v>
      </c>
      <c r="AB5" s="320" t="s">
        <v>4179</v>
      </c>
      <c r="AC5" s="320">
        <f t="shared" ref="AC5:AC47" si="8">INDEX($X$4:$X$15,MATCH($AA5,$W$4:$W$15,0),1)</f>
        <v>0</v>
      </c>
      <c r="AD5" s="321">
        <f>IFERROR(INDEX(D00_Leveling!$Y$4:$BH$23,MATCH(C_Variables!$AC5,D00_Leveling!$A$4:$A$23,0),MATCH(C_Variables!$AB5,D00_Leveling!$Y$3:$BH$3,0)),0)</f>
        <v>0</v>
      </c>
      <c r="AF5" s="334" t="s">
        <v>4393</v>
      </c>
      <c r="AG5" s="334"/>
      <c r="AH5" s="334">
        <f>ExpertiseNumber-AH4</f>
        <v>0</v>
      </c>
    </row>
    <row r="6" spans="1:38" ht="16.5" x14ac:dyDescent="0.3">
      <c r="A6" s="155">
        <f>IFERROR(IF(A5+1&lt;MAX(D041_ClassFeatures!$A$2:$A$2033),A5+1,""),"")</f>
        <v>3</v>
      </c>
      <c r="B6" s="153" t="str">
        <f>IFERROR(INDEX(D041_ClassFeatures!$B$2:$B$2033,MATCH(C_Variables!A6,D041_ClassFeatures!$A$2:$A$2033,0),1),"")</f>
        <v>Arcane Recovery</v>
      </c>
      <c r="C6" s="153">
        <f>IF(B6="",0,IF(IFERROR(MATCH(B6,C_Input!$BC$160:$BC$239,0),0)&gt;0,1,0))</f>
        <v>0</v>
      </c>
      <c r="D6" s="153"/>
      <c r="E6" s="188">
        <f>C_Input!AC46</f>
        <v>10</v>
      </c>
      <c r="F6" s="189">
        <f t="shared" si="0"/>
        <v>0</v>
      </c>
      <c r="G6" s="188">
        <v>13</v>
      </c>
      <c r="H6" s="189">
        <f t="shared" si="1"/>
        <v>1</v>
      </c>
      <c r="I6" s="625">
        <f t="shared" si="2"/>
        <v>10.00006</v>
      </c>
      <c r="J6" s="189">
        <f t="shared" si="3"/>
        <v>0</v>
      </c>
      <c r="L6" s="358" t="s">
        <v>4387</v>
      </c>
      <c r="M6" s="359" t="str">
        <f>Multiclass2</f>
        <v/>
      </c>
      <c r="N6" s="359" t="str">
        <f t="shared" si="6"/>
        <v/>
      </c>
      <c r="O6" s="359">
        <f>Archetype3</f>
        <v>0</v>
      </c>
      <c r="P6" s="359" t="str">
        <f>IFERROR(INDEX(D04_Classes!$DB$3:$DB$102,MATCH(C_Variables!$M6,D04_Classes!$B$3:$B$102,0),1),"")</f>
        <v/>
      </c>
      <c r="Q6" s="359" t="str">
        <f>C_Input!P64</f>
        <v/>
      </c>
      <c r="R6" s="360">
        <f t="shared" ref="R6:R9" si="9">IF(Q6="",0,IF(Q6&gt;=P6,1,0))</f>
        <v>0</v>
      </c>
      <c r="U6" s="366" t="s">
        <v>2271</v>
      </c>
      <c r="V6" s="367">
        <f t="shared" si="4"/>
        <v>0</v>
      </c>
      <c r="W6" s="367" t="s">
        <v>620</v>
      </c>
      <c r="X6" s="367">
        <f>COUNTIF(C_Input!$R$58:$R$77,W6)</f>
        <v>0</v>
      </c>
      <c r="Y6" s="367">
        <f t="shared" si="5"/>
        <v>0</v>
      </c>
      <c r="Z6" s="367">
        <f t="shared" si="7"/>
        <v>0</v>
      </c>
      <c r="AA6" s="371" t="s">
        <v>1112</v>
      </c>
      <c r="AB6" s="320" t="s">
        <v>4180</v>
      </c>
      <c r="AC6" s="320">
        <f t="shared" si="8"/>
        <v>0</v>
      </c>
      <c r="AD6" s="321">
        <f>IFERROR(INDEX(D00_Leveling!$Y$4:$BH$23,MATCH(C_Variables!$AC6,D00_Leveling!$A$4:$A$23,0),MATCH(C_Variables!$AB6,D00_Leveling!$Y$3:$BH$3,0)),0)</f>
        <v>0</v>
      </c>
      <c r="AF6" s="334" t="s">
        <v>3862</v>
      </c>
      <c r="AG6" s="334">
        <f>COUNTIF(C_Input!$AM$190:$AM$269,C_Variables!AF6)</f>
        <v>0</v>
      </c>
      <c r="AH6" s="334"/>
      <c r="AK6" t="s">
        <v>5394</v>
      </c>
      <c r="AL6" t="e">
        <f>INDEX(D00_Leveling!$E$4:$M$23,MATCH(C_Variables!$AL$4,D00_Leveling!$A$4:$A$23,0),1)</f>
        <v>#N/A</v>
      </c>
    </row>
    <row r="7" spans="1:38" ht="16.5" x14ac:dyDescent="0.3">
      <c r="A7" s="155">
        <f>IFERROR(IF(A6+1&lt;MAX(D041_ClassFeatures!$A$2:$A$2033),A6+1,""),"")</f>
        <v>4</v>
      </c>
      <c r="B7" s="153" t="str">
        <f>IFERROR(INDEX(D041_ClassFeatures!$B$2:$B$2033,MATCH(C_Variables!A7,D041_ClassFeatures!$A$2:$A$2033,0),1),"")</f>
        <v>Arcane Tradition</v>
      </c>
      <c r="C7" s="153">
        <f>IF(B7="",0,IF(IFERROR(MATCH(B7,C_Input!$BC$160:$BC$239,0),0)&gt;0,1,0))</f>
        <v>0</v>
      </c>
      <c r="D7" s="153"/>
      <c r="E7" s="188">
        <f>C_Input!AC48</f>
        <v>11</v>
      </c>
      <c r="F7" s="189">
        <f t="shared" si="0"/>
        <v>0</v>
      </c>
      <c r="G7" s="188">
        <v>12</v>
      </c>
      <c r="H7" s="189">
        <f t="shared" si="1"/>
        <v>1</v>
      </c>
      <c r="I7" s="625">
        <f t="shared" si="2"/>
        <v>11.000069999999999</v>
      </c>
      <c r="J7" s="189">
        <f t="shared" si="3"/>
        <v>0</v>
      </c>
      <c r="L7" s="358" t="s">
        <v>4388</v>
      </c>
      <c r="M7" s="359" t="str">
        <f>Multiclass3</f>
        <v/>
      </c>
      <c r="N7" s="359" t="str">
        <f t="shared" si="6"/>
        <v/>
      </c>
      <c r="O7" s="359">
        <f>Archetype4</f>
        <v>0</v>
      </c>
      <c r="P7" s="359" t="str">
        <f>IFERROR(INDEX(D04_Classes!$DB$3:$DB$102,MATCH(C_Variables!$M7,D04_Classes!$B$3:$B$102,0),1),"")</f>
        <v/>
      </c>
      <c r="Q7" s="359" t="str">
        <f>C_Input!P67</f>
        <v/>
      </c>
      <c r="R7" s="360">
        <f t="shared" si="9"/>
        <v>0</v>
      </c>
      <c r="U7" s="366" t="s">
        <v>2291</v>
      </c>
      <c r="V7" s="367">
        <f t="shared" si="4"/>
        <v>0</v>
      </c>
      <c r="W7" s="367" t="s">
        <v>621</v>
      </c>
      <c r="X7" s="367">
        <f>COUNTIF(C_Input!$R$58:$R$77,W7)</f>
        <v>0</v>
      </c>
      <c r="Y7" s="367">
        <f t="shared" si="5"/>
        <v>0</v>
      </c>
      <c r="Z7" s="367">
        <f t="shared" si="7"/>
        <v>0</v>
      </c>
      <c r="AA7" s="371" t="s">
        <v>1112</v>
      </c>
      <c r="AB7" s="320" t="s">
        <v>4181</v>
      </c>
      <c r="AC7" s="320">
        <f t="shared" si="8"/>
        <v>0</v>
      </c>
      <c r="AD7" s="321">
        <f>IFERROR(INDEX(D00_Leveling!$Y$4:$BH$23,MATCH(C_Variables!$AC7,D00_Leveling!$A$4:$A$23,0),MATCH(C_Variables!$AB7,D00_Leveling!$Y$3:$BH$3,0)),0)</f>
        <v>0</v>
      </c>
      <c r="AF7" s="334" t="s">
        <v>2279</v>
      </c>
      <c r="AG7" s="334">
        <f>COUNTIF(C_Input!$BD$160:$BD$239,C_Variables!AF7)*2</f>
        <v>0</v>
      </c>
      <c r="AH7" s="334"/>
      <c r="AK7" t="s">
        <v>5395</v>
      </c>
      <c r="AL7" t="e">
        <f>INDEX(D00_Leveling!$E$4:$M$23,MATCH(C_Variables!$AL$4,D00_Leveling!$A$4:$A$23,0),2)</f>
        <v>#N/A</v>
      </c>
    </row>
    <row r="8" spans="1:38" ht="16.5" x14ac:dyDescent="0.3">
      <c r="A8" s="155">
        <f>IFERROR(IF(A7+1&lt;MAX(D041_ClassFeatures!$A$2:$A$2033),A7+1,""),"")</f>
        <v>5</v>
      </c>
      <c r="B8" s="153" t="str">
        <f>IFERROR(INDEX(D041_ClassFeatures!$B$2:$B$2033,MATCH(C_Variables!A8,D041_ClassFeatures!$A$2:$A$2033,0),1),"")</f>
        <v>Arcane Tradition Feature2-1</v>
      </c>
      <c r="C8" s="153">
        <f>IF(B8="",0,IF(IFERROR(MATCH(B8,C_Input!$BC$160:$BC$239,0),0)&gt;0,1,0))</f>
        <v>0</v>
      </c>
      <c r="D8" s="153"/>
      <c r="E8" s="188">
        <f>C_Input!AC50</f>
        <v>17</v>
      </c>
      <c r="F8" s="189">
        <f t="shared" si="0"/>
        <v>3</v>
      </c>
      <c r="G8" s="188">
        <v>11</v>
      </c>
      <c r="H8" s="189">
        <f t="shared" si="1"/>
        <v>0</v>
      </c>
      <c r="I8" s="625">
        <f t="shared" si="2"/>
        <v>17.000080000000001</v>
      </c>
      <c r="J8" s="189">
        <f t="shared" si="3"/>
        <v>3</v>
      </c>
      <c r="L8" s="358" t="s">
        <v>4389</v>
      </c>
      <c r="M8" s="359" t="str">
        <f>Multiclass4</f>
        <v/>
      </c>
      <c r="N8" s="359" t="str">
        <f t="shared" si="6"/>
        <v/>
      </c>
      <c r="O8" s="359">
        <f>Archetype5</f>
        <v>0</v>
      </c>
      <c r="P8" s="359" t="str">
        <f>IFERROR(INDEX(D04_Classes!$DB$3:$DB$102,MATCH(C_Variables!$M8,D04_Classes!$B$3:$B$102,0),1),"")</f>
        <v/>
      </c>
      <c r="Q8" s="359" t="str">
        <f>C_Input!P70</f>
        <v/>
      </c>
      <c r="R8" s="360">
        <f t="shared" si="9"/>
        <v>0</v>
      </c>
      <c r="U8" s="366" t="s">
        <v>2248</v>
      </c>
      <c r="V8" s="367">
        <f t="shared" si="4"/>
        <v>0</v>
      </c>
      <c r="W8" s="367" t="s">
        <v>622</v>
      </c>
      <c r="X8" s="367">
        <f>COUNTIF(C_Input!$R$58:$R$77,W8)</f>
        <v>0</v>
      </c>
      <c r="Y8" s="367">
        <f t="shared" si="5"/>
        <v>0</v>
      </c>
      <c r="Z8" s="367">
        <f t="shared" si="7"/>
        <v>0</v>
      </c>
      <c r="AA8" s="371" t="s">
        <v>1112</v>
      </c>
      <c r="AB8" s="320" t="s">
        <v>4182</v>
      </c>
      <c r="AC8" s="320">
        <f t="shared" si="8"/>
        <v>0</v>
      </c>
      <c r="AD8" s="321">
        <f>IFERROR(INDEX(D00_Leveling!$Y$4:$BH$23,MATCH(C_Variables!$AC8,D00_Leveling!$A$4:$A$23,0),MATCH(C_Variables!$AB8,D00_Leveling!$Y$3:$BH$3,0)),0)</f>
        <v>0</v>
      </c>
      <c r="AF8" s="334" t="s">
        <v>4396</v>
      </c>
      <c r="AG8" s="334">
        <f>IF(IFERROR(MATCH("Knowledge Domain",$O$4:$O$9,0),0)&gt;0,1,0)</f>
        <v>0</v>
      </c>
      <c r="AH8" s="334"/>
      <c r="AK8" t="s">
        <v>5396</v>
      </c>
      <c r="AL8" t="e">
        <f>INDEX(D00_Leveling!$E$4:$M$23,MATCH(C_Variables!$AL$4,D00_Leveling!$A$4:$A$23,0),3)</f>
        <v>#N/A</v>
      </c>
    </row>
    <row r="9" spans="1:38" ht="17.25" thickBot="1" x14ac:dyDescent="0.35">
      <c r="A9" s="155">
        <f>IFERROR(IF(A8+1&lt;MAX(D041_ClassFeatures!$A$2:$A$2033),A8+1,""),"")</f>
        <v>6</v>
      </c>
      <c r="B9" s="153" t="str">
        <f>IFERROR(INDEX(D041_ClassFeatures!$B$2:$B$2033,MATCH(C_Variables!A9,D041_ClassFeatures!$A$2:$A$2033,0),1),"")</f>
        <v>Arcane Tradition Feature2-2</v>
      </c>
      <c r="C9" s="153">
        <f>IF(B9="",0,IF(IFERROR(MATCH(B9,C_Input!$BC$160:$BC$239,0),0)&gt;0,1,0))</f>
        <v>0</v>
      </c>
      <c r="D9" s="153"/>
      <c r="E9" s="190">
        <f>C_Input!AC52</f>
        <v>13</v>
      </c>
      <c r="F9" s="191">
        <f t="shared" si="0"/>
        <v>1</v>
      </c>
      <c r="G9" s="190">
        <v>8</v>
      </c>
      <c r="H9" s="191">
        <f t="shared" si="1"/>
        <v>-1</v>
      </c>
      <c r="I9" s="626">
        <f t="shared" si="2"/>
        <v>13.00009</v>
      </c>
      <c r="J9" s="191">
        <f t="shared" si="3"/>
        <v>1</v>
      </c>
      <c r="L9" s="361" t="s">
        <v>4390</v>
      </c>
      <c r="M9" s="362" t="str">
        <f>Multiclass5</f>
        <v/>
      </c>
      <c r="N9" s="362" t="str">
        <f t="shared" si="6"/>
        <v/>
      </c>
      <c r="O9" s="362">
        <f>Archetype6</f>
        <v>0</v>
      </c>
      <c r="P9" s="362" t="str">
        <f>IFERROR(INDEX(D04_Classes!$DB$3:$DB$102,MATCH(C_Variables!$M9,D04_Classes!$B$3:$B$102,0),1),"")</f>
        <v/>
      </c>
      <c r="Q9" s="362" t="str">
        <f>C_Input!P73</f>
        <v/>
      </c>
      <c r="R9" s="363">
        <f t="shared" si="9"/>
        <v>0</v>
      </c>
      <c r="U9" s="366" t="s">
        <v>3879</v>
      </c>
      <c r="V9" s="367">
        <f t="shared" si="4"/>
        <v>0</v>
      </c>
      <c r="W9" s="367" t="s">
        <v>623</v>
      </c>
      <c r="X9" s="367">
        <f>COUNTIF(C_Input!$R$58:$R$77,W9)</f>
        <v>0</v>
      </c>
      <c r="Y9" s="367">
        <f t="shared" si="5"/>
        <v>0</v>
      </c>
      <c r="Z9" s="367">
        <f t="shared" si="7"/>
        <v>0</v>
      </c>
      <c r="AA9" s="371" t="s">
        <v>620</v>
      </c>
      <c r="AB9" s="320" t="s">
        <v>4183</v>
      </c>
      <c r="AC9" s="320">
        <f t="shared" si="8"/>
        <v>0</v>
      </c>
      <c r="AD9" s="321">
        <f>IFERROR(INDEX(D00_Leveling!$Y$4:$BH$23,MATCH(C_Variables!$AC9,D00_Leveling!$A$4:$A$23,0),MATCH(C_Variables!$AB9,D00_Leveling!$Y$3:$BH$3,0)),0)</f>
        <v>0</v>
      </c>
      <c r="AF9" s="334" t="s">
        <v>4397</v>
      </c>
      <c r="AG9" s="334">
        <f>IF(IFERROR(MATCH("College of Lore",O4:O9,0),0)&gt;0,1,0)</f>
        <v>0</v>
      </c>
      <c r="AH9" s="334"/>
      <c r="AK9" t="s">
        <v>5397</v>
      </c>
      <c r="AL9" t="e">
        <f>INDEX(D00_Leveling!$E$4:$M$23,MATCH(C_Variables!$AL$4,D00_Leveling!$A$4:$A$23,0),4)</f>
        <v>#N/A</v>
      </c>
    </row>
    <row r="10" spans="1:38" ht="17.25" thickBot="1" x14ac:dyDescent="0.35">
      <c r="A10" s="155">
        <f>IFERROR(IF(A9+1&lt;MAX(D041_ClassFeatures!$A$2:$A$2033),A9+1,""),"")</f>
        <v>7</v>
      </c>
      <c r="B10" s="153" t="str">
        <f>IFERROR(INDEX(D041_ClassFeatures!$B$2:$B$2033,MATCH(C_Variables!A10,D041_ClassFeatures!$A$2:$A$2033,0),1),"")</f>
        <v>Arcane Tradition Feature6</v>
      </c>
      <c r="C10" s="153">
        <f>IF(B10="",0,IF(IFERROR(MATCH(B10,C_Input!$BC$160:$BC$239,0),0)&gt;0,1,0))</f>
        <v>0</v>
      </c>
      <c r="D10" s="153"/>
      <c r="E10" s="192">
        <f t="shared" ref="E10:J10" si="10">SUM(E4:E9)</f>
        <v>83</v>
      </c>
      <c r="F10" s="193">
        <f t="shared" si="10"/>
        <v>10</v>
      </c>
      <c r="G10" s="192">
        <f t="shared" si="10"/>
        <v>73</v>
      </c>
      <c r="H10" s="193">
        <f t="shared" si="10"/>
        <v>5</v>
      </c>
      <c r="I10" s="627">
        <f t="shared" si="10"/>
        <v>83.000389999999996</v>
      </c>
      <c r="J10" s="193">
        <f t="shared" si="10"/>
        <v>10</v>
      </c>
      <c r="U10" s="366" t="s">
        <v>3873</v>
      </c>
      <c r="V10" s="367">
        <f t="shared" si="4"/>
        <v>0</v>
      </c>
      <c r="W10" s="367" t="s">
        <v>1113</v>
      </c>
      <c r="X10" s="367">
        <f>COUNTIF(C_Input!$R$58:$R$77,W10)</f>
        <v>0</v>
      </c>
      <c r="Y10" s="367">
        <f t="shared" si="5"/>
        <v>0</v>
      </c>
      <c r="Z10" s="367">
        <f t="shared" si="7"/>
        <v>0</v>
      </c>
      <c r="AA10" s="371" t="s">
        <v>620</v>
      </c>
      <c r="AB10" s="320" t="s">
        <v>4184</v>
      </c>
      <c r="AC10" s="320">
        <f t="shared" si="8"/>
        <v>0</v>
      </c>
      <c r="AD10" s="321">
        <f>IFERROR(INDEX(D00_Leveling!$Y$4:$BH$23,MATCH(C_Variables!$AC10,D00_Leveling!$A$4:$A$23,0),MATCH(C_Variables!$AB10,D00_Leveling!$Y$3:$BH$3,0)),0)</f>
        <v>0</v>
      </c>
      <c r="AF10" s="334" t="s">
        <v>4414</v>
      </c>
      <c r="AG10" s="334">
        <f>IF(W38*1&gt;=15,9,IF(W38*1&gt;=10,7,IF(W38*1&gt;=7,5,IF(W38*1&gt;=3,3,0))))+FeatMartialAdept*2</f>
        <v>0</v>
      </c>
      <c r="AH10" s="334"/>
      <c r="AK10" t="s">
        <v>5398</v>
      </c>
      <c r="AL10" t="e">
        <f>INDEX(D00_Leveling!$E$4:$M$23,MATCH(C_Variables!$AL$4,D00_Leveling!$A$4:$A$23,0),5)</f>
        <v>#N/A</v>
      </c>
    </row>
    <row r="11" spans="1:38" ht="17.25" thickBot="1" x14ac:dyDescent="0.35">
      <c r="A11" s="155">
        <f>IFERROR(IF(A10+1&lt;MAX(D041_ClassFeatures!$A$2:$A$2033),A10+1,""),"")</f>
        <v>8</v>
      </c>
      <c r="B11" s="153" t="str">
        <f>IFERROR(INDEX(D041_ClassFeatures!$B$2:$B$2033,MATCH(C_Variables!A11,D041_ClassFeatures!$A$2:$A$2033,0),1),"")</f>
        <v>Arcane Tradition Feature10</v>
      </c>
      <c r="C11" s="153">
        <f>IF(B11="",0,IF(IFERROR(MATCH(B11,C_Input!$BC$160:$BC$239,0),0)&gt;0,1,0))</f>
        <v>0</v>
      </c>
      <c r="D11" s="153"/>
      <c r="E11" s="437" t="s">
        <v>7151</v>
      </c>
      <c r="F11" s="438" t="s">
        <v>7152</v>
      </c>
      <c r="G11" s="438" t="s">
        <v>7150</v>
      </c>
      <c r="H11" s="438"/>
      <c r="I11" s="438"/>
      <c r="J11" s="628"/>
      <c r="U11" s="366" t="s">
        <v>2251</v>
      </c>
      <c r="V11" s="367">
        <f t="shared" si="4"/>
        <v>0</v>
      </c>
      <c r="W11" s="367" t="s">
        <v>624</v>
      </c>
      <c r="X11" s="367">
        <f>COUNTIF(C_Input!$R$58:$R$77,W11)</f>
        <v>0</v>
      </c>
      <c r="Y11" s="367">
        <f t="shared" si="5"/>
        <v>0</v>
      </c>
      <c r="Z11" s="367">
        <f t="shared" si="7"/>
        <v>0</v>
      </c>
      <c r="AA11" s="371" t="s">
        <v>621</v>
      </c>
      <c r="AB11" s="320" t="s">
        <v>4185</v>
      </c>
      <c r="AC11" s="320">
        <f t="shared" si="8"/>
        <v>0</v>
      </c>
      <c r="AD11" s="321">
        <f>IFERROR(INDEX(D00_Leveling!$Y$4:$BH$23,MATCH(C_Variables!$AC11,D00_Leveling!$A$4:$A$23,0),MATCH(C_Variables!$AB11,D00_Leveling!$Y$3:$BH$3,0)),0)</f>
        <v>0</v>
      </c>
      <c r="AF11" s="334" t="s">
        <v>4418</v>
      </c>
      <c r="AG11" s="334">
        <f>COUNTIF(C_Input!BD160:BD239,"Fighting style")+COUNTIF(C_Input!BD160:BD239,"Additional Fighting style")</f>
        <v>0</v>
      </c>
      <c r="AH11" s="334"/>
      <c r="AK11" t="s">
        <v>5399</v>
      </c>
      <c r="AL11" t="e">
        <f>INDEX(D00_Leveling!$E$4:$M$23,MATCH(C_Variables!$AL$4,D00_Leveling!$A$4:$A$23,0),6)</f>
        <v>#N/A</v>
      </c>
    </row>
    <row r="12" spans="1:38" ht="16.5" x14ac:dyDescent="0.3">
      <c r="A12" s="155">
        <f>IFERROR(IF(A11+1&lt;MAX(D041_ClassFeatures!$A$2:$A$2033),A11+1,""),"")</f>
        <v>9</v>
      </c>
      <c r="B12" s="153" t="str">
        <f>IFERROR(INDEX(D041_ClassFeatures!$B$2:$B$2033,MATCH(C_Variables!A12,D041_ClassFeatures!$A$2:$A$2033,0),1),"")</f>
        <v>Arcane Tradition Feature14</v>
      </c>
      <c r="C12" s="153">
        <f>IF(B12="",0,IF(IFERROR(MATCH(B12,C_Input!$BC$160:$BC$239,0),0)&gt;0,1,0))</f>
        <v>0</v>
      </c>
      <c r="D12" s="153"/>
      <c r="E12" s="437">
        <f>BaseStr</f>
        <v>14.00005</v>
      </c>
      <c r="F12" s="629">
        <f>IF(IFERROR(IF(MATCH(I4,E$12:E$17,0)&gt;0,1,0),0)=0,I4,0)</f>
        <v>0</v>
      </c>
      <c r="G12" s="629">
        <f>LARGE($F$12:$F$17,1)</f>
        <v>0</v>
      </c>
      <c r="H12" s="438"/>
      <c r="I12" s="438"/>
      <c r="J12" s="628"/>
      <c r="K12" s="347"/>
      <c r="L12" s="347" t="str">
        <f>L4</f>
        <v>Archetype1</v>
      </c>
      <c r="M12" s="347" t="str">
        <f>L5</f>
        <v>Archetype2</v>
      </c>
      <c r="N12" s="347" t="str">
        <f>L6</f>
        <v>Archetype3</v>
      </c>
      <c r="O12" s="347" t="str">
        <f>L7</f>
        <v>Archetype4</v>
      </c>
      <c r="P12" s="347" t="str">
        <f>L8</f>
        <v>Archetype5</v>
      </c>
      <c r="Q12" s="348" t="str">
        <f>L9</f>
        <v>Archetype6</v>
      </c>
      <c r="U12" s="366" t="s">
        <v>3881</v>
      </c>
      <c r="V12" s="367">
        <f t="shared" si="4"/>
        <v>0</v>
      </c>
      <c r="W12" s="367" t="s">
        <v>625</v>
      </c>
      <c r="X12" s="367">
        <f>COUNTIF(C_Input!$R$58:$R$77,W12)</f>
        <v>0</v>
      </c>
      <c r="Y12" s="367">
        <f t="shared" si="5"/>
        <v>0</v>
      </c>
      <c r="Z12" s="367">
        <f t="shared" si="7"/>
        <v>0</v>
      </c>
      <c r="AA12" s="371" t="s">
        <v>621</v>
      </c>
      <c r="AB12" s="320" t="s">
        <v>4186</v>
      </c>
      <c r="AC12" s="320">
        <f t="shared" si="8"/>
        <v>0</v>
      </c>
      <c r="AD12" s="321">
        <f>IFERROR(INDEX(D00_Leveling!$Y$4:$BH$23,MATCH(C_Variables!$AC12,D00_Leveling!$A$4:$A$23,0),MATCH(C_Variables!$AB12,D00_Leveling!$Y$3:$BH$3,0)),0)</f>
        <v>0</v>
      </c>
      <c r="AF12" s="334" t="s">
        <v>5545</v>
      </c>
      <c r="AG12" s="334">
        <f>IF(IFERROR(MATCH("Nature Domain",$O$4:$O$9,0),0)&gt;0,1,0)</f>
        <v>0</v>
      </c>
      <c r="AK12" t="s">
        <v>5400</v>
      </c>
      <c r="AL12" t="e">
        <f>INDEX(D00_Leveling!$E$4:$M$23,MATCH(C_Variables!$AL$4,D00_Leveling!$A$4:$A$23,0),7)</f>
        <v>#N/A</v>
      </c>
    </row>
    <row r="13" spans="1:38" ht="16.5" x14ac:dyDescent="0.3">
      <c r="A13" s="155">
        <f>IFERROR(IF(A12+1&lt;MAX(D041_ClassFeatures!$A$2:$A$2033),A12+1,""),"")</f>
        <v>10</v>
      </c>
      <c r="B13" s="153" t="str">
        <f>IFERROR(INDEX(D041_ClassFeatures!$B$2:$B$2033,MATCH(C_Variables!A13,D041_ClassFeatures!$A$2:$A$2033,0),1),"")</f>
        <v>Archdruid</v>
      </c>
      <c r="C13" s="153">
        <f>IF(B13="",0,IF(IFERROR(MATCH(B13,C_Input!$BC$160:$BC$239,0),0)&gt;0,1,0))</f>
        <v>0</v>
      </c>
      <c r="D13" s="153"/>
      <c r="E13" s="437">
        <f>BaseDex</f>
        <v>18.000039999999998</v>
      </c>
      <c r="F13" s="629">
        <f t="shared" ref="F13:F17" si="11">IF(IFERROR(IF(MATCH(I5,E$12:E$17,0)&gt;0,1,0),0)=0,I5,0)</f>
        <v>0</v>
      </c>
      <c r="G13" s="629">
        <f>LARGE($F$12:$F$17,2)</f>
        <v>0</v>
      </c>
      <c r="H13" s="438"/>
      <c r="I13" s="438"/>
      <c r="J13" s="628"/>
      <c r="K13" s="350"/>
      <c r="L13" s="350">
        <f>M4</f>
        <v>0</v>
      </c>
      <c r="M13" s="350" t="str">
        <f>M5</f>
        <v/>
      </c>
      <c r="N13" s="350" t="str">
        <f>M6</f>
        <v/>
      </c>
      <c r="O13" s="350" t="str">
        <f>M7</f>
        <v/>
      </c>
      <c r="P13" s="350" t="str">
        <f>M8</f>
        <v/>
      </c>
      <c r="Q13" s="351" t="str">
        <f>M9</f>
        <v/>
      </c>
      <c r="U13" s="366" t="s">
        <v>2282</v>
      </c>
      <c r="V13" s="367">
        <f t="shared" si="4"/>
        <v>0</v>
      </c>
      <c r="W13" s="367" t="s">
        <v>626</v>
      </c>
      <c r="X13" s="367">
        <f>COUNTIF(C_Input!$R$58:$R$77,W13)</f>
        <v>0</v>
      </c>
      <c r="Y13" s="367">
        <f t="shared" si="5"/>
        <v>0</v>
      </c>
      <c r="Z13" s="367">
        <f t="shared" si="7"/>
        <v>0</v>
      </c>
      <c r="AA13" s="371" t="s">
        <v>621</v>
      </c>
      <c r="AB13" s="320" t="s">
        <v>4187</v>
      </c>
      <c r="AC13" s="320">
        <f t="shared" si="8"/>
        <v>0</v>
      </c>
      <c r="AD13" s="321">
        <f>IFERROR(INDEX(D00_Leveling!$Y$4:$BH$23,MATCH(C_Variables!$AC13,D00_Leveling!$A$4:$A$23,0),MATCH(C_Variables!$AB13,D00_Leveling!$Y$3:$BH$3,0)),0)</f>
        <v>0</v>
      </c>
      <c r="AF13" s="334" t="s">
        <v>6856</v>
      </c>
      <c r="AG13">
        <f>COUNTIF(C_Input!$BD$160:$BD$239,"Thieves' Cant")</f>
        <v>0</v>
      </c>
      <c r="AK13" t="s">
        <v>5401</v>
      </c>
      <c r="AL13" t="e">
        <f>INDEX(D00_Leveling!$E$4:$M$23,MATCH(C_Variables!$AL$4,D00_Leveling!$A$4:$A$23,0),8)</f>
        <v>#N/A</v>
      </c>
    </row>
    <row r="14" spans="1:38" ht="16.5" x14ac:dyDescent="0.3">
      <c r="A14" s="155">
        <f>IFERROR(IF(A13+1&lt;MAX(D041_ClassFeatures!$A$2:$A$2033),A13+1,""),"")</f>
        <v>11</v>
      </c>
      <c r="B14" s="153" t="str">
        <f>IFERROR(INDEX(D041_ClassFeatures!$B$2:$B$2033,MATCH(C_Variables!A14,D041_ClassFeatures!$A$2:$A$2033,0),1),"")</f>
        <v>Aura improvements</v>
      </c>
      <c r="C14" s="153">
        <f>IF(B14="",0,IF(IFERROR(MATCH(B14,C_Input!$BC$160:$BC$239,0),0)&gt;0,1,0))</f>
        <v>0</v>
      </c>
      <c r="D14" s="153"/>
      <c r="E14" s="437">
        <f>BaseCon</f>
        <v>11.000069999999999</v>
      </c>
      <c r="F14" s="629">
        <f t="shared" si="11"/>
        <v>0</v>
      </c>
      <c r="G14" s="629">
        <f>LARGE($F$12:$F$17,3)</f>
        <v>0</v>
      </c>
      <c r="H14" s="438"/>
      <c r="I14" s="438"/>
      <c r="J14" s="628"/>
      <c r="K14" s="350"/>
      <c r="L14" s="350" t="str">
        <f>N4</f>
        <v/>
      </c>
      <c r="M14" s="350" t="str">
        <f>N5</f>
        <v/>
      </c>
      <c r="N14" s="350" t="str">
        <f>N6</f>
        <v/>
      </c>
      <c r="O14" s="350" t="str">
        <f>N7</f>
        <v/>
      </c>
      <c r="P14" s="350" t="str">
        <f>N8</f>
        <v/>
      </c>
      <c r="Q14" s="351" t="str">
        <f>N9</f>
        <v/>
      </c>
      <c r="U14" s="366" t="s">
        <v>2283</v>
      </c>
      <c r="V14" s="367">
        <f t="shared" si="4"/>
        <v>0</v>
      </c>
      <c r="W14" s="367" t="s">
        <v>627</v>
      </c>
      <c r="X14" s="367">
        <f>COUNTIF(C_Input!$R$58:$R$77,W14)</f>
        <v>0</v>
      </c>
      <c r="Y14" s="367">
        <f t="shared" si="5"/>
        <v>0</v>
      </c>
      <c r="Z14" s="367">
        <f t="shared" si="7"/>
        <v>0</v>
      </c>
      <c r="AA14" s="371" t="s">
        <v>622</v>
      </c>
      <c r="AB14" s="320" t="s">
        <v>4188</v>
      </c>
      <c r="AC14" s="320">
        <f t="shared" si="8"/>
        <v>0</v>
      </c>
      <c r="AD14" s="321">
        <f>IFERROR(INDEX(D00_Leveling!$Y$4:$BH$23,MATCH(C_Variables!$AC14,D00_Leveling!$A$4:$A$23,0),MATCH(C_Variables!$AB14,D00_Leveling!$Y$3:$BH$3,0)),0)</f>
        <v>0</v>
      </c>
      <c r="AF14" s="334" t="s">
        <v>6855</v>
      </c>
      <c r="AG14">
        <f>COUNTIF(C_Input!$BD$160:$BD$239,"Druidic language")</f>
        <v>0</v>
      </c>
      <c r="AK14" t="s">
        <v>5402</v>
      </c>
      <c r="AL14" t="e">
        <f>INDEX(D00_Leveling!$E$4:$M$23,MATCH(C_Variables!$AL$4,D00_Leveling!$A$4:$A$23,0),9)</f>
        <v>#N/A</v>
      </c>
    </row>
    <row r="15" spans="1:38" ht="17.25" thickBot="1" x14ac:dyDescent="0.35">
      <c r="A15" s="155">
        <f>IFERROR(IF(A14+1&lt;MAX(D041_ClassFeatures!$A$2:$A$2033),A14+1,""),"")</f>
        <v>12</v>
      </c>
      <c r="B15" s="153" t="str">
        <f>IFERROR(INDEX(D041_ClassFeatures!$B$2:$B$2033,MATCH(C_Variables!A15,D041_ClassFeatures!$A$2:$A$2033,0),1),"")</f>
        <v>Aura of Courage</v>
      </c>
      <c r="C15" s="153">
        <f>IF(B15="",0,IF(IFERROR(MATCH(B15,C_Input!$BC$160:$BC$239,0),0)&gt;0,1,0))</f>
        <v>0</v>
      </c>
      <c r="D15" s="153"/>
      <c r="E15" s="437">
        <f>BaseInt</f>
        <v>13.00009</v>
      </c>
      <c r="F15" s="629">
        <f t="shared" si="11"/>
        <v>0</v>
      </c>
      <c r="G15" s="629">
        <f>LARGE($F$12:$F$17,4)</f>
        <v>0</v>
      </c>
      <c r="H15" s="438"/>
      <c r="I15" s="438"/>
      <c r="J15" s="628"/>
      <c r="K15" s="350"/>
      <c r="L15" s="350">
        <f>COUNTA(L16:L25)-COUNTBLANK(L16:L25)</f>
        <v>1</v>
      </c>
      <c r="M15" s="350">
        <f t="shared" ref="M15:Q15" si="12">COUNTA(M16:M25)-COUNTBLANK(M16:M25)</f>
        <v>1</v>
      </c>
      <c r="N15" s="350">
        <f t="shared" si="12"/>
        <v>1</v>
      </c>
      <c r="O15" s="350">
        <f t="shared" si="12"/>
        <v>1</v>
      </c>
      <c r="P15" s="350">
        <f t="shared" si="12"/>
        <v>1</v>
      </c>
      <c r="Q15" s="351">
        <f t="shared" si="12"/>
        <v>1</v>
      </c>
      <c r="U15" s="368" t="s">
        <v>1122</v>
      </c>
      <c r="V15" s="369">
        <f>IFERROR(INDEX($O$4:$O$9,MATCH(U15,$N$4:$N$9,0),1),0)</f>
        <v>0</v>
      </c>
      <c r="W15" s="369" t="s">
        <v>628</v>
      </c>
      <c r="X15" s="369">
        <f>COUNTIF(C_Input!$R$58:$R$77,W15)</f>
        <v>0</v>
      </c>
      <c r="Y15" s="369">
        <f t="shared" si="5"/>
        <v>0</v>
      </c>
      <c r="Z15" s="369">
        <f t="shared" si="7"/>
        <v>0</v>
      </c>
      <c r="AA15" s="371" t="s">
        <v>622</v>
      </c>
      <c r="AB15" s="320" t="s">
        <v>4189</v>
      </c>
      <c r="AC15" s="320">
        <f t="shared" si="8"/>
        <v>0</v>
      </c>
      <c r="AD15" s="321">
        <f>IFERROR(INDEX(D00_Leveling!$Y$4:$BH$23,MATCH(C_Variables!$AC15,D00_Leveling!$A$4:$A$23,0),MATCH(C_Variables!$AB15,D00_Leveling!$Y$3:$BH$3,0)),0)</f>
        <v>0</v>
      </c>
      <c r="AF15" s="334" t="s">
        <v>6929</v>
      </c>
      <c r="AG15">
        <v>1</v>
      </c>
    </row>
    <row r="16" spans="1:38" ht="17.25" thickBot="1" x14ac:dyDescent="0.35">
      <c r="A16" s="155">
        <f>IFERROR(IF(A15+1&lt;MAX(D041_ClassFeatures!$A$2:$A$2033),A15+1,""),"")</f>
        <v>13</v>
      </c>
      <c r="B16" s="153" t="str">
        <f>IFERROR(INDEX(D041_ClassFeatures!$B$2:$B$2033,MATCH(C_Variables!A16,D041_ClassFeatures!$A$2:$A$2033,0),1),"")</f>
        <v>Aura of Protection</v>
      </c>
      <c r="C16" s="153">
        <f>IF(B16="",0,IF(IFERROR(MATCH(B16,C_Input!$BC$160:$BC$239,0),0)&gt;0,1,0))</f>
        <v>0</v>
      </c>
      <c r="D16" s="153"/>
      <c r="E16" s="437">
        <f>BaseWis</f>
        <v>10.00006</v>
      </c>
      <c r="F16" s="629">
        <f t="shared" si="11"/>
        <v>0</v>
      </c>
      <c r="G16" s="629">
        <f>LARGE($F$12:$F$17,5)</f>
        <v>0</v>
      </c>
      <c r="H16" s="438"/>
      <c r="I16" s="438"/>
      <c r="J16" s="628"/>
      <c r="K16" s="350">
        <v>1</v>
      </c>
      <c r="L16" s="350" t="str">
        <f>IF(R4=0,"n/a",IF(IF($R$4=1,INDEX(D041_ClassFeatures!$N$2:$X$556,MATCH(C_Variables!$N$4,D041_ClassFeatures!$B$2:$B$556,0),ROW()-ROW($L$15)),"")=0,"",IF($R$4=1,INDEX(D041_ClassFeatures!$N$2:$X$556,MATCH(C_Variables!$N$4,D041_ClassFeatures!$B$2:$B$556,0),ROW()-ROW($L$15)),"")))</f>
        <v>n/a</v>
      </c>
      <c r="M16" s="350" t="str">
        <f>IF($R$5=0,"n/a",IF(IF($R$5=1,INDEX(D041_ClassFeatures!$N$2:$X$556,MATCH(C_Variables!$N$5,D041_ClassFeatures!$B$2:$B$556,0),ROW()-ROW($L$15)),"")=0,"",IF($R$5=1,INDEX(D041_ClassFeatures!$N$2:$X$556,MATCH(C_Variables!$N$5,D041_ClassFeatures!$B$2:$B$556,0),ROW()-ROW($L$15)),"")))</f>
        <v>n/a</v>
      </c>
      <c r="N16" s="350" t="str">
        <f>IF($R$6=0,"n/a",IF(IF($R$6=1,INDEX(D041_ClassFeatures!$N$2:$X$556,MATCH(C_Variables!$N$6,D041_ClassFeatures!$B$2:$B$556,0),ROW()-ROW($L$15)),"")=0,"",IF($R$6=1,INDEX(D041_ClassFeatures!$N$2:$X$556,MATCH(C_Variables!$N$6,D041_ClassFeatures!$B$2:$B$556,0),ROW()-ROW($L$15)),"")))</f>
        <v>n/a</v>
      </c>
      <c r="O16" s="350" t="str">
        <f>IF($R$7=0,"n/a",IF(IF($R$7=1,INDEX(D041_ClassFeatures!$N$2:$X$556,MATCH(C_Variables!$N$7,D041_ClassFeatures!$B$2:$B$556,0),ROW()-ROW($L$15)),"")=0,"",IF($R$7=1,INDEX(D041_ClassFeatures!$N$2:$X$556,MATCH(C_Variables!$N$7,D041_ClassFeatures!$B$2:$B$556,0),ROW()-ROW($L$15)),"")))</f>
        <v>n/a</v>
      </c>
      <c r="P16" s="350" t="str">
        <f>IF($R$8=0,"n/a",IF(IF($R$8=1,INDEX(D041_ClassFeatures!$N$2:$X$556,MATCH(C_Variables!$N$8,D041_ClassFeatures!$B$2:$B$556,0),ROW()-ROW($L$15)),"")=0,"",IF($R$8=1,INDEX(D041_ClassFeatures!$N$2:$X$556,MATCH(C_Variables!$N$8,D041_ClassFeatures!$B$2:$B$556,0),ROW()-ROW($L$15)),"")))</f>
        <v>n/a</v>
      </c>
      <c r="Q16" s="351" t="str">
        <f>IF($R$9=0,"n/a",IF(IF($R$9=1,INDEX(D041_ClassFeatures!$N$2:$X$556,MATCH(C_Variables!$N$9,D041_ClassFeatures!$B$2:$B$556,0),ROW()-ROW($L$15)),"")=0,"",IF($R$9=1,INDEX(D041_ClassFeatures!$N$2:$X$556,MATCH(C_Variables!$N$9,D041_ClassFeatures!$B$2:$B$556,0),ROW()-ROW($L$15)),"")))</f>
        <v>n/a</v>
      </c>
      <c r="AA16" s="371" t="s">
        <v>623</v>
      </c>
      <c r="AB16" s="320" t="s">
        <v>4190</v>
      </c>
      <c r="AC16" s="320">
        <f t="shared" si="8"/>
        <v>0</v>
      </c>
      <c r="AD16" s="321">
        <f>IFERROR(INDEX(D00_Leveling!$Y$4:$BH$23,MATCH(C_Variables!$AC16,D00_Leveling!$A$4:$A$23,0),MATCH(C_Variables!$AB16,D00_Leveling!$Y$3:$BH$3,0)),0)</f>
        <v>0</v>
      </c>
      <c r="AK16" t="s">
        <v>5403</v>
      </c>
      <c r="AL16">
        <f>COUNTIF(C_Input!$BC$160:$BC$239,"Spellcasting (bard)")</f>
        <v>0</v>
      </c>
    </row>
    <row r="17" spans="1:38" ht="16.5" x14ac:dyDescent="0.3">
      <c r="A17" s="155">
        <f>IFERROR(IF(A16+1&lt;MAX(D041_ClassFeatures!$A$2:$A$2033),A16+1,""),"")</f>
        <v>14</v>
      </c>
      <c r="B17" s="153" t="str">
        <f>IFERROR(INDEX(D041_ClassFeatures!$B$2:$B$2033,MATCH(C_Variables!A17,D041_ClassFeatures!$A$2:$A$2033,0),1),"")</f>
        <v>Bard College</v>
      </c>
      <c r="C17" s="153">
        <f>IF(B17="",0,IF(IFERROR(MATCH(B17,C_Input!$BC$160:$BC$239,0),0)&gt;0,1,0))</f>
        <v>0</v>
      </c>
      <c r="D17" s="153"/>
      <c r="E17" s="437">
        <f>BaseCha</f>
        <v>17.000080000000001</v>
      </c>
      <c r="F17" s="629">
        <f t="shared" si="11"/>
        <v>0</v>
      </c>
      <c r="G17" s="629">
        <f>LARGE($F$12:$F$17,6)</f>
        <v>0</v>
      </c>
      <c r="H17" s="438"/>
      <c r="I17" s="438"/>
      <c r="J17" s="628"/>
      <c r="K17" s="350">
        <v>2</v>
      </c>
      <c r="L17" s="350" t="str">
        <f>IF(IF($R$4=1,INDEX(D041_ClassFeatures!$N$2:$X$556,MATCH(C_Variables!$N$4,D041_ClassFeatures!$B$2:$B$556,0),ROW()-ROW($L$15)),"")=0,"",IF($R$4=1,INDEX(D041_ClassFeatures!$N$2:$X$556,MATCH(C_Variables!$N$4,D041_ClassFeatures!$B$2:$B$556,0),ROW()-ROW($L$15)),""))</f>
        <v/>
      </c>
      <c r="M17" s="350" t="str">
        <f>IF(IF($R$5=1,INDEX(D041_ClassFeatures!$N$2:$X$556,MATCH(C_Variables!$N$5,D041_ClassFeatures!$B$2:$B$556,0),ROW()-ROW($L$15)),"")=0,"",IF($R$5=1,INDEX(D041_ClassFeatures!$N$2:$X$556,MATCH(C_Variables!$N$5,D041_ClassFeatures!$B$2:$B$556,0),ROW()-ROW($L$15)),""))</f>
        <v/>
      </c>
      <c r="N17" s="350" t="str">
        <f>IF(IF($R$6=1,INDEX(D041_ClassFeatures!$N$2:$X$556,MATCH(C_Variables!$N$6,D041_ClassFeatures!$B$2:$B$556,0),ROW()-ROW($L$15)),"")=0,"",IF($R$6=1,INDEX(D041_ClassFeatures!$N$2:$X$556,MATCH(C_Variables!$N$6,D041_ClassFeatures!$B$2:$B$556,0),ROW()-ROW($L$15)),""))</f>
        <v/>
      </c>
      <c r="O17" s="350" t="str">
        <f>IF(IF($R$7=1,INDEX(D041_ClassFeatures!$N$2:$X$556,MATCH(C_Variables!$N$7,D041_ClassFeatures!$B$2:$B$556,0),ROW()-ROW($L$15)),"")=0,"",IF($R$7=1,INDEX(D041_ClassFeatures!$N$2:$X$556,MATCH(C_Variables!$N$7,D041_ClassFeatures!$B$2:$B$556,0),ROW()-ROW($L$15)),""))</f>
        <v/>
      </c>
      <c r="P17" s="350" t="str">
        <f>IF(IF($R$8=1,INDEX(D041_ClassFeatures!$N$2:$X$556,MATCH(C_Variables!$N$8,D041_ClassFeatures!$B$2:$B$556,0),ROW()-ROW($L$15)),"")=0,"",IF($R$8=1,INDEX(D041_ClassFeatures!$N$2:$X$556,MATCH(C_Variables!$N$8,D041_ClassFeatures!$B$2:$B$556,0),ROW()-ROW($L$15)),""))</f>
        <v/>
      </c>
      <c r="Q17" s="351" t="str">
        <f>IF(IF($R$9=1,INDEX(D041_ClassFeatures!$N$2:$X$556,MATCH(C_Variables!$N$9,D041_ClassFeatures!$B$2:$B$556,0),ROW()-ROW($L$15)),"")=0,"",IF($R$9=1,INDEX(D041_ClassFeatures!$N$2:$X$556,MATCH(C_Variables!$N$9,D041_ClassFeatures!$B$2:$B$556,0),ROW()-ROW($L$15)),""))</f>
        <v/>
      </c>
      <c r="U17" s="335" t="s">
        <v>628</v>
      </c>
      <c r="V17" s="336" t="s">
        <v>3969</v>
      </c>
      <c r="W17" s="337">
        <f>IFERROR(INDEX($Q$4:$Q$9,MATCH($V17,$O$4:$O$9,0),1),0)</f>
        <v>0</v>
      </c>
      <c r="AA17" s="371" t="s">
        <v>623</v>
      </c>
      <c r="AB17" s="320" t="s">
        <v>4191</v>
      </c>
      <c r="AC17" s="320">
        <f t="shared" si="8"/>
        <v>0</v>
      </c>
      <c r="AD17" s="321">
        <f>IFERROR(INDEX(D00_Leveling!$Y$4:$BH$23,MATCH(C_Variables!$AC17,D00_Leveling!$A$4:$A$23,0),MATCH(C_Variables!$AB17,D00_Leveling!$Y$3:$BH$3,0)),0)</f>
        <v>0</v>
      </c>
      <c r="AK17" t="s">
        <v>5404</v>
      </c>
      <c r="AL17">
        <f>COUNTIF(C_Input!$BC$160:$BC$239,"Spellcasting (cleric)")</f>
        <v>0</v>
      </c>
    </row>
    <row r="18" spans="1:38" ht="17.25" thickBot="1" x14ac:dyDescent="0.35">
      <c r="A18" s="155">
        <f>IFERROR(IF(A17+1&lt;MAX(D041_ClassFeatures!$A$2:$A$2033),A17+1,""),"")</f>
        <v>15</v>
      </c>
      <c r="B18" s="153" t="str">
        <f>IFERROR(INDEX(D041_ClassFeatures!$B$2:$B$2033,MATCH(C_Variables!A18,D041_ClassFeatures!$A$2:$A$2033,0),1),"")</f>
        <v>Bard College Feature</v>
      </c>
      <c r="C18" s="153">
        <f>IF(B18="",0,IF(IFERROR(MATCH(B18,C_Input!$BC$160:$BC$239,0),0)&gt;0,1,0))</f>
        <v>0</v>
      </c>
      <c r="D18" s="153"/>
      <c r="E18" s="630"/>
      <c r="F18" s="631"/>
      <c r="G18" s="631"/>
      <c r="H18" s="631"/>
      <c r="I18" s="631"/>
      <c r="J18" s="632"/>
      <c r="K18" s="350">
        <v>3</v>
      </c>
      <c r="L18" s="350" t="str">
        <f>IF(IF($R$4=1,INDEX(D041_ClassFeatures!$N$2:$X$556,MATCH(C_Variables!$N$4,D041_ClassFeatures!$B$2:$B$556,0),ROW()-ROW($L$15)),"")=0,"",IF($R$4=1,INDEX(D041_ClassFeatures!$N$2:$X$556,MATCH(C_Variables!$N$4,D041_ClassFeatures!$B$2:$B$556,0),ROW()-ROW($L$15)),""))</f>
        <v/>
      </c>
      <c r="M18" s="350" t="str">
        <f>IF(IF($R$5=1,INDEX(D041_ClassFeatures!$N$2:$X$556,MATCH(C_Variables!$N$5,D041_ClassFeatures!$B$2:$B$556,0),ROW()-ROW($L$15)),"")=0,"",IF($R$5=1,INDEX(D041_ClassFeatures!$N$2:$X$556,MATCH(C_Variables!$N$5,D041_ClassFeatures!$B$2:$B$556,0),ROW()-ROW($L$15)),""))</f>
        <v/>
      </c>
      <c r="N18" s="350" t="str">
        <f>IF(IF($R$6=1,INDEX(D041_ClassFeatures!$N$2:$X$556,MATCH(C_Variables!$N$6,D041_ClassFeatures!$B$2:$B$556,0),ROW()-ROW($L$15)),"")=0,"",IF($R$6=1,INDEX(D041_ClassFeatures!$N$2:$X$556,MATCH(C_Variables!$N$6,D041_ClassFeatures!$B$2:$B$556,0),ROW()-ROW($L$15)),""))</f>
        <v/>
      </c>
      <c r="O18" s="350" t="str">
        <f>IF(IF($R$7=1,INDEX(D041_ClassFeatures!$N$2:$X$556,MATCH(C_Variables!$N$7,D041_ClassFeatures!$B$2:$B$556,0),ROW()-ROW($L$15)),"")=0,"",IF($R$7=1,INDEX(D041_ClassFeatures!$N$2:$X$556,MATCH(C_Variables!$N$7,D041_ClassFeatures!$B$2:$B$556,0),ROW()-ROW($L$15)),""))</f>
        <v/>
      </c>
      <c r="P18" s="350" t="str">
        <f>IF(IF($R$8=1,INDEX(D041_ClassFeatures!$N$2:$X$556,MATCH(C_Variables!$N$8,D041_ClassFeatures!$B$2:$B$556,0),ROW()-ROW($L$15)),"")=0,"",IF($R$8=1,INDEX(D041_ClassFeatures!$N$2:$X$556,MATCH(C_Variables!$N$8,D041_ClassFeatures!$B$2:$B$556,0),ROW()-ROW($L$15)),""))</f>
        <v/>
      </c>
      <c r="Q18" s="351" t="str">
        <f>IF(IF($R$9=1,INDEX(D041_ClassFeatures!$N$2:$X$556,MATCH(C_Variables!$N$9,D041_ClassFeatures!$B$2:$B$556,0),ROW()-ROW($L$15)),"")=0,"",IF($R$9=1,INDEX(D041_ClassFeatures!$N$2:$X$556,MATCH(C_Variables!$N$9,D041_ClassFeatures!$B$2:$B$556,0),ROW()-ROW($L$15)),""))</f>
        <v/>
      </c>
      <c r="U18" s="338" t="s">
        <v>628</v>
      </c>
      <c r="V18" s="339" t="s">
        <v>3970</v>
      </c>
      <c r="W18" s="340">
        <f t="shared" ref="W18:W59" si="13">IFERROR(INDEX($Q$4:$Q$9,MATCH($V18,$O$4:$O$9,0),1),0)</f>
        <v>0</v>
      </c>
      <c r="AA18" s="371" t="s">
        <v>623</v>
      </c>
      <c r="AB18" s="320" t="s">
        <v>4192</v>
      </c>
      <c r="AC18" s="320">
        <f t="shared" si="8"/>
        <v>0</v>
      </c>
      <c r="AD18" s="321">
        <f>IFERROR(INDEX(D00_Leveling!$Y$4:$BH$23,MATCH(C_Variables!$AC18,D00_Leveling!$A$4:$A$23,0),MATCH(C_Variables!$AB18,D00_Leveling!$Y$3:$BH$3,0)),0)</f>
        <v>0</v>
      </c>
      <c r="AK18" t="s">
        <v>5405</v>
      </c>
      <c r="AL18">
        <f>COUNTIF(C_Input!$BC$160:$BC$239,"Spellcasting (druid)")</f>
        <v>0</v>
      </c>
    </row>
    <row r="19" spans="1:38" ht="16.5" x14ac:dyDescent="0.3">
      <c r="A19" s="155">
        <f>IFERROR(IF(A18+1&lt;MAX(D041_ClassFeatures!$A$2:$A$2033),A18+1,""),"")</f>
        <v>16</v>
      </c>
      <c r="B19" s="153" t="str">
        <f>IFERROR(INDEX(D041_ClassFeatures!$B$2:$B$2033,MATCH(C_Variables!A19,D041_ClassFeatures!$A$2:$A$2033,0),1),"")</f>
        <v>Bard College Feature3-1</v>
      </c>
      <c r="C19" s="153">
        <f>IF(B19="",0,IF(IFERROR(MATCH(B19,C_Input!$BC$160:$BC$239,0),0)&gt;0,1,0))</f>
        <v>0</v>
      </c>
      <c r="D19" s="153"/>
      <c r="E19" s="153"/>
      <c r="F19" s="153"/>
      <c r="G19" s="153"/>
      <c r="H19" s="153"/>
      <c r="I19" s="153"/>
      <c r="J19" s="153"/>
      <c r="K19" s="349">
        <v>4</v>
      </c>
      <c r="L19" s="350" t="str">
        <f>IF(IF($R$4=1,INDEX(D041_ClassFeatures!$N$2:$X$556,MATCH(C_Variables!$N$4,D041_ClassFeatures!$B$2:$B$556,0),ROW()-ROW($L$15)),"")=0,"",IF($R$4=1,INDEX(D041_ClassFeatures!$N$2:$X$556,MATCH(C_Variables!$N$4,D041_ClassFeatures!$B$2:$B$556,0),ROW()-ROW($L$15)),""))</f>
        <v/>
      </c>
      <c r="M19" s="350" t="str">
        <f>IF(IF($R$5=1,INDEX(D041_ClassFeatures!$N$2:$X$556,MATCH(C_Variables!$N$5,D041_ClassFeatures!$B$2:$B$556,0),ROW()-ROW($L$15)),"")=0,"",IF($R$5=1,INDEX(D041_ClassFeatures!$N$2:$X$556,MATCH(C_Variables!$N$5,D041_ClassFeatures!$B$2:$B$556,0),ROW()-ROW($L$15)),""))</f>
        <v/>
      </c>
      <c r="N19" s="350" t="str">
        <f>IF(IF($R$6=1,INDEX(D041_ClassFeatures!$N$2:$X$556,MATCH(C_Variables!$N$6,D041_ClassFeatures!$B$2:$B$556,0),ROW()-ROW($L$15)),"")=0,"",IF($R$6=1,INDEX(D041_ClassFeatures!$N$2:$X$556,MATCH(C_Variables!$N$6,D041_ClassFeatures!$B$2:$B$556,0),ROW()-ROW($L$15)),""))</f>
        <v/>
      </c>
      <c r="O19" s="350" t="str">
        <f>IF(IF($R$7=1,INDEX(D041_ClassFeatures!$N$2:$X$556,MATCH(C_Variables!$N$7,D041_ClassFeatures!$B$2:$B$556,0),ROW()-ROW($L$15)),"")=0,"",IF($R$7=1,INDEX(D041_ClassFeatures!$N$2:$X$556,MATCH(C_Variables!$N$7,D041_ClassFeatures!$B$2:$B$556,0),ROW()-ROW($L$15)),""))</f>
        <v/>
      </c>
      <c r="P19" s="350" t="str">
        <f>IF(IF($R$8=1,INDEX(D041_ClassFeatures!$N$2:$X$556,MATCH(C_Variables!$N$8,D041_ClassFeatures!$B$2:$B$556,0),ROW()-ROW($L$15)),"")=0,"",IF($R$8=1,INDEX(D041_ClassFeatures!$N$2:$X$556,MATCH(C_Variables!$N$8,D041_ClassFeatures!$B$2:$B$556,0),ROW()-ROW($L$15)),""))</f>
        <v/>
      </c>
      <c r="Q19" s="351" t="str">
        <f>IF(IF($R$9=1,INDEX(D041_ClassFeatures!$N$2:$X$556,MATCH(C_Variables!$N$9,D041_ClassFeatures!$B$2:$B$556,0),ROW()-ROW($L$15)),"")=0,"",IF($R$9=1,INDEX(D041_ClassFeatures!$N$2:$X$556,MATCH(C_Variables!$N$9,D041_ClassFeatures!$B$2:$B$556,0),ROW()-ROW($L$15)),""))</f>
        <v/>
      </c>
      <c r="U19" s="338" t="s">
        <v>628</v>
      </c>
      <c r="V19" s="339" t="s">
        <v>3971</v>
      </c>
      <c r="W19" s="340">
        <f t="shared" si="13"/>
        <v>0</v>
      </c>
      <c r="AA19" s="371" t="s">
        <v>1113</v>
      </c>
      <c r="AB19" s="320" t="s">
        <v>4193</v>
      </c>
      <c r="AC19" s="320">
        <f t="shared" si="8"/>
        <v>0</v>
      </c>
      <c r="AD19" s="321">
        <f>IFERROR(INDEX(D00_Leveling!$Y$4:$BH$23,MATCH(C_Variables!$AC19,D00_Leveling!$A$4:$A$23,0),MATCH(C_Variables!$AB19,D00_Leveling!$Y$3:$BH$3,0)),0)</f>
        <v>0</v>
      </c>
      <c r="AK19" t="s">
        <v>5406</v>
      </c>
      <c r="AL19">
        <f>COUNTIF(C_Input!$BC$160:$BC$239,"Spellcasting (EK)")</f>
        <v>0</v>
      </c>
    </row>
    <row r="20" spans="1:38" ht="16.5" x14ac:dyDescent="0.3">
      <c r="A20" s="155">
        <f>IFERROR(IF(A19+1&lt;MAX(D041_ClassFeatures!$A$2:$A$2033),A19+1,""),"")</f>
        <v>17</v>
      </c>
      <c r="B20" s="153" t="str">
        <f>IFERROR(INDEX(D041_ClassFeatures!$B$2:$B$2033,MATCH(C_Variables!A20,D041_ClassFeatures!$A$2:$A$2033,0),1),"")</f>
        <v>Bard College Feature3-2</v>
      </c>
      <c r="C20" s="153">
        <f>IF(B20="",0,IF(IFERROR(MATCH(B20,C_Input!$BC$160:$BC$239,0),0)&gt;0,1,0))</f>
        <v>0</v>
      </c>
      <c r="D20" s="153"/>
      <c r="E20" s="153"/>
      <c r="F20" s="153"/>
      <c r="G20" s="153"/>
      <c r="H20" s="153"/>
      <c r="I20" s="153"/>
      <c r="J20" s="153"/>
      <c r="K20" s="349">
        <v>5</v>
      </c>
      <c r="L20" s="350" t="str">
        <f>IF(IF($R$4=1,INDEX(D041_ClassFeatures!$N$2:$X$556,MATCH(C_Variables!$N$4,D041_ClassFeatures!$B$2:$B$556,0),ROW()-ROW($L$15)),"")=0,"",IF($R$4=1,INDEX(D041_ClassFeatures!$N$2:$X$556,MATCH(C_Variables!$N$4,D041_ClassFeatures!$B$2:$B$556,0),ROW()-ROW($L$15)),""))</f>
        <v/>
      </c>
      <c r="M20" s="350" t="str">
        <f>IF(IF($R$5=1,INDEX(D041_ClassFeatures!$N$2:$X$556,MATCH(C_Variables!$N$5,D041_ClassFeatures!$B$2:$B$556,0),ROW()-ROW($L$15)),"")=0,"",IF($R$5=1,INDEX(D041_ClassFeatures!$N$2:$X$556,MATCH(C_Variables!$N$5,D041_ClassFeatures!$B$2:$B$556,0),ROW()-ROW($L$15)),""))</f>
        <v/>
      </c>
      <c r="N20" s="350" t="str">
        <f>IF(IF($R$6=1,INDEX(D041_ClassFeatures!$N$2:$X$556,MATCH(C_Variables!$N$6,D041_ClassFeatures!$B$2:$B$556,0),ROW()-ROW($L$15)),"")=0,"",IF($R$6=1,INDEX(D041_ClassFeatures!$N$2:$X$556,MATCH(C_Variables!$N$6,D041_ClassFeatures!$B$2:$B$556,0),ROW()-ROW($L$15)),""))</f>
        <v/>
      </c>
      <c r="O20" s="350" t="str">
        <f>IF(IF($R$7=1,INDEX(D041_ClassFeatures!$N$2:$X$556,MATCH(C_Variables!$N$7,D041_ClassFeatures!$B$2:$B$556,0),ROW()-ROW($L$15)),"")=0,"",IF($R$7=1,INDEX(D041_ClassFeatures!$N$2:$X$556,MATCH(C_Variables!$N$7,D041_ClassFeatures!$B$2:$B$556,0),ROW()-ROW($L$15)),""))</f>
        <v/>
      </c>
      <c r="P20" s="350" t="str">
        <f>IF(IF($R$8=1,INDEX(D041_ClassFeatures!$N$2:$X$556,MATCH(C_Variables!$N$8,D041_ClassFeatures!$B$2:$B$556,0),ROW()-ROW($L$15)),"")=0,"",IF($R$8=1,INDEX(D041_ClassFeatures!$N$2:$X$556,MATCH(C_Variables!$N$8,D041_ClassFeatures!$B$2:$B$556,0),ROW()-ROW($L$15)),""))</f>
        <v/>
      </c>
      <c r="Q20" s="351" t="str">
        <f>IF(IF($R$9=1,INDEX(D041_ClassFeatures!$N$2:$X$556,MATCH(C_Variables!$N$9,D041_ClassFeatures!$B$2:$B$556,0),ROW()-ROW($L$15)),"")=0,"",IF($R$9=1,INDEX(D041_ClassFeatures!$N$2:$X$556,MATCH(C_Variables!$N$9,D041_ClassFeatures!$B$2:$B$556,0),ROW()-ROW($L$15)),""))</f>
        <v/>
      </c>
      <c r="U20" s="338" t="s">
        <v>628</v>
      </c>
      <c r="V20" s="339" t="s">
        <v>3972</v>
      </c>
      <c r="W20" s="340">
        <f t="shared" si="13"/>
        <v>0</v>
      </c>
      <c r="AA20" s="371" t="s">
        <v>1113</v>
      </c>
      <c r="AB20" s="320" t="s">
        <v>4194</v>
      </c>
      <c r="AC20" s="320">
        <f t="shared" si="8"/>
        <v>0</v>
      </c>
      <c r="AD20" s="321">
        <f>IFERROR(INDEX(D00_Leveling!$Y$4:$BH$23,MATCH(C_Variables!$AC20,D00_Leveling!$A$4:$A$23,0),MATCH(C_Variables!$AB20,D00_Leveling!$Y$3:$BH$3,0)),0)</f>
        <v>0</v>
      </c>
      <c r="AF20" s="986" t="s">
        <v>7168</v>
      </c>
      <c r="AG20" s="986"/>
      <c r="AK20" t="s">
        <v>5407</v>
      </c>
      <c r="AL20">
        <f>COUNTIF(C_Input!$BC$160:$BC$239,"Spellcasting (Paladin)")</f>
        <v>0</v>
      </c>
    </row>
    <row r="21" spans="1:38" ht="16.5" x14ac:dyDescent="0.3">
      <c r="A21" s="155">
        <f>IFERROR(IF(A20+1&lt;MAX(D041_ClassFeatures!$A$2:$A$2033),A20+1,""),"")</f>
        <v>18</v>
      </c>
      <c r="B21" s="153" t="str">
        <f>IFERROR(INDEX(D041_ClassFeatures!$B$2:$B$2033,MATCH(C_Variables!A21,D041_ClassFeatures!$A$2:$A$2033,0),1),"")</f>
        <v>Bard College Feature6</v>
      </c>
      <c r="C21" s="153">
        <f>IF(B21="",0,IF(IFERROR(MATCH(B21,C_Input!$BC$160:$BC$239,0),0)&gt;0,1,0))</f>
        <v>0</v>
      </c>
      <c r="D21" s="153"/>
      <c r="E21" t="s">
        <v>4473</v>
      </c>
      <c r="F21" t="s">
        <v>4474</v>
      </c>
      <c r="G21" t="s">
        <v>4475</v>
      </c>
      <c r="H21" t="s">
        <v>6153</v>
      </c>
      <c r="I21" s="153"/>
      <c r="J21" s="153"/>
      <c r="K21" s="349">
        <v>6</v>
      </c>
      <c r="L21" s="350" t="str">
        <f>IF(IF($R$4=1,INDEX(D041_ClassFeatures!$N$2:$X$556,MATCH(C_Variables!$N$4,D041_ClassFeatures!$B$2:$B$556,0),ROW()-ROW($L$15)),"")=0,"",IF($R$4=1,INDEX(D041_ClassFeatures!$N$2:$X$556,MATCH(C_Variables!$N$4,D041_ClassFeatures!$B$2:$B$556,0),ROW()-ROW($L$15)),""))</f>
        <v/>
      </c>
      <c r="M21" s="350" t="str">
        <f>IF(IF($R$5=1,INDEX(D041_ClassFeatures!$N$2:$X$556,MATCH(C_Variables!$N$5,D041_ClassFeatures!$B$2:$B$556,0),ROW()-ROW($L$15)),"")=0,"",IF($R$5=1,INDEX(D041_ClassFeatures!$N$2:$X$556,MATCH(C_Variables!$N$5,D041_ClassFeatures!$B$2:$B$556,0),ROW()-ROW($L$15)),""))</f>
        <v/>
      </c>
      <c r="N21" s="350" t="str">
        <f>IF(IF($R$6=1,INDEX(D041_ClassFeatures!$N$2:$X$556,MATCH(C_Variables!$N$6,D041_ClassFeatures!$B$2:$B$556,0),ROW()-ROW($L$15)),"")=0,"",IF($R$6=1,INDEX(D041_ClassFeatures!$N$2:$X$556,MATCH(C_Variables!$N$6,D041_ClassFeatures!$B$2:$B$556,0),ROW()-ROW($L$15)),""))</f>
        <v/>
      </c>
      <c r="O21" s="350" t="str">
        <f>IF(IF($R$7=1,INDEX(D041_ClassFeatures!$N$2:$X$556,MATCH(C_Variables!$N$7,D041_ClassFeatures!$B$2:$B$556,0),ROW()-ROW($L$15)),"")=0,"",IF($R$7=1,INDEX(D041_ClassFeatures!$N$2:$X$556,MATCH(C_Variables!$N$7,D041_ClassFeatures!$B$2:$B$556,0),ROW()-ROW($L$15)),""))</f>
        <v/>
      </c>
      <c r="P21" s="350" t="str">
        <f>IF(IF($R$8=1,INDEX(D041_ClassFeatures!$N$2:$X$556,MATCH(C_Variables!$N$8,D041_ClassFeatures!$B$2:$B$556,0),ROW()-ROW($L$15)),"")=0,"",IF($R$8=1,INDEX(D041_ClassFeatures!$N$2:$X$556,MATCH(C_Variables!$N$8,D041_ClassFeatures!$B$2:$B$556,0),ROW()-ROW($L$15)),""))</f>
        <v/>
      </c>
      <c r="Q21" s="351" t="str">
        <f>IF(IF($R$9=1,INDEX(D041_ClassFeatures!$N$2:$X$556,MATCH(C_Variables!$N$9,D041_ClassFeatures!$B$2:$B$556,0),ROW()-ROW($L$15)),"")=0,"",IF($R$9=1,INDEX(D041_ClassFeatures!$N$2:$X$556,MATCH(C_Variables!$N$9,D041_ClassFeatures!$B$2:$B$556,0),ROW()-ROW($L$15)),""))</f>
        <v/>
      </c>
      <c r="U21" s="338" t="s">
        <v>628</v>
      </c>
      <c r="V21" s="339" t="s">
        <v>3973</v>
      </c>
      <c r="W21" s="340">
        <f t="shared" si="13"/>
        <v>0</v>
      </c>
      <c r="AA21" s="371" t="s">
        <v>624</v>
      </c>
      <c r="AB21" s="320" t="s">
        <v>4195</v>
      </c>
      <c r="AC21" s="320">
        <f t="shared" si="8"/>
        <v>0</v>
      </c>
      <c r="AD21" s="321">
        <f>IFERROR(INDEX(D00_Leveling!$Y$4:$BH$23,MATCH(C_Variables!$AC21,D00_Leveling!$A$4:$A$23,0),MATCH(C_Variables!$AB21,D00_Leveling!$Y$3:$BH$3,0)),0)</f>
        <v>0</v>
      </c>
      <c r="AF21" t="s">
        <v>93</v>
      </c>
      <c r="AG21">
        <f>C_Skills!Y6</f>
        <v>0</v>
      </c>
      <c r="AK21" t="s">
        <v>5408</v>
      </c>
      <c r="AL21">
        <f>COUNTIF(C_Input!$BC$160:$BC$239,"Spellcasting (ranger)")</f>
        <v>0</v>
      </c>
    </row>
    <row r="22" spans="1:38" ht="16.5" x14ac:dyDescent="0.3">
      <c r="A22" s="155">
        <f>IFERROR(IF(A21+1&lt;MAX(D041_ClassFeatures!$A$2:$A$2033),A21+1,""),"")</f>
        <v>19</v>
      </c>
      <c r="B22" s="153" t="str">
        <f>IFERROR(INDEX(D041_ClassFeatures!$B$2:$B$2033,MATCH(C_Variables!A22,D041_ClassFeatures!$A$2:$A$2033,0),1),"")</f>
        <v>Bard College Feature14</v>
      </c>
      <c r="C22" s="153">
        <f>IF(B22="",0,IF(IFERROR(MATCH(B22,C_Input!$BC$160:$BC$239,0),0)&gt;0,1,0))</f>
        <v>0</v>
      </c>
      <c r="D22" s="153"/>
      <c r="E22" t="s">
        <v>4476</v>
      </c>
      <c r="F22" t="s">
        <v>6154</v>
      </c>
      <c r="G22" t="s">
        <v>4477</v>
      </c>
      <c r="H22" t="s">
        <v>4478</v>
      </c>
      <c r="I22" s="153"/>
      <c r="J22" s="153"/>
      <c r="K22" s="349">
        <v>7</v>
      </c>
      <c r="L22" s="350" t="str">
        <f>IF(IF($R$4=1,INDEX(D041_ClassFeatures!$N$2:$X$556,MATCH(C_Variables!$N$4,D041_ClassFeatures!$B$2:$B$556,0),ROW()-ROW($L$15)),"")=0,"",IF($R$4=1,INDEX(D041_ClassFeatures!$N$2:$X$556,MATCH(C_Variables!$N$4,D041_ClassFeatures!$B$2:$B$556,0),ROW()-ROW($L$15)),""))</f>
        <v/>
      </c>
      <c r="M22" s="350" t="str">
        <f>IF(IF($R$5=1,INDEX(D041_ClassFeatures!$N$2:$X$556,MATCH(C_Variables!$N$5,D041_ClassFeatures!$B$2:$B$556,0),ROW()-ROW($L$15)),"")=0,"",IF($R$5=1,INDEX(D041_ClassFeatures!$N$2:$X$556,MATCH(C_Variables!$N$5,D041_ClassFeatures!$B$2:$B$556,0),ROW()-ROW($L$15)),""))</f>
        <v/>
      </c>
      <c r="N22" s="350" t="str">
        <f>IF(IF($R$6=1,INDEX(D041_ClassFeatures!$N$2:$X$556,MATCH(C_Variables!$N$6,D041_ClassFeatures!$B$2:$B$556,0),ROW()-ROW($L$15)),"")=0,"",IF($R$6=1,INDEX(D041_ClassFeatures!$N$2:$X$556,MATCH(C_Variables!$N$6,D041_ClassFeatures!$B$2:$B$556,0),ROW()-ROW($L$15)),""))</f>
        <v/>
      </c>
      <c r="O22" s="350" t="str">
        <f>IF(IF($R$7=1,INDEX(D041_ClassFeatures!$N$2:$X$556,MATCH(C_Variables!$N$7,D041_ClassFeatures!$B$2:$B$556,0),ROW()-ROW($L$15)),"")=0,"",IF($R$7=1,INDEX(D041_ClassFeatures!$N$2:$X$556,MATCH(C_Variables!$N$7,D041_ClassFeatures!$B$2:$B$556,0),ROW()-ROW($L$15)),""))</f>
        <v/>
      </c>
      <c r="P22" s="350" t="str">
        <f>IF(IF($R$8=1,INDEX(D041_ClassFeatures!$N$2:$X$556,MATCH(C_Variables!$N$8,D041_ClassFeatures!$B$2:$B$556,0),ROW()-ROW($L$15)),"")=0,"",IF($R$8=1,INDEX(D041_ClassFeatures!$N$2:$X$556,MATCH(C_Variables!$N$8,D041_ClassFeatures!$B$2:$B$556,0),ROW()-ROW($L$15)),""))</f>
        <v/>
      </c>
      <c r="Q22" s="351" t="str">
        <f>IF(IF($R$9=1,INDEX(D041_ClassFeatures!$N$2:$X$556,MATCH(C_Variables!$N$9,D041_ClassFeatures!$B$2:$B$556,0),ROW()-ROW($L$15)),"")=0,"",IF($R$9=1,INDEX(D041_ClassFeatures!$N$2:$X$556,MATCH(C_Variables!$N$9,D041_ClassFeatures!$B$2:$B$556,0),ROW()-ROW($L$15)),""))</f>
        <v/>
      </c>
      <c r="U22" s="338" t="s">
        <v>628</v>
      </c>
      <c r="V22" s="339" t="s">
        <v>3974</v>
      </c>
      <c r="W22" s="340">
        <f t="shared" si="13"/>
        <v>0</v>
      </c>
      <c r="AA22" s="371" t="s">
        <v>625</v>
      </c>
      <c r="AB22" s="320" t="s">
        <v>4196</v>
      </c>
      <c r="AC22" s="320">
        <f t="shared" si="8"/>
        <v>0</v>
      </c>
      <c r="AD22" s="321">
        <f>IFERROR(INDEX(D00_Leveling!$Y$4:$BH$23,MATCH(C_Variables!$AC22,D00_Leveling!$A$4:$A$23,0),MATCH(C_Variables!$AB22,D00_Leveling!$Y$3:$BH$3,0)),0)</f>
        <v>0</v>
      </c>
      <c r="AF22" t="s">
        <v>3773</v>
      </c>
      <c r="AG22">
        <f>C_Skills!Y7</f>
        <v>0</v>
      </c>
      <c r="AK22" t="s">
        <v>5409</v>
      </c>
      <c r="AL22">
        <f>COUNTIF(C_Input!$BC$160:$BC$239,"Spellcasting (sorcerer)")</f>
        <v>0</v>
      </c>
    </row>
    <row r="23" spans="1:38" ht="16.5" x14ac:dyDescent="0.3">
      <c r="A23" s="155">
        <f>IFERROR(IF(A22+1&lt;MAX(D041_ClassFeatures!$A$2:$A$2033),A22+1,""),"")</f>
        <v>20</v>
      </c>
      <c r="B23" s="153" t="str">
        <f>IFERROR(INDEX(D041_ClassFeatures!$B$2:$B$2033,MATCH(C_Variables!A23,D041_ClassFeatures!$A$2:$A$2033,0),1),"")</f>
        <v>Bardic Inspiration</v>
      </c>
      <c r="C23" s="153">
        <f>IF(B23="",0,IF(IFERROR(MATCH(B23,C_Input!$BC$160:$BC$239,0),0)&gt;0,1,0))</f>
        <v>0</v>
      </c>
      <c r="D23" s="153"/>
      <c r="E23" t="s">
        <v>4479</v>
      </c>
      <c r="F23" t="s">
        <v>4480</v>
      </c>
      <c r="G23" t="s">
        <v>4481</v>
      </c>
      <c r="H23" t="s">
        <v>4482</v>
      </c>
      <c r="I23" s="153"/>
      <c r="J23" s="153"/>
      <c r="K23" s="349">
        <v>8</v>
      </c>
      <c r="L23" s="350" t="str">
        <f>IF(IF($R$4=1,INDEX(D041_ClassFeatures!$N$2:$X$556,MATCH(C_Variables!$N$4,D041_ClassFeatures!$B$2:$B$556,0),ROW()-ROW($L$15)),"")=0,"",IF($R$4=1,INDEX(D041_ClassFeatures!$N$2:$X$556,MATCH(C_Variables!$N$4,D041_ClassFeatures!$B$2:$B$556,0),ROW()-ROW($L$15)),""))</f>
        <v/>
      </c>
      <c r="M23" s="350" t="str">
        <f>IF(IF($R$5=1,INDEX(D041_ClassFeatures!$N$2:$X$556,MATCH(C_Variables!$N$5,D041_ClassFeatures!$B$2:$B$556,0),ROW()-ROW($L$15)),"")=0,"",IF($R$5=1,INDEX(D041_ClassFeatures!$N$2:$X$556,MATCH(C_Variables!$N$5,D041_ClassFeatures!$B$2:$B$556,0),ROW()-ROW($L$15)),""))</f>
        <v/>
      </c>
      <c r="N23" s="350" t="str">
        <f>IF(IF($R$6=1,INDEX(D041_ClassFeatures!$N$2:$X$556,MATCH(C_Variables!$N$6,D041_ClassFeatures!$B$2:$B$556,0),ROW()-ROW($L$15)),"")=0,"",IF($R$6=1,INDEX(D041_ClassFeatures!$N$2:$X$556,MATCH(C_Variables!$N$6,D041_ClassFeatures!$B$2:$B$556,0),ROW()-ROW($L$15)),""))</f>
        <v/>
      </c>
      <c r="O23" s="350" t="str">
        <f>IF(IF($R$7=1,INDEX(D041_ClassFeatures!$N$2:$X$556,MATCH(C_Variables!$N$7,D041_ClassFeatures!$B$2:$B$556,0),ROW()-ROW($L$15)),"")=0,"",IF($R$7=1,INDEX(D041_ClassFeatures!$N$2:$X$556,MATCH(C_Variables!$N$7,D041_ClassFeatures!$B$2:$B$556,0),ROW()-ROW($L$15)),""))</f>
        <v/>
      </c>
      <c r="P23" s="350" t="str">
        <f>IF(IF($R$8=1,INDEX(D041_ClassFeatures!$N$2:$X$556,MATCH(C_Variables!$N$8,D041_ClassFeatures!$B$2:$B$556,0),ROW()-ROW($L$15)),"")=0,"",IF($R$8=1,INDEX(D041_ClassFeatures!$N$2:$X$556,MATCH(C_Variables!$N$8,D041_ClassFeatures!$B$2:$B$556,0),ROW()-ROW($L$15)),""))</f>
        <v/>
      </c>
      <c r="Q23" s="351" t="str">
        <f>IF(IF($R$9=1,INDEX(D041_ClassFeatures!$N$2:$X$556,MATCH(C_Variables!$N$9,D041_ClassFeatures!$B$2:$B$556,0),ROW()-ROW($L$15)),"")=0,"",IF($R$9=1,INDEX(D041_ClassFeatures!$N$2:$X$556,MATCH(C_Variables!$N$9,D041_ClassFeatures!$B$2:$B$556,0),ROW()-ROW($L$15)),""))</f>
        <v/>
      </c>
      <c r="U23" s="338" t="s">
        <v>628</v>
      </c>
      <c r="V23" s="339" t="s">
        <v>3975</v>
      </c>
      <c r="W23" s="340">
        <f t="shared" si="13"/>
        <v>0</v>
      </c>
      <c r="AA23" s="371" t="s">
        <v>625</v>
      </c>
      <c r="AB23" s="320" t="s">
        <v>4197</v>
      </c>
      <c r="AC23" s="320">
        <f t="shared" si="8"/>
        <v>0</v>
      </c>
      <c r="AD23" s="321">
        <f>IFERROR(INDEX(D00_Leveling!$Y$4:$BH$23,MATCH(C_Variables!$AC23,D00_Leveling!$A$4:$A$23,0),MATCH(C_Variables!$AB23,D00_Leveling!$Y$3:$BH$3,0)),0)</f>
        <v>0</v>
      </c>
      <c r="AF23" t="s">
        <v>5102</v>
      </c>
      <c r="AG23">
        <f>C_Skills!Y8</f>
        <v>0</v>
      </c>
      <c r="AK23" t="s">
        <v>5410</v>
      </c>
      <c r="AL23">
        <f>COUNTIF(C_Input!$BC$160:$BC$239,"Spellcasting (wizard)")</f>
        <v>0</v>
      </c>
    </row>
    <row r="24" spans="1:38" ht="16.5" customHeight="1" x14ac:dyDescent="0.3">
      <c r="A24" s="155">
        <f>IFERROR(IF(A23+1&lt;MAX(D041_ClassFeatures!$A$2:$A$2033),A23+1,""),"")</f>
        <v>21</v>
      </c>
      <c r="B24" s="153" t="str">
        <f>IFERROR(INDEX(D041_ClassFeatures!$B$2:$B$2033,MATCH(C_Variables!A24,D041_ClassFeatures!$A$2:$A$2033,0),1),"")</f>
        <v>Beast Spells</v>
      </c>
      <c r="C24" s="153">
        <f>IF(B24="",0,IF(IFERROR(MATCH(B24,C_Input!$BC$160:$BC$239,0),0)&gt;0,1,0))</f>
        <v>0</v>
      </c>
      <c r="D24" s="153"/>
      <c r="E24" s="153"/>
      <c r="F24" s="153"/>
      <c r="G24" s="153"/>
      <c r="H24" s="153"/>
      <c r="I24" s="153"/>
      <c r="J24" s="153"/>
      <c r="K24" s="349">
        <v>9</v>
      </c>
      <c r="L24" s="350" t="str">
        <f>IF(IF($R$4=1,INDEX(D041_ClassFeatures!$N$2:$X$556,MATCH(C_Variables!$N$4,D041_ClassFeatures!$B$2:$B$556,0),ROW()-ROW($L$15)),"")=0,"",IF($R$4=1,INDEX(D041_ClassFeatures!$N$2:$X$556,MATCH(C_Variables!$N$4,D041_ClassFeatures!$B$2:$B$556,0),ROW()-ROW($L$15)),""))</f>
        <v/>
      </c>
      <c r="M24" s="350" t="str">
        <f>IF(IF($R$5=1,INDEX(D041_ClassFeatures!$N$2:$X$556,MATCH(C_Variables!$N$5,D041_ClassFeatures!$B$2:$B$556,0),ROW()-ROW($L$15)),"")=0,"",IF($R$5=1,INDEX(D041_ClassFeatures!$N$2:$X$556,MATCH(C_Variables!$N$5,D041_ClassFeatures!$B$2:$B$556,0),ROW()-ROW($L$15)),""))</f>
        <v/>
      </c>
      <c r="N24" s="350" t="str">
        <f>IF(IF($R$6=1,INDEX(D041_ClassFeatures!$N$2:$X$556,MATCH(C_Variables!$N$6,D041_ClassFeatures!$B$2:$B$556,0),ROW()-ROW($L$15)),"")=0,"",IF($R$6=1,INDEX(D041_ClassFeatures!$N$2:$X$556,MATCH(C_Variables!$N$6,D041_ClassFeatures!$B$2:$B$556,0),ROW()-ROW($L$15)),""))</f>
        <v/>
      </c>
      <c r="O24" s="350" t="str">
        <f>IF(IF($R$7=1,INDEX(D041_ClassFeatures!$N$2:$X$556,MATCH(C_Variables!$N$7,D041_ClassFeatures!$B$2:$B$556,0),ROW()-ROW($L$15)),"")=0,"",IF($R$7=1,INDEX(D041_ClassFeatures!$N$2:$X$556,MATCH(C_Variables!$N$7,D041_ClassFeatures!$B$2:$B$556,0),ROW()-ROW($L$15)),""))</f>
        <v/>
      </c>
      <c r="P24" s="350" t="str">
        <f>IF(IF($R$8=1,INDEX(D041_ClassFeatures!$N$2:$X$556,MATCH(C_Variables!$N$8,D041_ClassFeatures!$B$2:$B$556,0),ROW()-ROW($L$15)),"")=0,"",IF($R$8=1,INDEX(D041_ClassFeatures!$N$2:$X$556,MATCH(C_Variables!$N$8,D041_ClassFeatures!$B$2:$B$556,0),ROW()-ROW($L$15)),""))</f>
        <v/>
      </c>
      <c r="Q24" s="351" t="str">
        <f>IF(IF($R$9=1,INDEX(D041_ClassFeatures!$N$2:$X$556,MATCH(C_Variables!$N$9,D041_ClassFeatures!$B$2:$B$556,0),ROW()-ROW($L$15)),"")=0,"",IF($R$9=1,INDEX(D041_ClassFeatures!$N$2:$X$556,MATCH(C_Variables!$N$9,D041_ClassFeatures!$B$2:$B$556,0),ROW()-ROW($L$15)),""))</f>
        <v/>
      </c>
      <c r="U24" s="338" t="s">
        <v>628</v>
      </c>
      <c r="V24" s="339" t="s">
        <v>3976</v>
      </c>
      <c r="W24" s="340">
        <f t="shared" si="13"/>
        <v>0</v>
      </c>
      <c r="AA24" s="371" t="s">
        <v>625</v>
      </c>
      <c r="AB24" s="320" t="s">
        <v>4198</v>
      </c>
      <c r="AC24" s="320">
        <f t="shared" si="8"/>
        <v>0</v>
      </c>
      <c r="AD24" s="321">
        <f>IFERROR(INDEX(D00_Leveling!$Y$4:$BH$23,MATCH(C_Variables!$AC24,D00_Leveling!$A$4:$A$23,0),MATCH(C_Variables!$AB24,D00_Leveling!$Y$3:$BH$3,0)),0)</f>
        <v>0</v>
      </c>
      <c r="AF24" t="s">
        <v>3774</v>
      </c>
      <c r="AG24">
        <f>C_Skills!Y9</f>
        <v>0</v>
      </c>
      <c r="AK24" t="s">
        <v>5411</v>
      </c>
      <c r="AL24">
        <f>COUNTIF(C_Input!$BC$160:$BC$239,"Spellcasting (AT)")</f>
        <v>0</v>
      </c>
    </row>
    <row r="25" spans="1:38" ht="17.25" thickBot="1" x14ac:dyDescent="0.35">
      <c r="A25" s="155">
        <f>IFERROR(IF(A24+1&lt;MAX(D041_ClassFeatures!$A$2:$A$2033),A24+1,""),"")</f>
        <v>22</v>
      </c>
      <c r="B25" s="153" t="str">
        <f>IFERROR(INDEX(D041_ClassFeatures!$B$2:$B$2033,MATCH(C_Variables!A25,D041_ClassFeatures!$A$2:$A$2033,0),1),"")</f>
        <v>Blindsense</v>
      </c>
      <c r="C25" s="153">
        <f>IF(B25="",0,IF(IFERROR(MATCH(B25,C_Input!$BC$160:$BC$239,0),0)&gt;0,1,0))</f>
        <v>0</v>
      </c>
      <c r="D25" s="153"/>
      <c r="E25" s="153"/>
      <c r="F25" s="153" t="str">
        <f>$E21&amp;": "&amp;F21</f>
        <v>Bear: While raging, resistance to all damage except psychic damage.</v>
      </c>
      <c r="G25" s="153" t="str">
        <f t="shared" ref="G25:H25" si="14">$E21&amp;": "&amp;G21</f>
        <v>Bear: Carrying capacity (incl. max. load &amp; max. lift) is doubled. Advantage on Strength checks to push, pull, lift, or break objects.</v>
      </c>
      <c r="H25" s="153" t="str">
        <f t="shared" si="14"/>
        <v>Bear: While raging, creatures within 5 feet have disadvantage on attack rolls against other targets. Enemy is immune if it can’t see,    hear or be frightened.</v>
      </c>
      <c r="I25" s="153"/>
      <c r="J25" s="153"/>
      <c r="K25" s="352">
        <v>10</v>
      </c>
      <c r="L25" s="353" t="str">
        <f>IF(IF($R$4=1,INDEX(D041_ClassFeatures!$N$2:$X$556,MATCH(C_Variables!$N$4,D041_ClassFeatures!$B$2:$B$556,0),ROW()-ROW($L$15)),"")=0,"",IF($R$4=1,INDEX(D041_ClassFeatures!$N$2:$X$556,MATCH(C_Variables!$N$4,D041_ClassFeatures!$B$2:$B$556,0),ROW()-ROW($L$15)),""))</f>
        <v/>
      </c>
      <c r="M25" s="353" t="str">
        <f>IF(IF($R$5=1,INDEX(D041_ClassFeatures!$N$2:$X$556,MATCH(C_Variables!$N$5,D041_ClassFeatures!$B$2:$B$556,0),ROW()-ROW($L$15)),"")=0,"",IF($R$5=1,INDEX(D041_ClassFeatures!$N$2:$X$556,MATCH(C_Variables!$N$5,D041_ClassFeatures!$B$2:$B$556,0),ROW()-ROW($L$15)),""))</f>
        <v/>
      </c>
      <c r="N25" s="353" t="str">
        <f>IF(IF($R$6=1,INDEX(D041_ClassFeatures!$N$2:$X$556,MATCH(C_Variables!$N$6,D041_ClassFeatures!$B$2:$B$556,0),ROW()-ROW($L$15)),"")=0,"",IF($R$6=1,INDEX(D041_ClassFeatures!$N$2:$X$556,MATCH(C_Variables!$N$6,D041_ClassFeatures!$B$2:$B$556,0),ROW()-ROW($L$15)),""))</f>
        <v/>
      </c>
      <c r="O25" s="353" t="str">
        <f>IF(IF($R$7=1,INDEX(D041_ClassFeatures!$N$2:$X$556,MATCH(C_Variables!$N$7,D041_ClassFeatures!$B$2:$B$556,0),ROW()-ROW($L$15)),"")=0,"",IF($R$7=1,INDEX(D041_ClassFeatures!$N$2:$X$556,MATCH(C_Variables!$N$7,D041_ClassFeatures!$B$2:$B$556,0),ROW()-ROW($L$15)),""))</f>
        <v/>
      </c>
      <c r="P25" s="353" t="str">
        <f>IF(IF($R$8=1,INDEX(D041_ClassFeatures!$N$2:$X$556,MATCH(C_Variables!$N$8,D041_ClassFeatures!$B$2:$B$556,0),ROW()-ROW($L$15)),"")=0,"",IF($R$8=1,INDEX(D041_ClassFeatures!$N$2:$X$556,MATCH(C_Variables!$N$8,D041_ClassFeatures!$B$2:$B$556,0),ROW()-ROW($L$15)),""))</f>
        <v/>
      </c>
      <c r="Q25" s="354" t="str">
        <f>IF(IF($R$9=1,INDEX(D041_ClassFeatures!$N$2:$X$556,MATCH(C_Variables!$N$9,D041_ClassFeatures!$B$2:$B$556,0),ROW()-ROW($L$15)),"")=0,"",IF($R$9=1,INDEX(D041_ClassFeatures!$N$2:$X$556,MATCH(C_Variables!$N$9,D041_ClassFeatures!$B$2:$B$556,0),ROW()-ROW($L$15)),""))</f>
        <v/>
      </c>
      <c r="U25" s="338" t="s">
        <v>628</v>
      </c>
      <c r="V25" s="339" t="s">
        <v>3977</v>
      </c>
      <c r="W25" s="340">
        <f t="shared" si="13"/>
        <v>0</v>
      </c>
      <c r="AA25" s="371" t="s">
        <v>626</v>
      </c>
      <c r="AB25" s="320" t="s">
        <v>4199</v>
      </c>
      <c r="AC25" s="320">
        <f t="shared" si="8"/>
        <v>0</v>
      </c>
      <c r="AD25" s="321">
        <f>IFERROR(INDEX(D00_Leveling!$Y$4:$BH$23,MATCH(C_Variables!$AC25,D00_Leveling!$A$4:$A$23,0),MATCH(C_Variables!$AB25,D00_Leveling!$Y$3:$BH$3,0)),0)</f>
        <v>0</v>
      </c>
      <c r="AF25" t="s">
        <v>3772</v>
      </c>
      <c r="AG25">
        <f>C_Skills!Y10</f>
        <v>0</v>
      </c>
    </row>
    <row r="26" spans="1:38" ht="16.5" customHeight="1" x14ac:dyDescent="0.3">
      <c r="A26" s="155">
        <f>IFERROR(IF(A25+1&lt;MAX(D041_ClassFeatures!$A$2:$A$2033),A25+1,""),"")</f>
        <v>23</v>
      </c>
      <c r="B26" s="153" t="str">
        <f>IFERROR(INDEX(D041_ClassFeatures!$B$2:$B$2033,MATCH(C_Variables!A26,D041_ClassFeatures!$A$2:$A$2033,0),1),"")</f>
        <v>Brutal Critical</v>
      </c>
      <c r="C26" s="153">
        <f>IF(B26="",0,IF(IFERROR(MATCH(B26,C_Input!$BC$160:$BC$239,0),0)&gt;0,1,0))</f>
        <v>0</v>
      </c>
      <c r="D26" s="153"/>
      <c r="E26" s="153"/>
      <c r="F26" s="153" t="str">
        <f t="shared" ref="F26:H26" si="15">$E22&amp;": "&amp;F22</f>
        <v>Eagle: While raging and not wearing heavy armor, other creatures have disadvantage on opportunity attack rolls. Use the Dash action as a bonus action.</v>
      </c>
      <c r="G26" s="153" t="str">
        <f t="shared" si="15"/>
        <v>Eagle: See up to 1 mile away. No disadvantage on Wisdom (Perception) checks in dim light.</v>
      </c>
      <c r="H26" s="153" t="str">
        <f t="shared" si="15"/>
        <v>Eagle: While raging, flying speed equals walking speed. Fall if end turn in the air.</v>
      </c>
      <c r="I26" s="153"/>
      <c r="J26" s="153"/>
      <c r="U26" s="338" t="s">
        <v>1112</v>
      </c>
      <c r="V26" s="339" t="s">
        <v>3978</v>
      </c>
      <c r="W26" s="340">
        <f t="shared" si="13"/>
        <v>0</v>
      </c>
      <c r="AA26" s="371" t="s">
        <v>626</v>
      </c>
      <c r="AB26" s="320" t="s">
        <v>4200</v>
      </c>
      <c r="AC26" s="320">
        <f t="shared" si="8"/>
        <v>0</v>
      </c>
      <c r="AD26" s="321">
        <f>IFERROR(INDEX(D00_Leveling!$Y$4:$BH$23,MATCH(C_Variables!$AC26,D00_Leveling!$A$4:$A$23,0),MATCH(C_Variables!$AB26,D00_Leveling!$Y$3:$BH$3,0)),0)</f>
        <v>0</v>
      </c>
      <c r="AF26" t="s">
        <v>3771</v>
      </c>
      <c r="AG26">
        <f>C_Skills!Y11</f>
        <v>0</v>
      </c>
      <c r="AJ26">
        <v>1</v>
      </c>
      <c r="AK26" t="s">
        <v>1112</v>
      </c>
      <c r="AL26">
        <f t="shared" ref="AL26:AL31" si="16">AL16</f>
        <v>0</v>
      </c>
    </row>
    <row r="27" spans="1:38" ht="17.25" thickBot="1" x14ac:dyDescent="0.35">
      <c r="A27" s="155">
        <f>IFERROR(IF(A26+1&lt;MAX(D041_ClassFeatures!$A$2:$A$2033),A26+1,""),"")</f>
        <v>24</v>
      </c>
      <c r="B27" s="153" t="str">
        <f>IFERROR(INDEX(D041_ClassFeatures!$B$2:$B$2033,MATCH(C_Variables!A27,D041_ClassFeatures!$A$2:$A$2033,0),1),"")</f>
        <v>Channel Divinity</v>
      </c>
      <c r="C27" s="153">
        <f>IF(B27="",0,IF(IFERROR(MATCH(B27,C_Input!$BC$160:$BC$239,0),0)&gt;0,1,0))</f>
        <v>0</v>
      </c>
      <c r="D27" s="153"/>
      <c r="E27" s="153"/>
      <c r="F27" s="153" t="str">
        <f t="shared" ref="F27:H27" si="17">$E23&amp;": "&amp;F23</f>
        <v>Wolf: While raging, friends have advantage on melee attack rolls against any creature within 5 feet of you that is hostile to you.</v>
      </c>
      <c r="G27" s="153" t="str">
        <f t="shared" si="17"/>
        <v>Wolf: Track creatures while traveling at a fast pace, move stealthily while traveling at a normal pace.</v>
      </c>
      <c r="H27" s="153" t="str">
        <f t="shared" si="17"/>
        <v>Wolf: While raging, bonus action to knock a Large or smaller creature prone when hit with melee weapon attack.</v>
      </c>
      <c r="I27" s="153"/>
      <c r="J27" s="153"/>
      <c r="U27" s="338" t="s">
        <v>1112</v>
      </c>
      <c r="V27" s="339" t="s">
        <v>3979</v>
      </c>
      <c r="W27" s="340">
        <f t="shared" si="13"/>
        <v>0</v>
      </c>
      <c r="AA27" s="371" t="s">
        <v>626</v>
      </c>
      <c r="AB27" s="320" t="s">
        <v>4201</v>
      </c>
      <c r="AC27" s="320">
        <f t="shared" si="8"/>
        <v>0</v>
      </c>
      <c r="AD27" s="321">
        <f>IFERROR(INDEX(D00_Leveling!$Y$4:$BH$23,MATCH(C_Variables!$AC27,D00_Leveling!$A$4:$A$23,0),MATCH(C_Variables!$AB27,D00_Leveling!$Y$3:$BH$3,0)),0)</f>
        <v>0</v>
      </c>
      <c r="AJ27">
        <v>2</v>
      </c>
      <c r="AK27" t="s">
        <v>620</v>
      </c>
      <c r="AL27">
        <f t="shared" si="16"/>
        <v>0</v>
      </c>
    </row>
    <row r="28" spans="1:38" ht="16.5" customHeight="1" thickBot="1" x14ac:dyDescent="0.35">
      <c r="A28" s="155">
        <f>IFERROR(IF(A27+1&lt;MAX(D041_ClassFeatures!$A$2:$A$2033),A27+1,""),"")</f>
        <v>25</v>
      </c>
      <c r="B28" s="153" t="str">
        <f>IFERROR(INDEX(D041_ClassFeatures!$B$2:$B$2033,MATCH(C_Variables!A28,D041_ClassFeatures!$A$2:$A$2033,0),1),"")</f>
        <v>Cleansing Touch</v>
      </c>
      <c r="C28" s="153">
        <f>IF(B28="",0,IF(IFERROR(MATCH(B28,C_Input!$BC$160:$BC$239,0),0)&gt;0,1,0))</f>
        <v>0</v>
      </c>
      <c r="D28" s="153"/>
      <c r="E28" s="153"/>
      <c r="F28" s="153"/>
      <c r="G28" s="153"/>
      <c r="H28" s="153"/>
      <c r="I28" s="153"/>
      <c r="J28" s="153"/>
      <c r="K28" s="344"/>
      <c r="L28" s="313" t="s">
        <v>4310</v>
      </c>
      <c r="M28" s="313" t="s">
        <v>4311</v>
      </c>
      <c r="N28" s="313" t="s">
        <v>4312</v>
      </c>
      <c r="O28" s="313" t="s">
        <v>4313</v>
      </c>
      <c r="P28" s="314"/>
      <c r="U28" s="338" t="s">
        <v>620</v>
      </c>
      <c r="V28" s="339" t="s">
        <v>3984</v>
      </c>
      <c r="W28" s="340">
        <f t="shared" si="13"/>
        <v>0</v>
      </c>
      <c r="AA28" s="371" t="s">
        <v>627</v>
      </c>
      <c r="AB28" s="320" t="s">
        <v>4202</v>
      </c>
      <c r="AC28" s="320">
        <f t="shared" si="8"/>
        <v>0</v>
      </c>
      <c r="AD28" s="321">
        <f>IFERROR(INDEX(D00_Leveling!$Y$4:$BH$23,MATCH(C_Variables!$AC28,D00_Leveling!$A$4:$A$23,0),MATCH(C_Variables!$AB28,D00_Leveling!$Y$3:$BH$3,0)),0)</f>
        <v>0</v>
      </c>
      <c r="AJ28">
        <v>3</v>
      </c>
      <c r="AK28" t="s">
        <v>621</v>
      </c>
      <c r="AL28">
        <f t="shared" si="16"/>
        <v>0</v>
      </c>
    </row>
    <row r="29" spans="1:38" ht="16.5" x14ac:dyDescent="0.3">
      <c r="A29" s="155">
        <f>IFERROR(IF(A28+1&lt;MAX(D041_ClassFeatures!$A$2:$A$2033),A28+1,""),"")</f>
        <v>26</v>
      </c>
      <c r="B29" s="153" t="str">
        <f>IFERROR(INDEX(D041_ClassFeatures!$B$2:$B$2033,MATCH(C_Variables!A29,D041_ClassFeatures!$A$2:$A$2033,0),1),"")</f>
        <v>Countercharm</v>
      </c>
      <c r="C29" s="153">
        <f>IF(B29="",0,IF(IFERROR(MATCH(B29,C_Input!$BC$160:$BC$239,0),0)&gt;0,1,0))</f>
        <v>0</v>
      </c>
      <c r="D29" s="153"/>
      <c r="E29" s="379"/>
      <c r="F29" s="380" t="s">
        <v>4217</v>
      </c>
      <c r="G29" s="380" t="s">
        <v>4218</v>
      </c>
      <c r="H29" s="381" t="s">
        <v>4220</v>
      </c>
      <c r="I29" s="153"/>
      <c r="J29" s="153"/>
      <c r="K29" s="345"/>
      <c r="L29" s="315">
        <f>IF(RangerHunterFeatures&gt;0,COUNTA(L30:L32),1)</f>
        <v>1</v>
      </c>
      <c r="M29" s="315">
        <f>IF(RangerHunterFeatures&gt;0,COUNTA(M30:M32),1)</f>
        <v>1</v>
      </c>
      <c r="N29" s="315">
        <f>IF(RangerHunterFeatures&gt;0,COUNTA(N30:N32),1)</f>
        <v>1</v>
      </c>
      <c r="O29" s="315">
        <f>IF(RangerHunterFeatures&gt;0,COUNTA(O30:O32),1)</f>
        <v>1</v>
      </c>
      <c r="P29" s="316"/>
      <c r="U29" s="338" t="s">
        <v>620</v>
      </c>
      <c r="V29" s="339" t="s">
        <v>3980</v>
      </c>
      <c r="W29" s="340">
        <f t="shared" si="13"/>
        <v>0</v>
      </c>
      <c r="AA29" s="371" t="s">
        <v>627</v>
      </c>
      <c r="AB29" s="320" t="s">
        <v>4203</v>
      </c>
      <c r="AC29" s="320">
        <f t="shared" si="8"/>
        <v>0</v>
      </c>
      <c r="AD29" s="321">
        <f>IFERROR(INDEX(D00_Leveling!$Y$4:$BH$23,MATCH(C_Variables!$AC29,D00_Leveling!$A$4:$A$23,0),MATCH(C_Variables!$AB29,D00_Leveling!$Y$3:$BH$3,0)),0)</f>
        <v>0</v>
      </c>
      <c r="AJ29">
        <v>4</v>
      </c>
      <c r="AK29" t="s">
        <v>3992</v>
      </c>
      <c r="AL29">
        <f t="shared" si="16"/>
        <v>0</v>
      </c>
    </row>
    <row r="30" spans="1:38" ht="16.5" x14ac:dyDescent="0.3">
      <c r="A30" s="155">
        <f>IFERROR(IF(A29+1&lt;MAX(D041_ClassFeatures!$A$2:$A$2033),A29+1,""),"")</f>
        <v>27</v>
      </c>
      <c r="B30" s="153" t="str">
        <f>IFERROR(INDEX(D041_ClassFeatures!$B$2:$B$2033,MATCH(C_Variables!A30,D041_ClassFeatures!$A$2:$A$2033,0),1),"")</f>
        <v>Cunning Action</v>
      </c>
      <c r="C30" s="153">
        <f>IF(B30="",0,IF(IFERROR(MATCH(B30,C_Input!$BC$160:$BC$239,0),0)&gt;0,1,0))</f>
        <v>0</v>
      </c>
      <c r="D30" s="153"/>
      <c r="E30" s="349"/>
      <c r="F30" s="382">
        <v>3</v>
      </c>
      <c r="G30" s="382">
        <v>3</v>
      </c>
      <c r="H30" s="383">
        <v>3</v>
      </c>
      <c r="I30" s="153"/>
      <c r="J30" s="153"/>
      <c r="K30" s="345">
        <v>1</v>
      </c>
      <c r="L30" s="315" t="str">
        <f>IF(IFERROR(IF(RangerHunterFeatures&gt;0,INDEX(D041_ClassFeatures!$N$2:$AG$601,MATCH(C_Variables!L$28,D041_ClassFeatures!$B$2:$B$601,0),C_Variables!$K30),"n/a"),"n/a")=0,"",IFERROR(IF(RangerHunterFeatures&gt;0,INDEX(D041_ClassFeatures!$N$2:$AG$601,MATCH(C_Variables!L$28,D041_ClassFeatures!$B$2:$B$601,0),C_Variables!$K30),"n/a"),"n/a"))</f>
        <v>n/a</v>
      </c>
      <c r="M30" s="315" t="str">
        <f>IF(IFERROR(IF(RangerHunterFeatures&gt;1,INDEX(D041_ClassFeatures!$N$2:$AG$601,MATCH(C_Variables!M$28,D041_ClassFeatures!$B$2:$B$601,0),C_Variables!$K30),"n/a"),"n/a")=0,"",IFERROR(IF(RangerHunterFeatures&gt;1,INDEX(D041_ClassFeatures!$N$2:$AG$601,MATCH(C_Variables!M$28,D041_ClassFeatures!$B$2:$B$601,0),C_Variables!$K30),"n/a"),"n/a"))</f>
        <v>n/a</v>
      </c>
      <c r="N30" s="315" t="str">
        <f>IF(IFERROR(IF(RangerHunterFeatures&gt;2,INDEX(D041_ClassFeatures!$N$2:$AG$601,MATCH(C_Variables!N$28,D041_ClassFeatures!$B$2:$B$601,0),C_Variables!$K30),"n/a"),"n/a")=0,"",IFERROR(IF(RangerHunterFeatures&gt;2,INDEX(D041_ClassFeatures!$N$2:$AG$601,MATCH(C_Variables!N$28,D041_ClassFeatures!$B$2:$B$601,0),C_Variables!$K30),"n/a"),"n/a"))</f>
        <v>n/a</v>
      </c>
      <c r="O30" s="315" t="str">
        <f>IF(IFERROR(IF(RangerHunterFeatures&gt;3,INDEX(D041_ClassFeatures!$N$2:$AG$601,MATCH(C_Variables!O$28,D041_ClassFeatures!$B$2:$B$601,0),C_Variables!$K30),"n/a"),"n/a")=0,"",IFERROR(IF(RangerHunterFeatures&gt;3,INDEX(D041_ClassFeatures!$N$2:$AG$601,MATCH(C_Variables!O$28,D041_ClassFeatures!$B$2:$B$601,0),C_Variables!$K30),"n/a"),"n/a"))</f>
        <v>n/a</v>
      </c>
      <c r="P30" s="316"/>
      <c r="U30" s="338" t="s">
        <v>620</v>
      </c>
      <c r="V30" s="339" t="s">
        <v>3981</v>
      </c>
      <c r="W30" s="340">
        <f t="shared" si="13"/>
        <v>0</v>
      </c>
      <c r="AA30" s="371" t="s">
        <v>627</v>
      </c>
      <c r="AB30" s="320" t="s">
        <v>4204</v>
      </c>
      <c r="AC30" s="320">
        <f t="shared" si="8"/>
        <v>0</v>
      </c>
      <c r="AD30" s="321">
        <f>IFERROR(INDEX(D00_Leveling!$Y$4:$BH$23,MATCH(C_Variables!$AC30,D00_Leveling!$A$4:$A$23,0),MATCH(C_Variables!$AB30,D00_Leveling!$Y$3:$BH$3,0)),0)</f>
        <v>0</v>
      </c>
      <c r="AJ30">
        <v>5</v>
      </c>
      <c r="AK30" t="s">
        <v>1113</v>
      </c>
      <c r="AL30">
        <f t="shared" si="16"/>
        <v>0</v>
      </c>
    </row>
    <row r="31" spans="1:38" ht="16.5" x14ac:dyDescent="0.3">
      <c r="A31" s="155">
        <f>IFERROR(IF(A30+1&lt;MAX(D041_ClassFeatures!$A$2:$A$2033),A30+1,""),"")</f>
        <v>28</v>
      </c>
      <c r="B31" s="153" t="str">
        <f>IFERROR(INDEX(D041_ClassFeatures!$B$2:$B$2033,MATCH(C_Variables!A31,D041_ClassFeatures!$A$2:$A$2033,0),1),"")</f>
        <v>Danger Sense</v>
      </c>
      <c r="C31" s="153">
        <f>IF(B31="",0,IF(IFERROR(MATCH(B31,C_Input!$BC$160:$BC$239,0),0)&gt;0,1,0))</f>
        <v>0</v>
      </c>
      <c r="D31" s="153"/>
      <c r="E31" s="384">
        <v>1</v>
      </c>
      <c r="F31" s="350" t="str">
        <f>IF(IFERROR(IF(BarbarianSpiritTotems&gt;0,INDEX(D041_ClassFeatures!$N$2:$AG$601,MATCH(C_Variables!F$29,D041_ClassFeatures!$B$2:$B$601,0),$E31),"n/a"),"n/a")=0,"",IFERROR(IF(BarbarianSpiritTotems&gt;0,INDEX(D041_ClassFeatures!$N$2:$AG$601,MATCH(C_Variables!F$29,D041_ClassFeatures!$B$2:$B$601,0),$E31),"n/a"),"n/a"))</f>
        <v>n/a</v>
      </c>
      <c r="G31" s="350" t="str">
        <f>IF(IFERROR(IF(BarbarianSpiritTotems&gt;1,INDEX(D041_ClassFeatures!$N$2:$AG$601,MATCH(C_Variables!G$29,D041_ClassFeatures!$B$2:$B$601,0),$E31),"n/a"),"n/a")=0,"",IFERROR(IF(BarbarianSpiritTotems&gt;1,INDEX(D041_ClassFeatures!$N$2:$AG$601,MATCH(C_Variables!G$29,D041_ClassFeatures!$B$2:$B$601,0),$E31),"n/a"),"n/a"))</f>
        <v>n/a</v>
      </c>
      <c r="H31" s="351" t="str">
        <f>IF(IFERROR(IF(BarbarianSpiritTotems&gt;2,INDEX(D041_ClassFeatures!$N$2:$AG$601,MATCH(C_Variables!H$29,D041_ClassFeatures!$B$2:$B$601,0),$E31),"n/a"),"n/a")=0,"",IFERROR(IF(BarbarianSpiritTotems&gt;2,INDEX(D041_ClassFeatures!$N$2:$AG$601,MATCH(C_Variables!H$29,D041_ClassFeatures!$B$2:$B$601,0),$E31),"n/a"),"n/a"))</f>
        <v>n/a</v>
      </c>
      <c r="I31" s="153"/>
      <c r="J31" s="153"/>
      <c r="K31" s="345">
        <v>2</v>
      </c>
      <c r="L31" s="315" t="str">
        <f>IF(IFERROR(IF(RangerHunterFeatures&gt;0,INDEX(D041_ClassFeatures!$N$2:$AG$601,MATCH(C_Variables!L$28,D041_ClassFeatures!$B$2:$B$601,0),C_Variables!$K31),"n/a"),"n/a")=0,"",IFERROR(IF(RangerHunterFeatures&gt;0,INDEX(D041_ClassFeatures!$N$2:$AG$601,MATCH(C_Variables!L$28,D041_ClassFeatures!$B$2:$B$601,0),C_Variables!$K31),"n/a"),"n/a"))</f>
        <v>n/a</v>
      </c>
      <c r="M31" s="315" t="str">
        <f>IF(IFERROR(IF(RangerHunterFeatures&gt;1,INDEX(D041_ClassFeatures!$N$2:$AG$601,MATCH(C_Variables!M$28,D041_ClassFeatures!$B$2:$B$601,0),C_Variables!$K31),"n/a"),"n/a")=0,"",IFERROR(IF(RangerHunterFeatures&gt;1,INDEX(D041_ClassFeatures!$N$2:$AG$601,MATCH(C_Variables!M$28,D041_ClassFeatures!$B$2:$B$601,0),C_Variables!$K31),"n/a"),"n/a"))</f>
        <v>n/a</v>
      </c>
      <c r="N31" s="315" t="str">
        <f>IF(IFERROR(IF(RangerHunterFeatures&gt;2,INDEX(D041_ClassFeatures!$N$2:$AG$601,MATCH(C_Variables!N$28,D041_ClassFeatures!$B$2:$B$601,0),C_Variables!$K31),"n/a"),"n/a")=0,"",IFERROR(IF(RangerHunterFeatures&gt;2,INDEX(D041_ClassFeatures!$N$2:$AG$601,MATCH(C_Variables!N$28,D041_ClassFeatures!$B$2:$B$601,0),C_Variables!$K31),"n/a"),"n/a"))</f>
        <v>n/a</v>
      </c>
      <c r="O31" s="315" t="str">
        <f>IF(IFERROR(IF(RangerHunterFeatures&gt;3,INDEX(D041_ClassFeatures!$N$2:$AG$601,MATCH(C_Variables!O$28,D041_ClassFeatures!$B$2:$B$601,0),C_Variables!$K31),"n/a"),"n/a")=0,"",IFERROR(IF(RangerHunterFeatures&gt;3,INDEX(D041_ClassFeatures!$N$2:$AG$601,MATCH(C_Variables!O$28,D041_ClassFeatures!$B$2:$B$601,0),C_Variables!$K31),"n/a"),"n/a"))</f>
        <v>n/a</v>
      </c>
      <c r="P31" s="316"/>
      <c r="U31" s="338" t="s">
        <v>620</v>
      </c>
      <c r="V31" s="339" t="s">
        <v>3982</v>
      </c>
      <c r="W31" s="340">
        <f t="shared" si="13"/>
        <v>0</v>
      </c>
      <c r="AA31" s="371" t="s">
        <v>627</v>
      </c>
      <c r="AB31" s="320" t="s">
        <v>4205</v>
      </c>
      <c r="AC31" s="320">
        <f t="shared" si="8"/>
        <v>0</v>
      </c>
      <c r="AD31" s="321">
        <f>IFERROR(INDEX(D00_Leveling!$Y$4:$BH$23,MATCH(C_Variables!$AC31,D00_Leveling!$A$4:$A$23,0),MATCH(C_Variables!$AB31,D00_Leveling!$Y$3:$BH$3,0)),0)</f>
        <v>0</v>
      </c>
      <c r="AJ31">
        <v>6</v>
      </c>
      <c r="AK31" t="s">
        <v>624</v>
      </c>
      <c r="AL31">
        <f t="shared" si="16"/>
        <v>0</v>
      </c>
    </row>
    <row r="32" spans="1:38" ht="17.25" thickBot="1" x14ac:dyDescent="0.35">
      <c r="A32" s="155">
        <f>IFERROR(IF(A31+1&lt;MAX(D041_ClassFeatures!$A$2:$A$2033),A31+1,""),"")</f>
        <v>29</v>
      </c>
      <c r="B32" s="153" t="str">
        <f>IFERROR(INDEX(D041_ClassFeatures!$B$2:$B$2033,MATCH(C_Variables!A32,D041_ClassFeatures!$A$2:$A$2033,0),1),"")</f>
        <v>Deflect Missiles</v>
      </c>
      <c r="C32" s="153">
        <f>IF(B32="",0,IF(IFERROR(MATCH(B32,C_Input!$BC$160:$BC$239,0),0)&gt;0,1,0))</f>
        <v>0</v>
      </c>
      <c r="D32" s="153"/>
      <c r="E32" s="384">
        <v>2</v>
      </c>
      <c r="F32" s="350" t="str">
        <f>IF(IFERROR(IF(BarbarianSpiritTotems&gt;0,INDEX(D041_ClassFeatures!$N$2:$AG$601,MATCH(C_Variables!F$29,D041_ClassFeatures!$B$2:$B$601,0),$E32),"n/a"),"n/a")=0,"",IFERROR(IF(BarbarianSpiritTotems&gt;0,INDEX(D041_ClassFeatures!$N$2:$AG$601,MATCH(C_Variables!F$29,D041_ClassFeatures!$B$2:$B$601,0),$E32),"n/a"),"n/a"))</f>
        <v>n/a</v>
      </c>
      <c r="G32" s="350" t="str">
        <f>IF(IFERROR(IF(BarbarianSpiritTotems&gt;1,INDEX(D041_ClassFeatures!$N$2:$AG$601,MATCH(C_Variables!G$29,D041_ClassFeatures!$B$2:$B$601,0),$E32),"n/a"),"n/a")=0,"",IFERROR(IF(BarbarianSpiritTotems&gt;1,INDEX(D041_ClassFeatures!$N$2:$AG$601,MATCH(C_Variables!G$29,D041_ClassFeatures!$B$2:$B$601,0),$E32),"n/a"),"n/a"))</f>
        <v>n/a</v>
      </c>
      <c r="H32" s="351" t="str">
        <f>IF(IFERROR(IF(BarbarianSpiritTotems&gt;2,INDEX(D041_ClassFeatures!$N$2:$AG$601,MATCH(C_Variables!H$29,D041_ClassFeatures!$B$2:$B$601,0),$E32),"n/a"),"n/a")=0,"",IFERROR(IF(BarbarianSpiritTotems&gt;2,INDEX(D041_ClassFeatures!$N$2:$AG$601,MATCH(C_Variables!H$29,D041_ClassFeatures!$B$2:$B$601,0),$E32),"n/a"),"n/a"))</f>
        <v>n/a</v>
      </c>
      <c r="I32" s="153"/>
      <c r="J32" s="153"/>
      <c r="K32" s="346">
        <v>3</v>
      </c>
      <c r="L32" s="315" t="str">
        <f>IF(IFERROR(IF(RangerHunterFeatures&gt;0,INDEX(D041_ClassFeatures!$N$2:$AG$601,MATCH(C_Variables!L$28,D041_ClassFeatures!$B$2:$B$601,0),C_Variables!$K32),"n/a"),"n/a")=0,"",IFERROR(IF(RangerHunterFeatures&gt;0,INDEX(D041_ClassFeatures!$N$2:$AG$601,MATCH(C_Variables!L$28,D041_ClassFeatures!$B$2:$B$601,0),C_Variables!$K32),"n/a"),"n/a"))</f>
        <v>n/a</v>
      </c>
      <c r="M32" s="315" t="str">
        <f>IF(IFERROR(IF(RangerHunterFeatures&gt;1,INDEX(D041_ClassFeatures!$N$2:$AG$601,MATCH(C_Variables!M$28,D041_ClassFeatures!$B$2:$B$601,0),C_Variables!$K32),"n/a"),"n/a")=0,"",IFERROR(IF(RangerHunterFeatures&gt;1,INDEX(D041_ClassFeatures!$N$2:$AG$601,MATCH(C_Variables!M$28,D041_ClassFeatures!$B$2:$B$601,0),C_Variables!$K32),"n/a"),"n/a"))</f>
        <v>n/a</v>
      </c>
      <c r="N32" s="315" t="str">
        <f>IF(IFERROR(IF(RangerHunterFeatures&gt;2,INDEX(D041_ClassFeatures!$N$2:$AG$601,MATCH(C_Variables!N$28,D041_ClassFeatures!$B$2:$B$601,0),C_Variables!$K32),"n/a"),"n/a")=0,"",IFERROR(IF(RangerHunterFeatures&gt;2,INDEX(D041_ClassFeatures!$N$2:$AG$601,MATCH(C_Variables!N$28,D041_ClassFeatures!$B$2:$B$601,0),C_Variables!$K32),"n/a"),"n/a"))</f>
        <v>n/a</v>
      </c>
      <c r="O32" s="315" t="str">
        <f>IF(IFERROR(IF(RangerHunterFeatures&gt;3,INDEX(D041_ClassFeatures!$N$2:$AG$601,MATCH(C_Variables!O$28,D041_ClassFeatures!$B$2:$B$601,0),C_Variables!$K32),"n/a"),"n/a")=0,"",IFERROR(IF(RangerHunterFeatures&gt;3,INDEX(D041_ClassFeatures!$N$2:$AG$601,MATCH(C_Variables!O$28,D041_ClassFeatures!$B$2:$B$601,0),C_Variables!$K32),"n/a"),"n/a"))</f>
        <v>n/a</v>
      </c>
      <c r="P32" s="317"/>
      <c r="U32" s="338" t="s">
        <v>620</v>
      </c>
      <c r="V32" s="339" t="s">
        <v>3983</v>
      </c>
      <c r="W32" s="340">
        <f t="shared" si="13"/>
        <v>0</v>
      </c>
      <c r="AA32" s="371" t="s">
        <v>627</v>
      </c>
      <c r="AB32" s="320" t="s">
        <v>4206</v>
      </c>
      <c r="AC32" s="320">
        <f t="shared" si="8"/>
        <v>0</v>
      </c>
      <c r="AD32" s="321">
        <f>IFERROR(INDEX(D00_Leveling!$Y$4:$BH$23,MATCH(C_Variables!$AC32,D00_Leveling!$A$4:$A$23,0),MATCH(C_Variables!$AB32,D00_Leveling!$Y$3:$BH$3,0)),0)</f>
        <v>0</v>
      </c>
      <c r="AJ32">
        <v>7</v>
      </c>
      <c r="AK32" t="s">
        <v>4016</v>
      </c>
      <c r="AL32">
        <f>AL24</f>
        <v>0</v>
      </c>
    </row>
    <row r="33" spans="1:38" ht="17.25" thickBot="1" x14ac:dyDescent="0.35">
      <c r="A33" s="155">
        <f>IFERROR(IF(A32+1&lt;MAX(D041_ClassFeatures!$A$2:$A$2033),A32+1,""),"")</f>
        <v>30</v>
      </c>
      <c r="B33" s="153" t="str">
        <f>IFERROR(INDEX(D041_ClassFeatures!$B$2:$B$2033,MATCH(C_Variables!A33,D041_ClassFeatures!$A$2:$A$2033,0),1),"")</f>
        <v>Destroy Undead</v>
      </c>
      <c r="C33" s="153">
        <f>IF(B33="",0,IF(IFERROR(MATCH(B33,C_Input!$BC$160:$BC$239,0),0)&gt;0,1,0))</f>
        <v>0</v>
      </c>
      <c r="D33" s="153"/>
      <c r="E33" s="385">
        <v>3</v>
      </c>
      <c r="F33" s="353" t="str">
        <f>IF(IFERROR(IF(BarbarianSpiritTotems&gt;0,INDEX(D041_ClassFeatures!$N$2:$AG$601,MATCH(C_Variables!F$29,D041_ClassFeatures!$B$2:$B$601,0),$E33),"n/a"),"n/a")=0,"",IFERROR(IF(BarbarianSpiritTotems&gt;0,INDEX(D041_ClassFeatures!$N$2:$AG$601,MATCH(C_Variables!F$29,D041_ClassFeatures!$B$2:$B$601,0),$E33),"n/a"),"n/a"))</f>
        <v>n/a</v>
      </c>
      <c r="G33" s="353" t="str">
        <f>IF(IFERROR(IF(BarbarianSpiritTotems&gt;1,INDEX(D041_ClassFeatures!$N$2:$AG$601,MATCH(C_Variables!G$29,D041_ClassFeatures!$B$2:$B$601,0),$E33),"n/a"),"n/a")=0,"",IFERROR(IF(BarbarianSpiritTotems&gt;1,INDEX(D041_ClassFeatures!$N$2:$AG$601,MATCH(C_Variables!G$29,D041_ClassFeatures!$B$2:$B$601,0),$E33),"n/a"),"n/a"))</f>
        <v>n/a</v>
      </c>
      <c r="H33" s="354" t="str">
        <f>IF(IFERROR(IF(BarbarianSpiritTotems&gt;2,INDEX(D041_ClassFeatures!$N$2:$AG$601,MATCH(C_Variables!H$29,D041_ClassFeatures!$B$2:$B$601,0),$E33),"n/a"),"n/a")=0,"",IFERROR(IF(BarbarianSpiritTotems&gt;2,INDEX(D041_ClassFeatures!$N$2:$AG$601,MATCH(C_Variables!H$29,D041_ClassFeatures!$B$2:$B$601,0),$E33),"n/a"),"n/a"))</f>
        <v>n/a</v>
      </c>
      <c r="I33" s="153"/>
      <c r="J33" s="153"/>
      <c r="U33" s="338" t="s">
        <v>620</v>
      </c>
      <c r="V33" s="339" t="s">
        <v>3985</v>
      </c>
      <c r="W33" s="340">
        <f t="shared" si="13"/>
        <v>0</v>
      </c>
      <c r="AA33" s="371" t="s">
        <v>628</v>
      </c>
      <c r="AB33" s="320" t="s">
        <v>4207</v>
      </c>
      <c r="AC33" s="320">
        <f t="shared" si="8"/>
        <v>0</v>
      </c>
      <c r="AD33" s="321">
        <f>IFERROR(INDEX(D00_Leveling!$Y$4:$BH$23,MATCH(C_Variables!$AC33,D00_Leveling!$A$4:$A$23,0),MATCH(C_Variables!$AB33,D00_Leveling!$Y$3:$BH$3,0)),0)</f>
        <v>0</v>
      </c>
      <c r="AJ33">
        <v>8</v>
      </c>
      <c r="AK33" t="s">
        <v>626</v>
      </c>
      <c r="AL33">
        <f>AL22</f>
        <v>0</v>
      </c>
    </row>
    <row r="34" spans="1:38" ht="17.25" thickBot="1" x14ac:dyDescent="0.35">
      <c r="A34" s="155">
        <f>IFERROR(IF(A33+1&lt;MAX(D041_ClassFeatures!$A$2:$A$2033),A33+1,""),"")</f>
        <v>31</v>
      </c>
      <c r="B34" s="153" t="str">
        <f>IFERROR(INDEX(D041_ClassFeatures!$B$2:$B$2033,MATCH(C_Variables!A34,D041_ClassFeatures!$A$2:$A$2033,0),1),"")</f>
        <v>Diamond Soul</v>
      </c>
      <c r="C34" s="153">
        <f>IF(B34="",0,IF(IFERROR(MATCH(B34,C_Input!$BC$160:$BC$239,0),0)&gt;0,1,0))</f>
        <v>0</v>
      </c>
      <c r="D34" s="153"/>
      <c r="E34" s="153"/>
      <c r="F34" s="153"/>
      <c r="G34" s="153"/>
      <c r="H34" s="153"/>
      <c r="I34" s="153"/>
      <c r="J34" s="153"/>
      <c r="U34" s="338" t="s">
        <v>620</v>
      </c>
      <c r="V34" s="339" t="s">
        <v>3986</v>
      </c>
      <c r="W34" s="340">
        <f t="shared" si="13"/>
        <v>0</v>
      </c>
      <c r="AA34" s="371" t="s">
        <v>619</v>
      </c>
      <c r="AB34" s="320" t="s">
        <v>4208</v>
      </c>
      <c r="AC34" s="320">
        <f t="shared" si="8"/>
        <v>0</v>
      </c>
      <c r="AD34" s="321">
        <f>IFERROR(INDEX(D00_Leveling!$Y$4:$BH$23,MATCH(C_Variables!$AC34,D00_Leveling!$A$4:$A$23,0),MATCH(C_Variables!$AB34,D00_Leveling!$Y$3:$BH$3,0)),0)</f>
        <v>0</v>
      </c>
      <c r="AJ34">
        <v>9</v>
      </c>
      <c r="AK34" t="s">
        <v>628</v>
      </c>
      <c r="AL34">
        <f>AL23</f>
        <v>0</v>
      </c>
    </row>
    <row r="35" spans="1:38" ht="16.5" x14ac:dyDescent="0.3">
      <c r="A35" s="155">
        <f>IFERROR(IF(A34+1&lt;MAX(D041_ClassFeatures!$A$2:$A$2033),A34+1,""),"")</f>
        <v>32</v>
      </c>
      <c r="B35" s="153" t="str">
        <f>IFERROR(INDEX(D041_ClassFeatures!$B$2:$B$2033,MATCH(C_Variables!A35,D041_ClassFeatures!$A$2:$A$2033,0),1),"")</f>
        <v>Divine Domain</v>
      </c>
      <c r="C35" s="153">
        <f>IF(B35="",0,IF(IFERROR(MATCH(B35,C_Input!$BC$160:$BC$239,0),0)&gt;0,1,0))</f>
        <v>0</v>
      </c>
      <c r="D35" s="153"/>
      <c r="E35" s="153"/>
      <c r="F35" s="153"/>
      <c r="G35" s="153"/>
      <c r="H35" s="323"/>
      <c r="I35" s="324"/>
      <c r="J35" s="324"/>
      <c r="K35" s="325"/>
      <c r="L35" s="325" t="s">
        <v>5362</v>
      </c>
      <c r="M35" s="325" t="s">
        <v>5363</v>
      </c>
      <c r="N35" s="325" t="s">
        <v>5364</v>
      </c>
      <c r="O35" s="325" t="s">
        <v>5365</v>
      </c>
      <c r="P35" s="325" t="s">
        <v>5370</v>
      </c>
      <c r="Q35" s="325" t="s">
        <v>5371</v>
      </c>
      <c r="R35" s="325" t="s">
        <v>5372</v>
      </c>
      <c r="S35" s="325" t="s">
        <v>5373</v>
      </c>
      <c r="T35" s="325"/>
      <c r="U35" s="338" t="s">
        <v>620</v>
      </c>
      <c r="V35" s="339" t="s">
        <v>3987</v>
      </c>
      <c r="W35" s="340">
        <f t="shared" si="13"/>
        <v>0</v>
      </c>
      <c r="AA35" s="371" t="s">
        <v>619</v>
      </c>
      <c r="AB35" s="320" t="s">
        <v>4209</v>
      </c>
      <c r="AC35" s="320">
        <f t="shared" si="8"/>
        <v>0</v>
      </c>
      <c r="AD35" s="321">
        <f>IFERROR(INDEX(D00_Leveling!$Y$4:$BH$23,MATCH(C_Variables!$AC35,D00_Leveling!$A$4:$A$23,0),MATCH(C_Variables!$AB35,D00_Leveling!$Y$3:$BH$3,0)),0)</f>
        <v>0</v>
      </c>
    </row>
    <row r="36" spans="1:38" ht="16.5" x14ac:dyDescent="0.3">
      <c r="A36" s="155">
        <f>IFERROR(IF(A35+1&lt;MAX(D041_ClassFeatures!$A$2:$A$2033),A35+1,""),"")</f>
        <v>33</v>
      </c>
      <c r="B36" s="153" t="str">
        <f>IFERROR(INDEX(D041_ClassFeatures!$B$2:$B$2033,MATCH(C_Variables!A36,D041_ClassFeatures!$A$2:$A$2033,0),1),"")</f>
        <v>Divine Domain Feature1-1</v>
      </c>
      <c r="C36" s="153">
        <f>IF(B36="",0,IF(IFERROR(MATCH(B36,C_Input!$BC$160:$BC$239,0),0)&gt;0,1,0))</f>
        <v>0</v>
      </c>
      <c r="D36" s="153"/>
      <c r="E36" s="153"/>
      <c r="F36" s="153"/>
      <c r="G36" s="153"/>
      <c r="H36" s="326"/>
      <c r="I36" s="327"/>
      <c r="J36" s="327"/>
      <c r="K36" s="328"/>
      <c r="L36" s="328" t="str">
        <f>IFERROR(INDEX($P$37:$S$37,1,L37),"n/a")</f>
        <v>n/a</v>
      </c>
      <c r="M36" s="328" t="str">
        <f t="shared" ref="M36:O36" si="18">IFERROR(INDEX($P$37:$S$37,1,M37),"n/a")</f>
        <v>n/a</v>
      </c>
      <c r="N36" s="328" t="str">
        <f t="shared" si="18"/>
        <v>n/a</v>
      </c>
      <c r="O36" s="328" t="str">
        <f t="shared" si="18"/>
        <v>n/a</v>
      </c>
      <c r="P36" s="328" t="str">
        <f>IFERROR(INDEX(C_Input!$AX$160:$AX$239,MATCH("Fighting Style (ranger)",C_Input!$BC$160:$BC$239,0),1),"")</f>
        <v/>
      </c>
      <c r="Q36" s="328" t="str">
        <f>IFERROR(INDEX(C_Input!$AX$160:$AX$239,MATCH("Fighting Style (paladin)",C_Input!$BC$160:$BC$239,0),1),"")</f>
        <v/>
      </c>
      <c r="R36" s="328" t="str">
        <f>IFERROR(INDEX(C_Input!$AX$160:$AX$239,MATCH("Fighting Style (fighter)",C_Input!$BC$160:$BC$239,0),1),"")</f>
        <v/>
      </c>
      <c r="S36" s="328" t="str">
        <f>IFERROR(INDEX(C_Input!$AX$160:$AX$239,MATCH("Additional Fighting Style",C_Input!$BC$160:$BC$239,0),1),"")</f>
        <v/>
      </c>
      <c r="T36" s="328"/>
      <c r="U36" s="338" t="s">
        <v>621</v>
      </c>
      <c r="V36" s="339" t="s">
        <v>3989</v>
      </c>
      <c r="W36" s="340">
        <f t="shared" si="13"/>
        <v>0</v>
      </c>
      <c r="AA36" s="371" t="s">
        <v>619</v>
      </c>
      <c r="AB36" s="320" t="s">
        <v>4210</v>
      </c>
      <c r="AC36" s="320">
        <f t="shared" si="8"/>
        <v>0</v>
      </c>
      <c r="AD36" s="321">
        <f>IFERROR(INDEX(D00_Leveling!$Y$4:$BH$23,MATCH(C_Variables!$AC36,D00_Leveling!$A$4:$A$23,0),MATCH(C_Variables!$AB36,D00_Leveling!$Y$3:$BH$3,0)),0)</f>
        <v>0</v>
      </c>
    </row>
    <row r="37" spans="1:38" ht="16.5" x14ac:dyDescent="0.3">
      <c r="A37" s="155">
        <f>IFERROR(IF(A36+1&lt;MAX(D041_ClassFeatures!$A$2:$A$2033),A36+1,""),"")</f>
        <v>34</v>
      </c>
      <c r="B37" s="153" t="str">
        <f>IFERROR(INDEX(D041_ClassFeatures!$B$2:$B$2033,MATCH(C_Variables!A37,D041_ClassFeatures!$A$2:$A$2033,0),1),"")</f>
        <v>Divine Domain Feature1-2</v>
      </c>
      <c r="C37" s="153">
        <f>IF(B37="",0,IF(IFERROR(MATCH(B37,C_Input!$BC$160:$BC$239,0),0)&gt;0,1,0))</f>
        <v>0</v>
      </c>
      <c r="D37" s="153"/>
      <c r="E37" s="153"/>
      <c r="F37" s="153"/>
      <c r="G37" s="153"/>
      <c r="H37" s="326"/>
      <c r="I37" s="327"/>
      <c r="J37" s="327"/>
      <c r="K37" s="328"/>
      <c r="L37" s="328" t="str">
        <f>IFERROR(MATCH(SMALL($P$36:$S$36,1),$P$36:$S$36,0),"n/a")</f>
        <v>n/a</v>
      </c>
      <c r="M37" s="328" t="str">
        <f>IFERROR(MATCH(SMALL($P$36:$S$36,2),$P$36:$S$36,0),"n/a")</f>
        <v>n/a</v>
      </c>
      <c r="N37" s="328" t="str">
        <f>IFERROR(MATCH(SMALL($P$36:$S$36,3),$P$36:$S$36,0),"n/a")</f>
        <v>n/a</v>
      </c>
      <c r="O37" s="328" t="str">
        <f>IFERROR(MATCH(SMALL($P$36:$S$36,4),$P$36:$S$36,0),"n/a")</f>
        <v>n/a</v>
      </c>
      <c r="P37" s="328" t="s">
        <v>624</v>
      </c>
      <c r="Q37" s="328" t="s">
        <v>1113</v>
      </c>
      <c r="R37" s="328" t="s">
        <v>622</v>
      </c>
      <c r="S37" s="328" t="s">
        <v>5376</v>
      </c>
      <c r="T37" s="328"/>
      <c r="U37" s="338" t="s">
        <v>621</v>
      </c>
      <c r="V37" s="339" t="s">
        <v>3988</v>
      </c>
      <c r="W37" s="340">
        <f t="shared" si="13"/>
        <v>0</v>
      </c>
      <c r="AA37" s="371" t="s">
        <v>624</v>
      </c>
      <c r="AB37" s="320" t="s">
        <v>4415</v>
      </c>
      <c r="AC37" s="320">
        <f t="shared" si="8"/>
        <v>0</v>
      </c>
      <c r="AD37" s="372">
        <f>COUNTIF(ClassTraitList1,"Favored Enemy")</f>
        <v>0</v>
      </c>
    </row>
    <row r="38" spans="1:38" ht="16.5" x14ac:dyDescent="0.3">
      <c r="A38" s="155">
        <f>IFERROR(IF(A37+1&lt;MAX(D041_ClassFeatures!$A$2:$A$2033),A37+1,""),"")</f>
        <v>35</v>
      </c>
      <c r="B38" s="153" t="str">
        <f>IFERROR(INDEX(D041_ClassFeatures!$B$2:$B$2033,MATCH(C_Variables!A38,D041_ClassFeatures!$A$2:$A$2033,0),1),"")</f>
        <v>Divine Domain Feature2</v>
      </c>
      <c r="C38" s="153">
        <f>IF(B38="",0,IF(IFERROR(MATCH(B38,C_Input!$BC$160:$BC$239,0),0)&gt;0,1,0))</f>
        <v>0</v>
      </c>
      <c r="D38" s="153"/>
      <c r="E38" s="153"/>
      <c r="F38" s="153"/>
      <c r="G38" s="153"/>
      <c r="H38" s="326"/>
      <c r="I38" s="327"/>
      <c r="J38" s="327" t="s">
        <v>4025</v>
      </c>
      <c r="K38" s="328">
        <v>1</v>
      </c>
      <c r="L38" s="328" t="str">
        <f>IFERROR(INDEX($P$38:$S$47,$K38,L$37),"n/a")</f>
        <v>n/a</v>
      </c>
      <c r="M38" s="328" t="str">
        <f>IFERROR(INDEX($P$38:$S$47,$K38,M$37),"n/a")</f>
        <v>n/a</v>
      </c>
      <c r="N38" s="328" t="str">
        <f>IFERROR(INDEX($P$38:$S$47,$K38,N$37),"n/a")</f>
        <v>n/a</v>
      </c>
      <c r="O38" s="328" t="str">
        <f>IFERROR(INDEX($P$38:$S$47,$K38,O$37),"n/a")</f>
        <v>n/a</v>
      </c>
      <c r="P38" s="328" t="str">
        <f>IF($AD$43=1,IFERROR(IF(INDEX(D041_ClassFeatures!$N$2:$X$1001,MATCH("Fighting Style (ranger)",D041_ClassFeatures!$B$2:$B$1001,0),C_Variables!$K38)="","",INDEX(D041_ClassFeatures!$N$2:$X$1001,MATCH("Fighting Style (ranger)",D041_ClassFeatures!$B$2:$B$1001,0),C_Variables!$K38)),""),"n/a")</f>
        <v>n/a</v>
      </c>
      <c r="Q38" s="328" t="str">
        <f>IF($AD$44=1,IFERROR(IF(INDEX(D041_ClassFeatures!$N$2:$X$1001,MATCH("Fighting Style (paladin)",D041_ClassFeatures!$B$2:$B$1001,0),C_Variables!$K38)="","",INDEX(D041_ClassFeatures!$N$2:$X$1001,MATCH("Fighting Style (paladin)",D041_ClassFeatures!$B$2:$B$1001,0),C_Variables!$K38)),""),"n/a")</f>
        <v>n/a</v>
      </c>
      <c r="R38" s="328" t="str">
        <f>IF($AD$45=1,IFERROR(IF(INDEX(D041_ClassFeatures!$N$2:$X$1001,MATCH("Fighting Style (fighter)",D041_ClassFeatures!$B$2:$B$1001,0),C_Variables!$K38)="","",INDEX(D041_ClassFeatures!$N$2:$X$1001,MATCH("Fighting Style (fighter)",D041_ClassFeatures!$B$2:$B$1001,0),C_Variables!$K38)),""),"n/a")</f>
        <v>n/a</v>
      </c>
      <c r="S38" s="328" t="str">
        <f>IF($AD$46=1,IFERROR(IF(INDEX(D041_ClassFeatures!$N$2:$X$1001,MATCH("Additional Fighting Style",D041_ClassFeatures!$B$2:$B$1001,0),C_Variables!$K38)="","",INDEX(D041_ClassFeatures!$N$2:$X$1001,MATCH("Additional Fighting Style",D041_ClassFeatures!$B$2:$B$1001,0),C_Variables!$K38)),""),"n/a")</f>
        <v>n/a</v>
      </c>
      <c r="T38" s="328"/>
      <c r="U38" s="338" t="s">
        <v>622</v>
      </c>
      <c r="V38" s="339" t="s">
        <v>3990</v>
      </c>
      <c r="W38" s="340">
        <f>IFERROR(IF(INDEX($Q$4:$Q$9,MATCH($V38,$O$4:$O$9,0),1)="",0,INDEX($Q$4:$Q$9,MATCH($V38,$O$4:$O$9,0),1)),0)</f>
        <v>0</v>
      </c>
      <c r="X38" t="s">
        <v>3990</v>
      </c>
      <c r="AA38" s="371" t="s">
        <v>624</v>
      </c>
      <c r="AB38" s="320" t="s">
        <v>4416</v>
      </c>
      <c r="AC38" s="320">
        <f t="shared" si="8"/>
        <v>0</v>
      </c>
      <c r="AD38" s="372">
        <f>COUNTIF(ClassTraitList1,"Natural Explorer")</f>
        <v>0</v>
      </c>
    </row>
    <row r="39" spans="1:38" ht="16.5" x14ac:dyDescent="0.3">
      <c r="A39" s="155">
        <f>IFERROR(IF(A38+1&lt;MAX(D041_ClassFeatures!$A$2:$A$2033),A38+1,""),"")</f>
        <v>36</v>
      </c>
      <c r="B39" s="153" t="str">
        <f>IFERROR(INDEX(D041_ClassFeatures!$B$2:$B$2033,MATCH(C_Variables!A39,D041_ClassFeatures!$A$2:$A$2033,0),1),"")</f>
        <v>Divine Domain Feature6</v>
      </c>
      <c r="C39" s="153">
        <f>IF(B39="",0,IF(IFERROR(MATCH(B39,C_Input!$BC$160:$BC$239,0),0)&gt;0,1,0))</f>
        <v>0</v>
      </c>
      <c r="D39" s="153"/>
      <c r="E39" s="153"/>
      <c r="F39" s="153"/>
      <c r="G39" s="153"/>
      <c r="H39" s="326"/>
      <c r="I39" s="327"/>
      <c r="J39" s="327" t="s">
        <v>4026</v>
      </c>
      <c r="K39" s="328">
        <v>2</v>
      </c>
      <c r="L39" s="328" t="str">
        <f t="shared" ref="L39:M47" si="19">IFERROR(INDEX($P$38:$S$47,$K39,L$37),"n/a")</f>
        <v>n/a</v>
      </c>
      <c r="M39" s="328" t="str">
        <f t="shared" si="19"/>
        <v>n/a</v>
      </c>
      <c r="N39" s="328" t="str">
        <f t="shared" ref="N39:O47" si="20">IFERROR(INDEX($P$38:$S$47,$K39,N$37),"n/a")</f>
        <v>n/a</v>
      </c>
      <c r="O39" s="328" t="str">
        <f t="shared" si="20"/>
        <v>n/a</v>
      </c>
      <c r="P39" s="328" t="str">
        <f>IF($AD$43=1,IFERROR(IF(INDEX(D041_ClassFeatures!$N$2:$X$1001,MATCH("Fighting Style (ranger)",D041_ClassFeatures!$B$2:$B$1001,0),C_Variables!$K39)="","",INDEX(D041_ClassFeatures!$N$2:$X$1001,MATCH("Fighting Style (ranger)",D041_ClassFeatures!$B$2:$B$1001,0),C_Variables!$K39)),""),"n/a")</f>
        <v>n/a</v>
      </c>
      <c r="Q39" s="328" t="str">
        <f>IF($AD$44=1,IFERROR(IF(INDEX(D041_ClassFeatures!$N$2:$X$1001,MATCH("Fighting Style (paladin)",D041_ClassFeatures!$B$2:$B$1001,0),C_Variables!$K39)="","",INDEX(D041_ClassFeatures!$N$2:$X$1001,MATCH("Fighting Style (paladin)",D041_ClassFeatures!$B$2:$B$1001,0),C_Variables!$K39)),""),"n/a")</f>
        <v>n/a</v>
      </c>
      <c r="R39" s="328" t="str">
        <f>IF($AD$45=1,IFERROR(IF(INDEX(D041_ClassFeatures!$N$2:$X$1001,MATCH("Fighting Style (fighter)",D041_ClassFeatures!$B$2:$B$1001,0),C_Variables!$K39)="","",INDEX(D041_ClassFeatures!$N$2:$X$1001,MATCH("Fighting Style (fighter)",D041_ClassFeatures!$B$2:$B$1001,0),C_Variables!$K39)),""),"n/a")</f>
        <v>n/a</v>
      </c>
      <c r="S39" s="328" t="str">
        <f>IF($AD$46=1,IFERROR(IF(INDEX(D041_ClassFeatures!$N$2:$X$1001,MATCH("Additional Fighting Style",D041_ClassFeatures!$B$2:$B$1001,0),C_Variables!$K39)="","",INDEX(D041_ClassFeatures!$N$2:$X$1001,MATCH("Additional Fighting Style",D041_ClassFeatures!$B$2:$B$1001,0),C_Variables!$K39)),""),"n/a")</f>
        <v>n/a</v>
      </c>
      <c r="T39" s="328"/>
      <c r="U39" s="338" t="s">
        <v>622</v>
      </c>
      <c r="V39" s="339" t="s">
        <v>3991</v>
      </c>
      <c r="W39" s="340">
        <f t="shared" si="13"/>
        <v>0</v>
      </c>
      <c r="AA39" s="371" t="s">
        <v>624</v>
      </c>
      <c r="AB39" s="320" t="s">
        <v>4417</v>
      </c>
      <c r="AC39" s="320">
        <f t="shared" si="8"/>
        <v>0</v>
      </c>
      <c r="AD39" s="372">
        <f>(COUNTIF(ClassTraitList_WorkName,"Ranger Archetype Feature3")+COUNTIF(ClassTraitList_WorkName,"Ranger Archetype Feature7")+COUNTIF(ClassTraitList_WorkName,"Ranger Archetype Feature11")+COUNTIF(ClassTraitList_WorkName,"Ranger Archetype Feature15"))*COUNTIF($O$4:$O$9,"Hunter")</f>
        <v>0</v>
      </c>
    </row>
    <row r="40" spans="1:38" ht="16.5" x14ac:dyDescent="0.3">
      <c r="A40" s="155">
        <f>IFERROR(IF(A39+1&lt;MAX(D041_ClassFeatures!$A$2:$A$2033),A39+1,""),"")</f>
        <v>37</v>
      </c>
      <c r="B40" s="153" t="str">
        <f>IFERROR(INDEX(D041_ClassFeatures!$B$2:$B$2033,MATCH(C_Variables!A40,D041_ClassFeatures!$A$2:$A$2033,0),1),"")</f>
        <v>Divine Domain Feature8</v>
      </c>
      <c r="C40" s="153">
        <f>IF(B40="",0,IF(IFERROR(MATCH(B40,C_Input!$BC$160:$BC$239,0),0)&gt;0,1,0))</f>
        <v>0</v>
      </c>
      <c r="D40" s="153"/>
      <c r="E40" s="153"/>
      <c r="F40" s="153"/>
      <c r="G40" s="153"/>
      <c r="H40" s="326"/>
      <c r="I40" s="327"/>
      <c r="J40" s="327" t="s">
        <v>4027</v>
      </c>
      <c r="K40" s="328">
        <v>3</v>
      </c>
      <c r="L40" s="328" t="str">
        <f t="shared" si="19"/>
        <v>n/a</v>
      </c>
      <c r="M40" s="328" t="str">
        <f t="shared" si="19"/>
        <v>n/a</v>
      </c>
      <c r="N40" s="328" t="str">
        <f t="shared" si="20"/>
        <v>n/a</v>
      </c>
      <c r="O40" s="328" t="str">
        <f t="shared" si="20"/>
        <v>n/a</v>
      </c>
      <c r="P40" s="328" t="str">
        <f>IF($AD$43=1,IFERROR(IF(INDEX(D041_ClassFeatures!$N$2:$X$1001,MATCH("Fighting Style (ranger)",D041_ClassFeatures!$B$2:$B$1001,0),C_Variables!$K40)="","",INDEX(D041_ClassFeatures!$N$2:$X$1001,MATCH("Fighting Style (ranger)",D041_ClassFeatures!$B$2:$B$1001,0),C_Variables!$K40)),""),"n/a")</f>
        <v>n/a</v>
      </c>
      <c r="Q40" s="328" t="str">
        <f>IF($AD$44=1,IFERROR(IF(INDEX(D041_ClassFeatures!$N$2:$X$1001,MATCH("Fighting Style (paladin)",D041_ClassFeatures!$B$2:$B$1001,0),C_Variables!$K40)="","",INDEX(D041_ClassFeatures!$N$2:$X$1001,MATCH("Fighting Style (paladin)",D041_ClassFeatures!$B$2:$B$1001,0),C_Variables!$K40)),""),"n/a")</f>
        <v>n/a</v>
      </c>
      <c r="R40" s="328" t="str">
        <f>IF($AD$45=1,IFERROR(IF(INDEX(D041_ClassFeatures!$N$2:$X$1001,MATCH("Fighting Style (fighter)",D041_ClassFeatures!$B$2:$B$1001,0),C_Variables!$K40)="","",INDEX(D041_ClassFeatures!$N$2:$X$1001,MATCH("Fighting Style (fighter)",D041_ClassFeatures!$B$2:$B$1001,0),C_Variables!$K40)),""),"n/a")</f>
        <v>n/a</v>
      </c>
      <c r="S40" s="328" t="str">
        <f>IF($AD$46=1,IFERROR(IF(INDEX(D041_ClassFeatures!$N$2:$X$1001,MATCH("Additional Fighting Style",D041_ClassFeatures!$B$2:$B$1001,0),C_Variables!$K40)="","",INDEX(D041_ClassFeatures!$N$2:$X$1001,MATCH("Additional Fighting Style",D041_ClassFeatures!$B$2:$B$1001,0),C_Variables!$K40)),""),"n/a")</f>
        <v>n/a</v>
      </c>
      <c r="T40" s="328"/>
      <c r="U40" s="338" t="s">
        <v>622</v>
      </c>
      <c r="V40" s="339" t="s">
        <v>3992</v>
      </c>
      <c r="W40" s="340">
        <f t="shared" si="13"/>
        <v>0</v>
      </c>
      <c r="AA40" s="373" t="s">
        <v>623</v>
      </c>
      <c r="AB40" s="159" t="s">
        <v>4419</v>
      </c>
      <c r="AC40" s="320">
        <f t="shared" si="8"/>
        <v>0</v>
      </c>
      <c r="AD40" s="374">
        <f>IF(V9="Way of the Four Elements",1,0)*IF(AC40&lt;3,0,IF(AC40&lt;6,1,IF(AC40&lt;11,2,IF(AC40&lt;17,3,4))))</f>
        <v>0</v>
      </c>
    </row>
    <row r="41" spans="1:38" ht="16.5" x14ac:dyDescent="0.3">
      <c r="A41" s="155">
        <f>IFERROR(IF(A40+1&lt;MAX(D041_ClassFeatures!$A$2:$A$2033),A40+1,""),"")</f>
        <v>38</v>
      </c>
      <c r="B41" s="153" t="str">
        <f>IFERROR(INDEX(D041_ClassFeatures!$B$2:$B$2033,MATCH(C_Variables!A41,D041_ClassFeatures!$A$2:$A$2033,0),1),"")</f>
        <v>Divine Domain Feature17</v>
      </c>
      <c r="C41" s="153">
        <f>IF(B41="",0,IF(IFERROR(MATCH(B41,C_Input!$BC$160:$BC$239,0),0)&gt;0,1,0))</f>
        <v>0</v>
      </c>
      <c r="D41" s="153"/>
      <c r="E41" s="153"/>
      <c r="F41" s="153"/>
      <c r="G41" s="153"/>
      <c r="H41" s="326"/>
      <c r="I41" s="327"/>
      <c r="J41" s="327" t="s">
        <v>4028</v>
      </c>
      <c r="K41" s="328">
        <v>4</v>
      </c>
      <c r="L41" s="328" t="str">
        <f t="shared" si="19"/>
        <v>n/a</v>
      </c>
      <c r="M41" s="328" t="str">
        <f t="shared" si="19"/>
        <v>n/a</v>
      </c>
      <c r="N41" s="328" t="str">
        <f t="shared" si="20"/>
        <v>n/a</v>
      </c>
      <c r="O41" s="328" t="str">
        <f t="shared" si="20"/>
        <v>n/a</v>
      </c>
      <c r="P41" s="328" t="str">
        <f>IF($AD$43=1,IFERROR(IF(INDEX(D041_ClassFeatures!$N$2:$X$1001,MATCH("Fighting Style (ranger)",D041_ClassFeatures!$B$2:$B$1001,0),C_Variables!$K41)="","",INDEX(D041_ClassFeatures!$N$2:$X$1001,MATCH("Fighting Style (ranger)",D041_ClassFeatures!$B$2:$B$1001,0),C_Variables!$K41)),""),"n/a")</f>
        <v>n/a</v>
      </c>
      <c r="Q41" s="328" t="str">
        <f>IF($AD$44=1,IFERROR(IF(INDEX(D041_ClassFeatures!$N$2:$X$1001,MATCH("Fighting Style (paladin)",D041_ClassFeatures!$B$2:$B$1001,0),C_Variables!$K41)="","",INDEX(D041_ClassFeatures!$N$2:$X$1001,MATCH("Fighting Style (paladin)",D041_ClassFeatures!$B$2:$B$1001,0),C_Variables!$K41)),""),"n/a")</f>
        <v>n/a</v>
      </c>
      <c r="R41" s="328" t="str">
        <f>IF($AD$45=1,IFERROR(IF(INDEX(D041_ClassFeatures!$N$2:$X$1001,MATCH("Fighting Style (fighter)",D041_ClassFeatures!$B$2:$B$1001,0),C_Variables!$K41)="","",INDEX(D041_ClassFeatures!$N$2:$X$1001,MATCH("Fighting Style (fighter)",D041_ClassFeatures!$B$2:$B$1001,0),C_Variables!$K41)),""),"n/a")</f>
        <v>n/a</v>
      </c>
      <c r="S41" s="328" t="str">
        <f>IF($AD$46=1,IFERROR(IF(INDEX(D041_ClassFeatures!$N$2:$X$1001,MATCH("Additional Fighting Style",D041_ClassFeatures!$B$2:$B$1001,0),C_Variables!$K41)="","",INDEX(D041_ClassFeatures!$N$2:$X$1001,MATCH("Additional Fighting Style",D041_ClassFeatures!$B$2:$B$1001,0),C_Variables!$K41)),""),"n/a")</f>
        <v>n/a</v>
      </c>
      <c r="T41" s="328"/>
      <c r="U41" s="338" t="s">
        <v>623</v>
      </c>
      <c r="V41" s="339" t="s">
        <v>3993</v>
      </c>
      <c r="W41" s="340">
        <f t="shared" si="13"/>
        <v>0</v>
      </c>
      <c r="AA41" s="386" t="s">
        <v>619</v>
      </c>
      <c r="AB41" s="387" t="s">
        <v>4426</v>
      </c>
      <c r="AC41" s="387">
        <f t="shared" si="8"/>
        <v>0</v>
      </c>
      <c r="AD41" s="388">
        <f>COUNTIF(C_Input!$BC$160:$BC$239,"Totem Spirit")+COUNTIF(C_Input!$BC$160:$BC$239,"Aspect of the Beast")+COUNTIF(C_Input!$BC$160:$BC$239,"Totemic Attunement")</f>
        <v>0</v>
      </c>
    </row>
    <row r="42" spans="1:38" ht="16.5" x14ac:dyDescent="0.3">
      <c r="A42" s="155">
        <f>IFERROR(IF(A41+1&lt;MAX(D041_ClassFeatures!$A$2:$A$2033),A41+1,""),"")</f>
        <v>39</v>
      </c>
      <c r="B42" s="153" t="str">
        <f>IFERROR(INDEX(D041_ClassFeatures!$B$2:$B$2033,MATCH(C_Variables!A42,D041_ClassFeatures!$A$2:$A$2033,0),1),"")</f>
        <v>Divine Intervention</v>
      </c>
      <c r="C42" s="153">
        <f>IF(B42="",0,IF(IFERROR(MATCH(B42,C_Input!$BC$160:$BC$239,0),0)&gt;0,1,0))</f>
        <v>0</v>
      </c>
      <c r="D42" s="153"/>
      <c r="E42" s="153"/>
      <c r="F42" s="153"/>
      <c r="G42" s="153"/>
      <c r="H42" s="326"/>
      <c r="I42" s="327"/>
      <c r="J42" s="327" t="s">
        <v>4029</v>
      </c>
      <c r="K42" s="328">
        <v>5</v>
      </c>
      <c r="L42" s="328" t="str">
        <f t="shared" si="19"/>
        <v>n/a</v>
      </c>
      <c r="M42" s="328" t="str">
        <f t="shared" si="19"/>
        <v>n/a</v>
      </c>
      <c r="N42" s="328" t="str">
        <f t="shared" si="20"/>
        <v>n/a</v>
      </c>
      <c r="O42" s="328" t="str">
        <f t="shared" si="20"/>
        <v>n/a</v>
      </c>
      <c r="P42" s="328" t="str">
        <f>IF($AD$43=1,IFERROR(IF(INDEX(D041_ClassFeatures!$N$2:$X$1001,MATCH("Fighting Style (ranger)",D041_ClassFeatures!$B$2:$B$1001,0),C_Variables!$K42)="","",INDEX(D041_ClassFeatures!$N$2:$X$1001,MATCH("Fighting Style (ranger)",D041_ClassFeatures!$B$2:$B$1001,0),C_Variables!$K42)),""),"n/a")</f>
        <v>n/a</v>
      </c>
      <c r="Q42" s="328" t="str">
        <f>IF($AD$44=1,IFERROR(IF(INDEX(D041_ClassFeatures!$N$2:$X$1001,MATCH("Fighting Style (paladin)",D041_ClassFeatures!$B$2:$B$1001,0),C_Variables!$K42)="","",INDEX(D041_ClassFeatures!$N$2:$X$1001,MATCH("Fighting Style (paladin)",D041_ClassFeatures!$B$2:$B$1001,0),C_Variables!$K42)),""),"n/a")</f>
        <v>n/a</v>
      </c>
      <c r="R42" s="328" t="str">
        <f>IF($AD$45=1,IFERROR(IF(INDEX(D041_ClassFeatures!$N$2:$X$1001,MATCH("Fighting Style (fighter)",D041_ClassFeatures!$B$2:$B$1001,0),C_Variables!$K42)="","",INDEX(D041_ClassFeatures!$N$2:$X$1001,MATCH("Fighting Style (fighter)",D041_ClassFeatures!$B$2:$B$1001,0),C_Variables!$K42)),""),"n/a")</f>
        <v>n/a</v>
      </c>
      <c r="S42" s="328" t="str">
        <f>IF($AD$46=1,IFERROR(IF(INDEX(D041_ClassFeatures!$N$2:$X$1001,MATCH("Additional Fighting Style",D041_ClassFeatures!$B$2:$B$1001,0),C_Variables!$K42)="","",INDEX(D041_ClassFeatures!$N$2:$X$1001,MATCH("Additional Fighting Style",D041_ClassFeatures!$B$2:$B$1001,0),C_Variables!$K42)),""),"n/a")</f>
        <v>n/a</v>
      </c>
      <c r="T42" s="328"/>
      <c r="U42" s="338" t="s">
        <v>623</v>
      </c>
      <c r="V42" s="339" t="s">
        <v>3994</v>
      </c>
      <c r="W42" s="340">
        <f t="shared" si="13"/>
        <v>0</v>
      </c>
      <c r="AA42" s="371" t="s">
        <v>4431</v>
      </c>
      <c r="AB42" s="320" t="s">
        <v>4432</v>
      </c>
      <c r="AC42" s="320"/>
      <c r="AD42" s="374">
        <f>COUNTIF(C_Input!C242:E273,"Ability Score Improvement")</f>
        <v>0</v>
      </c>
    </row>
    <row r="43" spans="1:38" ht="16.5" x14ac:dyDescent="0.3">
      <c r="A43" s="155">
        <f>IFERROR(IF(A42+1&lt;MAX(D041_ClassFeatures!$A$2:$A$2033),A42+1,""),"")</f>
        <v>40</v>
      </c>
      <c r="B43" s="153" t="str">
        <f>IFERROR(INDEX(D041_ClassFeatures!$B$2:$B$2033,MATCH(C_Variables!A43,D041_ClassFeatures!$A$2:$A$2033,0),1),"")</f>
        <v>Divine Intervention Improvement</v>
      </c>
      <c r="C43" s="153">
        <f>IF(B43="",0,IF(IFERROR(MATCH(B43,C_Input!$BC$160:$BC$239,0),0)&gt;0,1,0))</f>
        <v>0</v>
      </c>
      <c r="D43" s="153"/>
      <c r="E43" s="153"/>
      <c r="F43" s="153"/>
      <c r="G43" s="153"/>
      <c r="H43" s="326"/>
      <c r="I43" s="327"/>
      <c r="J43" s="327" t="s">
        <v>4030</v>
      </c>
      <c r="K43" s="328">
        <v>6</v>
      </c>
      <c r="L43" s="328" t="str">
        <f t="shared" si="19"/>
        <v>n/a</v>
      </c>
      <c r="M43" s="328" t="str">
        <f t="shared" si="19"/>
        <v>n/a</v>
      </c>
      <c r="N43" s="328" t="str">
        <f t="shared" si="20"/>
        <v>n/a</v>
      </c>
      <c r="O43" s="328" t="str">
        <f t="shared" si="20"/>
        <v>n/a</v>
      </c>
      <c r="P43" s="328" t="str">
        <f>IF($AD$43=1,IFERROR(IF(INDEX(D041_ClassFeatures!$N$2:$X$1001,MATCH("Fighting Style (ranger)",D041_ClassFeatures!$B$2:$B$1001,0),C_Variables!$K43)="","",INDEX(D041_ClassFeatures!$N$2:$X$1001,MATCH("Fighting Style (ranger)",D041_ClassFeatures!$B$2:$B$1001,0),C_Variables!$K43)),""),"n/a")</f>
        <v>n/a</v>
      </c>
      <c r="Q43" s="328" t="str">
        <f>IF($AD$44=1,IFERROR(IF(INDEX(D041_ClassFeatures!$N$2:$X$1001,MATCH("Fighting Style (paladin)",D041_ClassFeatures!$B$2:$B$1001,0),C_Variables!$K43)="","",INDEX(D041_ClassFeatures!$N$2:$X$1001,MATCH("Fighting Style (paladin)",D041_ClassFeatures!$B$2:$B$1001,0),C_Variables!$K43)),""),"n/a")</f>
        <v>n/a</v>
      </c>
      <c r="R43" s="328" t="str">
        <f>IF($AD$45=1,IFERROR(IF(INDEX(D041_ClassFeatures!$N$2:$X$1001,MATCH("Fighting Style (fighter)",D041_ClassFeatures!$B$2:$B$1001,0),C_Variables!$K43)="","",INDEX(D041_ClassFeatures!$N$2:$X$1001,MATCH("Fighting Style (fighter)",D041_ClassFeatures!$B$2:$B$1001,0),C_Variables!$K43)),""),"n/a")</f>
        <v>n/a</v>
      </c>
      <c r="S43" s="328" t="str">
        <f>IF($AD$46=1,IFERROR(IF(INDEX(D041_ClassFeatures!$N$2:$X$1001,MATCH("Additional Fighting Style",D041_ClassFeatures!$B$2:$B$1001,0),C_Variables!$K43)="","",INDEX(D041_ClassFeatures!$N$2:$X$1001,MATCH("Additional Fighting Style",D041_ClassFeatures!$B$2:$B$1001,0),C_Variables!$K43)),""),"n/a")</f>
        <v>n/a</v>
      </c>
      <c r="T43" s="328"/>
      <c r="U43" s="338" t="s">
        <v>623</v>
      </c>
      <c r="V43" s="339" t="s">
        <v>3995</v>
      </c>
      <c r="W43" s="340">
        <f t="shared" si="13"/>
        <v>0</v>
      </c>
      <c r="AA43" s="371" t="s">
        <v>624</v>
      </c>
      <c r="AB43" s="320" t="s">
        <v>5366</v>
      </c>
      <c r="AC43" s="320">
        <f t="shared" si="8"/>
        <v>0</v>
      </c>
      <c r="AD43" s="321">
        <f>COUNTIF(ClassTraitList_WorkName,"Fighting style (ranger)")</f>
        <v>0</v>
      </c>
    </row>
    <row r="44" spans="1:38" ht="16.5" x14ac:dyDescent="0.3">
      <c r="A44" s="155">
        <f>IFERROR(IF(A43+1&lt;MAX(D041_ClassFeatures!$A$2:$A$2033),A43+1,""),"")</f>
        <v>41</v>
      </c>
      <c r="B44" s="153" t="str">
        <f>IFERROR(INDEX(D041_ClassFeatures!$B$2:$B$2033,MATCH(C_Variables!A44,D041_ClassFeatures!$A$2:$A$2033,0),1),"")</f>
        <v>Divine Sense</v>
      </c>
      <c r="C44" s="153">
        <f>IF(B44="",0,IF(IFERROR(MATCH(B44,C_Input!$BC$160:$BC$239,0),0)&gt;0,1,0))</f>
        <v>0</v>
      </c>
      <c r="D44" s="153"/>
      <c r="E44" s="153"/>
      <c r="F44" s="153"/>
      <c r="G44" s="153"/>
      <c r="H44" s="326"/>
      <c r="I44" s="327"/>
      <c r="J44" s="327"/>
      <c r="K44" s="328">
        <v>7</v>
      </c>
      <c r="L44" s="328" t="str">
        <f t="shared" si="19"/>
        <v>n/a</v>
      </c>
      <c r="M44" s="328" t="str">
        <f t="shared" si="19"/>
        <v>n/a</v>
      </c>
      <c r="N44" s="328" t="str">
        <f t="shared" si="20"/>
        <v>n/a</v>
      </c>
      <c r="O44" s="328" t="str">
        <f t="shared" si="20"/>
        <v>n/a</v>
      </c>
      <c r="P44" s="328" t="str">
        <f>IF($AD$43=1,IFERROR(IF(INDEX(D041_ClassFeatures!$N$2:$X$1001,MATCH("Fighting Style (ranger)",D041_ClassFeatures!$B$2:$B$1001,0),C_Variables!$K44)="","",INDEX(D041_ClassFeatures!$N$2:$X$1001,MATCH("Fighting Style (ranger)",D041_ClassFeatures!$B$2:$B$1001,0),C_Variables!$K44)),""),"n/a")</f>
        <v>n/a</v>
      </c>
      <c r="Q44" s="328" t="str">
        <f>IF($AD$44=1,IFERROR(IF(INDEX(D041_ClassFeatures!$N$2:$X$1001,MATCH("Fighting Style (paladin)",D041_ClassFeatures!$B$2:$B$1001,0),C_Variables!$K44)="","",INDEX(D041_ClassFeatures!$N$2:$X$1001,MATCH("Fighting Style (paladin)",D041_ClassFeatures!$B$2:$B$1001,0),C_Variables!$K44)),""),"n/a")</f>
        <v>n/a</v>
      </c>
      <c r="R44" s="328" t="str">
        <f>IF($AD$45=1,IFERROR(IF(INDEX(D041_ClassFeatures!$N$2:$X$1001,MATCH("Fighting Style (fighter)",D041_ClassFeatures!$B$2:$B$1001,0),C_Variables!$K44)="","",INDEX(D041_ClassFeatures!$N$2:$X$1001,MATCH("Fighting Style (fighter)",D041_ClassFeatures!$B$2:$B$1001,0),C_Variables!$K44)),""),"n/a")</f>
        <v>n/a</v>
      </c>
      <c r="S44" s="328" t="str">
        <f>IF($AD$46=1,IFERROR(IF(INDEX(D041_ClassFeatures!$N$2:$X$1001,MATCH("Additional Fighting Style",D041_ClassFeatures!$B$2:$B$1001,0),C_Variables!$K44)="","",INDEX(D041_ClassFeatures!$N$2:$X$1001,MATCH("Additional Fighting Style",D041_ClassFeatures!$B$2:$B$1001,0),C_Variables!$K44)),""),"n/a")</f>
        <v>n/a</v>
      </c>
      <c r="T44" s="328"/>
      <c r="U44" s="338" t="s">
        <v>627</v>
      </c>
      <c r="V44" s="339" t="s">
        <v>4007</v>
      </c>
      <c r="W44" s="340">
        <f t="shared" si="13"/>
        <v>0</v>
      </c>
      <c r="AA44" s="371" t="s">
        <v>1113</v>
      </c>
      <c r="AB44" s="320" t="s">
        <v>5367</v>
      </c>
      <c r="AC44" s="320">
        <f t="shared" si="8"/>
        <v>0</v>
      </c>
      <c r="AD44" s="321">
        <f>COUNTIF(ClassTraitList_WorkName,"Fighting style (paladin)")</f>
        <v>0</v>
      </c>
    </row>
    <row r="45" spans="1:38" ht="16.5" x14ac:dyDescent="0.3">
      <c r="A45" s="155">
        <f>IFERROR(IF(A44+1&lt;MAX(D041_ClassFeatures!$A$2:$A$2033),A44+1,""),"")</f>
        <v>42</v>
      </c>
      <c r="B45" s="153" t="str">
        <f>IFERROR(INDEX(D041_ClassFeatures!$B$2:$B$2033,MATCH(C_Variables!A45,D041_ClassFeatures!$A$2:$A$2033,0),1),"")</f>
        <v>Divine Smite</v>
      </c>
      <c r="C45" s="153">
        <f>IF(B45="",0,IF(IFERROR(MATCH(B45,C_Input!$BC$160:$BC$239,0),0)&gt;0,1,0))</f>
        <v>0</v>
      </c>
      <c r="D45" s="153"/>
      <c r="E45" s="153"/>
      <c r="F45" s="153"/>
      <c r="G45" s="153"/>
      <c r="H45" s="326"/>
      <c r="I45" s="327"/>
      <c r="J45" s="327"/>
      <c r="K45" s="328">
        <v>8</v>
      </c>
      <c r="L45" s="328" t="str">
        <f t="shared" si="19"/>
        <v>n/a</v>
      </c>
      <c r="M45" s="328" t="str">
        <f t="shared" si="19"/>
        <v>n/a</v>
      </c>
      <c r="N45" s="328" t="str">
        <f t="shared" si="20"/>
        <v>n/a</v>
      </c>
      <c r="O45" s="328" t="str">
        <f t="shared" si="20"/>
        <v>n/a</v>
      </c>
      <c r="P45" s="328" t="str">
        <f>IF($AD$43=1,IFERROR(IF(INDEX(D041_ClassFeatures!$N$2:$X$1001,MATCH("Fighting Style (ranger)",D041_ClassFeatures!$B$2:$B$1001,0),C_Variables!$K45)="","",INDEX(D041_ClassFeatures!$N$2:$X$1001,MATCH("Fighting Style (ranger)",D041_ClassFeatures!$B$2:$B$1001,0),C_Variables!$K45)),""),"n/a")</f>
        <v>n/a</v>
      </c>
      <c r="Q45" s="328" t="str">
        <f>IF($AD$44=1,IFERROR(IF(INDEX(D041_ClassFeatures!$N$2:$X$1001,MATCH("Fighting Style (paladin)",D041_ClassFeatures!$B$2:$B$1001,0),C_Variables!$K45)="","",INDEX(D041_ClassFeatures!$N$2:$X$1001,MATCH("Fighting Style (paladin)",D041_ClassFeatures!$B$2:$B$1001,0),C_Variables!$K45)),""),"n/a")</f>
        <v>n/a</v>
      </c>
      <c r="R45" s="328" t="str">
        <f>IF($AD$45=1,IFERROR(IF(INDEX(D041_ClassFeatures!$N$2:$X$1001,MATCH("Fighting Style (fighter)",D041_ClassFeatures!$B$2:$B$1001,0),C_Variables!$K45)="","",INDEX(D041_ClassFeatures!$N$2:$X$1001,MATCH("Fighting Style (fighter)",D041_ClassFeatures!$B$2:$B$1001,0),C_Variables!$K45)),""),"n/a")</f>
        <v>n/a</v>
      </c>
      <c r="S45" s="328" t="str">
        <f>IF($AD$46=1,IFERROR(IF(INDEX(D041_ClassFeatures!$N$2:$X$1001,MATCH("Additional Fighting Style",D041_ClassFeatures!$B$2:$B$1001,0),C_Variables!$K45)="","",INDEX(D041_ClassFeatures!$N$2:$X$1001,MATCH("Additional Fighting Style",D041_ClassFeatures!$B$2:$B$1001,0),C_Variables!$K45)),""),"n/a")</f>
        <v>n/a</v>
      </c>
      <c r="T45" s="328"/>
      <c r="U45" s="338" t="s">
        <v>627</v>
      </c>
      <c r="V45" s="339" t="s">
        <v>4008</v>
      </c>
      <c r="W45" s="340">
        <f t="shared" si="13"/>
        <v>0</v>
      </c>
      <c r="AA45" s="371" t="s">
        <v>622</v>
      </c>
      <c r="AB45" s="320" t="s">
        <v>5368</v>
      </c>
      <c r="AC45" s="320">
        <f t="shared" si="8"/>
        <v>0</v>
      </c>
      <c r="AD45" s="321">
        <f>COUNTIF(ClassTraitList_WorkName,"Fighting style (fighter)")</f>
        <v>0</v>
      </c>
    </row>
    <row r="46" spans="1:38" ht="17.25" thickBot="1" x14ac:dyDescent="0.35">
      <c r="A46" s="155">
        <f>IFERROR(IF(A45+1&lt;MAX(D041_ClassFeatures!$A$2:$A$2033),A45+1,""),"")</f>
        <v>43</v>
      </c>
      <c r="B46" s="153" t="str">
        <f>IFERROR(INDEX(D041_ClassFeatures!$B$2:$B$2033,MATCH(C_Variables!A46,D041_ClassFeatures!$A$2:$A$2033,0),1),"")</f>
        <v>Druid Circle</v>
      </c>
      <c r="C46" s="153">
        <f>IF(B46="",0,IF(IFERROR(MATCH(B46,C_Input!$BC$160:$BC$239,0),0)&gt;0,1,0))</f>
        <v>0</v>
      </c>
      <c r="D46" s="153"/>
      <c r="E46" s="153"/>
      <c r="F46" s="153"/>
      <c r="G46" s="153"/>
      <c r="H46" s="326"/>
      <c r="I46" s="327"/>
      <c r="J46" s="327"/>
      <c r="K46" s="328">
        <v>9</v>
      </c>
      <c r="L46" s="328" t="str">
        <f t="shared" si="19"/>
        <v>n/a</v>
      </c>
      <c r="M46" s="328" t="str">
        <f t="shared" si="19"/>
        <v>n/a</v>
      </c>
      <c r="N46" s="328" t="str">
        <f t="shared" si="20"/>
        <v>n/a</v>
      </c>
      <c r="O46" s="328" t="str">
        <f t="shared" si="20"/>
        <v>n/a</v>
      </c>
      <c r="P46" s="328" t="str">
        <f>IF($AD$43=1,IFERROR(IF(INDEX(D041_ClassFeatures!$N$2:$X$1001,MATCH("Fighting Style (ranger)",D041_ClassFeatures!$B$2:$B$1001,0),C_Variables!$K46)="","",INDEX(D041_ClassFeatures!$N$2:$X$1001,MATCH("Fighting Style (ranger)",D041_ClassFeatures!$B$2:$B$1001,0),C_Variables!$K46)),""),"n/a")</f>
        <v>n/a</v>
      </c>
      <c r="Q46" s="328" t="str">
        <f>IF($AD$44=1,IFERROR(IF(INDEX(D041_ClassFeatures!$N$2:$X$1001,MATCH("Fighting Style (paladin)",D041_ClassFeatures!$B$2:$B$1001,0),C_Variables!$K46)="","",INDEX(D041_ClassFeatures!$N$2:$X$1001,MATCH("Fighting Style (paladin)",D041_ClassFeatures!$B$2:$B$1001,0),C_Variables!$K46)),""),"n/a")</f>
        <v>n/a</v>
      </c>
      <c r="R46" s="328" t="str">
        <f>IF($AD$45=1,IFERROR(IF(INDEX(D041_ClassFeatures!$N$2:$X$1001,MATCH("Fighting Style (fighter)",D041_ClassFeatures!$B$2:$B$1001,0),C_Variables!$K46)="","",INDEX(D041_ClassFeatures!$N$2:$X$1001,MATCH("Fighting Style (fighter)",D041_ClassFeatures!$B$2:$B$1001,0),C_Variables!$K46)),""),"n/a")</f>
        <v>n/a</v>
      </c>
      <c r="S46" s="328" t="str">
        <f>IF($AD$46=1,IFERROR(IF(INDEX(D041_ClassFeatures!$N$2:$X$1001,MATCH("Additional Fighting Style",D041_ClassFeatures!$B$2:$B$1001,0),C_Variables!$K46)="","",INDEX(D041_ClassFeatures!$N$2:$X$1001,MATCH("Additional Fighting Style",D041_ClassFeatures!$B$2:$B$1001,0),C_Variables!$K46)),""),"n/a")</f>
        <v>n/a</v>
      </c>
      <c r="T46" s="328"/>
      <c r="U46" s="338" t="s">
        <v>627</v>
      </c>
      <c r="V46" s="339" t="s">
        <v>4009</v>
      </c>
      <c r="W46" s="340">
        <f t="shared" si="13"/>
        <v>0</v>
      </c>
      <c r="AA46" s="375" t="s">
        <v>622</v>
      </c>
      <c r="AB46" s="322" t="s">
        <v>5369</v>
      </c>
      <c r="AC46" s="322">
        <f t="shared" si="8"/>
        <v>0</v>
      </c>
      <c r="AD46" s="193">
        <f>COUNTIF(C_Input!BC160:BC239,"Additional Fighting Style")</f>
        <v>0</v>
      </c>
    </row>
    <row r="47" spans="1:38" ht="16.5" x14ac:dyDescent="0.3">
      <c r="A47" s="155">
        <f>IFERROR(IF(A46+1&lt;MAX(D041_ClassFeatures!$A$2:$A$2033),A46+1,""),"")</f>
        <v>44</v>
      </c>
      <c r="B47" s="153" t="str">
        <f>IFERROR(INDEX(D041_ClassFeatures!$B$2:$B$2033,MATCH(C_Variables!A47,D041_ClassFeatures!$A$2:$A$2033,0),1),"")</f>
        <v>Druid Circle Feature2-1</v>
      </c>
      <c r="C47" s="153">
        <f>IF(B47="",0,IF(IFERROR(MATCH(B47,C_Input!$BC$160:$BC$239,0),0)&gt;0,1,0))</f>
        <v>0</v>
      </c>
      <c r="D47" s="153"/>
      <c r="E47" s="153"/>
      <c r="F47" s="153"/>
      <c r="G47" s="153"/>
      <c r="H47" s="326"/>
      <c r="I47" s="327"/>
      <c r="J47" s="327"/>
      <c r="K47" s="328">
        <v>10</v>
      </c>
      <c r="L47" s="328" t="str">
        <f t="shared" si="19"/>
        <v>n/a</v>
      </c>
      <c r="M47" s="328" t="str">
        <f t="shared" si="19"/>
        <v>n/a</v>
      </c>
      <c r="N47" s="328" t="str">
        <f t="shared" si="20"/>
        <v>n/a</v>
      </c>
      <c r="O47" s="328" t="str">
        <f t="shared" si="20"/>
        <v>n/a</v>
      </c>
      <c r="P47" s="328" t="str">
        <f>IF($AD$43=1,IFERROR(IF(INDEX(D041_ClassFeatures!$N$2:$X$1001,MATCH("Fighting Style (ranger)",D041_ClassFeatures!$B$2:$B$1001,0),C_Variables!$K47)="","",INDEX(D041_ClassFeatures!$N$2:$X$1001,MATCH("Fighting Style (ranger)",D041_ClassFeatures!$B$2:$B$1001,0),C_Variables!$K47)),""),"n/a")</f>
        <v>n/a</v>
      </c>
      <c r="Q47" s="328" t="str">
        <f>IF($AD$44=1,IFERROR(IF(INDEX(D041_ClassFeatures!$N$2:$X$1001,MATCH("Fighting Style (paladin)",D041_ClassFeatures!$B$2:$B$1001,0),C_Variables!$K47)="","",INDEX(D041_ClassFeatures!$N$2:$X$1001,MATCH("Fighting Style (paladin)",D041_ClassFeatures!$B$2:$B$1001,0),C_Variables!$K47)),""),"n/a")</f>
        <v>n/a</v>
      </c>
      <c r="R47" s="328" t="str">
        <f>IF($AD$45=1,IFERROR(IF(INDEX(D041_ClassFeatures!$N$2:$X$1001,MATCH("Fighting Style (fighter)",D041_ClassFeatures!$B$2:$B$1001,0),C_Variables!$K47)="","",INDEX(D041_ClassFeatures!$N$2:$X$1001,MATCH("Fighting Style (fighter)",D041_ClassFeatures!$B$2:$B$1001,0),C_Variables!$K47)),""),"n/a")</f>
        <v>n/a</v>
      </c>
      <c r="S47" s="328" t="str">
        <f>IF($AD$46=1,IFERROR(IF(INDEX(D041_ClassFeatures!$N$2:$X$1001,MATCH("Additional Fighting Style",D041_ClassFeatures!$B$2:$B$1001,0),C_Variables!$K47)="","",INDEX(D041_ClassFeatures!$N$2:$X$1001,MATCH("Additional Fighting Style",D041_ClassFeatures!$B$2:$B$1001,0),C_Variables!$K47)),""),"n/a")</f>
        <v>n/a</v>
      </c>
      <c r="T47" s="328"/>
      <c r="U47" s="338" t="s">
        <v>619</v>
      </c>
      <c r="V47" s="339" t="s">
        <v>4010</v>
      </c>
      <c r="W47" s="340">
        <f t="shared" si="13"/>
        <v>0</v>
      </c>
      <c r="AA47" s="371" t="s">
        <v>621</v>
      </c>
      <c r="AB47" s="320" t="s">
        <v>5543</v>
      </c>
      <c r="AC47" s="320">
        <f t="shared" si="8"/>
        <v>0</v>
      </c>
      <c r="AD47">
        <f>IF(IFERROR(MATCH("Circle of the Land",$O$4:$O$9,0),0)&gt;0,1,0)*IF(DruidLevel&gt;8,4,IF(DruidLevel&gt;6,3,IF(DruidLevel&gt;4,2,IF(DruidLevel&gt;2,1,0))))</f>
        <v>0</v>
      </c>
    </row>
    <row r="48" spans="1:38" ht="17.25" thickBot="1" x14ac:dyDescent="0.35">
      <c r="A48" s="155">
        <f>IFERROR(IF(A47+1&lt;MAX(D041_ClassFeatures!$A$2:$A$2033),A47+1,""),"")</f>
        <v>45</v>
      </c>
      <c r="B48" s="153" t="s">
        <v>3812</v>
      </c>
      <c r="C48" s="153">
        <f>IF(B48="",0,IF(IFERROR(MATCH(B48,C_Input!$BC$160:$BC$239,0),0)&gt;0,1,0))</f>
        <v>0</v>
      </c>
      <c r="D48" s="153"/>
      <c r="E48" s="153"/>
      <c r="F48" s="153"/>
      <c r="G48" s="153"/>
      <c r="H48" s="326"/>
      <c r="I48" s="327"/>
      <c r="J48" s="327"/>
      <c r="K48" s="328"/>
      <c r="L48" s="996" t="s">
        <v>5374</v>
      </c>
      <c r="M48" s="996"/>
      <c r="N48" s="996"/>
      <c r="O48" s="996"/>
      <c r="P48" s="328"/>
      <c r="Q48" s="328"/>
      <c r="R48" s="328"/>
      <c r="S48" s="328"/>
      <c r="T48" s="328"/>
      <c r="U48" s="338" t="s">
        <v>619</v>
      </c>
      <c r="V48" s="339" t="s">
        <v>4011</v>
      </c>
      <c r="W48" s="340">
        <f t="shared" si="13"/>
        <v>0</v>
      </c>
    </row>
    <row r="49" spans="1:23" ht="16.5" x14ac:dyDescent="0.3">
      <c r="A49" s="155">
        <f>IFERROR(IF(A48+1&lt;MAX(D041_ClassFeatures!$A$2:$A$2033),A48+1,""),"")</f>
        <v>46</v>
      </c>
      <c r="B49" s="153" t="s">
        <v>3813</v>
      </c>
      <c r="C49" s="153">
        <f>IF(B49="",0,IF(IFERROR(MATCH(B49,C_Input!$BC$160:$BC$239,0),0)&gt;0,1,0))</f>
        <v>0</v>
      </c>
      <c r="D49" s="153"/>
      <c r="E49" s="153"/>
      <c r="F49" s="153"/>
      <c r="G49" s="153"/>
      <c r="H49" s="326">
        <f>C_Input!C185</f>
        <v>0</v>
      </c>
      <c r="I49" s="328"/>
      <c r="J49" s="327" t="str">
        <f>J38</f>
        <v>Archery</v>
      </c>
      <c r="K49" s="328">
        <v>1</v>
      </c>
      <c r="L49" s="432">
        <f>IF(H$49&lt;&gt;0,IF(H$49=$J49,1,0),0)</f>
        <v>0</v>
      </c>
      <c r="M49" s="325">
        <f>IF(H$50&lt;&gt;0,IF(H$50=$J49,1,0),0)</f>
        <v>0</v>
      </c>
      <c r="N49" s="325">
        <f>IF(H$51&lt;&gt;0,IF(H$51=$J49,1,0),0)</f>
        <v>0</v>
      </c>
      <c r="O49" s="433">
        <f>IF(H$52&lt;&gt;0,IF(H$52=$J49,1,0),0)</f>
        <v>0</v>
      </c>
      <c r="P49" s="432">
        <f>IF(IFERROR(MATCH($J49,L$38:L$47,0),0)&gt;0,1,0)</f>
        <v>0</v>
      </c>
      <c r="Q49" s="325">
        <f t="shared" ref="Q49:Q58" si="21">IF(IFERROR(MATCH($J49,M$38:M$47,0),0)&gt;0,1,0)</f>
        <v>0</v>
      </c>
      <c r="R49" s="325">
        <f t="shared" ref="R49:R58" si="22">IF(IFERROR(MATCH($J49,N$38:N$47,0),0)&gt;0,1,0)</f>
        <v>0</v>
      </c>
      <c r="S49" s="433">
        <f t="shared" ref="S49:S58" si="23">IF(IFERROR(MATCH($J49,O$38:O$47,0),0)&gt;0,1,0)</f>
        <v>0</v>
      </c>
      <c r="T49" s="328"/>
      <c r="U49" s="338" t="s">
        <v>624</v>
      </c>
      <c r="V49" s="339" t="s">
        <v>4012</v>
      </c>
      <c r="W49" s="340">
        <f t="shared" si="13"/>
        <v>0</v>
      </c>
    </row>
    <row r="50" spans="1:23" ht="16.5" x14ac:dyDescent="0.3">
      <c r="A50" s="155">
        <f>IFERROR(IF(A49+1&lt;MAX(D041_ClassFeatures!$A$2:$A$2033),A49+1,""),"")</f>
        <v>47</v>
      </c>
      <c r="B50" s="153" t="s">
        <v>3814</v>
      </c>
      <c r="C50" s="153">
        <f>IF(B50="",0,IF(IFERROR(MATCH(B50,C_Input!$BC$160:$BC$239,0),0)&gt;0,1,0))</f>
        <v>0</v>
      </c>
      <c r="D50" s="153"/>
      <c r="E50" s="153"/>
      <c r="F50" s="153"/>
      <c r="G50" s="153"/>
      <c r="H50" s="326">
        <f>C_Input!C187</f>
        <v>0</v>
      </c>
      <c r="I50" s="327"/>
      <c r="J50" s="327" t="str">
        <f t="shared" ref="J50:J58" si="24">J39</f>
        <v>Defense</v>
      </c>
      <c r="K50" s="328">
        <v>2</v>
      </c>
      <c r="L50" s="434">
        <f t="shared" ref="L50:L58" si="25">IF(H$49&lt;&gt;0,IF(H$49=$J50,1,0),0)</f>
        <v>0</v>
      </c>
      <c r="M50" s="328">
        <f t="shared" ref="M50:M58" si="26">IF(H$50&lt;&gt;0,IF(H$50=$J50,1,0),0)</f>
        <v>0</v>
      </c>
      <c r="N50" s="328">
        <f t="shared" ref="N50:N58" si="27">IF(H$51&lt;&gt;0,IF(H$51=$J50,1,0),0)</f>
        <v>0</v>
      </c>
      <c r="O50" s="329">
        <f t="shared" ref="O50:O58" si="28">IF(H$52&lt;&gt;0,IF(H$52=$J50,1,0),0)</f>
        <v>0</v>
      </c>
      <c r="P50" s="434">
        <f t="shared" ref="P50:P58" si="29">IF(IFERROR(MATCH($J50,L$38:L$47,0),0)&gt;0,1,0)</f>
        <v>0</v>
      </c>
      <c r="Q50" s="328">
        <f t="shared" si="21"/>
        <v>0</v>
      </c>
      <c r="R50" s="328">
        <f t="shared" si="22"/>
        <v>0</v>
      </c>
      <c r="S50" s="329">
        <f t="shared" si="23"/>
        <v>0</v>
      </c>
      <c r="T50" s="328"/>
      <c r="U50" s="338" t="s">
        <v>624</v>
      </c>
      <c r="V50" s="339" t="s">
        <v>4013</v>
      </c>
      <c r="W50" s="340">
        <f t="shared" si="13"/>
        <v>0</v>
      </c>
    </row>
    <row r="51" spans="1:23" ht="16.5" x14ac:dyDescent="0.3">
      <c r="A51" s="155">
        <f>IFERROR(IF(A50+1&lt;MAX(D041_ClassFeatures!$A$2:$A$2033),A50+1,""),"")</f>
        <v>48</v>
      </c>
      <c r="B51" s="153" t="s">
        <v>3815</v>
      </c>
      <c r="C51" s="153">
        <f>IF(B51="",0,IF(IFERROR(MATCH(B51,C_Input!$BC$160:$BC$239,0),0)&gt;0,1,0))</f>
        <v>0</v>
      </c>
      <c r="D51" s="153"/>
      <c r="E51" s="153"/>
      <c r="F51" s="153"/>
      <c r="G51" s="153"/>
      <c r="H51" s="326">
        <f>C_Input!C189</f>
        <v>0</v>
      </c>
      <c r="I51" s="327"/>
      <c r="J51" s="327" t="str">
        <f t="shared" si="24"/>
        <v>Dueling</v>
      </c>
      <c r="K51" s="328">
        <v>3</v>
      </c>
      <c r="L51" s="434">
        <f t="shared" si="25"/>
        <v>0</v>
      </c>
      <c r="M51" s="328">
        <f t="shared" si="26"/>
        <v>0</v>
      </c>
      <c r="N51" s="328">
        <f t="shared" si="27"/>
        <v>0</v>
      </c>
      <c r="O51" s="329">
        <f t="shared" si="28"/>
        <v>0</v>
      </c>
      <c r="P51" s="434">
        <f t="shared" si="29"/>
        <v>0</v>
      </c>
      <c r="Q51" s="328">
        <f t="shared" si="21"/>
        <v>0</v>
      </c>
      <c r="R51" s="328">
        <f t="shared" si="22"/>
        <v>0</v>
      </c>
      <c r="S51" s="329">
        <f t="shared" si="23"/>
        <v>0</v>
      </c>
      <c r="T51" s="328"/>
      <c r="U51" s="338" t="s">
        <v>625</v>
      </c>
      <c r="V51" s="339" t="s">
        <v>4014</v>
      </c>
      <c r="W51" s="340">
        <f t="shared" si="13"/>
        <v>0</v>
      </c>
    </row>
    <row r="52" spans="1:23" ht="16.5" x14ac:dyDescent="0.3">
      <c r="A52" s="155">
        <f>IFERROR(IF(A51+1&lt;MAX(D041_ClassFeatures!$A$2:$A$2033),A51+1,""),"")</f>
        <v>49</v>
      </c>
      <c r="B52" s="153" t="str">
        <f>IFERROR(INDEX(D041_ClassFeatures!$B$2:$B$2033,MATCH(C_Variables!A52,D041_ClassFeatures!$A$2:$A$2033,0),1),"")</f>
        <v>Druidic language</v>
      </c>
      <c r="C52" s="153">
        <f>IF(B52="",0,IF(IFERROR(MATCH(B52,C_Input!$BC$160:$BC$239,0),0)&gt;0,1,0))</f>
        <v>0</v>
      </c>
      <c r="D52" s="153"/>
      <c r="E52" s="153"/>
      <c r="F52" s="153"/>
      <c r="G52" s="153"/>
      <c r="H52" s="326">
        <f>C_Input!C191</f>
        <v>0</v>
      </c>
      <c r="I52" s="327"/>
      <c r="J52" s="327" t="str">
        <f t="shared" si="24"/>
        <v>Great Weapon Fighting</v>
      </c>
      <c r="K52" s="328">
        <v>4</v>
      </c>
      <c r="L52" s="434">
        <f t="shared" si="25"/>
        <v>0</v>
      </c>
      <c r="M52" s="328">
        <f t="shared" si="26"/>
        <v>0</v>
      </c>
      <c r="N52" s="328">
        <f t="shared" si="27"/>
        <v>0</v>
      </c>
      <c r="O52" s="329">
        <f t="shared" si="28"/>
        <v>0</v>
      </c>
      <c r="P52" s="434">
        <f t="shared" si="29"/>
        <v>0</v>
      </c>
      <c r="Q52" s="328">
        <f t="shared" si="21"/>
        <v>0</v>
      </c>
      <c r="R52" s="328">
        <f t="shared" si="22"/>
        <v>0</v>
      </c>
      <c r="S52" s="329">
        <f t="shared" si="23"/>
        <v>0</v>
      </c>
      <c r="T52" s="328"/>
      <c r="U52" s="338" t="s">
        <v>625</v>
      </c>
      <c r="V52" s="339" t="s">
        <v>4427</v>
      </c>
      <c r="W52" s="340">
        <f t="shared" si="13"/>
        <v>0</v>
      </c>
    </row>
    <row r="53" spans="1:23" ht="16.5" x14ac:dyDescent="0.3">
      <c r="A53" s="155">
        <f>IFERROR(IF(A52+1&lt;MAX(D041_ClassFeatures!$A$2:$A$2033),A52+1,""),"")</f>
        <v>50</v>
      </c>
      <c r="B53" s="153" t="str">
        <f>IFERROR(INDEX(D041_ClassFeatures!$B$2:$B$2033,MATCH(C_Variables!A53,D041_ClassFeatures!$A$2:$A$2033,0),1),"")</f>
        <v>Eldritch Invocations</v>
      </c>
      <c r="C53" s="153">
        <f>IF(B53="",0,IF(IFERROR(MATCH(B53,C_Input!$BC$160:$BC$239,0),0)&gt;0,1,0))</f>
        <v>0</v>
      </c>
      <c r="D53" s="153"/>
      <c r="E53" s="153"/>
      <c r="F53" s="153"/>
      <c r="G53" s="153"/>
      <c r="H53" s="326"/>
      <c r="I53" s="327"/>
      <c r="J53" s="327" t="str">
        <f t="shared" si="24"/>
        <v>Protection</v>
      </c>
      <c r="K53" s="328">
        <v>5</v>
      </c>
      <c r="L53" s="434">
        <f t="shared" si="25"/>
        <v>0</v>
      </c>
      <c r="M53" s="328">
        <f t="shared" si="26"/>
        <v>0</v>
      </c>
      <c r="N53" s="328">
        <f t="shared" si="27"/>
        <v>0</v>
      </c>
      <c r="O53" s="329">
        <f t="shared" si="28"/>
        <v>0</v>
      </c>
      <c r="P53" s="434">
        <f t="shared" si="29"/>
        <v>0</v>
      </c>
      <c r="Q53" s="328">
        <f t="shared" si="21"/>
        <v>0</v>
      </c>
      <c r="R53" s="328">
        <f t="shared" si="22"/>
        <v>0</v>
      </c>
      <c r="S53" s="329">
        <f t="shared" si="23"/>
        <v>0</v>
      </c>
      <c r="T53" s="328"/>
      <c r="U53" s="338" t="s">
        <v>625</v>
      </c>
      <c r="V53" s="339" t="s">
        <v>4016</v>
      </c>
      <c r="W53" s="340">
        <f t="shared" si="13"/>
        <v>0</v>
      </c>
    </row>
    <row r="54" spans="1:23" ht="16.5" x14ac:dyDescent="0.3">
      <c r="A54" s="155">
        <f>IFERROR(IF(A53+1&lt;MAX(D041_ClassFeatures!$A$2:$A$2033),A53+1,""),"")</f>
        <v>51</v>
      </c>
      <c r="B54" s="153" t="str">
        <f>IFERROR(INDEX(D041_ClassFeatures!$B$2:$B$2033,MATCH(C_Variables!A54,D041_ClassFeatures!$A$2:$A$2033,0),1),"")</f>
        <v>Eldritch Master</v>
      </c>
      <c r="C54" s="153">
        <f>IF(B54="",0,IF(IFERROR(MATCH(B54,C_Input!$BC$160:$BC$239,0),0)&gt;0,1,0))</f>
        <v>0</v>
      </c>
      <c r="D54" s="153"/>
      <c r="E54" s="153"/>
      <c r="F54" s="153"/>
      <c r="G54" s="153"/>
      <c r="H54" s="326"/>
      <c r="I54" s="327"/>
      <c r="J54" s="327" t="str">
        <f t="shared" si="24"/>
        <v>Two-Weapon Fighting</v>
      </c>
      <c r="K54" s="328">
        <v>6</v>
      </c>
      <c r="L54" s="434">
        <f t="shared" si="25"/>
        <v>0</v>
      </c>
      <c r="M54" s="328">
        <f t="shared" si="26"/>
        <v>0</v>
      </c>
      <c r="N54" s="328">
        <f t="shared" si="27"/>
        <v>0</v>
      </c>
      <c r="O54" s="329">
        <f t="shared" si="28"/>
        <v>0</v>
      </c>
      <c r="P54" s="434">
        <f t="shared" si="29"/>
        <v>0</v>
      </c>
      <c r="Q54" s="328">
        <f t="shared" si="21"/>
        <v>0</v>
      </c>
      <c r="R54" s="328">
        <f t="shared" si="22"/>
        <v>0</v>
      </c>
      <c r="S54" s="329">
        <f t="shared" si="23"/>
        <v>0</v>
      </c>
      <c r="T54" s="328"/>
      <c r="U54" s="338" t="s">
        <v>1113</v>
      </c>
      <c r="V54" s="339" t="s">
        <v>4017</v>
      </c>
      <c r="W54" s="340">
        <f t="shared" si="13"/>
        <v>0</v>
      </c>
    </row>
    <row r="55" spans="1:23" ht="16.5" x14ac:dyDescent="0.3">
      <c r="A55" s="155">
        <f>IFERROR(IF(A54+1&lt;MAX(D041_ClassFeatures!$A$2:$A$2033),A54+1,""),"")</f>
        <v>52</v>
      </c>
      <c r="B55" s="153" t="str">
        <f>IFERROR(INDEX(D041_ClassFeatures!$B$2:$B$2033,MATCH(C_Variables!A55,D041_ClassFeatures!$A$2:$A$2033,0),1),"")</f>
        <v>Elusive</v>
      </c>
      <c r="C55" s="153">
        <f>IF(B55="",0,IF(IFERROR(MATCH(B55,C_Input!$BC$160:$BC$239,0),0)&gt;0,1,0))</f>
        <v>0</v>
      </c>
      <c r="D55" s="153"/>
      <c r="E55" s="153"/>
      <c r="F55" s="153"/>
      <c r="G55" s="153"/>
      <c r="H55" s="326"/>
      <c r="I55" s="327"/>
      <c r="J55" s="327">
        <f t="shared" si="24"/>
        <v>0</v>
      </c>
      <c r="K55" s="328">
        <v>7</v>
      </c>
      <c r="L55" s="434">
        <f t="shared" si="25"/>
        <v>0</v>
      </c>
      <c r="M55" s="328">
        <f t="shared" si="26"/>
        <v>0</v>
      </c>
      <c r="N55" s="328">
        <f t="shared" si="27"/>
        <v>0</v>
      </c>
      <c r="O55" s="329">
        <f t="shared" si="28"/>
        <v>0</v>
      </c>
      <c r="P55" s="434">
        <f t="shared" si="29"/>
        <v>0</v>
      </c>
      <c r="Q55" s="328">
        <f t="shared" si="21"/>
        <v>0</v>
      </c>
      <c r="R55" s="328">
        <f t="shared" si="22"/>
        <v>0</v>
      </c>
      <c r="S55" s="329">
        <f t="shared" si="23"/>
        <v>0</v>
      </c>
      <c r="T55" s="328"/>
      <c r="U55" s="338" t="s">
        <v>1113</v>
      </c>
      <c r="V55" s="339" t="s">
        <v>4018</v>
      </c>
      <c r="W55" s="340">
        <f t="shared" si="13"/>
        <v>0</v>
      </c>
    </row>
    <row r="56" spans="1:23" ht="16.5" x14ac:dyDescent="0.3">
      <c r="A56" s="155">
        <f>IFERROR(IF(A55+1&lt;MAX(D041_ClassFeatures!$A$2:$A$2033),A55+1,""),"")</f>
        <v>53</v>
      </c>
      <c r="B56" s="153" t="str">
        <f>IFERROR(INDEX(D041_ClassFeatures!$B$2:$B$2033,MATCH(C_Variables!A56,D041_ClassFeatures!$A$2:$A$2033,0),1),"")</f>
        <v>Empty Body</v>
      </c>
      <c r="C56" s="153">
        <f>IF(B56="",0,IF(IFERROR(MATCH(B56,C_Input!$BC$160:$BC$239,0),0)&gt;0,1,0))</f>
        <v>0</v>
      </c>
      <c r="D56" s="153"/>
      <c r="E56" s="153"/>
      <c r="F56" s="153"/>
      <c r="G56" s="153"/>
      <c r="H56" s="326"/>
      <c r="I56" s="327"/>
      <c r="J56" s="327">
        <f t="shared" si="24"/>
        <v>0</v>
      </c>
      <c r="K56" s="328">
        <v>8</v>
      </c>
      <c r="L56" s="434">
        <f t="shared" si="25"/>
        <v>0</v>
      </c>
      <c r="M56" s="328">
        <f t="shared" si="26"/>
        <v>0</v>
      </c>
      <c r="N56" s="328">
        <f t="shared" si="27"/>
        <v>0</v>
      </c>
      <c r="O56" s="329">
        <f t="shared" si="28"/>
        <v>0</v>
      </c>
      <c r="P56" s="434">
        <f t="shared" si="29"/>
        <v>0</v>
      </c>
      <c r="Q56" s="328">
        <f t="shared" si="21"/>
        <v>0</v>
      </c>
      <c r="R56" s="328">
        <f t="shared" si="22"/>
        <v>0</v>
      </c>
      <c r="S56" s="329">
        <f t="shared" si="23"/>
        <v>0</v>
      </c>
      <c r="T56" s="328"/>
      <c r="U56" s="338" t="s">
        <v>1113</v>
      </c>
      <c r="V56" s="339" t="s">
        <v>4019</v>
      </c>
      <c r="W56" s="340">
        <f t="shared" si="13"/>
        <v>0</v>
      </c>
    </row>
    <row r="57" spans="1:23" ht="16.5" x14ac:dyDescent="0.3">
      <c r="A57" s="155">
        <f>IFERROR(IF(A56+1&lt;MAX(D041_ClassFeatures!$A$2:$A$2033),A56+1,""),"")</f>
        <v>54</v>
      </c>
      <c r="B57" s="153" t="str">
        <f>IFERROR(INDEX(D041_ClassFeatures!$B$2:$B$2033,MATCH(C_Variables!A57,D041_ClassFeatures!$A$2:$A$2033,0),1),"")</f>
        <v>Evasion</v>
      </c>
      <c r="C57" s="153">
        <f>IF(B57="",0,IF(IFERROR(MATCH(B57,C_Input!$BC$160:$BC$239,0),0)&gt;0,1,0))</f>
        <v>0</v>
      </c>
      <c r="D57" s="153"/>
      <c r="E57" s="153"/>
      <c r="F57" s="153"/>
      <c r="G57" s="153"/>
      <c r="H57" s="326"/>
      <c r="I57" s="327"/>
      <c r="J57" s="327">
        <f t="shared" si="24"/>
        <v>0</v>
      </c>
      <c r="K57" s="328">
        <v>9</v>
      </c>
      <c r="L57" s="434">
        <f t="shared" si="25"/>
        <v>0</v>
      </c>
      <c r="M57" s="328">
        <f t="shared" si="26"/>
        <v>0</v>
      </c>
      <c r="N57" s="328">
        <f t="shared" si="27"/>
        <v>0</v>
      </c>
      <c r="O57" s="329">
        <f t="shared" si="28"/>
        <v>0</v>
      </c>
      <c r="P57" s="434">
        <f t="shared" si="29"/>
        <v>0</v>
      </c>
      <c r="Q57" s="328">
        <f t="shared" si="21"/>
        <v>0</v>
      </c>
      <c r="R57" s="328">
        <f t="shared" si="22"/>
        <v>0</v>
      </c>
      <c r="S57" s="329">
        <f t="shared" si="23"/>
        <v>0</v>
      </c>
      <c r="T57" s="328"/>
      <c r="U57" s="338" t="s">
        <v>1113</v>
      </c>
      <c r="V57" s="339" t="s">
        <v>4020</v>
      </c>
      <c r="W57" s="340">
        <f t="shared" si="13"/>
        <v>0</v>
      </c>
    </row>
    <row r="58" spans="1:23" ht="17.25" thickBot="1" x14ac:dyDescent="0.35">
      <c r="A58" s="155">
        <f>IFERROR(IF(A57+1&lt;MAX(D041_ClassFeatures!$A$2:$A$2033),A57+1,""),"")</f>
        <v>55</v>
      </c>
      <c r="B58" s="153" t="str">
        <f>IFERROR(INDEX(D041_ClassFeatures!$B$2:$B$2033,MATCH(C_Variables!A58,D041_ClassFeatures!$A$2:$A$2033,0),1),"")</f>
        <v>Expertise</v>
      </c>
      <c r="C58" s="153">
        <f>IF(B58="",0,IF(IFERROR(MATCH(B58,C_Input!$BC$160:$BC$239,0),0)&gt;0,1,0))</f>
        <v>0</v>
      </c>
      <c r="D58" s="153"/>
      <c r="E58" s="153"/>
      <c r="F58" s="153"/>
      <c r="G58" s="153"/>
      <c r="H58" s="326"/>
      <c r="I58" s="327"/>
      <c r="J58" s="327">
        <f t="shared" si="24"/>
        <v>0</v>
      </c>
      <c r="K58" s="328">
        <v>10</v>
      </c>
      <c r="L58" s="435">
        <f t="shared" si="25"/>
        <v>0</v>
      </c>
      <c r="M58" s="332">
        <f t="shared" si="26"/>
        <v>0</v>
      </c>
      <c r="N58" s="332">
        <f t="shared" si="27"/>
        <v>0</v>
      </c>
      <c r="O58" s="333">
        <f t="shared" si="28"/>
        <v>0</v>
      </c>
      <c r="P58" s="435">
        <f t="shared" si="29"/>
        <v>0</v>
      </c>
      <c r="Q58" s="332">
        <f t="shared" si="21"/>
        <v>0</v>
      </c>
      <c r="R58" s="332">
        <f t="shared" si="22"/>
        <v>0</v>
      </c>
      <c r="S58" s="333">
        <f t="shared" si="23"/>
        <v>0</v>
      </c>
      <c r="T58" s="328"/>
      <c r="U58" s="338" t="s">
        <v>626</v>
      </c>
      <c r="V58" s="339" t="s">
        <v>4021</v>
      </c>
      <c r="W58" s="340">
        <f t="shared" si="13"/>
        <v>0</v>
      </c>
    </row>
    <row r="59" spans="1:23" ht="17.25" thickBot="1" x14ac:dyDescent="0.35">
      <c r="A59" s="155">
        <f>IFERROR(IF(A58+1&lt;MAX(D041_ClassFeatures!$A$2:$A$2033),A58+1,""),"")</f>
        <v>56</v>
      </c>
      <c r="B59" s="153" t="str">
        <f>IFERROR(INDEX(D041_ClassFeatures!$B$2:$B$2033,MATCH(C_Variables!A59,D041_ClassFeatures!$A$2:$A$2033,0),1),"")</f>
        <v>Extra Attack</v>
      </c>
      <c r="C59" s="153">
        <f>IF(B59="",0,IF(IFERROR(MATCH(B59,C_Input!$BC$160:$BC$239,0),0)&gt;0,1,0))</f>
        <v>0</v>
      </c>
      <c r="D59" s="153"/>
      <c r="E59" s="153"/>
      <c r="F59" s="153"/>
      <c r="G59" s="153"/>
      <c r="H59" s="326"/>
      <c r="I59" s="327"/>
      <c r="J59" s="327"/>
      <c r="K59" s="328"/>
      <c r="L59" s="996" t="s">
        <v>5375</v>
      </c>
      <c r="M59" s="996"/>
      <c r="N59" s="996"/>
      <c r="O59" s="996"/>
      <c r="P59" s="328"/>
      <c r="Q59" s="328"/>
      <c r="R59" s="328"/>
      <c r="S59" s="328"/>
      <c r="T59" s="328"/>
      <c r="U59" s="341" t="s">
        <v>626</v>
      </c>
      <c r="V59" s="342" t="s">
        <v>3516</v>
      </c>
      <c r="W59" s="343">
        <f t="shared" si="13"/>
        <v>0</v>
      </c>
    </row>
    <row r="60" spans="1:23" ht="16.5" x14ac:dyDescent="0.3">
      <c r="A60" s="155">
        <f>IFERROR(IF(A59+1&lt;MAX(D041_ClassFeatures!$A$2:$A$2033),A59+1,""),"")</f>
        <v>57</v>
      </c>
      <c r="B60" s="153" t="str">
        <f>IFERROR(INDEX(D041_ClassFeatures!$B$2:$B$2033,MATCH(C_Variables!A60,D041_ClassFeatures!$A$2:$A$2033,0),1),"")</f>
        <v>Extra Attack (2)</v>
      </c>
      <c r="C60" s="153">
        <f>IF(B60="",0,IF(IFERROR(MATCH(B60,C_Input!$BC$160:$BC$239,0),0)&gt;0,1,0))</f>
        <v>0</v>
      </c>
      <c r="D60" s="153"/>
      <c r="E60" s="153"/>
      <c r="F60" s="153"/>
      <c r="G60" s="153"/>
      <c r="H60" s="326"/>
      <c r="I60" s="327"/>
      <c r="J60" s="327" t="str">
        <f>J49</f>
        <v>Archery</v>
      </c>
      <c r="K60" s="328">
        <v>1</v>
      </c>
      <c r="L60" s="432"/>
      <c r="M60" s="325">
        <f>Q49-L49</f>
        <v>0</v>
      </c>
      <c r="N60" s="325">
        <f>R49-M49-L49</f>
        <v>0</v>
      </c>
      <c r="O60" s="433">
        <f>S49-N49-M49-L49</f>
        <v>0</v>
      </c>
      <c r="P60" s="328">
        <f>IF(L37="n/a",1,IF(P49=0,0,1))</f>
        <v>1</v>
      </c>
      <c r="Q60" s="328">
        <f t="shared" ref="Q60:R60" si="30">IF(M36="n/a",1,IF(M60&lt;1,0,1))</f>
        <v>1</v>
      </c>
      <c r="R60" s="328">
        <f t="shared" si="30"/>
        <v>1</v>
      </c>
      <c r="S60" s="328">
        <f>IF(O36="n/a",1,IF(O60&lt;1,0,1))</f>
        <v>1</v>
      </c>
      <c r="T60" s="329"/>
    </row>
    <row r="61" spans="1:23" ht="16.5" x14ac:dyDescent="0.3">
      <c r="A61" s="155">
        <f>IFERROR(IF(A60+1&lt;MAX(D041_ClassFeatures!$A$2:$A$2033),A60+1,""),"")</f>
        <v>58</v>
      </c>
      <c r="B61" s="153" t="str">
        <f>IFERROR(INDEX(D041_ClassFeatures!$B$2:$B$2033,MATCH(C_Variables!A61,D041_ClassFeatures!$A$2:$A$2033,0),1),"")</f>
        <v>Extra Attack (3)</v>
      </c>
      <c r="C61" s="153">
        <f>IF(B61="",0,IF(IFERROR(MATCH(B61,C_Input!$BC$160:$BC$239,0),0)&gt;0,1,0))</f>
        <v>0</v>
      </c>
      <c r="D61" s="153"/>
      <c r="E61" s="153"/>
      <c r="F61" s="153"/>
      <c r="G61" s="153"/>
      <c r="H61" s="326"/>
      <c r="I61" s="327"/>
      <c r="J61" s="327" t="str">
        <f t="shared" ref="J61:J69" si="31">J50</f>
        <v>Defense</v>
      </c>
      <c r="K61" s="328">
        <v>2</v>
      </c>
      <c r="L61" s="434"/>
      <c r="M61" s="328">
        <f t="shared" ref="M61:M69" si="32">Q50-L50</f>
        <v>0</v>
      </c>
      <c r="N61" s="328">
        <f t="shared" ref="N61:N69" si="33">R50-M50-L50</f>
        <v>0</v>
      </c>
      <c r="O61" s="329">
        <f t="shared" ref="O61:O69" si="34">S50-N50-M50-L50</f>
        <v>0</v>
      </c>
      <c r="P61" s="328">
        <f>IF(P50&gt;0,COUNTIF($P$60:P60,"&gt;0")+1,0)</f>
        <v>0</v>
      </c>
      <c r="Q61" s="328">
        <f>IF(M61&gt;0,COUNTIF(Q$60:Q60,"&gt;0")+1,0)</f>
        <v>0</v>
      </c>
      <c r="R61" s="328">
        <f>IF(N61&gt;0,COUNTIF(R$60:R60,"&gt;0")+1,0)</f>
        <v>0</v>
      </c>
      <c r="S61" s="328">
        <f>IF(O61&lt;=1,0,COUNTIF(S$60:S60,"&gt;0")+1)</f>
        <v>0</v>
      </c>
      <c r="T61" s="329"/>
    </row>
    <row r="62" spans="1:23" ht="16.5" x14ac:dyDescent="0.3">
      <c r="A62" s="155">
        <f>IFERROR(IF(A61+1&lt;MAX(D041_ClassFeatures!$A$2:$A$2033),A61+1,""),"")</f>
        <v>59</v>
      </c>
      <c r="B62" s="153" t="str">
        <f>IFERROR(INDEX(D041_ClassFeatures!$B$2:$B$2033,MATCH(C_Variables!A62,D041_ClassFeatures!$A$2:$A$2033,0),1),"")</f>
        <v>Fast Movement</v>
      </c>
      <c r="C62" s="153">
        <f>IF(B62="",0,IF(IFERROR(MATCH(B62,C_Input!$BC$160:$BC$239,0),0)&gt;0,1,0))</f>
        <v>0</v>
      </c>
      <c r="D62" s="153"/>
      <c r="E62" s="153"/>
      <c r="F62" s="153"/>
      <c r="G62" s="153"/>
      <c r="H62" s="326"/>
      <c r="I62" s="327"/>
      <c r="J62" s="327" t="str">
        <f t="shared" si="31"/>
        <v>Dueling</v>
      </c>
      <c r="K62" s="328">
        <v>3</v>
      </c>
      <c r="L62" s="434"/>
      <c r="M62" s="328">
        <f t="shared" si="32"/>
        <v>0</v>
      </c>
      <c r="N62" s="328">
        <f t="shared" si="33"/>
        <v>0</v>
      </c>
      <c r="O62" s="329">
        <f t="shared" si="34"/>
        <v>0</v>
      </c>
      <c r="P62" s="328">
        <f>IF(P51&gt;0,COUNTIF($P$60:P61,"&gt;0")+1,0)</f>
        <v>0</v>
      </c>
      <c r="Q62" s="328">
        <f>IF(M62&gt;0,COUNTIF(Q$60:Q61,"&gt;0")+1,0)</f>
        <v>0</v>
      </c>
      <c r="R62" s="328">
        <f>IF(N62&gt;0,COUNTIF(R$60:R61,"&gt;0")+1,0)</f>
        <v>0</v>
      </c>
      <c r="S62" s="328">
        <f>IF(O62&lt;=1,0,COUNTIF(S$60:S61,"&gt;0")+1)</f>
        <v>0</v>
      </c>
      <c r="T62" s="329"/>
    </row>
    <row r="63" spans="1:23" ht="16.5" x14ac:dyDescent="0.3">
      <c r="A63" s="155">
        <f>IFERROR(IF(A62+1&lt;MAX(D041_ClassFeatures!$A$2:$A$2033),A62+1,""),"")</f>
        <v>60</v>
      </c>
      <c r="B63" s="153" t="str">
        <f>IFERROR(INDEX(D041_ClassFeatures!$B$2:$B$2033,MATCH(C_Variables!A63,D041_ClassFeatures!$A$2:$A$2033,0),1),"")</f>
        <v>Favored Enemy</v>
      </c>
      <c r="C63" s="153">
        <f>IF(B63="",0,IF(IFERROR(MATCH(B63,C_Input!$BC$160:$BC$239,0),0)&gt;0,1,0))</f>
        <v>0</v>
      </c>
      <c r="D63" s="153"/>
      <c r="E63" s="153"/>
      <c r="F63" s="153"/>
      <c r="G63" s="153"/>
      <c r="H63" s="326"/>
      <c r="I63" s="327"/>
      <c r="J63" s="327" t="str">
        <f t="shared" si="31"/>
        <v>Great Weapon Fighting</v>
      </c>
      <c r="K63" s="328">
        <v>4</v>
      </c>
      <c r="L63" s="434"/>
      <c r="M63" s="328">
        <f t="shared" si="32"/>
        <v>0</v>
      </c>
      <c r="N63" s="328">
        <f t="shared" si="33"/>
        <v>0</v>
      </c>
      <c r="O63" s="329">
        <f t="shared" si="34"/>
        <v>0</v>
      </c>
      <c r="P63" s="328">
        <f>IF(P52&gt;0,COUNTIF($P$60:P62,"&gt;0")+1,0)</f>
        <v>0</v>
      </c>
      <c r="Q63" s="328">
        <f>IF(M63&gt;0,COUNTIF(Q$60:Q62,"&gt;0")+1,0)</f>
        <v>0</v>
      </c>
      <c r="R63" s="328">
        <f>IF(N63&gt;0,COUNTIF(R$60:R62,"&gt;0")+1,0)</f>
        <v>0</v>
      </c>
      <c r="S63" s="328">
        <f>IF(O63&lt;=1,0,COUNTIF(S$60:S62,"&gt;0")+1)</f>
        <v>0</v>
      </c>
      <c r="T63" s="329"/>
    </row>
    <row r="64" spans="1:23" ht="16.5" x14ac:dyDescent="0.3">
      <c r="A64" s="155">
        <f>IFERROR(IF(A63+1&lt;MAX(D041_ClassFeatures!$A$2:$A$2033),A63+1,""),"")</f>
        <v>61</v>
      </c>
      <c r="B64" s="153" t="str">
        <f>IFERROR(INDEX(D041_ClassFeatures!$B$2:$B$2033,MATCH(C_Variables!A64,D041_ClassFeatures!$A$2:$A$2033,0),1),"")</f>
        <v>Feral Instinct</v>
      </c>
      <c r="C64" s="153">
        <f>IF(B64="",0,IF(IFERROR(MATCH(B64,C_Input!$BC$160:$BC$239,0),0)&gt;0,1,0))</f>
        <v>0</v>
      </c>
      <c r="D64" s="153"/>
      <c r="E64" s="153"/>
      <c r="F64" s="153"/>
      <c r="G64" s="153"/>
      <c r="H64" s="326"/>
      <c r="I64" s="327"/>
      <c r="J64" s="327" t="str">
        <f t="shared" si="31"/>
        <v>Protection</v>
      </c>
      <c r="K64" s="328">
        <v>5</v>
      </c>
      <c r="L64" s="434"/>
      <c r="M64" s="328">
        <f t="shared" si="32"/>
        <v>0</v>
      </c>
      <c r="N64" s="328">
        <f t="shared" si="33"/>
        <v>0</v>
      </c>
      <c r="O64" s="329">
        <f t="shared" si="34"/>
        <v>0</v>
      </c>
      <c r="P64" s="328">
        <f>IF(P53&gt;0,COUNTIF($P$60:P63,"&gt;0")+1,0)</f>
        <v>0</v>
      </c>
      <c r="Q64" s="328">
        <f>IF(M64&gt;0,COUNTIF(Q$60:Q63,"&gt;0")+1,0)</f>
        <v>0</v>
      </c>
      <c r="R64" s="328">
        <f>IF(N64&gt;0,COUNTIF(R$60:R63,"&gt;0")+1,0)</f>
        <v>0</v>
      </c>
      <c r="S64" s="328">
        <f>IF(O64&lt;=1,0,COUNTIF(S$60:S63,"&gt;0")+1)</f>
        <v>0</v>
      </c>
      <c r="T64" s="329"/>
    </row>
    <row r="65" spans="1:20" ht="16.5" x14ac:dyDescent="0.3">
      <c r="A65" s="155">
        <f>IFERROR(IF(A64+1&lt;MAX(D041_ClassFeatures!$A$2:$A$2033),A64+1,""),"")</f>
        <v>62</v>
      </c>
      <c r="B65" s="153" t="str">
        <f>IFERROR(INDEX(D041_ClassFeatures!$B$2:$B$2033,MATCH(C_Variables!A65,D041_ClassFeatures!$A$2:$A$2033,0),1),"")</f>
        <v>Feral Senses</v>
      </c>
      <c r="C65" s="153">
        <f>IF(B65="",0,IF(IFERROR(MATCH(B65,C_Input!$BC$160:$BC$239,0),0)&gt;0,1,0))</f>
        <v>0</v>
      </c>
      <c r="D65" s="153"/>
      <c r="E65" s="153"/>
      <c r="F65" s="153"/>
      <c r="G65" s="153"/>
      <c r="H65" s="326"/>
      <c r="I65" s="327"/>
      <c r="J65" s="327" t="str">
        <f t="shared" si="31"/>
        <v>Two-Weapon Fighting</v>
      </c>
      <c r="K65" s="328">
        <v>6</v>
      </c>
      <c r="L65" s="434"/>
      <c r="M65" s="328">
        <f t="shared" si="32"/>
        <v>0</v>
      </c>
      <c r="N65" s="328">
        <f t="shared" si="33"/>
        <v>0</v>
      </c>
      <c r="O65" s="329">
        <f t="shared" si="34"/>
        <v>0</v>
      </c>
      <c r="P65" s="328">
        <f>IF(P54&gt;0,COUNTIF($P$60:P64,"&gt;0")+1,0)</f>
        <v>0</v>
      </c>
      <c r="Q65" s="328">
        <f>IF(M65&gt;0,COUNTIF(Q$60:Q64,"&gt;0")+1,0)</f>
        <v>0</v>
      </c>
      <c r="R65" s="328">
        <f>IF(N65&gt;0,COUNTIF(R$60:R64,"&gt;0")+1,0)</f>
        <v>0</v>
      </c>
      <c r="S65" s="328">
        <f>IF(O65&lt;=1,0,COUNTIF(S$60:S64,"&gt;0")+1)</f>
        <v>0</v>
      </c>
      <c r="T65" s="329"/>
    </row>
    <row r="66" spans="1:20" ht="16.5" x14ac:dyDescent="0.3">
      <c r="A66" s="155">
        <f>IFERROR(IF(A65+1&lt;MAX(D041_ClassFeatures!$A$2:$A$2033),A65+1,""),"")</f>
        <v>63</v>
      </c>
      <c r="B66" s="153" t="str">
        <f>IFERROR(INDEX(D041_ClassFeatures!$B$2:$B$2033,MATCH(C_Variables!A66,D041_ClassFeatures!$A$2:$A$2033,0),1),"")</f>
        <v>Fighting style (fighter)</v>
      </c>
      <c r="C66" s="153">
        <f>IF(B66="",0,IF(IFERROR(MATCH(B66,C_Input!$BC$160:$BC$239,0),0)&gt;0,1,0))</f>
        <v>0</v>
      </c>
      <c r="D66" s="153"/>
      <c r="E66" s="153"/>
      <c r="F66" s="153"/>
      <c r="G66" s="153"/>
      <c r="H66" s="326"/>
      <c r="I66" s="327"/>
      <c r="J66" s="327">
        <f t="shared" si="31"/>
        <v>0</v>
      </c>
      <c r="K66" s="328">
        <v>7</v>
      </c>
      <c r="L66" s="434"/>
      <c r="M66" s="328">
        <f t="shared" si="32"/>
        <v>0</v>
      </c>
      <c r="N66" s="328">
        <f t="shared" si="33"/>
        <v>0</v>
      </c>
      <c r="O66" s="329">
        <f t="shared" si="34"/>
        <v>0</v>
      </c>
      <c r="P66" s="328">
        <f>IF(P55&gt;0,COUNTIF($P$60:P65,"&gt;0")+1,0)</f>
        <v>0</v>
      </c>
      <c r="Q66" s="328">
        <f>IF(M66&gt;0,COUNTIF(Q$60:Q65,"&gt;0")+1,0)</f>
        <v>0</v>
      </c>
      <c r="R66" s="328">
        <f>IF(N66&gt;0,COUNTIF(R$60:R65,"&gt;0")+1,0)</f>
        <v>0</v>
      </c>
      <c r="S66" s="328">
        <f>IF(O66&lt;=1,0,COUNTIF(S$60:S65,"&gt;0")+1)</f>
        <v>0</v>
      </c>
      <c r="T66" s="329"/>
    </row>
    <row r="67" spans="1:20" ht="16.5" x14ac:dyDescent="0.3">
      <c r="A67" s="155">
        <f>IFERROR(IF(A66+1&lt;MAX(D041_ClassFeatures!$A$2:$A$2033),A66+1,""),"")</f>
        <v>64</v>
      </c>
      <c r="B67" s="153" t="str">
        <f>IFERROR(INDEX(D041_ClassFeatures!$B$2:$B$2033,MATCH(C_Variables!A67,D041_ClassFeatures!$A$2:$A$2033,0),1),"")</f>
        <v>Foe Slayer</v>
      </c>
      <c r="C67" s="153">
        <f>IF(B67="",0,IF(IFERROR(MATCH(B67,C_Input!$BC$160:$BC$239,0),0)&gt;0,1,0))</f>
        <v>0</v>
      </c>
      <c r="D67" s="153"/>
      <c r="E67" s="153"/>
      <c r="F67" s="153"/>
      <c r="G67" s="153"/>
      <c r="H67" s="326"/>
      <c r="I67" s="327"/>
      <c r="J67" s="327">
        <f t="shared" si="31"/>
        <v>0</v>
      </c>
      <c r="K67" s="328">
        <v>8</v>
      </c>
      <c r="L67" s="434"/>
      <c r="M67" s="328">
        <f t="shared" si="32"/>
        <v>0</v>
      </c>
      <c r="N67" s="328">
        <f t="shared" si="33"/>
        <v>0</v>
      </c>
      <c r="O67" s="329">
        <f t="shared" si="34"/>
        <v>0</v>
      </c>
      <c r="P67" s="328">
        <f>IF(P56&gt;0,COUNTIF($P$60:P66,"&gt;0")+1,0)</f>
        <v>0</v>
      </c>
      <c r="Q67" s="328">
        <f>IF(M67&gt;0,COUNTIF(Q$60:Q66,"&gt;0")+1,0)</f>
        <v>0</v>
      </c>
      <c r="R67" s="328">
        <f>IF(N67&gt;0,COUNTIF(R$60:R66,"&gt;0")+1,0)</f>
        <v>0</v>
      </c>
      <c r="S67" s="328">
        <f>IF(O67&lt;=1,0,COUNTIF(S$60:S66,"&gt;0")+1)</f>
        <v>0</v>
      </c>
      <c r="T67" s="329"/>
    </row>
    <row r="68" spans="1:20" ht="16.5" x14ac:dyDescent="0.3">
      <c r="A68" s="155">
        <f>IFERROR(IF(A67+1&lt;MAX(D041_ClassFeatures!$A$2:$A$2033),A67+1,""),"")</f>
        <v>65</v>
      </c>
      <c r="B68" s="153" t="str">
        <f>IFERROR(INDEX(D041_ClassFeatures!$B$2:$B$2033,MATCH(C_Variables!A68,D041_ClassFeatures!$A$2:$A$2033,0),1),"")</f>
        <v>Font of Inspiration</v>
      </c>
      <c r="C68" s="153">
        <f>IF(B68="",0,IF(IFERROR(MATCH(B68,C_Input!$BC$160:$BC$239,0),0)&gt;0,1,0))</f>
        <v>0</v>
      </c>
      <c r="D68" s="153"/>
      <c r="E68" s="153"/>
      <c r="F68" s="153"/>
      <c r="G68" s="153"/>
      <c r="H68" s="326"/>
      <c r="I68" s="327"/>
      <c r="J68" s="327">
        <f t="shared" si="31"/>
        <v>0</v>
      </c>
      <c r="K68" s="328">
        <v>9</v>
      </c>
      <c r="L68" s="434"/>
      <c r="M68" s="328">
        <f t="shared" si="32"/>
        <v>0</v>
      </c>
      <c r="N68" s="328">
        <f t="shared" si="33"/>
        <v>0</v>
      </c>
      <c r="O68" s="329">
        <f t="shared" si="34"/>
        <v>0</v>
      </c>
      <c r="P68" s="328">
        <f>IF(P57&gt;0,COUNTIF($P$60:P67,"&gt;0")+1,0)</f>
        <v>0</v>
      </c>
      <c r="Q68" s="328">
        <f>IF(M68&gt;0,COUNTIF(Q$60:Q67,"&gt;0")+1,0)</f>
        <v>0</v>
      </c>
      <c r="R68" s="328">
        <f>IF(N68&gt;0,COUNTIF(R$60:R67,"&gt;0")+1,0)</f>
        <v>0</v>
      </c>
      <c r="S68" s="328">
        <f>IF(O68&lt;=1,0,COUNTIF(S$60:S67,"&gt;0")+1)</f>
        <v>0</v>
      </c>
      <c r="T68" s="329"/>
    </row>
    <row r="69" spans="1:20" ht="17.25" thickBot="1" x14ac:dyDescent="0.35">
      <c r="A69" s="155">
        <f>IFERROR(IF(A68+1&lt;MAX(D041_ClassFeatures!$A$2:$A$2033),A68+1,""),"")</f>
        <v>66</v>
      </c>
      <c r="B69" s="153" t="str">
        <f>IFERROR(INDEX(D041_ClassFeatures!$B$2:$B$2033,MATCH(C_Variables!A69,D041_ClassFeatures!$A$2:$A$2033,0),1),"")</f>
        <v>Font of Magic</v>
      </c>
      <c r="C69" s="153">
        <f>IF(B69="",0,IF(IFERROR(MATCH(B69,C_Input!$BC$160:$BC$239,0),0)&gt;0,1,0))</f>
        <v>0</v>
      </c>
      <c r="D69" s="153"/>
      <c r="E69" s="153"/>
      <c r="F69" s="153"/>
      <c r="G69" s="153"/>
      <c r="H69" s="326"/>
      <c r="I69" s="327"/>
      <c r="J69" s="327">
        <f t="shared" si="31"/>
        <v>0</v>
      </c>
      <c r="K69" s="328">
        <v>10</v>
      </c>
      <c r="L69" s="435"/>
      <c r="M69" s="332">
        <f t="shared" si="32"/>
        <v>0</v>
      </c>
      <c r="N69" s="332">
        <f t="shared" si="33"/>
        <v>0</v>
      </c>
      <c r="O69" s="333">
        <f t="shared" si="34"/>
        <v>0</v>
      </c>
      <c r="P69" s="328">
        <f>IF(P58&gt;0,COUNTIF($P$60:P68,"&gt;0")+1,0)</f>
        <v>0</v>
      </c>
      <c r="Q69" s="328">
        <f>IF(M69&gt;0,COUNTIF(Q$60:Q68,"&gt;0")+1,0)</f>
        <v>0</v>
      </c>
      <c r="R69" s="328">
        <f>IF(N69&gt;0,COUNTIF(R$60:R68,"&gt;0")+1,0)</f>
        <v>0</v>
      </c>
      <c r="S69" s="328">
        <f>IF(O69&lt;=1,0,COUNTIF(S$60:S68,"&gt;0")+1)</f>
        <v>0</v>
      </c>
      <c r="T69" s="329"/>
    </row>
    <row r="70" spans="1:20" ht="16.5" x14ac:dyDescent="0.3">
      <c r="A70" s="155">
        <f>IFERROR(IF(A69+1&lt;MAX(D041_ClassFeatures!$A$2:$A$2033),A69+1,""),"")</f>
        <v>67</v>
      </c>
      <c r="B70" s="153" t="str">
        <f>IFERROR(INDEX(D041_ClassFeatures!$B$2:$B$2033,MATCH(C_Variables!A70,D041_ClassFeatures!$A$2:$A$2033,0),1),"")</f>
        <v>Hide in Plain Sight</v>
      </c>
      <c r="C70" s="153">
        <f>IF(B70="",0,IF(IFERROR(MATCH(B70,C_Input!$BC$160:$BC$239,0),0)&gt;0,1,0))</f>
        <v>0</v>
      </c>
      <c r="D70" s="153"/>
      <c r="E70" s="153"/>
      <c r="F70" s="153"/>
      <c r="G70" s="153"/>
      <c r="H70" s="326"/>
      <c r="I70" s="327"/>
      <c r="J70" s="327"/>
      <c r="K70" s="328"/>
      <c r="L70" s="328"/>
      <c r="M70" s="328"/>
      <c r="N70" s="328"/>
      <c r="O70" s="328"/>
      <c r="P70" s="328"/>
      <c r="Q70" s="328"/>
      <c r="R70" s="328"/>
      <c r="S70" s="328"/>
      <c r="T70" s="329"/>
    </row>
    <row r="71" spans="1:20" ht="16.5" x14ac:dyDescent="0.3">
      <c r="A71" s="155">
        <f>IFERROR(IF(A70+1&lt;MAX(D041_ClassFeatures!$A$2:$A$2033),A70+1,""),"")</f>
        <v>68</v>
      </c>
      <c r="B71" s="153" t="str">
        <f>IFERROR(INDEX(D041_ClassFeatures!$B$2:$B$2033,MATCH(C_Variables!A71,D041_ClassFeatures!$A$2:$A$2033,0),1),"")</f>
        <v>Improved Divine Smite</v>
      </c>
      <c r="C71" s="153">
        <f>IF(B71="",0,IF(IFERROR(MATCH(B71,C_Input!$BC$160:$BC$239,0),0)&gt;0,1,0))</f>
        <v>0</v>
      </c>
      <c r="D71" s="153"/>
      <c r="E71" s="153"/>
      <c r="F71" s="153"/>
      <c r="G71" s="153"/>
      <c r="H71" s="326"/>
      <c r="I71" s="327"/>
      <c r="J71" s="327" t="str">
        <f>J60</f>
        <v>Archery</v>
      </c>
      <c r="K71" s="328">
        <v>1</v>
      </c>
      <c r="L71" s="328" t="str">
        <f>IF(L36&lt;&gt;"n/a",IFERROR(INDEX($J$60:$J$69,MATCH($K71,P$60:P$69,0),1),""),"n/a")</f>
        <v>n/a</v>
      </c>
      <c r="M71" s="328" t="str">
        <f>IF(M36&lt;&gt;"n/a",IFERROR(INDEX($J$60:$J$69,MATCH($K71,Q$60:Q$69,0),1),""),"n/a")</f>
        <v>n/a</v>
      </c>
      <c r="N71" s="328" t="str">
        <f>IF(N36&lt;&gt;"n/a",IFERROR(INDEX($J$60:$J$69,MATCH($K71,R$60:R$69,0),1),""),"n/a")</f>
        <v>n/a</v>
      </c>
      <c r="O71" s="328" t="str">
        <f>IF(O36&lt;&gt;"n/a",IFERROR(INDEX($J$60:$J$69,MATCH($K71,S$60:S$69,0),1),""),"n/a")</f>
        <v>n/a</v>
      </c>
      <c r="P71" s="328"/>
      <c r="Q71" s="328"/>
      <c r="R71" s="328"/>
      <c r="S71" s="328"/>
      <c r="T71" s="329"/>
    </row>
    <row r="72" spans="1:20" ht="16.5" x14ac:dyDescent="0.3">
      <c r="A72" s="155">
        <f>IFERROR(IF(A71+1&lt;MAX(D041_ClassFeatures!$A$2:$A$2033),A71+1,""),"")</f>
        <v>69</v>
      </c>
      <c r="B72" s="153" t="str">
        <f>IFERROR(INDEX(D041_ClassFeatures!$B$2:$B$2033,MATCH(C_Variables!A72,D041_ClassFeatures!$A$2:$A$2033,0),1),"")</f>
        <v>Indomitable</v>
      </c>
      <c r="C72" s="153">
        <f>IF(B72="",0,IF(IFERROR(MATCH(B72,C_Input!$BC$160:$BC$239,0),0)&gt;0,1,0))</f>
        <v>0</v>
      </c>
      <c r="D72" s="153"/>
      <c r="E72" s="153"/>
      <c r="F72" s="153"/>
      <c r="G72" s="153"/>
      <c r="H72" s="326"/>
      <c r="I72" s="327"/>
      <c r="J72" s="327" t="str">
        <f t="shared" ref="J72:J80" si="35">J61</f>
        <v>Defense</v>
      </c>
      <c r="K72" s="328">
        <v>2</v>
      </c>
      <c r="L72" s="328" t="str">
        <f t="shared" ref="L72:L80" si="36">IF(L37&lt;&gt;"n/a",IFERROR(INDEX($J$60:$J$69,MATCH($K72,P$60:P$69,0),1),""),"n/a")</f>
        <v>n/a</v>
      </c>
      <c r="M72" s="328" t="str">
        <f t="shared" ref="M72:M80" si="37">IF(M37&lt;&gt;"n/a",IFERROR(INDEX($J$60:$J$69,MATCH($K72,Q$60:Q$69,0),1),""),"n/a")</f>
        <v>n/a</v>
      </c>
      <c r="N72" s="328" t="str">
        <f t="shared" ref="N72:N80" si="38">IF(N37&lt;&gt;"n/a",IFERROR(INDEX($J$60:$J$69,MATCH($K72,R$60:R$69,0),1),""),"n/a")</f>
        <v>n/a</v>
      </c>
      <c r="O72" s="328" t="str">
        <f t="shared" ref="O72:O80" si="39">IF(O37&lt;&gt;"n/a",IFERROR(INDEX($J$60:$J$69,MATCH($K72,S$60:S$69,0),1),""),"n/a")</f>
        <v>n/a</v>
      </c>
      <c r="P72" s="328"/>
      <c r="Q72" s="328"/>
      <c r="R72" s="328"/>
      <c r="S72" s="328"/>
      <c r="T72" s="329"/>
    </row>
    <row r="73" spans="1:20" ht="16.5" x14ac:dyDescent="0.3">
      <c r="A73" s="155">
        <f>IFERROR(IF(A72+1&lt;MAX(D041_ClassFeatures!$A$2:$A$2033),A72+1,""),"")</f>
        <v>70</v>
      </c>
      <c r="B73" s="153" t="str">
        <f>IFERROR(INDEX(D041_ClassFeatures!$B$2:$B$2033,MATCH(C_Variables!A73,D041_ClassFeatures!$A$2:$A$2033,0),1),"")</f>
        <v>Indomitable Might</v>
      </c>
      <c r="C73" s="153">
        <f>IF(B73="",0,IF(IFERROR(MATCH(B73,C_Input!$BC$160:$BC$239,0),0)&gt;0,1,0))</f>
        <v>0</v>
      </c>
      <c r="D73" s="153"/>
      <c r="E73" s="153"/>
      <c r="F73" s="153"/>
      <c r="G73" s="153"/>
      <c r="H73" s="326"/>
      <c r="I73" s="327"/>
      <c r="J73" s="327" t="str">
        <f t="shared" si="35"/>
        <v>Dueling</v>
      </c>
      <c r="K73" s="328">
        <v>3</v>
      </c>
      <c r="L73" s="328" t="str">
        <f t="shared" si="36"/>
        <v>n/a</v>
      </c>
      <c r="M73" s="328" t="str">
        <f t="shared" si="37"/>
        <v>n/a</v>
      </c>
      <c r="N73" s="328" t="str">
        <f t="shared" si="38"/>
        <v>n/a</v>
      </c>
      <c r="O73" s="328" t="str">
        <f t="shared" si="39"/>
        <v>n/a</v>
      </c>
      <c r="P73" s="328"/>
      <c r="Q73" s="328"/>
      <c r="R73" s="328"/>
      <c r="S73" s="328"/>
      <c r="T73" s="329"/>
    </row>
    <row r="74" spans="1:20" ht="16.5" x14ac:dyDescent="0.3">
      <c r="A74" s="155">
        <f>IFERROR(IF(A73+1&lt;MAX(D041_ClassFeatures!$A$2:$A$2033),A73+1,""),"")</f>
        <v>71</v>
      </c>
      <c r="B74" s="153" t="str">
        <f>IFERROR(INDEX(D041_ClassFeatures!$B$2:$B$2033,MATCH(C_Variables!A74,D041_ClassFeatures!$A$2:$A$2033,0),1),"")</f>
        <v>Jack of All Trades</v>
      </c>
      <c r="C74" s="153">
        <f>IF(B74="",0,IF(IFERROR(MATCH(B74,C_Input!$BC$160:$BC$239,0),0)&gt;0,1,0))</f>
        <v>0</v>
      </c>
      <c r="D74" s="153"/>
      <c r="E74" s="153"/>
      <c r="F74" s="153"/>
      <c r="G74" s="153"/>
      <c r="H74" s="326"/>
      <c r="I74" s="327"/>
      <c r="J74" s="327" t="str">
        <f t="shared" si="35"/>
        <v>Great Weapon Fighting</v>
      </c>
      <c r="K74" s="328">
        <v>4</v>
      </c>
      <c r="L74" s="328" t="str">
        <f t="shared" si="36"/>
        <v>n/a</v>
      </c>
      <c r="M74" s="328" t="str">
        <f t="shared" si="37"/>
        <v>n/a</v>
      </c>
      <c r="N74" s="328" t="str">
        <f t="shared" si="38"/>
        <v>n/a</v>
      </c>
      <c r="O74" s="328" t="str">
        <f t="shared" si="39"/>
        <v>n/a</v>
      </c>
      <c r="P74" s="328"/>
      <c r="Q74" s="328"/>
      <c r="R74" s="328"/>
      <c r="S74" s="328"/>
      <c r="T74" s="329"/>
    </row>
    <row r="75" spans="1:20" ht="16.5" x14ac:dyDescent="0.3">
      <c r="A75" s="155">
        <f>IFERROR(IF(A74+1&lt;MAX(D041_ClassFeatures!$A$2:$A$2033),A74+1,""),"")</f>
        <v>72</v>
      </c>
      <c r="B75" s="153" t="str">
        <f>IFERROR(INDEX(D041_ClassFeatures!$B$2:$B$2033,MATCH(C_Variables!A75,D041_ClassFeatures!$A$2:$A$2033,0),1),"")</f>
        <v>Ki</v>
      </c>
      <c r="C75" s="153">
        <f>IF(B75="",0,IF(IFERROR(MATCH(B75,C_Input!$BC$160:$BC$239,0),0)&gt;0,1,0))</f>
        <v>0</v>
      </c>
      <c r="D75" s="153"/>
      <c r="E75" s="153"/>
      <c r="F75" s="153"/>
      <c r="G75" s="153"/>
      <c r="H75" s="326"/>
      <c r="I75" s="327"/>
      <c r="J75" s="327" t="str">
        <f t="shared" si="35"/>
        <v>Protection</v>
      </c>
      <c r="K75" s="328">
        <v>5</v>
      </c>
      <c r="L75" s="328" t="str">
        <f t="shared" si="36"/>
        <v>n/a</v>
      </c>
      <c r="M75" s="328" t="str">
        <f t="shared" si="37"/>
        <v>n/a</v>
      </c>
      <c r="N75" s="328" t="str">
        <f t="shared" si="38"/>
        <v>n/a</v>
      </c>
      <c r="O75" s="328" t="str">
        <f t="shared" si="39"/>
        <v>n/a</v>
      </c>
      <c r="P75" s="328"/>
      <c r="Q75" s="328"/>
      <c r="R75" s="328"/>
      <c r="S75" s="328"/>
      <c r="T75" s="329"/>
    </row>
    <row r="76" spans="1:20" ht="16.5" x14ac:dyDescent="0.3">
      <c r="A76" s="155">
        <f>IFERROR(IF(A75+1&lt;MAX(D041_ClassFeatures!$A$2:$A$2033),A75+1,""),"")</f>
        <v>73</v>
      </c>
      <c r="B76" s="153" t="str">
        <f>IFERROR(INDEX(D041_ClassFeatures!$B$2:$B$2033,MATCH(C_Variables!A76,D041_ClassFeatures!$A$2:$A$2033,0),1),"")</f>
        <v>Ki-Empowered Strikes</v>
      </c>
      <c r="C76" s="153">
        <f>IF(B76="",0,IF(IFERROR(MATCH(B76,C_Input!$BC$160:$BC$239,0),0)&gt;0,1,0))</f>
        <v>0</v>
      </c>
      <c r="D76" s="153"/>
      <c r="E76" s="153"/>
      <c r="F76" s="153"/>
      <c r="G76" s="153"/>
      <c r="H76" s="326"/>
      <c r="I76" s="327"/>
      <c r="J76" s="327" t="str">
        <f t="shared" si="35"/>
        <v>Two-Weapon Fighting</v>
      </c>
      <c r="K76" s="328">
        <v>6</v>
      </c>
      <c r="L76" s="328" t="str">
        <f t="shared" si="36"/>
        <v>n/a</v>
      </c>
      <c r="M76" s="328" t="str">
        <f t="shared" si="37"/>
        <v>n/a</v>
      </c>
      <c r="N76" s="328" t="str">
        <f t="shared" si="38"/>
        <v>n/a</v>
      </c>
      <c r="O76" s="328" t="str">
        <f t="shared" si="39"/>
        <v>n/a</v>
      </c>
      <c r="P76" s="328"/>
      <c r="Q76" s="328"/>
      <c r="R76" s="328"/>
      <c r="S76" s="328"/>
      <c r="T76" s="329"/>
    </row>
    <row r="77" spans="1:20" ht="16.5" x14ac:dyDescent="0.3">
      <c r="A77" s="155">
        <f>IFERROR(IF(A76+1&lt;MAX(D041_ClassFeatures!$A$2:$A$2033),A76+1,""),"")</f>
        <v>74</v>
      </c>
      <c r="B77" s="153" t="str">
        <f>IFERROR(INDEX(D041_ClassFeatures!$B$2:$B$2033,MATCH(C_Variables!A77,D041_ClassFeatures!$A$2:$A$2033,0),1),"")</f>
        <v>Land's Stride (ranger)</v>
      </c>
      <c r="C77" s="153">
        <f>IF(B77="",0,IF(IFERROR(MATCH(B77,C_Input!$BC$160:$BC$239,0),0)&gt;0,1,0))</f>
        <v>0</v>
      </c>
      <c r="D77" s="153"/>
      <c r="E77" s="153"/>
      <c r="F77" s="153"/>
      <c r="G77" s="153"/>
      <c r="H77" s="326"/>
      <c r="I77" s="327"/>
      <c r="J77" s="327">
        <f t="shared" si="35"/>
        <v>0</v>
      </c>
      <c r="K77" s="328">
        <v>7</v>
      </c>
      <c r="L77" s="328" t="str">
        <f t="shared" si="36"/>
        <v>n/a</v>
      </c>
      <c r="M77" s="328" t="str">
        <f t="shared" si="37"/>
        <v>n/a</v>
      </c>
      <c r="N77" s="328" t="str">
        <f t="shared" si="38"/>
        <v>n/a</v>
      </c>
      <c r="O77" s="328" t="str">
        <f t="shared" si="39"/>
        <v>n/a</v>
      </c>
      <c r="P77" s="328"/>
      <c r="Q77" s="328"/>
      <c r="R77" s="328"/>
      <c r="S77" s="328"/>
      <c r="T77" s="329"/>
    </row>
    <row r="78" spans="1:20" ht="16.5" x14ac:dyDescent="0.3">
      <c r="A78" s="155">
        <f>IFERROR(IF(A77+1&lt;MAX(D041_ClassFeatures!$A$2:$A$2033),A77+1,""),"")</f>
        <v>75</v>
      </c>
      <c r="B78" s="153" t="str">
        <f>IFERROR(INDEX(D041_ClassFeatures!$B$2:$B$2033,MATCH(C_Variables!A78,D041_ClassFeatures!$A$2:$A$2033,0),1),"")</f>
        <v>Lay on Hands</v>
      </c>
      <c r="C78" s="153">
        <f>IF(B78="",0,IF(IFERROR(MATCH(B78,C_Input!$BC$160:$BC$239,0),0)&gt;0,1,0))</f>
        <v>0</v>
      </c>
      <c r="D78" s="153"/>
      <c r="E78" s="153"/>
      <c r="F78" s="153"/>
      <c r="G78" s="153"/>
      <c r="H78" s="326"/>
      <c r="I78" s="327"/>
      <c r="J78" s="327">
        <f t="shared" si="35"/>
        <v>0</v>
      </c>
      <c r="K78" s="328">
        <v>8</v>
      </c>
      <c r="L78" s="328" t="str">
        <f t="shared" si="36"/>
        <v>n/a</v>
      </c>
      <c r="M78" s="328" t="str">
        <f t="shared" si="37"/>
        <v>n/a</v>
      </c>
      <c r="N78" s="328" t="str">
        <f t="shared" si="38"/>
        <v>n/a</v>
      </c>
      <c r="O78" s="328" t="str">
        <f t="shared" si="39"/>
        <v>n/a</v>
      </c>
      <c r="P78" s="328"/>
      <c r="Q78" s="328"/>
      <c r="R78" s="328"/>
      <c r="S78" s="328"/>
      <c r="T78" s="329"/>
    </row>
    <row r="79" spans="1:20" ht="16.5" x14ac:dyDescent="0.3">
      <c r="A79" s="155">
        <f>IFERROR(IF(A78+1&lt;MAX(D041_ClassFeatures!$A$2:$A$2033),A78+1,""),"")</f>
        <v>76</v>
      </c>
      <c r="B79" s="153" t="str">
        <f>IFERROR(INDEX(D041_ClassFeatures!$B$2:$B$2033,MATCH(C_Variables!A79,D041_ClassFeatures!$A$2:$A$2033,0),1),"")</f>
        <v>Magical Secrets</v>
      </c>
      <c r="C79" s="153">
        <f>IF(B79="",0,IF(IFERROR(MATCH(B79,C_Input!$BC$160:$BC$239,0),0)&gt;0,1,0))</f>
        <v>0</v>
      </c>
      <c r="D79" s="153"/>
      <c r="E79" s="153"/>
      <c r="F79" s="153"/>
      <c r="G79" s="153"/>
      <c r="H79" s="326"/>
      <c r="I79" s="327"/>
      <c r="J79" s="327">
        <f t="shared" si="35"/>
        <v>0</v>
      </c>
      <c r="K79" s="328">
        <v>9</v>
      </c>
      <c r="L79" s="328" t="str">
        <f t="shared" si="36"/>
        <v>n/a</v>
      </c>
      <c r="M79" s="328" t="str">
        <f t="shared" si="37"/>
        <v>n/a</v>
      </c>
      <c r="N79" s="328" t="str">
        <f t="shared" si="38"/>
        <v>n/a</v>
      </c>
      <c r="O79" s="328" t="str">
        <f t="shared" si="39"/>
        <v>n/a</v>
      </c>
      <c r="P79" s="328"/>
      <c r="Q79" s="328"/>
      <c r="R79" s="328"/>
      <c r="S79" s="328"/>
      <c r="T79" s="329"/>
    </row>
    <row r="80" spans="1:20" ht="16.5" x14ac:dyDescent="0.3">
      <c r="A80" s="155">
        <f>IFERROR(IF(A79+1&lt;MAX(D041_ClassFeatures!$A$2:$A$2033),A79+1,""),"")</f>
        <v>77</v>
      </c>
      <c r="B80" s="153" t="str">
        <f>IFERROR(INDEX(D041_ClassFeatures!$B$2:$B$2033,MATCH(C_Variables!A80,D041_ClassFeatures!$A$2:$A$2033,0),1),"")</f>
        <v>Martial Archetype</v>
      </c>
      <c r="C80" s="153">
        <f>IF(B80="",0,IF(IFERROR(MATCH(B80,C_Input!$BC$160:$BC$239,0),0)&gt;0,1,0))</f>
        <v>0</v>
      </c>
      <c r="D80" s="153"/>
      <c r="E80" s="153"/>
      <c r="F80" s="153"/>
      <c r="G80" s="153"/>
      <c r="H80" s="326"/>
      <c r="I80" s="327"/>
      <c r="J80" s="327">
        <f t="shared" si="35"/>
        <v>0</v>
      </c>
      <c r="K80" s="328">
        <v>10</v>
      </c>
      <c r="L80" s="328" t="str">
        <f t="shared" si="36"/>
        <v>n/a</v>
      </c>
      <c r="M80" s="328" t="str">
        <f t="shared" si="37"/>
        <v>n/a</v>
      </c>
      <c r="N80" s="328" t="str">
        <f t="shared" si="38"/>
        <v>n/a</v>
      </c>
      <c r="O80" s="328" t="str">
        <f t="shared" si="39"/>
        <v>n/a</v>
      </c>
      <c r="P80" s="328"/>
      <c r="Q80" s="328"/>
      <c r="R80" s="328"/>
      <c r="S80" s="328"/>
      <c r="T80" s="329"/>
    </row>
    <row r="81" spans="1:54" ht="17.25" thickBot="1" x14ac:dyDescent="0.35">
      <c r="A81" s="155">
        <f>IFERROR(IF(A80+1&lt;MAX(D041_ClassFeatures!$A$2:$A$2033),A80+1,""),"")</f>
        <v>78</v>
      </c>
      <c r="B81" s="153" t="str">
        <f>IFERROR(INDEX(D041_ClassFeatures!$B$2:$B$2033,MATCH(C_Variables!A81,D041_ClassFeatures!$A$2:$A$2033,0),1),"")</f>
        <v>Martial Archetype Feature3-1</v>
      </c>
      <c r="C81" s="153">
        <f>IF(B81="",0,IF(IFERROR(MATCH(B81,C_Input!$BC$160:$BC$239,0),0)&gt;0,1,0))</f>
        <v>0</v>
      </c>
      <c r="D81" s="153"/>
      <c r="E81" s="153"/>
      <c r="F81" s="153"/>
      <c r="G81" s="153"/>
      <c r="H81" s="330"/>
      <c r="I81" s="331"/>
      <c r="J81" s="331"/>
      <c r="K81" s="332"/>
      <c r="L81" s="332"/>
      <c r="M81" s="332"/>
      <c r="N81" s="332"/>
      <c r="O81" s="332"/>
      <c r="P81" s="332"/>
      <c r="Q81" s="332"/>
      <c r="R81" s="332"/>
      <c r="S81" s="332"/>
      <c r="T81" s="333"/>
    </row>
    <row r="82" spans="1:54" ht="16.5" x14ac:dyDescent="0.3">
      <c r="A82" s="155">
        <f>IFERROR(IF(A81+1&lt;MAX(D041_ClassFeatures!$A$2:$A$2033),A81+1,""),"")</f>
        <v>79</v>
      </c>
      <c r="B82" s="153" t="str">
        <f>IFERROR(INDEX(D041_ClassFeatures!$B$2:$B$2033,MATCH(C_Variables!A82,D041_ClassFeatures!$A$2:$A$2033,0),1),"")</f>
        <v>Martial Archetype Feature3-2</v>
      </c>
      <c r="C82" s="153">
        <f>IF(B82="",0,IF(IFERROR(MATCH(B82,C_Input!$BC$160:$BC$239,0),0)&gt;0,1,0))</f>
        <v>0</v>
      </c>
      <c r="D82" s="153"/>
      <c r="E82" s="153"/>
      <c r="F82" s="153"/>
      <c r="G82" s="153"/>
      <c r="H82" s="153"/>
      <c r="I82" s="153"/>
      <c r="J82" s="153"/>
    </row>
    <row r="83" spans="1:54" ht="17.25" thickBot="1" x14ac:dyDescent="0.35">
      <c r="A83" s="155">
        <f>IFERROR(IF(A82+1&lt;MAX(D041_ClassFeatures!$A$2:$A$2033),A82+1,""),"")</f>
        <v>80</v>
      </c>
      <c r="B83" s="153" t="str">
        <f>IFERROR(INDEX(D041_ClassFeatures!$B$2:$B$2033,MATCH(C_Variables!A83,D041_ClassFeatures!$A$2:$A$2033,0),1),"")</f>
        <v>Martial Archetype Feature7</v>
      </c>
      <c r="C83" s="153">
        <f>IF(B83="",0,IF(IFERROR(MATCH(B83,C_Input!$BC$160:$BC$239,0),0)&gt;0,1,0))</f>
        <v>0</v>
      </c>
      <c r="D83" s="153"/>
      <c r="E83" s="153"/>
      <c r="F83" s="153"/>
      <c r="G83" s="153"/>
      <c r="H83" s="153"/>
      <c r="I83" s="153"/>
      <c r="J83" s="153"/>
    </row>
    <row r="84" spans="1:54" ht="17.25" thickBot="1" x14ac:dyDescent="0.35">
      <c r="A84" s="155">
        <f>IFERROR(IF(A83+1&lt;MAX(D041_ClassFeatures!$A$2:$A$2033),A83+1,""),"")</f>
        <v>81</v>
      </c>
      <c r="B84" s="153" t="str">
        <f>IFERROR(INDEX(D041_ClassFeatures!$B$2:$B$2033,MATCH(C_Variables!A84,D041_ClassFeatures!$A$2:$A$2033,0),1),"")</f>
        <v>Martial Archetype Feature10</v>
      </c>
      <c r="C84" s="153">
        <f>IF(B84="",0,IF(IFERROR(MATCH(B84,C_Input!$BC$160:$BC$239,0),0)&gt;0,1,0))</f>
        <v>0</v>
      </c>
      <c r="D84" s="153"/>
      <c r="E84" s="153"/>
      <c r="F84" s="153"/>
      <c r="G84" s="446"/>
      <c r="H84" s="447" t="s">
        <v>5377</v>
      </c>
      <c r="I84" s="447"/>
      <c r="J84" s="447"/>
      <c r="K84" s="448"/>
      <c r="L84" s="448"/>
      <c r="M84" s="465" t="s">
        <v>6164</v>
      </c>
      <c r="N84" s="465">
        <f>PactBoon</f>
        <v>0</v>
      </c>
      <c r="O84" s="448"/>
      <c r="P84" s="448"/>
      <c r="Q84" s="448"/>
      <c r="R84" s="448"/>
      <c r="S84" s="448"/>
      <c r="T84" s="448"/>
      <c r="U84" s="448"/>
      <c r="V84" s="448"/>
      <c r="W84" s="448"/>
      <c r="X84" s="448"/>
      <c r="Y84" s="448"/>
      <c r="Z84" s="448"/>
      <c r="AA84" s="448"/>
      <c r="AB84" s="448"/>
      <c r="AC84" s="448"/>
      <c r="AD84" s="448"/>
      <c r="AE84" s="448"/>
      <c r="AF84" s="448"/>
      <c r="AG84" s="448"/>
      <c r="AH84" s="448"/>
      <c r="AI84" s="448"/>
      <c r="AJ84" s="448"/>
      <c r="AK84" s="448"/>
      <c r="AL84" s="448"/>
      <c r="AM84" s="448"/>
      <c r="AN84" s="448"/>
      <c r="AO84" s="448"/>
      <c r="AP84" s="448"/>
      <c r="AQ84" s="448"/>
      <c r="AR84" s="448"/>
      <c r="AS84" s="448"/>
      <c r="AT84" s="448"/>
      <c r="AU84" s="448"/>
      <c r="AV84" s="448"/>
      <c r="AW84" s="448"/>
      <c r="AX84" s="448"/>
      <c r="AY84" s="448"/>
      <c r="AZ84" s="448"/>
      <c r="BA84" s="448"/>
      <c r="BB84" s="449"/>
    </row>
    <row r="85" spans="1:54" ht="17.25" thickBot="1" x14ac:dyDescent="0.35">
      <c r="A85" s="155">
        <f>IFERROR(IF(A84+1&lt;MAX(D041_ClassFeatures!$A$2:$A$2033),A84+1,""),"")</f>
        <v>82</v>
      </c>
      <c r="B85" s="153" t="str">
        <f>IFERROR(INDEX(D041_ClassFeatures!$B$2:$B$2033,MATCH(C_Variables!A85,D041_ClassFeatures!$A$2:$A$2033,0),1),"")</f>
        <v>Martial Archetype Feature15</v>
      </c>
      <c r="C85" s="153">
        <f>IF(B85="",0,IF(IFERROR(MATCH(B85,C_Input!$BC$160:$BC$239,0),0)&gt;0,1,0))</f>
        <v>0</v>
      </c>
      <c r="D85" s="153"/>
      <c r="E85" s="153"/>
      <c r="F85" s="153"/>
      <c r="G85" s="450"/>
      <c r="H85" s="444"/>
      <c r="I85" s="462" t="s">
        <v>4007</v>
      </c>
      <c r="J85" s="463" t="s">
        <v>4008</v>
      </c>
      <c r="K85" s="463" t="s">
        <v>4009</v>
      </c>
      <c r="L85" s="464" t="s">
        <v>62</v>
      </c>
      <c r="M85" s="465" t="s">
        <v>62</v>
      </c>
      <c r="N85" s="465">
        <f>WarlockLevel</f>
        <v>0</v>
      </c>
      <c r="O85" s="994" t="s">
        <v>6165</v>
      </c>
      <c r="P85" s="994"/>
      <c r="Q85" s="994"/>
      <c r="R85" s="994"/>
      <c r="S85" s="995"/>
      <c r="T85" s="994" t="s">
        <v>6166</v>
      </c>
      <c r="U85" s="994"/>
      <c r="V85" s="994"/>
      <c r="W85" s="994"/>
      <c r="X85" s="995"/>
      <c r="Y85" s="994" t="s">
        <v>6167</v>
      </c>
      <c r="Z85" s="994"/>
      <c r="AA85" s="994"/>
      <c r="AB85" s="994"/>
      <c r="AC85" s="995"/>
      <c r="AD85" s="994" t="s">
        <v>6168</v>
      </c>
      <c r="AE85" s="994"/>
      <c r="AF85" s="994"/>
      <c r="AG85" s="994"/>
      <c r="AH85" s="995"/>
      <c r="AI85" s="994" t="s">
        <v>6169</v>
      </c>
      <c r="AJ85" s="994"/>
      <c r="AK85" s="994"/>
      <c r="AL85" s="994"/>
      <c r="AM85" s="995"/>
      <c r="AN85" s="994" t="s">
        <v>6170</v>
      </c>
      <c r="AO85" s="994"/>
      <c r="AP85" s="994"/>
      <c r="AQ85" s="994"/>
      <c r="AR85" s="995"/>
      <c r="AS85" s="994" t="s">
        <v>6171</v>
      </c>
      <c r="AT85" s="994"/>
      <c r="AU85" s="994"/>
      <c r="AV85" s="994"/>
      <c r="AW85" s="995"/>
      <c r="AX85" s="994" t="s">
        <v>6172</v>
      </c>
      <c r="AY85" s="994"/>
      <c r="AZ85" s="994"/>
      <c r="BA85" s="994"/>
      <c r="BB85" s="995"/>
    </row>
    <row r="86" spans="1:54" ht="16.5" x14ac:dyDescent="0.3">
      <c r="A86" s="155">
        <f>IFERROR(IF(A85+1&lt;MAX(D041_ClassFeatures!$A$2:$A$2033),A85+1,""),"")</f>
        <v>83</v>
      </c>
      <c r="B86" s="153" t="str">
        <f>IFERROR(INDEX(D041_ClassFeatures!$B$2:$B$2033,MATCH(C_Variables!A86,D041_ClassFeatures!$A$2:$A$2033,0),1),"")</f>
        <v>Martial Archetype Feature18</v>
      </c>
      <c r="C86" s="153">
        <f>IF(B86="",0,IF(IFERROR(MATCH(B86,C_Input!$BC$160:$BC$239,0),0)&gt;0,1,0))</f>
        <v>0</v>
      </c>
      <c r="D86" s="153"/>
      <c r="E86" s="153"/>
      <c r="F86" s="153"/>
      <c r="G86" s="450"/>
      <c r="H86" s="459" t="s">
        <v>4513</v>
      </c>
      <c r="I86" s="450"/>
      <c r="J86" s="444"/>
      <c r="K86" s="445"/>
      <c r="L86" s="451"/>
      <c r="M86" s="460">
        <f t="shared" ref="M86:M91" si="40">IF(IFERROR(AND(INDEX(I$85:K$85,1,MATCH(1,$I86:$K86,0)),0)=$N$84,$N$85&gt;=$L86),1,0)</f>
        <v>1</v>
      </c>
      <c r="N86" s="445"/>
      <c r="O86" s="457">
        <f>M86</f>
        <v>1</v>
      </c>
      <c r="P86" s="445">
        <f>IF(O$86=0,0,1)</f>
        <v>1</v>
      </c>
      <c r="Q86" s="445">
        <f>IF(O86=0,0,1)</f>
        <v>1</v>
      </c>
      <c r="R86" s="445" t="str">
        <f t="shared" ref="R86:R117" si="41">IFERROR(IF(WarlockInvocationsKnown&lt;2,"n/a",INDEX($H$86:$H$117,MATCH(Q86,P$86:P$117,0),1)),"")</f>
        <v>n/a</v>
      </c>
      <c r="S86" s="451">
        <f t="shared" ref="S86:S117" si="42">IF(Invocation1=$H86,1,0)</f>
        <v>0</v>
      </c>
      <c r="T86" s="445">
        <f>IF(M86-S86&gt;0,1,0)</f>
        <v>1</v>
      </c>
      <c r="U86" s="445">
        <f>IF(T$86=0,0,1)</f>
        <v>1</v>
      </c>
      <c r="V86" s="445">
        <v>1</v>
      </c>
      <c r="W86" s="445" t="str">
        <f t="shared" ref="W86:W117" si="43">IFERROR(IF(WarlockInvocationsKnown&lt;2,"n/a",INDEX($H$86:$H$117,MATCH(V86,U$86:U$117,0),1)),"")</f>
        <v>n/a</v>
      </c>
      <c r="X86" s="451">
        <f t="shared" ref="X86:X117" si="44">IF(Invocation2=$H86,1,0)</f>
        <v>0</v>
      </c>
      <c r="Y86" s="445">
        <f>IF(M86-S86-X86&gt;0,1,0)</f>
        <v>1</v>
      </c>
      <c r="Z86" s="445">
        <f>IF(Y$86=0,0,1)</f>
        <v>1</v>
      </c>
      <c r="AA86" s="445">
        <v>1</v>
      </c>
      <c r="AB86" s="445" t="str">
        <f t="shared" ref="AB86:AB117" si="45">IFERROR(IF(WarlockInvocationsKnown&lt;3,"n/a",INDEX($H$86:$H$117,MATCH(AA86,Z$86:Z$117,0),1)),"")</f>
        <v>n/a</v>
      </c>
      <c r="AC86" s="451">
        <f t="shared" ref="AC86:AC117" si="46">IF(Invocation3=$H86,1,0)</f>
        <v>0</v>
      </c>
      <c r="AD86" s="445">
        <f>IF(M86-S86-X86-AC86&gt;0,1,0)</f>
        <v>1</v>
      </c>
      <c r="AE86" s="445">
        <f>IF(AD$86=0,0,1)</f>
        <v>1</v>
      </c>
      <c r="AF86" s="445">
        <v>1</v>
      </c>
      <c r="AG86" s="445" t="str">
        <f t="shared" ref="AG86:AG117" si="47">IFERROR(IF(WarlockInvocationsKnown&lt;2,"n/a",INDEX($H$86:$H$117,MATCH(AF86,AE$86:AE$117,0),1)),"")</f>
        <v>n/a</v>
      </c>
      <c r="AH86" s="451">
        <f t="shared" ref="AH86:AH117" si="48">IF(Invocation4=$H86,1,0)</f>
        <v>0</v>
      </c>
      <c r="AI86" s="445">
        <f>IF(M86-S86-X86-AC86-AH86&gt;0,1,0)</f>
        <v>1</v>
      </c>
      <c r="AJ86" s="445">
        <f>IF(AI$86=0,0,1)</f>
        <v>1</v>
      </c>
      <c r="AK86" s="445">
        <v>1</v>
      </c>
      <c r="AL86" s="445" t="str">
        <f t="shared" ref="AL86:AL117" si="49">IFERROR(IF(WarlockInvocationsKnown&lt;2,"n/a",INDEX($H$86:$H$117,MATCH(AK86,AJ$86:AJ$117,0),1)),"")</f>
        <v>n/a</v>
      </c>
      <c r="AM86" s="451">
        <f t="shared" ref="AM86:AM117" si="50">IF(Invocation5=$H86,1,0)</f>
        <v>0</v>
      </c>
      <c r="AN86" s="445">
        <f>IF(M86-S86-X86-AC86-AH86-AM86&gt;0,1,0)</f>
        <v>1</v>
      </c>
      <c r="AO86" s="445">
        <f>IF(AN$86=0,0,1)</f>
        <v>1</v>
      </c>
      <c r="AP86" s="445">
        <v>1</v>
      </c>
      <c r="AQ86" s="445" t="str">
        <f t="shared" ref="AQ86:AQ117" si="51">IFERROR(IF(WarlockInvocationsKnown&lt;2,"n/a",INDEX($H$86:$H$117,MATCH(AP86,AO$86:AO$117,0),1)),"")</f>
        <v>n/a</v>
      </c>
      <c r="AR86" s="451">
        <f t="shared" ref="AR86:AR117" si="52">IF(Invocation6=$H86,1,0)</f>
        <v>0</v>
      </c>
      <c r="AS86" s="445">
        <f>IF(M86-S86-X86-AC86-AH86-AM86-AR86&gt;0,1,0)</f>
        <v>1</v>
      </c>
      <c r="AT86" s="445">
        <f>IF(AS$86=0,0,1)</f>
        <v>1</v>
      </c>
      <c r="AU86" s="445">
        <v>1</v>
      </c>
      <c r="AV86" s="445" t="str">
        <f t="shared" ref="AV86:AV117" si="53">IFERROR(IF(WarlockInvocationsKnown&lt;2,"n/a",INDEX($H$86:$H$117,MATCH(AU86,AT$86:AT$117,0),1)),"")</f>
        <v>n/a</v>
      </c>
      <c r="AW86" s="451">
        <f t="shared" ref="AW86:AW117" si="54">IF(Invocation7=$H86,1,0)</f>
        <v>0</v>
      </c>
      <c r="AX86" s="445">
        <f>IF(M86-S86-X86-AC86-AH86-AM86-AR86-AW86&gt;0,1,0)</f>
        <v>1</v>
      </c>
      <c r="AY86" s="445">
        <f>IF(AX$86=0,0,1)</f>
        <v>1</v>
      </c>
      <c r="AZ86" s="445">
        <v>1</v>
      </c>
      <c r="BA86" s="445" t="str">
        <f t="shared" ref="BA86:BA117" si="55">IFERROR(IF(WarlockInvocationsKnown&lt;2,"n/a",INDEX($H$86:$H$117,MATCH(AZ86,AY$86:AY$117,0),1)),"")</f>
        <v>n/a</v>
      </c>
      <c r="BB86" s="451">
        <f t="shared" ref="BB86:BB117" si="56">IF(Invocation8=$H86,1,0)</f>
        <v>0</v>
      </c>
    </row>
    <row r="87" spans="1:54" ht="16.5" x14ac:dyDescent="0.3">
      <c r="A87" s="155">
        <f>IFERROR(IF(A86+1&lt;MAX(D041_ClassFeatures!$A$2:$A$2033),A86+1,""),"")</f>
        <v>84</v>
      </c>
      <c r="B87" s="153" t="str">
        <f>IFERROR(INDEX(D041_ClassFeatures!$B$2:$B$2033,MATCH(C_Variables!A87,D041_ClassFeatures!$A$2:$A$2033,0),1),"")</f>
        <v>Martial Arts</v>
      </c>
      <c r="C87" s="153">
        <f>IF(B87="",0,IF(IFERROR(MATCH(B87,C_Input!$BC$160:$BC$239,0),0)&gt;0,1,0))</f>
        <v>0</v>
      </c>
      <c r="D87" s="153"/>
      <c r="E87" s="153"/>
      <c r="F87" s="153"/>
      <c r="G87" s="452"/>
      <c r="H87" s="460" t="s">
        <v>4514</v>
      </c>
      <c r="I87" s="450"/>
      <c r="J87" s="444"/>
      <c r="K87" s="445"/>
      <c r="L87" s="451"/>
      <c r="M87" s="460">
        <f t="shared" si="40"/>
        <v>1</v>
      </c>
      <c r="N87" s="445"/>
      <c r="O87" s="457">
        <f t="shared" ref="O87:O117" si="57">M87</f>
        <v>1</v>
      </c>
      <c r="P87" s="445">
        <f>IF(O87&gt;0,1+COUNTIF(O86:O$86,"&gt;0"),0)</f>
        <v>2</v>
      </c>
      <c r="Q87" s="445" t="str">
        <f t="shared" ref="Q87:Q117" si="58">IF(WarlockInvocationsKnown&lt;2,"",IFERROR(IF(Q86&lt;SUM(O$86:O$117),Q86+1,""),""))</f>
        <v/>
      </c>
      <c r="R87" s="445" t="str">
        <f t="shared" si="41"/>
        <v>n/a</v>
      </c>
      <c r="S87" s="451">
        <f t="shared" si="42"/>
        <v>0</v>
      </c>
      <c r="T87" s="445">
        <f t="shared" ref="T87:T117" si="59">IF(M87-S87&gt;0,1,0)</f>
        <v>1</v>
      </c>
      <c r="U87" s="445">
        <f>IF(T87&gt;0,1+COUNTIF(T86:T$86,"&gt;0"),0)</f>
        <v>2</v>
      </c>
      <c r="V87" s="445" t="str">
        <f t="shared" ref="V87:V117" si="60">IF(WarlockInvocationsKnown&lt;2,"",IFERROR(IF(V86&lt;SUM(T$86:T$117),V86+1,""),""))</f>
        <v/>
      </c>
      <c r="W87" s="445" t="str">
        <f t="shared" si="43"/>
        <v>n/a</v>
      </c>
      <c r="X87" s="451">
        <f t="shared" si="44"/>
        <v>0</v>
      </c>
      <c r="Y87" s="445">
        <f t="shared" ref="Y87:Y117" si="61">IF(M87-S87-X87&gt;0,1,0)</f>
        <v>1</v>
      </c>
      <c r="Z87" s="445">
        <f>IF(Y87&gt;0,1+COUNTIF(Y86:Y$86,"&gt;0"),0)</f>
        <v>2</v>
      </c>
      <c r="AA87" s="445" t="str">
        <f t="shared" ref="AA87:AA117" si="62">IF(WarlockInvocationsKnown&lt;3,"",IFERROR(IF(AA86&lt;SUM(Y$86:Y$117),AA86+1,""),""))</f>
        <v/>
      </c>
      <c r="AB87" s="445" t="str">
        <f t="shared" si="45"/>
        <v>n/a</v>
      </c>
      <c r="AC87" s="451">
        <f t="shared" si="46"/>
        <v>0</v>
      </c>
      <c r="AD87" s="445">
        <f t="shared" ref="AD87:AD117" si="63">IF(M87-S87-X87-AC87&gt;0,1,0)</f>
        <v>1</v>
      </c>
      <c r="AE87" s="445">
        <f>IF(AD87&gt;0,1+COUNTIF(AD86:AD$86,"&gt;0"),0)</f>
        <v>2</v>
      </c>
      <c r="AF87" s="445" t="str">
        <f t="shared" ref="AF87:AF117" si="64">IF(WarlockInvocationsKnown&lt;2,"",IFERROR(IF(AF86&lt;SUM(AD$86:AD$117),AF86+1,""),""))</f>
        <v/>
      </c>
      <c r="AG87" s="445" t="str">
        <f t="shared" si="47"/>
        <v>n/a</v>
      </c>
      <c r="AH87" s="451">
        <f t="shared" si="48"/>
        <v>0</v>
      </c>
      <c r="AI87" s="445">
        <f t="shared" ref="AI87:AI117" si="65">IF(M87-S87-X87-AC87-AH87&gt;0,1,0)</f>
        <v>1</v>
      </c>
      <c r="AJ87" s="445">
        <f>IF(AI87&gt;0,1+COUNTIF(AI86:AI$86,"&gt;0"),0)</f>
        <v>2</v>
      </c>
      <c r="AK87" s="445" t="str">
        <f t="shared" ref="AK87:AK117" si="66">IF(WarlockInvocationsKnown&lt;2,"",IFERROR(IF(AK86&lt;SUM(AI$86:AI$117),AK86+1,""),""))</f>
        <v/>
      </c>
      <c r="AL87" s="445" t="str">
        <f t="shared" si="49"/>
        <v>n/a</v>
      </c>
      <c r="AM87" s="451">
        <f t="shared" si="50"/>
        <v>0</v>
      </c>
      <c r="AN87" s="445">
        <f t="shared" ref="AN87:AN117" si="67">IF(M87-S87-X87-AC87-AH87-AM87&gt;0,1,0)</f>
        <v>1</v>
      </c>
      <c r="AO87" s="445">
        <f>IF(AN87&gt;0,1+COUNTIF(AN86:AN$86,"&gt;0"),0)</f>
        <v>2</v>
      </c>
      <c r="AP87" s="445" t="str">
        <f t="shared" ref="AP87:AP117" si="68">IF(WarlockInvocationsKnown&lt;2,"",IFERROR(IF(AP86&lt;SUM(AN$86:AN$117),AP86+1,""),""))</f>
        <v/>
      </c>
      <c r="AQ87" s="445" t="str">
        <f t="shared" si="51"/>
        <v>n/a</v>
      </c>
      <c r="AR87" s="451">
        <f t="shared" si="52"/>
        <v>0</v>
      </c>
      <c r="AS87" s="445">
        <f t="shared" ref="AS87:AS117" si="69">IF(M87-S87-X87-AC87-AH87-AM87-AR87&gt;0,1,0)</f>
        <v>1</v>
      </c>
      <c r="AT87" s="445">
        <f>IF(AS87&gt;0,1+COUNTIF(AS86:AS$86,"&gt;0"),0)</f>
        <v>2</v>
      </c>
      <c r="AU87" s="445" t="str">
        <f t="shared" ref="AU87:AU117" si="70">IF(WarlockInvocationsKnown&lt;2,"",IFERROR(IF(AU86&lt;SUM(AS$86:AS$117),AU86+1,""),""))</f>
        <v/>
      </c>
      <c r="AV87" s="445" t="str">
        <f t="shared" si="53"/>
        <v>n/a</v>
      </c>
      <c r="AW87" s="451">
        <f t="shared" si="54"/>
        <v>0</v>
      </c>
      <c r="AX87" s="445">
        <f t="shared" ref="AX87:AX117" si="71">IF(M87-S87-X87-AC87-AH87-AM87-AR87-AW87&gt;0,1,0)</f>
        <v>1</v>
      </c>
      <c r="AY87" s="445">
        <f>IF(AX87&gt;0,1+COUNTIF(AX86:AX$86,"&gt;0"),0)</f>
        <v>2</v>
      </c>
      <c r="AZ87" s="445" t="str">
        <f t="shared" ref="AZ87:AZ117" si="72">IF(WarlockInvocationsKnown&lt;2,"",IFERROR(IF(AZ86&lt;SUM(AX$86:AX$117),AZ86+1,""),""))</f>
        <v/>
      </c>
      <c r="BA87" s="445" t="str">
        <f t="shared" si="55"/>
        <v>n/a</v>
      </c>
      <c r="BB87" s="451">
        <f t="shared" si="56"/>
        <v>0</v>
      </c>
    </row>
    <row r="88" spans="1:54" ht="16.5" x14ac:dyDescent="0.3">
      <c r="A88" s="155">
        <f>IFERROR(IF(A87+1&lt;MAX(D041_ClassFeatures!$A$2:$A$2033),A87+1,""),"")</f>
        <v>85</v>
      </c>
      <c r="B88" s="153" t="str">
        <f>IFERROR(INDEX(D041_ClassFeatures!$B$2:$B$2033,MATCH(C_Variables!A88,D041_ClassFeatures!$A$2:$A$2033,0),1),"")</f>
        <v>Metamagic</v>
      </c>
      <c r="C88" s="153">
        <f>IF(B88="",0,IF(IFERROR(MATCH(B88,C_Input!$BC$160:$BC$239,0),0)&gt;0,1,0))</f>
        <v>0</v>
      </c>
      <c r="D88" s="153"/>
      <c r="E88" s="153"/>
      <c r="F88" s="153"/>
      <c r="G88" s="452"/>
      <c r="H88" s="460" t="s">
        <v>4515</v>
      </c>
      <c r="I88" s="450"/>
      <c r="J88" s="444"/>
      <c r="K88" s="445"/>
      <c r="L88" s="451">
        <v>9</v>
      </c>
      <c r="M88" s="460">
        <f t="shared" si="40"/>
        <v>0</v>
      </c>
      <c r="N88" s="445"/>
      <c r="O88" s="457">
        <f t="shared" si="57"/>
        <v>0</v>
      </c>
      <c r="P88" s="445">
        <f>IF(O88&gt;0,1+COUNTIF(O$86:O87,"&gt;0"),0)</f>
        <v>0</v>
      </c>
      <c r="Q88" s="445" t="str">
        <f t="shared" si="58"/>
        <v/>
      </c>
      <c r="R88" s="445" t="str">
        <f t="shared" si="41"/>
        <v>n/a</v>
      </c>
      <c r="S88" s="451">
        <f t="shared" si="42"/>
        <v>0</v>
      </c>
      <c r="T88" s="445">
        <f t="shared" si="59"/>
        <v>0</v>
      </c>
      <c r="U88" s="445">
        <f>IF(T88&gt;0,1+COUNTIF(T$86:T87,"&gt;0"),0)</f>
        <v>0</v>
      </c>
      <c r="V88" s="445" t="str">
        <f t="shared" si="60"/>
        <v/>
      </c>
      <c r="W88" s="445" t="str">
        <f t="shared" si="43"/>
        <v>n/a</v>
      </c>
      <c r="X88" s="451">
        <f t="shared" si="44"/>
        <v>0</v>
      </c>
      <c r="Y88" s="445">
        <f t="shared" si="61"/>
        <v>0</v>
      </c>
      <c r="Z88" s="445">
        <f>IF(Y88&gt;0,1+COUNTIF(Y$86:Y87,"&gt;0"),0)</f>
        <v>0</v>
      </c>
      <c r="AA88" s="445" t="str">
        <f t="shared" si="62"/>
        <v/>
      </c>
      <c r="AB88" s="445" t="str">
        <f t="shared" si="45"/>
        <v>n/a</v>
      </c>
      <c r="AC88" s="451">
        <f t="shared" si="46"/>
        <v>0</v>
      </c>
      <c r="AD88" s="445">
        <f t="shared" si="63"/>
        <v>0</v>
      </c>
      <c r="AE88" s="445">
        <f>IF(AD88&gt;0,1+COUNTIF(AD$86:AD87,"&gt;0"),0)</f>
        <v>0</v>
      </c>
      <c r="AF88" s="445" t="str">
        <f t="shared" si="64"/>
        <v/>
      </c>
      <c r="AG88" s="445" t="str">
        <f t="shared" si="47"/>
        <v>n/a</v>
      </c>
      <c r="AH88" s="451">
        <f t="shared" si="48"/>
        <v>0</v>
      </c>
      <c r="AI88" s="445">
        <f t="shared" si="65"/>
        <v>0</v>
      </c>
      <c r="AJ88" s="445">
        <f>IF(AI88&gt;0,1+COUNTIF(AI$86:AI87,"&gt;0"),0)</f>
        <v>0</v>
      </c>
      <c r="AK88" s="445" t="str">
        <f t="shared" si="66"/>
        <v/>
      </c>
      <c r="AL88" s="445" t="str">
        <f t="shared" si="49"/>
        <v>n/a</v>
      </c>
      <c r="AM88" s="451">
        <f t="shared" si="50"/>
        <v>0</v>
      </c>
      <c r="AN88" s="445">
        <f t="shared" si="67"/>
        <v>0</v>
      </c>
      <c r="AO88" s="445">
        <f>IF(AN88&gt;0,1+COUNTIF(AN$86:AN87,"&gt;0"),0)</f>
        <v>0</v>
      </c>
      <c r="AP88" s="445" t="str">
        <f t="shared" si="68"/>
        <v/>
      </c>
      <c r="AQ88" s="445" t="str">
        <f t="shared" si="51"/>
        <v>n/a</v>
      </c>
      <c r="AR88" s="451">
        <f t="shared" si="52"/>
        <v>0</v>
      </c>
      <c r="AS88" s="445">
        <f t="shared" si="69"/>
        <v>0</v>
      </c>
      <c r="AT88" s="445">
        <f>IF(AS88&gt;0,1+COUNTIF(AS$86:AS87,"&gt;0"),0)</f>
        <v>0</v>
      </c>
      <c r="AU88" s="445" t="str">
        <f t="shared" si="70"/>
        <v/>
      </c>
      <c r="AV88" s="445" t="str">
        <f t="shared" si="53"/>
        <v>n/a</v>
      </c>
      <c r="AW88" s="451">
        <f t="shared" si="54"/>
        <v>0</v>
      </c>
      <c r="AX88" s="445">
        <f t="shared" si="71"/>
        <v>0</v>
      </c>
      <c r="AY88" s="445">
        <f>IF(AX88&gt;0,1+COUNTIF(AX$86:AX87,"&gt;0"),0)</f>
        <v>0</v>
      </c>
      <c r="AZ88" s="445" t="str">
        <f t="shared" si="72"/>
        <v/>
      </c>
      <c r="BA88" s="445" t="str">
        <f t="shared" si="55"/>
        <v>n/a</v>
      </c>
      <c r="BB88" s="451">
        <f t="shared" si="56"/>
        <v>0</v>
      </c>
    </row>
    <row r="89" spans="1:54" ht="16.5" x14ac:dyDescent="0.3">
      <c r="A89" s="155">
        <f>IFERROR(IF(A88+1&lt;MAX(D041_ClassFeatures!$A$2:$A$2033),A88+1,""),"")</f>
        <v>86</v>
      </c>
      <c r="B89" s="153" t="str">
        <f>IFERROR(INDEX(D041_ClassFeatures!$B$2:$B$2033,MATCH(C_Variables!A89,D041_ClassFeatures!$A$2:$A$2033,0),1),"")</f>
        <v>Monastic Tradition</v>
      </c>
      <c r="C89" s="153">
        <f>IF(B89="",0,IF(IFERROR(MATCH(B89,C_Input!$BC$160:$BC$239,0),0)&gt;0,1,0))</f>
        <v>0</v>
      </c>
      <c r="D89" s="153"/>
      <c r="E89" s="153"/>
      <c r="F89" s="153"/>
      <c r="G89" s="452"/>
      <c r="H89" s="460" t="s">
        <v>4516</v>
      </c>
      <c r="I89" s="450"/>
      <c r="J89" s="444"/>
      <c r="K89" s="445"/>
      <c r="L89" s="451"/>
      <c r="M89" s="460">
        <f t="shared" si="40"/>
        <v>1</v>
      </c>
      <c r="N89" s="445"/>
      <c r="O89" s="457">
        <f t="shared" si="57"/>
        <v>1</v>
      </c>
      <c r="P89" s="445">
        <f>IF(O89&gt;0,1+COUNTIF(O$86:O88,"&gt;0"),0)</f>
        <v>3</v>
      </c>
      <c r="Q89" s="445" t="str">
        <f t="shared" si="58"/>
        <v/>
      </c>
      <c r="R89" s="445" t="str">
        <f t="shared" si="41"/>
        <v>n/a</v>
      </c>
      <c r="S89" s="451">
        <f t="shared" si="42"/>
        <v>0</v>
      </c>
      <c r="T89" s="445">
        <f t="shared" si="59"/>
        <v>1</v>
      </c>
      <c r="U89" s="445">
        <f>IF(T89&gt;0,1+COUNTIF(T$86:T88,"&gt;0"),0)</f>
        <v>3</v>
      </c>
      <c r="V89" s="445" t="str">
        <f t="shared" si="60"/>
        <v/>
      </c>
      <c r="W89" s="445" t="str">
        <f t="shared" si="43"/>
        <v>n/a</v>
      </c>
      <c r="X89" s="451">
        <f t="shared" si="44"/>
        <v>0</v>
      </c>
      <c r="Y89" s="445">
        <f t="shared" si="61"/>
        <v>1</v>
      </c>
      <c r="Z89" s="445">
        <f>IF(Y89&gt;0,1+COUNTIF(Y$86:Y88,"&gt;0"),0)</f>
        <v>3</v>
      </c>
      <c r="AA89" s="445" t="str">
        <f t="shared" si="62"/>
        <v/>
      </c>
      <c r="AB89" s="445" t="str">
        <f t="shared" si="45"/>
        <v>n/a</v>
      </c>
      <c r="AC89" s="451">
        <f t="shared" si="46"/>
        <v>0</v>
      </c>
      <c r="AD89" s="445">
        <f t="shared" si="63"/>
        <v>1</v>
      </c>
      <c r="AE89" s="445">
        <f>IF(AD89&gt;0,1+COUNTIF(AD$86:AD88,"&gt;0"),0)</f>
        <v>3</v>
      </c>
      <c r="AF89" s="445" t="str">
        <f t="shared" si="64"/>
        <v/>
      </c>
      <c r="AG89" s="445" t="str">
        <f t="shared" si="47"/>
        <v>n/a</v>
      </c>
      <c r="AH89" s="451">
        <f t="shared" si="48"/>
        <v>0</v>
      </c>
      <c r="AI89" s="445">
        <f t="shared" si="65"/>
        <v>1</v>
      </c>
      <c r="AJ89" s="445">
        <f>IF(AI89&gt;0,1+COUNTIF(AI$86:AI88,"&gt;0"),0)</f>
        <v>3</v>
      </c>
      <c r="AK89" s="445" t="str">
        <f t="shared" si="66"/>
        <v/>
      </c>
      <c r="AL89" s="445" t="str">
        <f t="shared" si="49"/>
        <v>n/a</v>
      </c>
      <c r="AM89" s="451">
        <f t="shared" si="50"/>
        <v>0</v>
      </c>
      <c r="AN89" s="445">
        <f t="shared" si="67"/>
        <v>1</v>
      </c>
      <c r="AO89" s="445">
        <f>IF(AN89&gt;0,1+COUNTIF(AN$86:AN88,"&gt;0"),0)</f>
        <v>3</v>
      </c>
      <c r="AP89" s="445" t="str">
        <f t="shared" si="68"/>
        <v/>
      </c>
      <c r="AQ89" s="445" t="str">
        <f t="shared" si="51"/>
        <v>n/a</v>
      </c>
      <c r="AR89" s="451">
        <f t="shared" si="52"/>
        <v>0</v>
      </c>
      <c r="AS89" s="445">
        <f t="shared" si="69"/>
        <v>1</v>
      </c>
      <c r="AT89" s="445">
        <f>IF(AS89&gt;0,1+COUNTIF(AS$86:AS88,"&gt;0"),0)</f>
        <v>3</v>
      </c>
      <c r="AU89" s="445" t="str">
        <f t="shared" si="70"/>
        <v/>
      </c>
      <c r="AV89" s="445" t="str">
        <f t="shared" si="53"/>
        <v>n/a</v>
      </c>
      <c r="AW89" s="451">
        <f t="shared" si="54"/>
        <v>0</v>
      </c>
      <c r="AX89" s="445">
        <f t="shared" si="71"/>
        <v>1</v>
      </c>
      <c r="AY89" s="445">
        <f>IF(AX89&gt;0,1+COUNTIF(AX$86:AX88,"&gt;0"),0)</f>
        <v>3</v>
      </c>
      <c r="AZ89" s="445" t="str">
        <f t="shared" si="72"/>
        <v/>
      </c>
      <c r="BA89" s="445" t="str">
        <f t="shared" si="55"/>
        <v>n/a</v>
      </c>
      <c r="BB89" s="451">
        <f t="shared" si="56"/>
        <v>0</v>
      </c>
    </row>
    <row r="90" spans="1:54" ht="16.5" x14ac:dyDescent="0.3">
      <c r="A90" s="155">
        <f>IFERROR(IF(A89+1&lt;MAX(D041_ClassFeatures!$A$2:$A$2033),A89+1,""),"")</f>
        <v>87</v>
      </c>
      <c r="B90" s="153" t="str">
        <f>IFERROR(INDEX(D041_ClassFeatures!$B$2:$B$2033,MATCH(C_Variables!A90,D041_ClassFeatures!$A$2:$A$2033,0),1),"")</f>
        <v>Monastic Tradition Feature3</v>
      </c>
      <c r="C90" s="153">
        <f>IF(B90="",0,IF(IFERROR(MATCH(B90,C_Input!$BC$160:$BC$239,0),0)&gt;0,1,0))</f>
        <v>0</v>
      </c>
      <c r="D90" s="153"/>
      <c r="E90" s="153"/>
      <c r="F90" s="153"/>
      <c r="G90" s="452"/>
      <c r="H90" s="460" t="s">
        <v>4517</v>
      </c>
      <c r="I90" s="450"/>
      <c r="J90" s="444"/>
      <c r="K90" s="445"/>
      <c r="L90" s="451"/>
      <c r="M90" s="460">
        <f t="shared" si="40"/>
        <v>1</v>
      </c>
      <c r="N90" s="445"/>
      <c r="O90" s="457">
        <f t="shared" si="57"/>
        <v>1</v>
      </c>
      <c r="P90" s="445">
        <f>IF(O90&gt;0,1+COUNTIF(O$86:O89,"&gt;0"),0)</f>
        <v>4</v>
      </c>
      <c r="Q90" s="445" t="str">
        <f t="shared" si="58"/>
        <v/>
      </c>
      <c r="R90" s="445" t="str">
        <f t="shared" si="41"/>
        <v>n/a</v>
      </c>
      <c r="S90" s="451">
        <f t="shared" si="42"/>
        <v>0</v>
      </c>
      <c r="T90" s="445">
        <f t="shared" si="59"/>
        <v>1</v>
      </c>
      <c r="U90" s="445">
        <f>IF(T90&gt;0,1+COUNTIF(T$86:T89,"&gt;0"),0)</f>
        <v>4</v>
      </c>
      <c r="V90" s="445" t="str">
        <f t="shared" si="60"/>
        <v/>
      </c>
      <c r="W90" s="445" t="str">
        <f t="shared" si="43"/>
        <v>n/a</v>
      </c>
      <c r="X90" s="451">
        <f t="shared" si="44"/>
        <v>0</v>
      </c>
      <c r="Y90" s="445">
        <f t="shared" si="61"/>
        <v>1</v>
      </c>
      <c r="Z90" s="445">
        <f>IF(Y90&gt;0,1+COUNTIF(Y$86:Y89,"&gt;0"),0)</f>
        <v>4</v>
      </c>
      <c r="AA90" s="445" t="str">
        <f t="shared" si="62"/>
        <v/>
      </c>
      <c r="AB90" s="445" t="str">
        <f t="shared" si="45"/>
        <v>n/a</v>
      </c>
      <c r="AC90" s="451">
        <f t="shared" si="46"/>
        <v>0</v>
      </c>
      <c r="AD90" s="445">
        <f t="shared" si="63"/>
        <v>1</v>
      </c>
      <c r="AE90" s="445">
        <f>IF(AD90&gt;0,1+COUNTIF(AD$86:AD89,"&gt;0"),0)</f>
        <v>4</v>
      </c>
      <c r="AF90" s="445" t="str">
        <f t="shared" si="64"/>
        <v/>
      </c>
      <c r="AG90" s="445" t="str">
        <f t="shared" si="47"/>
        <v>n/a</v>
      </c>
      <c r="AH90" s="451">
        <f t="shared" si="48"/>
        <v>0</v>
      </c>
      <c r="AI90" s="445">
        <f t="shared" si="65"/>
        <v>1</v>
      </c>
      <c r="AJ90" s="445">
        <f>IF(AI90&gt;0,1+COUNTIF(AI$86:AI89,"&gt;0"),0)</f>
        <v>4</v>
      </c>
      <c r="AK90" s="445" t="str">
        <f t="shared" si="66"/>
        <v/>
      </c>
      <c r="AL90" s="445" t="str">
        <f t="shared" si="49"/>
        <v>n/a</v>
      </c>
      <c r="AM90" s="451">
        <f t="shared" si="50"/>
        <v>0</v>
      </c>
      <c r="AN90" s="445">
        <f t="shared" si="67"/>
        <v>1</v>
      </c>
      <c r="AO90" s="445">
        <f>IF(AN90&gt;0,1+COUNTIF(AN$86:AN89,"&gt;0"),0)</f>
        <v>4</v>
      </c>
      <c r="AP90" s="445" t="str">
        <f t="shared" si="68"/>
        <v/>
      </c>
      <c r="AQ90" s="445" t="str">
        <f t="shared" si="51"/>
        <v>n/a</v>
      </c>
      <c r="AR90" s="451">
        <f t="shared" si="52"/>
        <v>0</v>
      </c>
      <c r="AS90" s="445">
        <f t="shared" si="69"/>
        <v>1</v>
      </c>
      <c r="AT90" s="445">
        <f>IF(AS90&gt;0,1+COUNTIF(AS$86:AS89,"&gt;0"),0)</f>
        <v>4</v>
      </c>
      <c r="AU90" s="445" t="str">
        <f t="shared" si="70"/>
        <v/>
      </c>
      <c r="AV90" s="445" t="str">
        <f t="shared" si="53"/>
        <v>n/a</v>
      </c>
      <c r="AW90" s="451">
        <f t="shared" si="54"/>
        <v>0</v>
      </c>
      <c r="AX90" s="445">
        <f t="shared" si="71"/>
        <v>1</v>
      </c>
      <c r="AY90" s="445">
        <f>IF(AX90&gt;0,1+COUNTIF(AX$86:AX89,"&gt;0"),0)</f>
        <v>4</v>
      </c>
      <c r="AZ90" s="445" t="str">
        <f t="shared" si="72"/>
        <v/>
      </c>
      <c r="BA90" s="445" t="str">
        <f t="shared" si="55"/>
        <v>n/a</v>
      </c>
      <c r="BB90" s="451">
        <f t="shared" si="56"/>
        <v>0</v>
      </c>
    </row>
    <row r="91" spans="1:54" ht="16.5" x14ac:dyDescent="0.3">
      <c r="A91" s="155">
        <f>IFERROR(IF(A90+1&lt;MAX(D041_ClassFeatures!$A$2:$A$2033),A90+1,""),"")</f>
        <v>88</v>
      </c>
      <c r="B91" s="153" t="str">
        <f>IFERROR(INDEX(D041_ClassFeatures!$B$2:$B$2033,MATCH(C_Variables!A91,D041_ClassFeatures!$A$2:$A$2033,0),1),"")</f>
        <v>Monastic Tradition Feature6</v>
      </c>
      <c r="C91" s="153">
        <f>IF(B91="",0,IF(IFERROR(MATCH(B91,C_Input!$BC$160:$BC$239,0),0)&gt;0,1,0))</f>
        <v>0</v>
      </c>
      <c r="D91" s="153"/>
      <c r="E91" s="153"/>
      <c r="F91" s="153"/>
      <c r="G91" s="452"/>
      <c r="H91" s="460" t="s">
        <v>4518</v>
      </c>
      <c r="I91" s="450"/>
      <c r="J91" s="444"/>
      <c r="K91" s="445"/>
      <c r="L91" s="451">
        <v>7</v>
      </c>
      <c r="M91" s="460">
        <f t="shared" si="40"/>
        <v>0</v>
      </c>
      <c r="N91" s="445"/>
      <c r="O91" s="457">
        <f t="shared" si="57"/>
        <v>0</v>
      </c>
      <c r="P91" s="445">
        <f>IF(O91&gt;0,1+COUNTIF(O$86:O90,"&gt;0"),0)</f>
        <v>0</v>
      </c>
      <c r="Q91" s="445" t="str">
        <f t="shared" si="58"/>
        <v/>
      </c>
      <c r="R91" s="445" t="str">
        <f t="shared" si="41"/>
        <v>n/a</v>
      </c>
      <c r="S91" s="451">
        <f t="shared" si="42"/>
        <v>0</v>
      </c>
      <c r="T91" s="445">
        <f t="shared" si="59"/>
        <v>0</v>
      </c>
      <c r="U91" s="445">
        <f>IF(T91&gt;0,1+COUNTIF(T$86:T90,"&gt;0"),0)</f>
        <v>0</v>
      </c>
      <c r="V91" s="445" t="str">
        <f t="shared" si="60"/>
        <v/>
      </c>
      <c r="W91" s="445" t="str">
        <f t="shared" si="43"/>
        <v>n/a</v>
      </c>
      <c r="X91" s="451">
        <f t="shared" si="44"/>
        <v>0</v>
      </c>
      <c r="Y91" s="445">
        <f t="shared" si="61"/>
        <v>0</v>
      </c>
      <c r="Z91" s="445">
        <f>IF(Y91&gt;0,1+COUNTIF(Y$86:Y90,"&gt;0"),0)</f>
        <v>0</v>
      </c>
      <c r="AA91" s="445" t="str">
        <f t="shared" si="62"/>
        <v/>
      </c>
      <c r="AB91" s="445" t="str">
        <f t="shared" si="45"/>
        <v>n/a</v>
      </c>
      <c r="AC91" s="451">
        <f t="shared" si="46"/>
        <v>0</v>
      </c>
      <c r="AD91" s="445">
        <f t="shared" si="63"/>
        <v>0</v>
      </c>
      <c r="AE91" s="445">
        <f>IF(AD91&gt;0,1+COUNTIF(AD$86:AD90,"&gt;0"),0)</f>
        <v>0</v>
      </c>
      <c r="AF91" s="445" t="str">
        <f t="shared" si="64"/>
        <v/>
      </c>
      <c r="AG91" s="445" t="str">
        <f t="shared" si="47"/>
        <v>n/a</v>
      </c>
      <c r="AH91" s="451">
        <f t="shared" si="48"/>
        <v>0</v>
      </c>
      <c r="AI91" s="445">
        <f t="shared" si="65"/>
        <v>0</v>
      </c>
      <c r="AJ91" s="445">
        <f>IF(AI91&gt;0,1+COUNTIF(AI$86:AI90,"&gt;0"),0)</f>
        <v>0</v>
      </c>
      <c r="AK91" s="445" t="str">
        <f t="shared" si="66"/>
        <v/>
      </c>
      <c r="AL91" s="445" t="str">
        <f t="shared" si="49"/>
        <v>n/a</v>
      </c>
      <c r="AM91" s="451">
        <f t="shared" si="50"/>
        <v>0</v>
      </c>
      <c r="AN91" s="445">
        <f t="shared" si="67"/>
        <v>0</v>
      </c>
      <c r="AO91" s="445">
        <f>IF(AN91&gt;0,1+COUNTIF(AN$86:AN90,"&gt;0"),0)</f>
        <v>0</v>
      </c>
      <c r="AP91" s="445" t="str">
        <f t="shared" si="68"/>
        <v/>
      </c>
      <c r="AQ91" s="445" t="str">
        <f t="shared" si="51"/>
        <v>n/a</v>
      </c>
      <c r="AR91" s="451">
        <f t="shared" si="52"/>
        <v>0</v>
      </c>
      <c r="AS91" s="445">
        <f t="shared" si="69"/>
        <v>0</v>
      </c>
      <c r="AT91" s="445">
        <f>IF(AS91&gt;0,1+COUNTIF(AS$86:AS90,"&gt;0"),0)</f>
        <v>0</v>
      </c>
      <c r="AU91" s="445" t="str">
        <f t="shared" si="70"/>
        <v/>
      </c>
      <c r="AV91" s="445" t="str">
        <f t="shared" si="53"/>
        <v>n/a</v>
      </c>
      <c r="AW91" s="451">
        <f t="shared" si="54"/>
        <v>0</v>
      </c>
      <c r="AX91" s="445">
        <f t="shared" si="71"/>
        <v>0</v>
      </c>
      <c r="AY91" s="445">
        <f>IF(AX91&gt;0,1+COUNTIF(AX$86:AX90,"&gt;0"),0)</f>
        <v>0</v>
      </c>
      <c r="AZ91" s="445" t="str">
        <f t="shared" si="72"/>
        <v/>
      </c>
      <c r="BA91" s="445" t="str">
        <f t="shared" si="55"/>
        <v>n/a</v>
      </c>
      <c r="BB91" s="451">
        <f t="shared" si="56"/>
        <v>0</v>
      </c>
    </row>
    <row r="92" spans="1:54" ht="16.5" x14ac:dyDescent="0.3">
      <c r="A92" s="155">
        <f>IFERROR(IF(A91+1&lt;MAX(D041_ClassFeatures!$A$2:$A$2033),A91+1,""),"")</f>
        <v>89</v>
      </c>
      <c r="B92" s="153" t="str">
        <f>IFERROR(INDEX(D041_ClassFeatures!$B$2:$B$2033,MATCH(C_Variables!A92,D041_ClassFeatures!$A$2:$A$2033,0),1),"")</f>
        <v>Monastic Tradition Feature11</v>
      </c>
      <c r="C92" s="153">
        <f>IF(B92="",0,IF(IFERROR(MATCH(B92,C_Input!$BC$160:$BC$239,0),0)&gt;0,1,0))</f>
        <v>0</v>
      </c>
      <c r="D92" s="153"/>
      <c r="E92" s="153"/>
      <c r="F92" s="153"/>
      <c r="G92" s="452"/>
      <c r="H92" s="460" t="s">
        <v>4519</v>
      </c>
      <c r="I92" s="450"/>
      <c r="J92" s="444"/>
      <c r="K92" s="445">
        <v>1</v>
      </c>
      <c r="L92" s="451"/>
      <c r="M92" s="460">
        <f>IF(IFERROR(AND(INDEX(I$85:K$85,1,MATCH(1,$I92:$K92,0)),0)=$N$84,$N$85&gt;=$L92),1,0)</f>
        <v>0</v>
      </c>
      <c r="N92" s="445"/>
      <c r="O92" s="457">
        <f t="shared" si="57"/>
        <v>0</v>
      </c>
      <c r="P92" s="445">
        <f>IF(O92&gt;0,1+COUNTIF(O$86:O91,"&gt;0"),0)</f>
        <v>0</v>
      </c>
      <c r="Q92" s="445" t="str">
        <f t="shared" si="58"/>
        <v/>
      </c>
      <c r="R92" s="445" t="str">
        <f t="shared" si="41"/>
        <v>n/a</v>
      </c>
      <c r="S92" s="451">
        <f t="shared" si="42"/>
        <v>0</v>
      </c>
      <c r="T92" s="445">
        <f t="shared" si="59"/>
        <v>0</v>
      </c>
      <c r="U92" s="445">
        <f>IF(T92&gt;0,1+COUNTIF(T$86:T91,"&gt;0"),0)</f>
        <v>0</v>
      </c>
      <c r="V92" s="445" t="str">
        <f t="shared" si="60"/>
        <v/>
      </c>
      <c r="W92" s="445" t="str">
        <f t="shared" si="43"/>
        <v>n/a</v>
      </c>
      <c r="X92" s="451">
        <f t="shared" si="44"/>
        <v>0</v>
      </c>
      <c r="Y92" s="445">
        <f t="shared" si="61"/>
        <v>0</v>
      </c>
      <c r="Z92" s="445">
        <f>IF(Y92&gt;0,1+COUNTIF(Y$86:Y91,"&gt;0"),0)</f>
        <v>0</v>
      </c>
      <c r="AA92" s="445" t="str">
        <f t="shared" si="62"/>
        <v/>
      </c>
      <c r="AB92" s="445" t="str">
        <f t="shared" si="45"/>
        <v>n/a</v>
      </c>
      <c r="AC92" s="451">
        <f t="shared" si="46"/>
        <v>0</v>
      </c>
      <c r="AD92" s="445">
        <f t="shared" si="63"/>
        <v>0</v>
      </c>
      <c r="AE92" s="445">
        <f>IF(AD92&gt;0,1+COUNTIF(AD$86:AD91,"&gt;0"),0)</f>
        <v>0</v>
      </c>
      <c r="AF92" s="445" t="str">
        <f t="shared" si="64"/>
        <v/>
      </c>
      <c r="AG92" s="445" t="str">
        <f t="shared" si="47"/>
        <v>n/a</v>
      </c>
      <c r="AH92" s="451">
        <f t="shared" si="48"/>
        <v>0</v>
      </c>
      <c r="AI92" s="445">
        <f t="shared" si="65"/>
        <v>0</v>
      </c>
      <c r="AJ92" s="445">
        <f>IF(AI92&gt;0,1+COUNTIF(AI$86:AI91,"&gt;0"),0)</f>
        <v>0</v>
      </c>
      <c r="AK92" s="445" t="str">
        <f t="shared" si="66"/>
        <v/>
      </c>
      <c r="AL92" s="445" t="str">
        <f t="shared" si="49"/>
        <v>n/a</v>
      </c>
      <c r="AM92" s="451">
        <f t="shared" si="50"/>
        <v>0</v>
      </c>
      <c r="AN92" s="445">
        <f t="shared" si="67"/>
        <v>0</v>
      </c>
      <c r="AO92" s="445">
        <f>IF(AN92&gt;0,1+COUNTIF(AN$86:AN91,"&gt;0"),0)</f>
        <v>0</v>
      </c>
      <c r="AP92" s="445" t="str">
        <f t="shared" si="68"/>
        <v/>
      </c>
      <c r="AQ92" s="445" t="str">
        <f t="shared" si="51"/>
        <v>n/a</v>
      </c>
      <c r="AR92" s="451">
        <f t="shared" si="52"/>
        <v>0</v>
      </c>
      <c r="AS92" s="445">
        <f t="shared" si="69"/>
        <v>0</v>
      </c>
      <c r="AT92" s="445">
        <f>IF(AS92&gt;0,1+COUNTIF(AS$86:AS91,"&gt;0"),0)</f>
        <v>0</v>
      </c>
      <c r="AU92" s="445" t="str">
        <f t="shared" si="70"/>
        <v/>
      </c>
      <c r="AV92" s="445" t="str">
        <f t="shared" si="53"/>
        <v>n/a</v>
      </c>
      <c r="AW92" s="451">
        <f t="shared" si="54"/>
        <v>0</v>
      </c>
      <c r="AX92" s="445">
        <f t="shared" si="71"/>
        <v>0</v>
      </c>
      <c r="AY92" s="445">
        <f>IF(AX92&gt;0,1+COUNTIF(AX$86:AX91,"&gt;0"),0)</f>
        <v>0</v>
      </c>
      <c r="AZ92" s="445" t="str">
        <f t="shared" si="72"/>
        <v/>
      </c>
      <c r="BA92" s="445" t="str">
        <f t="shared" si="55"/>
        <v>n/a</v>
      </c>
      <c r="BB92" s="451">
        <f t="shared" si="56"/>
        <v>0</v>
      </c>
    </row>
    <row r="93" spans="1:54" ht="16.5" x14ac:dyDescent="0.3">
      <c r="A93" s="155">
        <f>IFERROR(IF(A92+1&lt;MAX(D041_ClassFeatures!$A$2:$A$2033),A92+1,""),"")</f>
        <v>90</v>
      </c>
      <c r="B93" s="153" t="str">
        <f>IFERROR(INDEX(D041_ClassFeatures!$B$2:$B$2033,MATCH(C_Variables!A93,D041_ClassFeatures!$A$2:$A$2033,0),1),"")</f>
        <v>Monastic Tradition Feature17</v>
      </c>
      <c r="C93" s="153">
        <f>IF(B93="",0,IF(IFERROR(MATCH(B93,C_Input!$BC$160:$BC$239,0),0)&gt;0,1,0))</f>
        <v>0</v>
      </c>
      <c r="D93" s="153"/>
      <c r="E93" s="153"/>
      <c r="F93" s="153"/>
      <c r="G93" s="452"/>
      <c r="H93" s="460" t="s">
        <v>4520</v>
      </c>
      <c r="I93" s="450">
        <v>1</v>
      </c>
      <c r="J93" s="444"/>
      <c r="K93" s="445"/>
      <c r="L93" s="451">
        <v>15</v>
      </c>
      <c r="M93" s="460">
        <f t="shared" ref="M93:M117" si="73">IF(IFERROR(AND(INDEX(I$85:K$85,1,MATCH(1,$I93:$K93,0)),0)=$N$84,$N$85&gt;=$L93),1,0)</f>
        <v>0</v>
      </c>
      <c r="N93" s="445"/>
      <c r="O93" s="457">
        <f t="shared" si="57"/>
        <v>0</v>
      </c>
      <c r="P93" s="445">
        <f>IF(O93&gt;0,1+COUNTIF(O$86:O92,"&gt;0"),0)</f>
        <v>0</v>
      </c>
      <c r="Q93" s="445" t="str">
        <f t="shared" si="58"/>
        <v/>
      </c>
      <c r="R93" s="445" t="str">
        <f t="shared" si="41"/>
        <v>n/a</v>
      </c>
      <c r="S93" s="451">
        <f t="shared" si="42"/>
        <v>0</v>
      </c>
      <c r="T93" s="445">
        <f t="shared" si="59"/>
        <v>0</v>
      </c>
      <c r="U93" s="445">
        <f>IF(T93&gt;0,1+COUNTIF(T$86:T92,"&gt;0"),0)</f>
        <v>0</v>
      </c>
      <c r="V93" s="445" t="str">
        <f t="shared" si="60"/>
        <v/>
      </c>
      <c r="W93" s="445" t="str">
        <f t="shared" si="43"/>
        <v>n/a</v>
      </c>
      <c r="X93" s="451">
        <f t="shared" si="44"/>
        <v>0</v>
      </c>
      <c r="Y93" s="445">
        <f t="shared" si="61"/>
        <v>0</v>
      </c>
      <c r="Z93" s="445">
        <f>IF(Y93&gt;0,1+COUNTIF(Y$86:Y92,"&gt;0"),0)</f>
        <v>0</v>
      </c>
      <c r="AA93" s="445" t="str">
        <f t="shared" si="62"/>
        <v/>
      </c>
      <c r="AB93" s="445" t="str">
        <f t="shared" si="45"/>
        <v>n/a</v>
      </c>
      <c r="AC93" s="451">
        <f t="shared" si="46"/>
        <v>0</v>
      </c>
      <c r="AD93" s="445">
        <f t="shared" si="63"/>
        <v>0</v>
      </c>
      <c r="AE93" s="445">
        <f>IF(AD93&gt;0,1+COUNTIF(AD$86:AD92,"&gt;0"),0)</f>
        <v>0</v>
      </c>
      <c r="AF93" s="445" t="str">
        <f t="shared" si="64"/>
        <v/>
      </c>
      <c r="AG93" s="445" t="str">
        <f t="shared" si="47"/>
        <v>n/a</v>
      </c>
      <c r="AH93" s="451">
        <f t="shared" si="48"/>
        <v>0</v>
      </c>
      <c r="AI93" s="445">
        <f t="shared" si="65"/>
        <v>0</v>
      </c>
      <c r="AJ93" s="445">
        <f>IF(AI93&gt;0,1+COUNTIF(AI$86:AI92,"&gt;0"),0)</f>
        <v>0</v>
      </c>
      <c r="AK93" s="445" t="str">
        <f t="shared" si="66"/>
        <v/>
      </c>
      <c r="AL93" s="445" t="str">
        <f t="shared" si="49"/>
        <v>n/a</v>
      </c>
      <c r="AM93" s="451">
        <f t="shared" si="50"/>
        <v>0</v>
      </c>
      <c r="AN93" s="445">
        <f t="shared" si="67"/>
        <v>0</v>
      </c>
      <c r="AO93" s="445">
        <f>IF(AN93&gt;0,1+COUNTIF(AN$86:AN92,"&gt;0"),0)</f>
        <v>0</v>
      </c>
      <c r="AP93" s="445" t="str">
        <f t="shared" si="68"/>
        <v/>
      </c>
      <c r="AQ93" s="445" t="str">
        <f t="shared" si="51"/>
        <v>n/a</v>
      </c>
      <c r="AR93" s="451">
        <f t="shared" si="52"/>
        <v>0</v>
      </c>
      <c r="AS93" s="445">
        <f t="shared" si="69"/>
        <v>0</v>
      </c>
      <c r="AT93" s="445">
        <f>IF(AS93&gt;0,1+COUNTIF(AS$86:AS92,"&gt;0"),0)</f>
        <v>0</v>
      </c>
      <c r="AU93" s="445" t="str">
        <f t="shared" si="70"/>
        <v/>
      </c>
      <c r="AV93" s="445" t="str">
        <f t="shared" si="53"/>
        <v>n/a</v>
      </c>
      <c r="AW93" s="451">
        <f t="shared" si="54"/>
        <v>0</v>
      </c>
      <c r="AX93" s="445">
        <f t="shared" si="71"/>
        <v>0</v>
      </c>
      <c r="AY93" s="445">
        <f>IF(AX93&gt;0,1+COUNTIF(AX$86:AX92,"&gt;0"),0)</f>
        <v>0</v>
      </c>
      <c r="AZ93" s="445" t="str">
        <f t="shared" si="72"/>
        <v/>
      </c>
      <c r="BA93" s="445" t="str">
        <f t="shared" si="55"/>
        <v>n/a</v>
      </c>
      <c r="BB93" s="451">
        <f t="shared" si="56"/>
        <v>0</v>
      </c>
    </row>
    <row r="94" spans="1:54" ht="16.5" x14ac:dyDescent="0.3">
      <c r="A94" s="155">
        <f>IFERROR(IF(A93+1&lt;MAX(D041_ClassFeatures!$A$2:$A$2033),A93+1,""),"")</f>
        <v>91</v>
      </c>
      <c r="B94" s="153" t="str">
        <f>IFERROR(INDEX(D041_ClassFeatures!$B$2:$B$2033,MATCH(C_Variables!A94,D041_ClassFeatures!$A$2:$A$2033,0),1),"")</f>
        <v>Mystic Arcanum</v>
      </c>
      <c r="C94" s="153">
        <f>IF(B94="",0,IF(IFERROR(MATCH(B94,C_Input!$BC$160:$BC$239,0),0)&gt;0,1,0))</f>
        <v>0</v>
      </c>
      <c r="D94" s="153"/>
      <c r="E94" s="153"/>
      <c r="F94" s="153"/>
      <c r="G94" s="452"/>
      <c r="H94" s="460" t="s">
        <v>4521</v>
      </c>
      <c r="I94" s="450"/>
      <c r="J94" s="444"/>
      <c r="K94" s="445"/>
      <c r="L94" s="451"/>
      <c r="M94" s="460">
        <f t="shared" si="73"/>
        <v>1</v>
      </c>
      <c r="N94" s="445"/>
      <c r="O94" s="457">
        <f t="shared" si="57"/>
        <v>1</v>
      </c>
      <c r="P94" s="445">
        <f>IF(O94&gt;0,1+COUNTIF(O$86:O93,"&gt;0"),0)</f>
        <v>5</v>
      </c>
      <c r="Q94" s="445" t="str">
        <f t="shared" si="58"/>
        <v/>
      </c>
      <c r="R94" s="445" t="str">
        <f t="shared" si="41"/>
        <v>n/a</v>
      </c>
      <c r="S94" s="451">
        <f t="shared" si="42"/>
        <v>0</v>
      </c>
      <c r="T94" s="445">
        <f t="shared" si="59"/>
        <v>1</v>
      </c>
      <c r="U94" s="445">
        <f>IF(T94&gt;0,1+COUNTIF(T$86:T93,"&gt;0"),0)</f>
        <v>5</v>
      </c>
      <c r="V94" s="445" t="str">
        <f t="shared" si="60"/>
        <v/>
      </c>
      <c r="W94" s="445" t="str">
        <f t="shared" si="43"/>
        <v>n/a</v>
      </c>
      <c r="X94" s="451">
        <f t="shared" si="44"/>
        <v>0</v>
      </c>
      <c r="Y94" s="445">
        <f t="shared" si="61"/>
        <v>1</v>
      </c>
      <c r="Z94" s="445">
        <f>IF(Y94&gt;0,1+COUNTIF(Y$86:Y93,"&gt;0"),0)</f>
        <v>5</v>
      </c>
      <c r="AA94" s="445" t="str">
        <f t="shared" si="62"/>
        <v/>
      </c>
      <c r="AB94" s="445" t="str">
        <f t="shared" si="45"/>
        <v>n/a</v>
      </c>
      <c r="AC94" s="451">
        <f t="shared" si="46"/>
        <v>0</v>
      </c>
      <c r="AD94" s="445">
        <f t="shared" si="63"/>
        <v>1</v>
      </c>
      <c r="AE94" s="445">
        <f>IF(AD94&gt;0,1+COUNTIF(AD$86:AD93,"&gt;0"),0)</f>
        <v>5</v>
      </c>
      <c r="AF94" s="445" t="str">
        <f t="shared" si="64"/>
        <v/>
      </c>
      <c r="AG94" s="445" t="str">
        <f t="shared" si="47"/>
        <v>n/a</v>
      </c>
      <c r="AH94" s="451">
        <f t="shared" si="48"/>
        <v>0</v>
      </c>
      <c r="AI94" s="445">
        <f t="shared" si="65"/>
        <v>1</v>
      </c>
      <c r="AJ94" s="445">
        <f>IF(AI94&gt;0,1+COUNTIF(AI$86:AI93,"&gt;0"),0)</f>
        <v>5</v>
      </c>
      <c r="AK94" s="445" t="str">
        <f t="shared" si="66"/>
        <v/>
      </c>
      <c r="AL94" s="445" t="str">
        <f t="shared" si="49"/>
        <v>n/a</v>
      </c>
      <c r="AM94" s="451">
        <f t="shared" si="50"/>
        <v>0</v>
      </c>
      <c r="AN94" s="445">
        <f t="shared" si="67"/>
        <v>1</v>
      </c>
      <c r="AO94" s="445">
        <f>IF(AN94&gt;0,1+COUNTIF(AN$86:AN93,"&gt;0"),0)</f>
        <v>5</v>
      </c>
      <c r="AP94" s="445" t="str">
        <f t="shared" si="68"/>
        <v/>
      </c>
      <c r="AQ94" s="445" t="str">
        <f t="shared" si="51"/>
        <v>n/a</v>
      </c>
      <c r="AR94" s="451">
        <f t="shared" si="52"/>
        <v>0</v>
      </c>
      <c r="AS94" s="445">
        <f t="shared" si="69"/>
        <v>1</v>
      </c>
      <c r="AT94" s="445">
        <f>IF(AS94&gt;0,1+COUNTIF(AS$86:AS93,"&gt;0"),0)</f>
        <v>5</v>
      </c>
      <c r="AU94" s="445" t="str">
        <f t="shared" si="70"/>
        <v/>
      </c>
      <c r="AV94" s="445" t="str">
        <f t="shared" si="53"/>
        <v>n/a</v>
      </c>
      <c r="AW94" s="451">
        <f t="shared" si="54"/>
        <v>0</v>
      </c>
      <c r="AX94" s="445">
        <f t="shared" si="71"/>
        <v>1</v>
      </c>
      <c r="AY94" s="445">
        <f>IF(AX94&gt;0,1+COUNTIF(AX$86:AX93,"&gt;0"),0)</f>
        <v>5</v>
      </c>
      <c r="AZ94" s="445" t="str">
        <f t="shared" si="72"/>
        <v/>
      </c>
      <c r="BA94" s="445" t="str">
        <f t="shared" si="55"/>
        <v>n/a</v>
      </c>
      <c r="BB94" s="451">
        <f t="shared" si="56"/>
        <v>0</v>
      </c>
    </row>
    <row r="95" spans="1:54" ht="16.5" x14ac:dyDescent="0.3">
      <c r="A95" s="155">
        <f>IFERROR(IF(A94+1&lt;MAX(D041_ClassFeatures!$A$2:$A$2033),A94+1,""),"")</f>
        <v>92</v>
      </c>
      <c r="B95" s="153" t="str">
        <f>IFERROR(INDEX(D041_ClassFeatures!$B$2:$B$2033,MATCH(C_Variables!A95,D041_ClassFeatures!$A$2:$A$2033,0),1),"")</f>
        <v>Natural Explorer</v>
      </c>
      <c r="C95" s="153">
        <f>IF(B95="",0,IF(IFERROR(MATCH(B95,C_Input!$BC$160:$BC$239,0),0)&gt;0,1,0))</f>
        <v>0</v>
      </c>
      <c r="D95" s="153"/>
      <c r="E95" s="153"/>
      <c r="F95" s="153"/>
      <c r="G95" s="450"/>
      <c r="H95" s="460" t="s">
        <v>4522</v>
      </c>
      <c r="I95" s="450"/>
      <c r="J95" s="444"/>
      <c r="K95" s="445"/>
      <c r="L95" s="451">
        <v>7</v>
      </c>
      <c r="M95" s="460">
        <f t="shared" si="73"/>
        <v>0</v>
      </c>
      <c r="N95" s="445"/>
      <c r="O95" s="457">
        <f t="shared" si="57"/>
        <v>0</v>
      </c>
      <c r="P95" s="445">
        <f>IF(O95&gt;0,1+COUNTIF(O$86:O94,"&gt;0"),0)</f>
        <v>0</v>
      </c>
      <c r="Q95" s="445" t="str">
        <f t="shared" si="58"/>
        <v/>
      </c>
      <c r="R95" s="445" t="str">
        <f t="shared" si="41"/>
        <v>n/a</v>
      </c>
      <c r="S95" s="451">
        <f t="shared" si="42"/>
        <v>0</v>
      </c>
      <c r="T95" s="445">
        <f t="shared" si="59"/>
        <v>0</v>
      </c>
      <c r="U95" s="445">
        <f>IF(T95&gt;0,1+COUNTIF(T$86:T94,"&gt;0"),0)</f>
        <v>0</v>
      </c>
      <c r="V95" s="445" t="str">
        <f t="shared" si="60"/>
        <v/>
      </c>
      <c r="W95" s="445" t="str">
        <f t="shared" si="43"/>
        <v>n/a</v>
      </c>
      <c r="X95" s="451">
        <f t="shared" si="44"/>
        <v>0</v>
      </c>
      <c r="Y95" s="445">
        <f t="shared" si="61"/>
        <v>0</v>
      </c>
      <c r="Z95" s="445">
        <f>IF(Y95&gt;0,1+COUNTIF(Y$86:Y94,"&gt;0"),0)</f>
        <v>0</v>
      </c>
      <c r="AA95" s="445" t="str">
        <f t="shared" si="62"/>
        <v/>
      </c>
      <c r="AB95" s="445" t="str">
        <f t="shared" si="45"/>
        <v>n/a</v>
      </c>
      <c r="AC95" s="451">
        <f t="shared" si="46"/>
        <v>0</v>
      </c>
      <c r="AD95" s="445">
        <f t="shared" si="63"/>
        <v>0</v>
      </c>
      <c r="AE95" s="445">
        <f>IF(AD95&gt;0,1+COUNTIF(AD$86:AD94,"&gt;0"),0)</f>
        <v>0</v>
      </c>
      <c r="AF95" s="445" t="str">
        <f t="shared" si="64"/>
        <v/>
      </c>
      <c r="AG95" s="445" t="str">
        <f t="shared" si="47"/>
        <v>n/a</v>
      </c>
      <c r="AH95" s="451">
        <f t="shared" si="48"/>
        <v>0</v>
      </c>
      <c r="AI95" s="445">
        <f t="shared" si="65"/>
        <v>0</v>
      </c>
      <c r="AJ95" s="445">
        <f>IF(AI95&gt;0,1+COUNTIF(AI$86:AI94,"&gt;0"),0)</f>
        <v>0</v>
      </c>
      <c r="AK95" s="445" t="str">
        <f t="shared" si="66"/>
        <v/>
      </c>
      <c r="AL95" s="445" t="str">
        <f t="shared" si="49"/>
        <v>n/a</v>
      </c>
      <c r="AM95" s="451">
        <f t="shared" si="50"/>
        <v>0</v>
      </c>
      <c r="AN95" s="445">
        <f t="shared" si="67"/>
        <v>0</v>
      </c>
      <c r="AO95" s="445">
        <f>IF(AN95&gt;0,1+COUNTIF(AN$86:AN94,"&gt;0"),0)</f>
        <v>0</v>
      </c>
      <c r="AP95" s="445" t="str">
        <f t="shared" si="68"/>
        <v/>
      </c>
      <c r="AQ95" s="445" t="str">
        <f t="shared" si="51"/>
        <v>n/a</v>
      </c>
      <c r="AR95" s="451">
        <f t="shared" si="52"/>
        <v>0</v>
      </c>
      <c r="AS95" s="445">
        <f t="shared" si="69"/>
        <v>0</v>
      </c>
      <c r="AT95" s="445">
        <f>IF(AS95&gt;0,1+COUNTIF(AS$86:AS94,"&gt;0"),0)</f>
        <v>0</v>
      </c>
      <c r="AU95" s="445" t="str">
        <f t="shared" si="70"/>
        <v/>
      </c>
      <c r="AV95" s="445" t="str">
        <f t="shared" si="53"/>
        <v>n/a</v>
      </c>
      <c r="AW95" s="451">
        <f t="shared" si="54"/>
        <v>0</v>
      </c>
      <c r="AX95" s="445">
        <f t="shared" si="71"/>
        <v>0</v>
      </c>
      <c r="AY95" s="445">
        <f>IF(AX95&gt;0,1+COUNTIF(AX$86:AX94,"&gt;0"),0)</f>
        <v>0</v>
      </c>
      <c r="AZ95" s="445" t="str">
        <f t="shared" si="72"/>
        <v/>
      </c>
      <c r="BA95" s="445" t="str">
        <f t="shared" si="55"/>
        <v>n/a</v>
      </c>
      <c r="BB95" s="451">
        <f t="shared" si="56"/>
        <v>0</v>
      </c>
    </row>
    <row r="96" spans="1:54" ht="16.5" x14ac:dyDescent="0.3">
      <c r="A96" s="155">
        <f>IFERROR(IF(A95+1&lt;MAX(D041_ClassFeatures!$A$2:$A$2033),A95+1,""),"")</f>
        <v>93</v>
      </c>
      <c r="B96" s="153" t="str">
        <f>IFERROR(INDEX(D041_ClassFeatures!$B$2:$B$2033,MATCH(C_Variables!A96,D041_ClassFeatures!$A$2:$A$2033,0),1),"")</f>
        <v>Otherworldly Patron</v>
      </c>
      <c r="C96" s="153">
        <f>IF(B96="",0,IF(IFERROR(MATCH(B96,C_Input!$BC$160:$BC$239,0),0)&gt;0,1,0))</f>
        <v>0</v>
      </c>
      <c r="D96" s="153"/>
      <c r="E96" s="153"/>
      <c r="F96" s="153"/>
      <c r="G96" s="450"/>
      <c r="H96" s="460" t="s">
        <v>4523</v>
      </c>
      <c r="I96" s="450"/>
      <c r="J96" s="444"/>
      <c r="K96" s="445"/>
      <c r="L96" s="451"/>
      <c r="M96" s="460">
        <f t="shared" si="73"/>
        <v>1</v>
      </c>
      <c r="N96" s="445"/>
      <c r="O96" s="457">
        <f t="shared" si="57"/>
        <v>1</v>
      </c>
      <c r="P96" s="445">
        <f>IF(O96&gt;0,1+COUNTIF(O$86:O95,"&gt;0"),0)</f>
        <v>6</v>
      </c>
      <c r="Q96" s="445" t="str">
        <f t="shared" si="58"/>
        <v/>
      </c>
      <c r="R96" s="445" t="str">
        <f t="shared" si="41"/>
        <v>n/a</v>
      </c>
      <c r="S96" s="451">
        <f t="shared" si="42"/>
        <v>0</v>
      </c>
      <c r="T96" s="445">
        <f t="shared" si="59"/>
        <v>1</v>
      </c>
      <c r="U96" s="445">
        <f>IF(T96&gt;0,1+COUNTIF(T$86:T95,"&gt;0"),0)</f>
        <v>6</v>
      </c>
      <c r="V96" s="445" t="str">
        <f t="shared" si="60"/>
        <v/>
      </c>
      <c r="W96" s="445" t="str">
        <f t="shared" si="43"/>
        <v>n/a</v>
      </c>
      <c r="X96" s="451">
        <f t="shared" si="44"/>
        <v>0</v>
      </c>
      <c r="Y96" s="445">
        <f t="shared" si="61"/>
        <v>1</v>
      </c>
      <c r="Z96" s="445">
        <f>IF(Y96&gt;0,1+COUNTIF(Y$86:Y95,"&gt;0"),0)</f>
        <v>6</v>
      </c>
      <c r="AA96" s="445" t="str">
        <f t="shared" si="62"/>
        <v/>
      </c>
      <c r="AB96" s="445" t="str">
        <f t="shared" si="45"/>
        <v>n/a</v>
      </c>
      <c r="AC96" s="451">
        <f t="shared" si="46"/>
        <v>0</v>
      </c>
      <c r="AD96" s="445">
        <f t="shared" si="63"/>
        <v>1</v>
      </c>
      <c r="AE96" s="445">
        <f>IF(AD96&gt;0,1+COUNTIF(AD$86:AD95,"&gt;0"),0)</f>
        <v>6</v>
      </c>
      <c r="AF96" s="445" t="str">
        <f t="shared" si="64"/>
        <v/>
      </c>
      <c r="AG96" s="445" t="str">
        <f t="shared" si="47"/>
        <v>n/a</v>
      </c>
      <c r="AH96" s="451">
        <f t="shared" si="48"/>
        <v>0</v>
      </c>
      <c r="AI96" s="445">
        <f t="shared" si="65"/>
        <v>1</v>
      </c>
      <c r="AJ96" s="445">
        <f>IF(AI96&gt;0,1+COUNTIF(AI$86:AI95,"&gt;0"),0)</f>
        <v>6</v>
      </c>
      <c r="AK96" s="445" t="str">
        <f t="shared" si="66"/>
        <v/>
      </c>
      <c r="AL96" s="445" t="str">
        <f t="shared" si="49"/>
        <v>n/a</v>
      </c>
      <c r="AM96" s="451">
        <f t="shared" si="50"/>
        <v>0</v>
      </c>
      <c r="AN96" s="445">
        <f t="shared" si="67"/>
        <v>1</v>
      </c>
      <c r="AO96" s="445">
        <f>IF(AN96&gt;0,1+COUNTIF(AN$86:AN95,"&gt;0"),0)</f>
        <v>6</v>
      </c>
      <c r="AP96" s="445" t="str">
        <f t="shared" si="68"/>
        <v/>
      </c>
      <c r="AQ96" s="445" t="str">
        <f t="shared" si="51"/>
        <v>n/a</v>
      </c>
      <c r="AR96" s="451">
        <f t="shared" si="52"/>
        <v>0</v>
      </c>
      <c r="AS96" s="445">
        <f t="shared" si="69"/>
        <v>1</v>
      </c>
      <c r="AT96" s="445">
        <f>IF(AS96&gt;0,1+COUNTIF(AS$86:AS95,"&gt;0"),0)</f>
        <v>6</v>
      </c>
      <c r="AU96" s="445" t="str">
        <f t="shared" si="70"/>
        <v/>
      </c>
      <c r="AV96" s="445" t="str">
        <f t="shared" si="53"/>
        <v>n/a</v>
      </c>
      <c r="AW96" s="451">
        <f t="shared" si="54"/>
        <v>0</v>
      </c>
      <c r="AX96" s="445">
        <f t="shared" si="71"/>
        <v>1</v>
      </c>
      <c r="AY96" s="445">
        <f>IF(AX96&gt;0,1+COUNTIF(AX$86:AX95,"&gt;0"),0)</f>
        <v>6</v>
      </c>
      <c r="AZ96" s="445" t="str">
        <f t="shared" si="72"/>
        <v/>
      </c>
      <c r="BA96" s="445" t="str">
        <f t="shared" si="55"/>
        <v>n/a</v>
      </c>
      <c r="BB96" s="451">
        <f t="shared" si="56"/>
        <v>0</v>
      </c>
    </row>
    <row r="97" spans="1:54" ht="16.5" x14ac:dyDescent="0.3">
      <c r="A97" s="155">
        <f>IFERROR(IF(A96+1&lt;MAX(D041_ClassFeatures!$A$2:$A$2033),A96+1,""),"")</f>
        <v>94</v>
      </c>
      <c r="B97" s="153" t="str">
        <f>IFERROR(INDEX(D041_ClassFeatures!$B$2:$B$2033,MATCH(C_Variables!A97,D041_ClassFeatures!$A$2:$A$2033,0),1),"")</f>
        <v>Otherworldly Patron Feature1-1</v>
      </c>
      <c r="C97" s="153">
        <f>IF(B97="",0,IF(IFERROR(MATCH(B97,C_Input!$BC$160:$BC$239,0),0)&gt;0,1,0))</f>
        <v>0</v>
      </c>
      <c r="D97" s="153"/>
      <c r="E97" s="153"/>
      <c r="F97" s="153"/>
      <c r="G97" s="450"/>
      <c r="H97" s="460" t="s">
        <v>4524</v>
      </c>
      <c r="I97" s="450"/>
      <c r="J97" s="444"/>
      <c r="K97" s="445"/>
      <c r="L97" s="451"/>
      <c r="M97" s="460">
        <f t="shared" si="73"/>
        <v>1</v>
      </c>
      <c r="N97" s="445"/>
      <c r="O97" s="457">
        <f t="shared" si="57"/>
        <v>1</v>
      </c>
      <c r="P97" s="445">
        <f>IF(O97&gt;0,1+COUNTIF(O$86:O96,"&gt;0"),0)</f>
        <v>7</v>
      </c>
      <c r="Q97" s="445" t="str">
        <f t="shared" si="58"/>
        <v/>
      </c>
      <c r="R97" s="445" t="str">
        <f t="shared" si="41"/>
        <v>n/a</v>
      </c>
      <c r="S97" s="451">
        <f t="shared" si="42"/>
        <v>0</v>
      </c>
      <c r="T97" s="445">
        <f t="shared" si="59"/>
        <v>1</v>
      </c>
      <c r="U97" s="445">
        <f>IF(T97&gt;0,1+COUNTIF(T$86:T96,"&gt;0"),0)</f>
        <v>7</v>
      </c>
      <c r="V97" s="445" t="str">
        <f t="shared" si="60"/>
        <v/>
      </c>
      <c r="W97" s="445" t="str">
        <f t="shared" si="43"/>
        <v>n/a</v>
      </c>
      <c r="X97" s="451">
        <f t="shared" si="44"/>
        <v>0</v>
      </c>
      <c r="Y97" s="445">
        <f t="shared" si="61"/>
        <v>1</v>
      </c>
      <c r="Z97" s="445">
        <f>IF(Y97&gt;0,1+COUNTIF(Y$86:Y96,"&gt;0"),0)</f>
        <v>7</v>
      </c>
      <c r="AA97" s="445" t="str">
        <f t="shared" si="62"/>
        <v/>
      </c>
      <c r="AB97" s="445" t="str">
        <f t="shared" si="45"/>
        <v>n/a</v>
      </c>
      <c r="AC97" s="451">
        <f t="shared" si="46"/>
        <v>0</v>
      </c>
      <c r="AD97" s="445">
        <f t="shared" si="63"/>
        <v>1</v>
      </c>
      <c r="AE97" s="445">
        <f>IF(AD97&gt;0,1+COUNTIF(AD$86:AD96,"&gt;0"),0)</f>
        <v>7</v>
      </c>
      <c r="AF97" s="445" t="str">
        <f t="shared" si="64"/>
        <v/>
      </c>
      <c r="AG97" s="445" t="str">
        <f t="shared" si="47"/>
        <v>n/a</v>
      </c>
      <c r="AH97" s="451">
        <f t="shared" si="48"/>
        <v>0</v>
      </c>
      <c r="AI97" s="445">
        <f t="shared" si="65"/>
        <v>1</v>
      </c>
      <c r="AJ97" s="445">
        <f>IF(AI97&gt;0,1+COUNTIF(AI$86:AI96,"&gt;0"),0)</f>
        <v>7</v>
      </c>
      <c r="AK97" s="445" t="str">
        <f t="shared" si="66"/>
        <v/>
      </c>
      <c r="AL97" s="445" t="str">
        <f t="shared" si="49"/>
        <v>n/a</v>
      </c>
      <c r="AM97" s="451">
        <f t="shared" si="50"/>
        <v>0</v>
      </c>
      <c r="AN97" s="445">
        <f t="shared" si="67"/>
        <v>1</v>
      </c>
      <c r="AO97" s="445">
        <f>IF(AN97&gt;0,1+COUNTIF(AN$86:AN96,"&gt;0"),0)</f>
        <v>7</v>
      </c>
      <c r="AP97" s="445" t="str">
        <f t="shared" si="68"/>
        <v/>
      </c>
      <c r="AQ97" s="445" t="str">
        <f t="shared" si="51"/>
        <v>n/a</v>
      </c>
      <c r="AR97" s="451">
        <f t="shared" si="52"/>
        <v>0</v>
      </c>
      <c r="AS97" s="445">
        <f t="shared" si="69"/>
        <v>1</v>
      </c>
      <c r="AT97" s="445">
        <f>IF(AS97&gt;0,1+COUNTIF(AS$86:AS96,"&gt;0"),0)</f>
        <v>7</v>
      </c>
      <c r="AU97" s="445" t="str">
        <f t="shared" si="70"/>
        <v/>
      </c>
      <c r="AV97" s="445" t="str">
        <f t="shared" si="53"/>
        <v>n/a</v>
      </c>
      <c r="AW97" s="451">
        <f t="shared" si="54"/>
        <v>0</v>
      </c>
      <c r="AX97" s="445">
        <f t="shared" si="71"/>
        <v>1</v>
      </c>
      <c r="AY97" s="445">
        <f>IF(AX97&gt;0,1+COUNTIF(AX$86:AX96,"&gt;0"),0)</f>
        <v>7</v>
      </c>
      <c r="AZ97" s="445" t="str">
        <f t="shared" si="72"/>
        <v/>
      </c>
      <c r="BA97" s="445" t="str">
        <f t="shared" si="55"/>
        <v>n/a</v>
      </c>
      <c r="BB97" s="451">
        <f t="shared" si="56"/>
        <v>0</v>
      </c>
    </row>
    <row r="98" spans="1:54" ht="16.5" x14ac:dyDescent="0.3">
      <c r="A98" s="155">
        <f>IFERROR(IF(A97+1&lt;MAX(D041_ClassFeatures!$A$2:$A$2033),A97+1,""),"")</f>
        <v>95</v>
      </c>
      <c r="B98" s="153" t="str">
        <f>IFERROR(INDEX(D041_ClassFeatures!$B$2:$B$2033,MATCH(C_Variables!A98,D041_ClassFeatures!$A$2:$A$2033,0),1),"")</f>
        <v>Otherworldly Patron Feature1-2</v>
      </c>
      <c r="C98" s="153">
        <f>IF(B98="",0,IF(IFERROR(MATCH(B98,C_Input!$BC$160:$BC$239,0),0)&gt;0,1,0))</f>
        <v>0</v>
      </c>
      <c r="D98" s="153"/>
      <c r="E98" s="153"/>
      <c r="F98" s="153"/>
      <c r="G98" s="450"/>
      <c r="H98" s="460" t="s">
        <v>4525</v>
      </c>
      <c r="I98" s="450"/>
      <c r="J98" s="444"/>
      <c r="K98" s="445"/>
      <c r="L98" s="451"/>
      <c r="M98" s="460">
        <f t="shared" si="73"/>
        <v>1</v>
      </c>
      <c r="N98" s="445"/>
      <c r="O98" s="457">
        <f t="shared" si="57"/>
        <v>1</v>
      </c>
      <c r="P98" s="445">
        <f>IF(O98&gt;0,1+COUNTIF(O$86:O97,"&gt;0"),0)</f>
        <v>8</v>
      </c>
      <c r="Q98" s="445" t="str">
        <f t="shared" si="58"/>
        <v/>
      </c>
      <c r="R98" s="445" t="str">
        <f t="shared" si="41"/>
        <v>n/a</v>
      </c>
      <c r="S98" s="451">
        <f t="shared" si="42"/>
        <v>0</v>
      </c>
      <c r="T98" s="445">
        <f t="shared" si="59"/>
        <v>1</v>
      </c>
      <c r="U98" s="445">
        <f>IF(T98&gt;0,1+COUNTIF(T$86:T97,"&gt;0"),0)</f>
        <v>8</v>
      </c>
      <c r="V98" s="445" t="str">
        <f t="shared" si="60"/>
        <v/>
      </c>
      <c r="W98" s="445" t="str">
        <f t="shared" si="43"/>
        <v>n/a</v>
      </c>
      <c r="X98" s="451">
        <f t="shared" si="44"/>
        <v>0</v>
      </c>
      <c r="Y98" s="445">
        <f t="shared" si="61"/>
        <v>1</v>
      </c>
      <c r="Z98" s="445">
        <f>IF(Y98&gt;0,1+COUNTIF(Y$86:Y97,"&gt;0"),0)</f>
        <v>8</v>
      </c>
      <c r="AA98" s="445" t="str">
        <f t="shared" si="62"/>
        <v/>
      </c>
      <c r="AB98" s="445" t="str">
        <f t="shared" si="45"/>
        <v>n/a</v>
      </c>
      <c r="AC98" s="451">
        <f t="shared" si="46"/>
        <v>0</v>
      </c>
      <c r="AD98" s="445">
        <f t="shared" si="63"/>
        <v>1</v>
      </c>
      <c r="AE98" s="445">
        <f>IF(AD98&gt;0,1+COUNTIF(AD$86:AD97,"&gt;0"),0)</f>
        <v>8</v>
      </c>
      <c r="AF98" s="445" t="str">
        <f t="shared" si="64"/>
        <v/>
      </c>
      <c r="AG98" s="445" t="str">
        <f t="shared" si="47"/>
        <v>n/a</v>
      </c>
      <c r="AH98" s="451">
        <f t="shared" si="48"/>
        <v>0</v>
      </c>
      <c r="AI98" s="445">
        <f t="shared" si="65"/>
        <v>1</v>
      </c>
      <c r="AJ98" s="445">
        <f>IF(AI98&gt;0,1+COUNTIF(AI$86:AI97,"&gt;0"),0)</f>
        <v>8</v>
      </c>
      <c r="AK98" s="445" t="str">
        <f t="shared" si="66"/>
        <v/>
      </c>
      <c r="AL98" s="445" t="str">
        <f t="shared" si="49"/>
        <v>n/a</v>
      </c>
      <c r="AM98" s="451">
        <f t="shared" si="50"/>
        <v>0</v>
      </c>
      <c r="AN98" s="445">
        <f t="shared" si="67"/>
        <v>1</v>
      </c>
      <c r="AO98" s="445">
        <f>IF(AN98&gt;0,1+COUNTIF(AN$86:AN97,"&gt;0"),0)</f>
        <v>8</v>
      </c>
      <c r="AP98" s="445" t="str">
        <f t="shared" si="68"/>
        <v/>
      </c>
      <c r="AQ98" s="445" t="str">
        <f t="shared" si="51"/>
        <v>n/a</v>
      </c>
      <c r="AR98" s="451">
        <f t="shared" si="52"/>
        <v>0</v>
      </c>
      <c r="AS98" s="445">
        <f t="shared" si="69"/>
        <v>1</v>
      </c>
      <c r="AT98" s="445">
        <f>IF(AS98&gt;0,1+COUNTIF(AS$86:AS97,"&gt;0"),0)</f>
        <v>8</v>
      </c>
      <c r="AU98" s="445" t="str">
        <f t="shared" si="70"/>
        <v/>
      </c>
      <c r="AV98" s="445" t="str">
        <f t="shared" si="53"/>
        <v>n/a</v>
      </c>
      <c r="AW98" s="451">
        <f t="shared" si="54"/>
        <v>0</v>
      </c>
      <c r="AX98" s="445">
        <f t="shared" si="71"/>
        <v>1</v>
      </c>
      <c r="AY98" s="445">
        <f>IF(AX98&gt;0,1+COUNTIF(AX$86:AX97,"&gt;0"),0)</f>
        <v>8</v>
      </c>
      <c r="AZ98" s="445" t="str">
        <f t="shared" si="72"/>
        <v/>
      </c>
      <c r="BA98" s="445" t="str">
        <f t="shared" si="55"/>
        <v>n/a</v>
      </c>
      <c r="BB98" s="451">
        <f t="shared" si="56"/>
        <v>0</v>
      </c>
    </row>
    <row r="99" spans="1:54" ht="16.5" x14ac:dyDescent="0.3">
      <c r="A99" s="155">
        <f>IFERROR(IF(A98+1&lt;MAX(D041_ClassFeatures!$A$2:$A$2033),A98+1,""),"")</f>
        <v>96</v>
      </c>
      <c r="B99" s="153" t="str">
        <f>IFERROR(INDEX(D041_ClassFeatures!$B$2:$B$2033,MATCH(C_Variables!A99,D041_ClassFeatures!$A$2:$A$2033,0),1),"")</f>
        <v>Otherworldly Patron Feature6</v>
      </c>
      <c r="C99" s="153">
        <f>IF(B99="",0,IF(IFERROR(MATCH(B99,C_Input!$BC$160:$BC$239,0),0)&gt;0,1,0))</f>
        <v>0</v>
      </c>
      <c r="D99" s="153"/>
      <c r="E99" s="153"/>
      <c r="F99" s="153"/>
      <c r="G99" s="450"/>
      <c r="H99" s="460" t="s">
        <v>4526</v>
      </c>
      <c r="I99" s="450"/>
      <c r="J99" s="444"/>
      <c r="K99" s="445"/>
      <c r="L99" s="451"/>
      <c r="M99" s="460">
        <f t="shared" si="73"/>
        <v>1</v>
      </c>
      <c r="N99" s="445"/>
      <c r="O99" s="457">
        <f t="shared" si="57"/>
        <v>1</v>
      </c>
      <c r="P99" s="445">
        <f>IF(O99&gt;0,1+COUNTIF(O$86:O98,"&gt;0"),0)</f>
        <v>9</v>
      </c>
      <c r="Q99" s="445" t="str">
        <f t="shared" si="58"/>
        <v/>
      </c>
      <c r="R99" s="445" t="str">
        <f t="shared" si="41"/>
        <v>n/a</v>
      </c>
      <c r="S99" s="451">
        <f t="shared" si="42"/>
        <v>0</v>
      </c>
      <c r="T99" s="445">
        <f t="shared" si="59"/>
        <v>1</v>
      </c>
      <c r="U99" s="445">
        <f>IF(T99&gt;0,1+COUNTIF(T$86:T98,"&gt;0"),0)</f>
        <v>9</v>
      </c>
      <c r="V99" s="445" t="str">
        <f t="shared" si="60"/>
        <v/>
      </c>
      <c r="W99" s="445" t="str">
        <f t="shared" si="43"/>
        <v>n/a</v>
      </c>
      <c r="X99" s="451">
        <f t="shared" si="44"/>
        <v>0</v>
      </c>
      <c r="Y99" s="445">
        <f t="shared" si="61"/>
        <v>1</v>
      </c>
      <c r="Z99" s="445">
        <f>IF(Y99&gt;0,1+COUNTIF(Y$86:Y98,"&gt;0"),0)</f>
        <v>9</v>
      </c>
      <c r="AA99" s="445" t="str">
        <f t="shared" si="62"/>
        <v/>
      </c>
      <c r="AB99" s="445" t="str">
        <f t="shared" si="45"/>
        <v>n/a</v>
      </c>
      <c r="AC99" s="451">
        <f t="shared" si="46"/>
        <v>0</v>
      </c>
      <c r="AD99" s="445">
        <f t="shared" si="63"/>
        <v>1</v>
      </c>
      <c r="AE99" s="445">
        <f>IF(AD99&gt;0,1+COUNTIF(AD$86:AD98,"&gt;0"),0)</f>
        <v>9</v>
      </c>
      <c r="AF99" s="445" t="str">
        <f t="shared" si="64"/>
        <v/>
      </c>
      <c r="AG99" s="445" t="str">
        <f t="shared" si="47"/>
        <v>n/a</v>
      </c>
      <c r="AH99" s="451">
        <f t="shared" si="48"/>
        <v>0</v>
      </c>
      <c r="AI99" s="445">
        <f t="shared" si="65"/>
        <v>1</v>
      </c>
      <c r="AJ99" s="445">
        <f>IF(AI99&gt;0,1+COUNTIF(AI$86:AI98,"&gt;0"),0)</f>
        <v>9</v>
      </c>
      <c r="AK99" s="445" t="str">
        <f t="shared" si="66"/>
        <v/>
      </c>
      <c r="AL99" s="445" t="str">
        <f t="shared" si="49"/>
        <v>n/a</v>
      </c>
      <c r="AM99" s="451">
        <f t="shared" si="50"/>
        <v>0</v>
      </c>
      <c r="AN99" s="445">
        <f t="shared" si="67"/>
        <v>1</v>
      </c>
      <c r="AO99" s="445">
        <f>IF(AN99&gt;0,1+COUNTIF(AN$86:AN98,"&gt;0"),0)</f>
        <v>9</v>
      </c>
      <c r="AP99" s="445" t="str">
        <f t="shared" si="68"/>
        <v/>
      </c>
      <c r="AQ99" s="445" t="str">
        <f t="shared" si="51"/>
        <v>n/a</v>
      </c>
      <c r="AR99" s="451">
        <f t="shared" si="52"/>
        <v>0</v>
      </c>
      <c r="AS99" s="445">
        <f t="shared" si="69"/>
        <v>1</v>
      </c>
      <c r="AT99" s="445">
        <f>IF(AS99&gt;0,1+COUNTIF(AS$86:AS98,"&gt;0"),0)</f>
        <v>9</v>
      </c>
      <c r="AU99" s="445" t="str">
        <f t="shared" si="70"/>
        <v/>
      </c>
      <c r="AV99" s="445" t="str">
        <f t="shared" si="53"/>
        <v>n/a</v>
      </c>
      <c r="AW99" s="451">
        <f t="shared" si="54"/>
        <v>0</v>
      </c>
      <c r="AX99" s="445">
        <f t="shared" si="71"/>
        <v>1</v>
      </c>
      <c r="AY99" s="445">
        <f>IF(AX99&gt;0,1+COUNTIF(AX$86:AX98,"&gt;0"),0)</f>
        <v>9</v>
      </c>
      <c r="AZ99" s="445" t="str">
        <f t="shared" si="72"/>
        <v/>
      </c>
      <c r="BA99" s="445" t="str">
        <f t="shared" si="55"/>
        <v>n/a</v>
      </c>
      <c r="BB99" s="451">
        <f t="shared" si="56"/>
        <v>0</v>
      </c>
    </row>
    <row r="100" spans="1:54" ht="16.5" x14ac:dyDescent="0.3">
      <c r="A100" s="155">
        <f>IFERROR(IF(A99+1&lt;MAX(D041_ClassFeatures!$A$2:$A$2033),A99+1,""),"")</f>
        <v>97</v>
      </c>
      <c r="B100" s="153" t="str">
        <f>IFERROR(INDEX(D041_ClassFeatures!$B$2:$B$2033,MATCH(C_Variables!A100,D041_ClassFeatures!$A$2:$A$2033,0),1),"")</f>
        <v>Otherworldly Patron Feature10</v>
      </c>
      <c r="C100" s="153">
        <f>IF(B100="",0,IF(IFERROR(MATCH(B100,C_Input!$BC$160:$BC$239,0),0)&gt;0,1,0))</f>
        <v>0</v>
      </c>
      <c r="D100" s="153"/>
      <c r="E100" s="153"/>
      <c r="F100" s="153"/>
      <c r="G100" s="450"/>
      <c r="H100" s="460" t="s">
        <v>4527</v>
      </c>
      <c r="I100" s="450"/>
      <c r="J100" s="444"/>
      <c r="K100" s="445"/>
      <c r="L100" s="451"/>
      <c r="M100" s="460">
        <f t="shared" si="73"/>
        <v>1</v>
      </c>
      <c r="N100" s="445"/>
      <c r="O100" s="457">
        <f t="shared" si="57"/>
        <v>1</v>
      </c>
      <c r="P100" s="445">
        <f>IF(O100&gt;0,1+COUNTIF(O$86:O99,"&gt;0"),0)</f>
        <v>10</v>
      </c>
      <c r="Q100" s="445" t="str">
        <f t="shared" si="58"/>
        <v/>
      </c>
      <c r="R100" s="445" t="str">
        <f t="shared" si="41"/>
        <v>n/a</v>
      </c>
      <c r="S100" s="451">
        <f t="shared" si="42"/>
        <v>0</v>
      </c>
      <c r="T100" s="445">
        <f t="shared" si="59"/>
        <v>1</v>
      </c>
      <c r="U100" s="445">
        <f>IF(T100&gt;0,1+COUNTIF(T$86:T99,"&gt;0"),0)</f>
        <v>10</v>
      </c>
      <c r="V100" s="445" t="str">
        <f t="shared" si="60"/>
        <v/>
      </c>
      <c r="W100" s="445" t="str">
        <f t="shared" si="43"/>
        <v>n/a</v>
      </c>
      <c r="X100" s="451">
        <f t="shared" si="44"/>
        <v>0</v>
      </c>
      <c r="Y100" s="445">
        <f t="shared" si="61"/>
        <v>1</v>
      </c>
      <c r="Z100" s="445">
        <f>IF(Y100&gt;0,1+COUNTIF(Y$86:Y99,"&gt;0"),0)</f>
        <v>10</v>
      </c>
      <c r="AA100" s="445" t="str">
        <f t="shared" si="62"/>
        <v/>
      </c>
      <c r="AB100" s="445" t="str">
        <f t="shared" si="45"/>
        <v>n/a</v>
      </c>
      <c r="AC100" s="451">
        <f t="shared" si="46"/>
        <v>0</v>
      </c>
      <c r="AD100" s="445">
        <f t="shared" si="63"/>
        <v>1</v>
      </c>
      <c r="AE100" s="445">
        <f>IF(AD100&gt;0,1+COUNTIF(AD$86:AD99,"&gt;0"),0)</f>
        <v>10</v>
      </c>
      <c r="AF100" s="445" t="str">
        <f t="shared" si="64"/>
        <v/>
      </c>
      <c r="AG100" s="445" t="str">
        <f t="shared" si="47"/>
        <v>n/a</v>
      </c>
      <c r="AH100" s="451">
        <f t="shared" si="48"/>
        <v>0</v>
      </c>
      <c r="AI100" s="445">
        <f t="shared" si="65"/>
        <v>1</v>
      </c>
      <c r="AJ100" s="445">
        <f>IF(AI100&gt;0,1+COUNTIF(AI$86:AI99,"&gt;0"),0)</f>
        <v>10</v>
      </c>
      <c r="AK100" s="445" t="str">
        <f t="shared" si="66"/>
        <v/>
      </c>
      <c r="AL100" s="445" t="str">
        <f t="shared" si="49"/>
        <v>n/a</v>
      </c>
      <c r="AM100" s="451">
        <f t="shared" si="50"/>
        <v>0</v>
      </c>
      <c r="AN100" s="445">
        <f t="shared" si="67"/>
        <v>1</v>
      </c>
      <c r="AO100" s="445">
        <f>IF(AN100&gt;0,1+COUNTIF(AN$86:AN99,"&gt;0"),0)</f>
        <v>10</v>
      </c>
      <c r="AP100" s="445" t="str">
        <f t="shared" si="68"/>
        <v/>
      </c>
      <c r="AQ100" s="445" t="str">
        <f t="shared" si="51"/>
        <v>n/a</v>
      </c>
      <c r="AR100" s="451">
        <f t="shared" si="52"/>
        <v>0</v>
      </c>
      <c r="AS100" s="445">
        <f t="shared" si="69"/>
        <v>1</v>
      </c>
      <c r="AT100" s="445">
        <f>IF(AS100&gt;0,1+COUNTIF(AS$86:AS99,"&gt;0"),0)</f>
        <v>10</v>
      </c>
      <c r="AU100" s="445" t="str">
        <f t="shared" si="70"/>
        <v/>
      </c>
      <c r="AV100" s="445" t="str">
        <f t="shared" si="53"/>
        <v>n/a</v>
      </c>
      <c r="AW100" s="451">
        <f t="shared" si="54"/>
        <v>0</v>
      </c>
      <c r="AX100" s="445">
        <f t="shared" si="71"/>
        <v>1</v>
      </c>
      <c r="AY100" s="445">
        <f>IF(AX100&gt;0,1+COUNTIF(AX$86:AX99,"&gt;0"),0)</f>
        <v>10</v>
      </c>
      <c r="AZ100" s="445" t="str">
        <f t="shared" si="72"/>
        <v/>
      </c>
      <c r="BA100" s="445" t="str">
        <f t="shared" si="55"/>
        <v>n/a</v>
      </c>
      <c r="BB100" s="451">
        <f t="shared" si="56"/>
        <v>0</v>
      </c>
    </row>
    <row r="101" spans="1:54" ht="16.5" x14ac:dyDescent="0.3">
      <c r="A101" s="155">
        <f>IFERROR(IF(A100+1&lt;MAX(D041_ClassFeatures!$A$2:$A$2033),A100+1,""),"")</f>
        <v>98</v>
      </c>
      <c r="B101" s="153" t="str">
        <f>IFERROR(INDEX(D041_ClassFeatures!$B$2:$B$2033,MATCH(C_Variables!A101,D041_ClassFeatures!$A$2:$A$2033,0),1),"")</f>
        <v>Otherworldly Patron Feature14</v>
      </c>
      <c r="C101" s="153">
        <f>IF(B101="",0,IF(IFERROR(MATCH(B101,C_Input!$BC$160:$BC$239,0),0)&gt;0,1,0))</f>
        <v>0</v>
      </c>
      <c r="D101" s="153"/>
      <c r="E101" s="153"/>
      <c r="F101" s="153"/>
      <c r="G101" s="450"/>
      <c r="H101" s="460" t="s">
        <v>4528</v>
      </c>
      <c r="I101" s="450"/>
      <c r="J101" s="444">
        <v>1</v>
      </c>
      <c r="K101" s="445"/>
      <c r="L101" s="451">
        <v>12</v>
      </c>
      <c r="M101" s="460">
        <f t="shared" si="73"/>
        <v>0</v>
      </c>
      <c r="N101" s="445"/>
      <c r="O101" s="457">
        <f t="shared" si="57"/>
        <v>0</v>
      </c>
      <c r="P101" s="445">
        <f>IF(O101&gt;0,1+COUNTIF(O$86:O100,"&gt;0"),0)</f>
        <v>0</v>
      </c>
      <c r="Q101" s="445" t="str">
        <f t="shared" si="58"/>
        <v/>
      </c>
      <c r="R101" s="445" t="str">
        <f t="shared" si="41"/>
        <v>n/a</v>
      </c>
      <c r="S101" s="451">
        <f t="shared" si="42"/>
        <v>0</v>
      </c>
      <c r="T101" s="445">
        <f t="shared" si="59"/>
        <v>0</v>
      </c>
      <c r="U101" s="445">
        <f>IF(T101&gt;0,1+COUNTIF(T$86:T100,"&gt;0"),0)</f>
        <v>0</v>
      </c>
      <c r="V101" s="445" t="str">
        <f t="shared" si="60"/>
        <v/>
      </c>
      <c r="W101" s="445" t="str">
        <f t="shared" si="43"/>
        <v>n/a</v>
      </c>
      <c r="X101" s="451">
        <f t="shared" si="44"/>
        <v>0</v>
      </c>
      <c r="Y101" s="445">
        <f t="shared" si="61"/>
        <v>0</v>
      </c>
      <c r="Z101" s="445">
        <f>IF(Y101&gt;0,1+COUNTIF(Y$86:Y100,"&gt;0"),0)</f>
        <v>0</v>
      </c>
      <c r="AA101" s="445" t="str">
        <f t="shared" si="62"/>
        <v/>
      </c>
      <c r="AB101" s="445" t="str">
        <f t="shared" si="45"/>
        <v>n/a</v>
      </c>
      <c r="AC101" s="451">
        <f t="shared" si="46"/>
        <v>0</v>
      </c>
      <c r="AD101" s="445">
        <f t="shared" si="63"/>
        <v>0</v>
      </c>
      <c r="AE101" s="445">
        <f>IF(AD101&gt;0,1+COUNTIF(AD$86:AD100,"&gt;0"),0)</f>
        <v>0</v>
      </c>
      <c r="AF101" s="445" t="str">
        <f t="shared" si="64"/>
        <v/>
      </c>
      <c r="AG101" s="445" t="str">
        <f t="shared" si="47"/>
        <v>n/a</v>
      </c>
      <c r="AH101" s="451">
        <f t="shared" si="48"/>
        <v>0</v>
      </c>
      <c r="AI101" s="445">
        <f t="shared" si="65"/>
        <v>0</v>
      </c>
      <c r="AJ101" s="445">
        <f>IF(AI101&gt;0,1+COUNTIF(AI$86:AI100,"&gt;0"),0)</f>
        <v>0</v>
      </c>
      <c r="AK101" s="445" t="str">
        <f t="shared" si="66"/>
        <v/>
      </c>
      <c r="AL101" s="445" t="str">
        <f t="shared" si="49"/>
        <v>n/a</v>
      </c>
      <c r="AM101" s="451">
        <f t="shared" si="50"/>
        <v>0</v>
      </c>
      <c r="AN101" s="445">
        <f t="shared" si="67"/>
        <v>0</v>
      </c>
      <c r="AO101" s="445">
        <f>IF(AN101&gt;0,1+COUNTIF(AN$86:AN100,"&gt;0"),0)</f>
        <v>0</v>
      </c>
      <c r="AP101" s="445" t="str">
        <f t="shared" si="68"/>
        <v/>
      </c>
      <c r="AQ101" s="445" t="str">
        <f t="shared" si="51"/>
        <v>n/a</v>
      </c>
      <c r="AR101" s="451">
        <f t="shared" si="52"/>
        <v>0</v>
      </c>
      <c r="AS101" s="445">
        <f t="shared" si="69"/>
        <v>0</v>
      </c>
      <c r="AT101" s="445">
        <f>IF(AS101&gt;0,1+COUNTIF(AS$86:AS100,"&gt;0"),0)</f>
        <v>0</v>
      </c>
      <c r="AU101" s="445" t="str">
        <f t="shared" si="70"/>
        <v/>
      </c>
      <c r="AV101" s="445" t="str">
        <f t="shared" si="53"/>
        <v>n/a</v>
      </c>
      <c r="AW101" s="451">
        <f t="shared" si="54"/>
        <v>0</v>
      </c>
      <c r="AX101" s="445">
        <f t="shared" si="71"/>
        <v>0</v>
      </c>
      <c r="AY101" s="445">
        <f>IF(AX101&gt;0,1+COUNTIF(AX$86:AX100,"&gt;0"),0)</f>
        <v>0</v>
      </c>
      <c r="AZ101" s="445" t="str">
        <f t="shared" si="72"/>
        <v/>
      </c>
      <c r="BA101" s="445" t="str">
        <f t="shared" si="55"/>
        <v>n/a</v>
      </c>
      <c r="BB101" s="451">
        <f t="shared" si="56"/>
        <v>0</v>
      </c>
    </row>
    <row r="102" spans="1:54" ht="16.5" x14ac:dyDescent="0.3">
      <c r="A102" s="155">
        <f>IFERROR(IF(A101+1&lt;MAX(D041_ClassFeatures!$A$2:$A$2033),A101+1,""),"")</f>
        <v>99</v>
      </c>
      <c r="B102" s="153" t="str">
        <f>IFERROR(INDEX(D041_ClassFeatures!$B$2:$B$2033,MATCH(C_Variables!A102,D041_ClassFeatures!$A$2:$A$2033,0),1),"")</f>
        <v>Pact Boon</v>
      </c>
      <c r="C102" s="153">
        <f>IF(B102="",0,IF(IFERROR(MATCH(B102,C_Input!$BC$160:$BC$239,0),0)&gt;0,1,0))</f>
        <v>0</v>
      </c>
      <c r="D102" s="153"/>
      <c r="E102" s="153"/>
      <c r="F102" s="153"/>
      <c r="G102" s="450"/>
      <c r="H102" s="460" t="s">
        <v>4529</v>
      </c>
      <c r="I102" s="450"/>
      <c r="J102" s="444"/>
      <c r="K102" s="445"/>
      <c r="L102" s="451"/>
      <c r="M102" s="460">
        <f t="shared" si="73"/>
        <v>1</v>
      </c>
      <c r="N102" s="445"/>
      <c r="O102" s="457">
        <f t="shared" si="57"/>
        <v>1</v>
      </c>
      <c r="P102" s="445">
        <f>IF(O102&gt;0,1+COUNTIF(O$86:O101,"&gt;0"),0)</f>
        <v>11</v>
      </c>
      <c r="Q102" s="445" t="str">
        <f t="shared" si="58"/>
        <v/>
      </c>
      <c r="R102" s="445" t="str">
        <f t="shared" si="41"/>
        <v>n/a</v>
      </c>
      <c r="S102" s="451">
        <f t="shared" si="42"/>
        <v>0</v>
      </c>
      <c r="T102" s="445">
        <f t="shared" si="59"/>
        <v>1</v>
      </c>
      <c r="U102" s="445">
        <f>IF(T102&gt;0,1+COUNTIF(T$86:T101,"&gt;0"),0)</f>
        <v>11</v>
      </c>
      <c r="V102" s="445" t="str">
        <f t="shared" si="60"/>
        <v/>
      </c>
      <c r="W102" s="445" t="str">
        <f t="shared" si="43"/>
        <v>n/a</v>
      </c>
      <c r="X102" s="451">
        <f t="shared" si="44"/>
        <v>0</v>
      </c>
      <c r="Y102" s="445">
        <f t="shared" si="61"/>
        <v>1</v>
      </c>
      <c r="Z102" s="445">
        <f>IF(Y102&gt;0,1+COUNTIF(Y$86:Y101,"&gt;0"),0)</f>
        <v>11</v>
      </c>
      <c r="AA102" s="445" t="str">
        <f t="shared" si="62"/>
        <v/>
      </c>
      <c r="AB102" s="445" t="str">
        <f t="shared" si="45"/>
        <v>n/a</v>
      </c>
      <c r="AC102" s="451">
        <f t="shared" si="46"/>
        <v>0</v>
      </c>
      <c r="AD102" s="445">
        <f t="shared" si="63"/>
        <v>1</v>
      </c>
      <c r="AE102" s="445">
        <f>IF(AD102&gt;0,1+COUNTIF(AD$86:AD101,"&gt;0"),0)</f>
        <v>11</v>
      </c>
      <c r="AF102" s="445" t="str">
        <f t="shared" si="64"/>
        <v/>
      </c>
      <c r="AG102" s="445" t="str">
        <f t="shared" si="47"/>
        <v>n/a</v>
      </c>
      <c r="AH102" s="451">
        <f t="shared" si="48"/>
        <v>0</v>
      </c>
      <c r="AI102" s="445">
        <f t="shared" si="65"/>
        <v>1</v>
      </c>
      <c r="AJ102" s="445">
        <f>IF(AI102&gt;0,1+COUNTIF(AI$86:AI101,"&gt;0"),0)</f>
        <v>11</v>
      </c>
      <c r="AK102" s="445" t="str">
        <f t="shared" si="66"/>
        <v/>
      </c>
      <c r="AL102" s="445" t="str">
        <f t="shared" si="49"/>
        <v>n/a</v>
      </c>
      <c r="AM102" s="451">
        <f t="shared" si="50"/>
        <v>0</v>
      </c>
      <c r="AN102" s="445">
        <f t="shared" si="67"/>
        <v>1</v>
      </c>
      <c r="AO102" s="445">
        <f>IF(AN102&gt;0,1+COUNTIF(AN$86:AN101,"&gt;0"),0)</f>
        <v>11</v>
      </c>
      <c r="AP102" s="445" t="str">
        <f t="shared" si="68"/>
        <v/>
      </c>
      <c r="AQ102" s="445" t="str">
        <f t="shared" si="51"/>
        <v>n/a</v>
      </c>
      <c r="AR102" s="451">
        <f t="shared" si="52"/>
        <v>0</v>
      </c>
      <c r="AS102" s="445">
        <f t="shared" si="69"/>
        <v>1</v>
      </c>
      <c r="AT102" s="445">
        <f>IF(AS102&gt;0,1+COUNTIF(AS$86:AS101,"&gt;0"),0)</f>
        <v>11</v>
      </c>
      <c r="AU102" s="445" t="str">
        <f t="shared" si="70"/>
        <v/>
      </c>
      <c r="AV102" s="445" t="str">
        <f t="shared" si="53"/>
        <v>n/a</v>
      </c>
      <c r="AW102" s="451">
        <f t="shared" si="54"/>
        <v>0</v>
      </c>
      <c r="AX102" s="445">
        <f t="shared" si="71"/>
        <v>1</v>
      </c>
      <c r="AY102" s="445">
        <f>IF(AX102&gt;0,1+COUNTIF(AX$86:AX101,"&gt;0"),0)</f>
        <v>11</v>
      </c>
      <c r="AZ102" s="445" t="str">
        <f t="shared" si="72"/>
        <v/>
      </c>
      <c r="BA102" s="445" t="str">
        <f t="shared" si="55"/>
        <v>n/a</v>
      </c>
      <c r="BB102" s="451">
        <f t="shared" si="56"/>
        <v>0</v>
      </c>
    </row>
    <row r="103" spans="1:54" ht="16.5" x14ac:dyDescent="0.3">
      <c r="A103" s="155">
        <f>IFERROR(IF(A102+1&lt;MAX(D041_ClassFeatures!$A$2:$A$2033),A102+1,""),"")</f>
        <v>100</v>
      </c>
      <c r="B103" s="153" t="str">
        <f>IFERROR(INDEX(D041_ClassFeatures!$B$2:$B$2033,MATCH(C_Variables!A103,D041_ClassFeatures!$A$2:$A$2033,0),1),"")</f>
        <v>Perfect Self</v>
      </c>
      <c r="C103" s="153">
        <f>IF(B103="",0,IF(IFERROR(MATCH(B103,C_Input!$BC$160:$BC$239,0),0)&gt;0,1,0))</f>
        <v>0</v>
      </c>
      <c r="D103" s="153"/>
      <c r="E103" s="153"/>
      <c r="F103" s="153"/>
      <c r="G103" s="450"/>
      <c r="H103" s="460" t="s">
        <v>4530</v>
      </c>
      <c r="I103" s="450"/>
      <c r="J103" s="444"/>
      <c r="K103" s="445"/>
      <c r="L103" s="451">
        <v>15</v>
      </c>
      <c r="M103" s="460">
        <f t="shared" si="73"/>
        <v>0</v>
      </c>
      <c r="N103" s="445"/>
      <c r="O103" s="457">
        <f t="shared" si="57"/>
        <v>0</v>
      </c>
      <c r="P103" s="445">
        <f>IF(O103&gt;0,1+COUNTIF(O$86:O102,"&gt;0"),0)</f>
        <v>0</v>
      </c>
      <c r="Q103" s="445" t="str">
        <f t="shared" si="58"/>
        <v/>
      </c>
      <c r="R103" s="445" t="str">
        <f t="shared" si="41"/>
        <v>n/a</v>
      </c>
      <c r="S103" s="451">
        <f t="shared" si="42"/>
        <v>0</v>
      </c>
      <c r="T103" s="445">
        <f t="shared" si="59"/>
        <v>0</v>
      </c>
      <c r="U103" s="445">
        <f>IF(T103&gt;0,1+COUNTIF(T$86:T102,"&gt;0"),0)</f>
        <v>0</v>
      </c>
      <c r="V103" s="445" t="str">
        <f t="shared" si="60"/>
        <v/>
      </c>
      <c r="W103" s="445" t="str">
        <f t="shared" si="43"/>
        <v>n/a</v>
      </c>
      <c r="X103" s="451">
        <f t="shared" si="44"/>
        <v>0</v>
      </c>
      <c r="Y103" s="445">
        <f t="shared" si="61"/>
        <v>0</v>
      </c>
      <c r="Z103" s="445">
        <f>IF(Y103&gt;0,1+COUNTIF(Y$86:Y102,"&gt;0"),0)</f>
        <v>0</v>
      </c>
      <c r="AA103" s="445" t="str">
        <f t="shared" si="62"/>
        <v/>
      </c>
      <c r="AB103" s="445" t="str">
        <f t="shared" si="45"/>
        <v>n/a</v>
      </c>
      <c r="AC103" s="451">
        <f t="shared" si="46"/>
        <v>0</v>
      </c>
      <c r="AD103" s="445">
        <f t="shared" si="63"/>
        <v>0</v>
      </c>
      <c r="AE103" s="445">
        <f>IF(AD103&gt;0,1+COUNTIF(AD$86:AD102,"&gt;0"),0)</f>
        <v>0</v>
      </c>
      <c r="AF103" s="445" t="str">
        <f t="shared" si="64"/>
        <v/>
      </c>
      <c r="AG103" s="445" t="str">
        <f t="shared" si="47"/>
        <v>n/a</v>
      </c>
      <c r="AH103" s="451">
        <f t="shared" si="48"/>
        <v>0</v>
      </c>
      <c r="AI103" s="445">
        <f t="shared" si="65"/>
        <v>0</v>
      </c>
      <c r="AJ103" s="445">
        <f>IF(AI103&gt;0,1+COUNTIF(AI$86:AI102,"&gt;0"),0)</f>
        <v>0</v>
      </c>
      <c r="AK103" s="445" t="str">
        <f t="shared" si="66"/>
        <v/>
      </c>
      <c r="AL103" s="445" t="str">
        <f t="shared" si="49"/>
        <v>n/a</v>
      </c>
      <c r="AM103" s="451">
        <f t="shared" si="50"/>
        <v>0</v>
      </c>
      <c r="AN103" s="445">
        <f t="shared" si="67"/>
        <v>0</v>
      </c>
      <c r="AO103" s="445">
        <f>IF(AN103&gt;0,1+COUNTIF(AN$86:AN102,"&gt;0"),0)</f>
        <v>0</v>
      </c>
      <c r="AP103" s="445" t="str">
        <f t="shared" si="68"/>
        <v/>
      </c>
      <c r="AQ103" s="445" t="str">
        <f t="shared" si="51"/>
        <v>n/a</v>
      </c>
      <c r="AR103" s="451">
        <f t="shared" si="52"/>
        <v>0</v>
      </c>
      <c r="AS103" s="445">
        <f t="shared" si="69"/>
        <v>0</v>
      </c>
      <c r="AT103" s="445">
        <f>IF(AS103&gt;0,1+COUNTIF(AS$86:AS102,"&gt;0"),0)</f>
        <v>0</v>
      </c>
      <c r="AU103" s="445" t="str">
        <f t="shared" si="70"/>
        <v/>
      </c>
      <c r="AV103" s="445" t="str">
        <f t="shared" si="53"/>
        <v>n/a</v>
      </c>
      <c r="AW103" s="451">
        <f t="shared" si="54"/>
        <v>0</v>
      </c>
      <c r="AX103" s="445">
        <f t="shared" si="71"/>
        <v>0</v>
      </c>
      <c r="AY103" s="445">
        <f>IF(AX103&gt;0,1+COUNTIF(AX$86:AX102,"&gt;0"),0)</f>
        <v>0</v>
      </c>
      <c r="AZ103" s="445" t="str">
        <f t="shared" si="72"/>
        <v/>
      </c>
      <c r="BA103" s="445" t="str">
        <f t="shared" si="55"/>
        <v>n/a</v>
      </c>
      <c r="BB103" s="451">
        <f t="shared" si="56"/>
        <v>0</v>
      </c>
    </row>
    <row r="104" spans="1:54" ht="16.5" x14ac:dyDescent="0.3">
      <c r="A104" s="155">
        <f>IFERROR(IF(A103+1&lt;MAX(D041_ClassFeatures!$A$2:$A$2033),A103+1,""),"")</f>
        <v>101</v>
      </c>
      <c r="B104" s="153" t="str">
        <f>IFERROR(INDEX(D041_ClassFeatures!$B$2:$B$2033,MATCH(C_Variables!A104,D041_ClassFeatures!$A$2:$A$2033,0),1),"")</f>
        <v>Persistent Rage</v>
      </c>
      <c r="C104" s="153">
        <f>IF(B104="",0,IF(IFERROR(MATCH(B104,C_Input!$BC$160:$BC$239,0),0)&gt;0,1,0))</f>
        <v>0</v>
      </c>
      <c r="D104" s="153"/>
      <c r="E104" s="153"/>
      <c r="F104" s="153"/>
      <c r="G104" s="450"/>
      <c r="H104" s="460" t="s">
        <v>4531</v>
      </c>
      <c r="I104" s="450"/>
      <c r="J104" s="444"/>
      <c r="K104" s="445"/>
      <c r="L104" s="451">
        <v>9</v>
      </c>
      <c r="M104" s="460">
        <f t="shared" si="73"/>
        <v>0</v>
      </c>
      <c r="N104" s="445"/>
      <c r="O104" s="457">
        <f t="shared" si="57"/>
        <v>0</v>
      </c>
      <c r="P104" s="445">
        <f>IF(O104&gt;0,1+COUNTIF(O$86:O103,"&gt;0"),0)</f>
        <v>0</v>
      </c>
      <c r="Q104" s="445" t="str">
        <f t="shared" si="58"/>
        <v/>
      </c>
      <c r="R104" s="445" t="str">
        <f t="shared" si="41"/>
        <v>n/a</v>
      </c>
      <c r="S104" s="451">
        <f t="shared" si="42"/>
        <v>0</v>
      </c>
      <c r="T104" s="445">
        <f t="shared" si="59"/>
        <v>0</v>
      </c>
      <c r="U104" s="445">
        <f>IF(T104&gt;0,1+COUNTIF(T$86:T103,"&gt;0"),0)</f>
        <v>0</v>
      </c>
      <c r="V104" s="445" t="str">
        <f t="shared" si="60"/>
        <v/>
      </c>
      <c r="W104" s="445" t="str">
        <f t="shared" si="43"/>
        <v>n/a</v>
      </c>
      <c r="X104" s="451">
        <f t="shared" si="44"/>
        <v>0</v>
      </c>
      <c r="Y104" s="445">
        <f t="shared" si="61"/>
        <v>0</v>
      </c>
      <c r="Z104" s="445">
        <f>IF(Y104&gt;0,1+COUNTIF(Y$86:Y103,"&gt;0"),0)</f>
        <v>0</v>
      </c>
      <c r="AA104" s="445" t="str">
        <f t="shared" si="62"/>
        <v/>
      </c>
      <c r="AB104" s="445" t="str">
        <f t="shared" si="45"/>
        <v>n/a</v>
      </c>
      <c r="AC104" s="451">
        <f t="shared" si="46"/>
        <v>0</v>
      </c>
      <c r="AD104" s="445">
        <f t="shared" si="63"/>
        <v>0</v>
      </c>
      <c r="AE104" s="445">
        <f>IF(AD104&gt;0,1+COUNTIF(AD$86:AD103,"&gt;0"),0)</f>
        <v>0</v>
      </c>
      <c r="AF104" s="445" t="str">
        <f t="shared" si="64"/>
        <v/>
      </c>
      <c r="AG104" s="445" t="str">
        <f t="shared" si="47"/>
        <v>n/a</v>
      </c>
      <c r="AH104" s="451">
        <f t="shared" si="48"/>
        <v>0</v>
      </c>
      <c r="AI104" s="445">
        <f t="shared" si="65"/>
        <v>0</v>
      </c>
      <c r="AJ104" s="445">
        <f>IF(AI104&gt;0,1+COUNTIF(AI$86:AI103,"&gt;0"),0)</f>
        <v>0</v>
      </c>
      <c r="AK104" s="445" t="str">
        <f t="shared" si="66"/>
        <v/>
      </c>
      <c r="AL104" s="445" t="str">
        <f t="shared" si="49"/>
        <v>n/a</v>
      </c>
      <c r="AM104" s="451">
        <f t="shared" si="50"/>
        <v>0</v>
      </c>
      <c r="AN104" s="445">
        <f t="shared" si="67"/>
        <v>0</v>
      </c>
      <c r="AO104" s="445">
        <f>IF(AN104&gt;0,1+COUNTIF(AN$86:AN103,"&gt;0"),0)</f>
        <v>0</v>
      </c>
      <c r="AP104" s="445" t="str">
        <f t="shared" si="68"/>
        <v/>
      </c>
      <c r="AQ104" s="445" t="str">
        <f t="shared" si="51"/>
        <v>n/a</v>
      </c>
      <c r="AR104" s="451">
        <f t="shared" si="52"/>
        <v>0</v>
      </c>
      <c r="AS104" s="445">
        <f t="shared" si="69"/>
        <v>0</v>
      </c>
      <c r="AT104" s="445">
        <f>IF(AS104&gt;0,1+COUNTIF(AS$86:AS103,"&gt;0"),0)</f>
        <v>0</v>
      </c>
      <c r="AU104" s="445" t="str">
        <f t="shared" si="70"/>
        <v/>
      </c>
      <c r="AV104" s="445" t="str">
        <f t="shared" si="53"/>
        <v>n/a</v>
      </c>
      <c r="AW104" s="451">
        <f t="shared" si="54"/>
        <v>0</v>
      </c>
      <c r="AX104" s="445">
        <f t="shared" si="71"/>
        <v>0</v>
      </c>
      <c r="AY104" s="445">
        <f>IF(AX104&gt;0,1+COUNTIF(AX$86:AX103,"&gt;0"),0)</f>
        <v>0</v>
      </c>
      <c r="AZ104" s="445" t="str">
        <f t="shared" si="72"/>
        <v/>
      </c>
      <c r="BA104" s="445" t="str">
        <f t="shared" si="55"/>
        <v>n/a</v>
      </c>
      <c r="BB104" s="451">
        <f t="shared" si="56"/>
        <v>0</v>
      </c>
    </row>
    <row r="105" spans="1:54" ht="16.5" x14ac:dyDescent="0.3">
      <c r="A105" s="155">
        <f>IFERROR(IF(A104+1&lt;MAX(D041_ClassFeatures!$A$2:$A$2033),A104+1,""),"")</f>
        <v>102</v>
      </c>
      <c r="B105" s="153" t="str">
        <f>IFERROR(INDEX(D041_ClassFeatures!$B$2:$B$2033,MATCH(C_Variables!A105,D041_ClassFeatures!$A$2:$A$2033,0),1),"")</f>
        <v>Primal Champion</v>
      </c>
      <c r="C105" s="153">
        <f>IF(B105="",0,IF(IFERROR(MATCH(B105,C_Input!$BC$160:$BC$239,0),0)&gt;0,1,0))</f>
        <v>0</v>
      </c>
      <c r="D105" s="153"/>
      <c r="E105" s="153"/>
      <c r="F105" s="153"/>
      <c r="G105" s="450"/>
      <c r="H105" s="460" t="s">
        <v>4532</v>
      </c>
      <c r="I105" s="450"/>
      <c r="J105" s="444"/>
      <c r="K105" s="445"/>
      <c r="L105" s="451">
        <v>5</v>
      </c>
      <c r="M105" s="460">
        <f t="shared" si="73"/>
        <v>0</v>
      </c>
      <c r="N105" s="445"/>
      <c r="O105" s="457">
        <f t="shared" si="57"/>
        <v>0</v>
      </c>
      <c r="P105" s="445">
        <f>IF(O105&gt;0,1+COUNTIF(O$86:O104,"&gt;0"),0)</f>
        <v>0</v>
      </c>
      <c r="Q105" s="445" t="str">
        <f t="shared" si="58"/>
        <v/>
      </c>
      <c r="R105" s="445" t="str">
        <f t="shared" si="41"/>
        <v>n/a</v>
      </c>
      <c r="S105" s="451">
        <f t="shared" si="42"/>
        <v>0</v>
      </c>
      <c r="T105" s="445">
        <f t="shared" si="59"/>
        <v>0</v>
      </c>
      <c r="U105" s="445">
        <f>IF(T105&gt;0,1+COUNTIF(T$86:T104,"&gt;0"),0)</f>
        <v>0</v>
      </c>
      <c r="V105" s="445" t="str">
        <f t="shared" si="60"/>
        <v/>
      </c>
      <c r="W105" s="445" t="str">
        <f t="shared" si="43"/>
        <v>n/a</v>
      </c>
      <c r="X105" s="451">
        <f t="shared" si="44"/>
        <v>0</v>
      </c>
      <c r="Y105" s="445">
        <f t="shared" si="61"/>
        <v>0</v>
      </c>
      <c r="Z105" s="445">
        <f>IF(Y105&gt;0,1+COUNTIF(Y$86:Y104,"&gt;0"),0)</f>
        <v>0</v>
      </c>
      <c r="AA105" s="445" t="str">
        <f t="shared" si="62"/>
        <v/>
      </c>
      <c r="AB105" s="445" t="str">
        <f t="shared" si="45"/>
        <v>n/a</v>
      </c>
      <c r="AC105" s="451">
        <f t="shared" si="46"/>
        <v>0</v>
      </c>
      <c r="AD105" s="445">
        <f t="shared" si="63"/>
        <v>0</v>
      </c>
      <c r="AE105" s="445">
        <f>IF(AD105&gt;0,1+COUNTIF(AD$86:AD104,"&gt;0"),0)</f>
        <v>0</v>
      </c>
      <c r="AF105" s="445" t="str">
        <f t="shared" si="64"/>
        <v/>
      </c>
      <c r="AG105" s="445" t="str">
        <f t="shared" si="47"/>
        <v>n/a</v>
      </c>
      <c r="AH105" s="451">
        <f t="shared" si="48"/>
        <v>0</v>
      </c>
      <c r="AI105" s="445">
        <f t="shared" si="65"/>
        <v>0</v>
      </c>
      <c r="AJ105" s="445">
        <f>IF(AI105&gt;0,1+COUNTIF(AI$86:AI104,"&gt;0"),0)</f>
        <v>0</v>
      </c>
      <c r="AK105" s="445" t="str">
        <f t="shared" si="66"/>
        <v/>
      </c>
      <c r="AL105" s="445" t="str">
        <f t="shared" si="49"/>
        <v>n/a</v>
      </c>
      <c r="AM105" s="451">
        <f t="shared" si="50"/>
        <v>0</v>
      </c>
      <c r="AN105" s="445">
        <f t="shared" si="67"/>
        <v>0</v>
      </c>
      <c r="AO105" s="445">
        <f>IF(AN105&gt;0,1+COUNTIF(AN$86:AN104,"&gt;0"),0)</f>
        <v>0</v>
      </c>
      <c r="AP105" s="445" t="str">
        <f t="shared" si="68"/>
        <v/>
      </c>
      <c r="AQ105" s="445" t="str">
        <f t="shared" si="51"/>
        <v>n/a</v>
      </c>
      <c r="AR105" s="451">
        <f t="shared" si="52"/>
        <v>0</v>
      </c>
      <c r="AS105" s="445">
        <f t="shared" si="69"/>
        <v>0</v>
      </c>
      <c r="AT105" s="445">
        <f>IF(AS105&gt;0,1+COUNTIF(AS$86:AS104,"&gt;0"),0)</f>
        <v>0</v>
      </c>
      <c r="AU105" s="445" t="str">
        <f t="shared" si="70"/>
        <v/>
      </c>
      <c r="AV105" s="445" t="str">
        <f t="shared" si="53"/>
        <v>n/a</v>
      </c>
      <c r="AW105" s="451">
        <f t="shared" si="54"/>
        <v>0</v>
      </c>
      <c r="AX105" s="445">
        <f t="shared" si="71"/>
        <v>0</v>
      </c>
      <c r="AY105" s="445">
        <f>IF(AX105&gt;0,1+COUNTIF(AX$86:AX104,"&gt;0"),0)</f>
        <v>0</v>
      </c>
      <c r="AZ105" s="445" t="str">
        <f t="shared" si="72"/>
        <v/>
      </c>
      <c r="BA105" s="445" t="str">
        <f t="shared" si="55"/>
        <v>n/a</v>
      </c>
      <c r="BB105" s="451">
        <f t="shared" si="56"/>
        <v>0</v>
      </c>
    </row>
    <row r="106" spans="1:54" ht="16.5" x14ac:dyDescent="0.3">
      <c r="A106" s="155">
        <f>IFERROR(IF(A105+1&lt;MAX(D041_ClassFeatures!$A$2:$A$2033),A105+1,""),"")</f>
        <v>103</v>
      </c>
      <c r="B106" s="153" t="str">
        <f>IFERROR(INDEX(D041_ClassFeatures!$B$2:$B$2033,MATCH(C_Variables!A106,D041_ClassFeatures!$A$2:$A$2033,0),1),"")</f>
        <v>Primal Path</v>
      </c>
      <c r="C106" s="153">
        <f>IF(B106="",0,IF(IFERROR(MATCH(B106,C_Input!$BC$160:$BC$239,0),0)&gt;0,1,0))</f>
        <v>0</v>
      </c>
      <c r="D106" s="153"/>
      <c r="E106" s="153"/>
      <c r="F106" s="153"/>
      <c r="G106" s="450"/>
      <c r="H106" s="460" t="s">
        <v>4533</v>
      </c>
      <c r="I106" s="450"/>
      <c r="J106" s="444"/>
      <c r="K106" s="445"/>
      <c r="L106" s="451"/>
      <c r="M106" s="460">
        <f t="shared" si="73"/>
        <v>1</v>
      </c>
      <c r="N106" s="445"/>
      <c r="O106" s="457">
        <f t="shared" si="57"/>
        <v>1</v>
      </c>
      <c r="P106" s="445">
        <f>IF(O106&gt;0,1+COUNTIF(O$86:O105,"&gt;0"),0)</f>
        <v>12</v>
      </c>
      <c r="Q106" s="445" t="str">
        <f t="shared" si="58"/>
        <v/>
      </c>
      <c r="R106" s="445" t="str">
        <f t="shared" si="41"/>
        <v>n/a</v>
      </c>
      <c r="S106" s="451">
        <f t="shared" si="42"/>
        <v>0</v>
      </c>
      <c r="T106" s="445">
        <f t="shared" si="59"/>
        <v>1</v>
      </c>
      <c r="U106" s="445">
        <f>IF(T106&gt;0,1+COUNTIF(T$86:T105,"&gt;0"),0)</f>
        <v>12</v>
      </c>
      <c r="V106" s="445" t="str">
        <f t="shared" si="60"/>
        <v/>
      </c>
      <c r="W106" s="445" t="str">
        <f t="shared" si="43"/>
        <v>n/a</v>
      </c>
      <c r="X106" s="451">
        <f t="shared" si="44"/>
        <v>0</v>
      </c>
      <c r="Y106" s="445">
        <f t="shared" si="61"/>
        <v>1</v>
      </c>
      <c r="Z106" s="445">
        <f>IF(Y106&gt;0,1+COUNTIF(Y$86:Y105,"&gt;0"),0)</f>
        <v>12</v>
      </c>
      <c r="AA106" s="445" t="str">
        <f t="shared" si="62"/>
        <v/>
      </c>
      <c r="AB106" s="445" t="str">
        <f t="shared" si="45"/>
        <v>n/a</v>
      </c>
      <c r="AC106" s="451">
        <f t="shared" si="46"/>
        <v>0</v>
      </c>
      <c r="AD106" s="445">
        <f t="shared" si="63"/>
        <v>1</v>
      </c>
      <c r="AE106" s="445">
        <f>IF(AD106&gt;0,1+COUNTIF(AD$86:AD105,"&gt;0"),0)</f>
        <v>12</v>
      </c>
      <c r="AF106" s="445" t="str">
        <f t="shared" si="64"/>
        <v/>
      </c>
      <c r="AG106" s="445" t="str">
        <f t="shared" si="47"/>
        <v>n/a</v>
      </c>
      <c r="AH106" s="451">
        <f t="shared" si="48"/>
        <v>0</v>
      </c>
      <c r="AI106" s="445">
        <f t="shared" si="65"/>
        <v>1</v>
      </c>
      <c r="AJ106" s="445">
        <f>IF(AI106&gt;0,1+COUNTIF(AI$86:AI105,"&gt;0"),0)</f>
        <v>12</v>
      </c>
      <c r="AK106" s="445" t="str">
        <f t="shared" si="66"/>
        <v/>
      </c>
      <c r="AL106" s="445" t="str">
        <f t="shared" si="49"/>
        <v>n/a</v>
      </c>
      <c r="AM106" s="451">
        <f t="shared" si="50"/>
        <v>0</v>
      </c>
      <c r="AN106" s="445">
        <f t="shared" si="67"/>
        <v>1</v>
      </c>
      <c r="AO106" s="445">
        <f>IF(AN106&gt;0,1+COUNTIF(AN$86:AN105,"&gt;0"),0)</f>
        <v>12</v>
      </c>
      <c r="AP106" s="445" t="str">
        <f t="shared" si="68"/>
        <v/>
      </c>
      <c r="AQ106" s="445" t="str">
        <f t="shared" si="51"/>
        <v>n/a</v>
      </c>
      <c r="AR106" s="451">
        <f t="shared" si="52"/>
        <v>0</v>
      </c>
      <c r="AS106" s="445">
        <f t="shared" si="69"/>
        <v>1</v>
      </c>
      <c r="AT106" s="445">
        <f>IF(AS106&gt;0,1+COUNTIF(AS$86:AS105,"&gt;0"),0)</f>
        <v>12</v>
      </c>
      <c r="AU106" s="445" t="str">
        <f t="shared" si="70"/>
        <v/>
      </c>
      <c r="AV106" s="445" t="str">
        <f t="shared" si="53"/>
        <v>n/a</v>
      </c>
      <c r="AW106" s="451">
        <f t="shared" si="54"/>
        <v>0</v>
      </c>
      <c r="AX106" s="445">
        <f t="shared" si="71"/>
        <v>1</v>
      </c>
      <c r="AY106" s="445">
        <f>IF(AX106&gt;0,1+COUNTIF(AX$86:AX105,"&gt;0"),0)</f>
        <v>12</v>
      </c>
      <c r="AZ106" s="445" t="str">
        <f t="shared" si="72"/>
        <v/>
      </c>
      <c r="BA106" s="445" t="str">
        <f t="shared" si="55"/>
        <v>n/a</v>
      </c>
      <c r="BB106" s="451">
        <f t="shared" si="56"/>
        <v>0</v>
      </c>
    </row>
    <row r="107" spans="1:54" ht="16.5" x14ac:dyDescent="0.3">
      <c r="A107" s="155">
        <f>IFERROR(IF(A106+1&lt;MAX(D041_ClassFeatures!$A$2:$A$2033),A106+1,""),"")</f>
        <v>104</v>
      </c>
      <c r="B107" s="153" t="str">
        <f>IFERROR(INDEX(D041_ClassFeatures!$B$2:$B$2033,MATCH(C_Variables!A107,D041_ClassFeatures!$A$2:$A$2033,0),1),"")</f>
        <v>Path Feature3-1</v>
      </c>
      <c r="C107" s="153">
        <f>IF(B107="",0,IF(IFERROR(MATCH(B107,C_Input!$BC$160:$BC$239,0),0)&gt;0,1,0))</f>
        <v>0</v>
      </c>
      <c r="D107" s="153"/>
      <c r="E107" s="153"/>
      <c r="F107" s="153"/>
      <c r="G107" s="450"/>
      <c r="H107" s="460" t="s">
        <v>4534</v>
      </c>
      <c r="I107" s="450"/>
      <c r="J107" s="444"/>
      <c r="K107" s="445"/>
      <c r="L107" s="451">
        <v>5</v>
      </c>
      <c r="M107" s="460">
        <f t="shared" si="73"/>
        <v>0</v>
      </c>
      <c r="N107" s="445"/>
      <c r="O107" s="457">
        <f t="shared" si="57"/>
        <v>0</v>
      </c>
      <c r="P107" s="445">
        <f>IF(O107&gt;0,1+COUNTIF(O$86:O106,"&gt;0"),0)</f>
        <v>0</v>
      </c>
      <c r="Q107" s="445" t="str">
        <f t="shared" si="58"/>
        <v/>
      </c>
      <c r="R107" s="445" t="str">
        <f t="shared" si="41"/>
        <v>n/a</v>
      </c>
      <c r="S107" s="451">
        <f t="shared" si="42"/>
        <v>0</v>
      </c>
      <c r="T107" s="445">
        <f t="shared" si="59"/>
        <v>0</v>
      </c>
      <c r="U107" s="445">
        <f>IF(T107&gt;0,1+COUNTIF(T$86:T106,"&gt;0"),0)</f>
        <v>0</v>
      </c>
      <c r="V107" s="445" t="str">
        <f t="shared" si="60"/>
        <v/>
      </c>
      <c r="W107" s="445" t="str">
        <f t="shared" si="43"/>
        <v>n/a</v>
      </c>
      <c r="X107" s="451">
        <f t="shared" si="44"/>
        <v>0</v>
      </c>
      <c r="Y107" s="445">
        <f t="shared" si="61"/>
        <v>0</v>
      </c>
      <c r="Z107" s="445">
        <f>IF(Y107&gt;0,1+COUNTIF(Y$86:Y106,"&gt;0"),0)</f>
        <v>0</v>
      </c>
      <c r="AA107" s="445" t="str">
        <f t="shared" si="62"/>
        <v/>
      </c>
      <c r="AB107" s="445" t="str">
        <f t="shared" si="45"/>
        <v>n/a</v>
      </c>
      <c r="AC107" s="451">
        <f t="shared" si="46"/>
        <v>0</v>
      </c>
      <c r="AD107" s="445">
        <f t="shared" si="63"/>
        <v>0</v>
      </c>
      <c r="AE107" s="445">
        <f>IF(AD107&gt;0,1+COUNTIF(AD$86:AD106,"&gt;0"),0)</f>
        <v>0</v>
      </c>
      <c r="AF107" s="445" t="str">
        <f t="shared" si="64"/>
        <v/>
      </c>
      <c r="AG107" s="445" t="str">
        <f t="shared" si="47"/>
        <v>n/a</v>
      </c>
      <c r="AH107" s="451">
        <f t="shared" si="48"/>
        <v>0</v>
      </c>
      <c r="AI107" s="445">
        <f t="shared" si="65"/>
        <v>0</v>
      </c>
      <c r="AJ107" s="445">
        <f>IF(AI107&gt;0,1+COUNTIF(AI$86:AI106,"&gt;0"),0)</f>
        <v>0</v>
      </c>
      <c r="AK107" s="445" t="str">
        <f t="shared" si="66"/>
        <v/>
      </c>
      <c r="AL107" s="445" t="str">
        <f t="shared" si="49"/>
        <v>n/a</v>
      </c>
      <c r="AM107" s="451">
        <f t="shared" si="50"/>
        <v>0</v>
      </c>
      <c r="AN107" s="445">
        <f t="shared" si="67"/>
        <v>0</v>
      </c>
      <c r="AO107" s="445">
        <f>IF(AN107&gt;0,1+COUNTIF(AN$86:AN106,"&gt;0"),0)</f>
        <v>0</v>
      </c>
      <c r="AP107" s="445" t="str">
        <f t="shared" si="68"/>
        <v/>
      </c>
      <c r="AQ107" s="445" t="str">
        <f t="shared" si="51"/>
        <v>n/a</v>
      </c>
      <c r="AR107" s="451">
        <f t="shared" si="52"/>
        <v>0</v>
      </c>
      <c r="AS107" s="445">
        <f t="shared" si="69"/>
        <v>0</v>
      </c>
      <c r="AT107" s="445">
        <f>IF(AS107&gt;0,1+COUNTIF(AS$86:AS106,"&gt;0"),0)</f>
        <v>0</v>
      </c>
      <c r="AU107" s="445" t="str">
        <f t="shared" si="70"/>
        <v/>
      </c>
      <c r="AV107" s="445" t="str">
        <f t="shared" si="53"/>
        <v>n/a</v>
      </c>
      <c r="AW107" s="451">
        <f t="shared" si="54"/>
        <v>0</v>
      </c>
      <c r="AX107" s="445">
        <f t="shared" si="71"/>
        <v>0</v>
      </c>
      <c r="AY107" s="445">
        <f>IF(AX107&gt;0,1+COUNTIF(AX$86:AX106,"&gt;0"),0)</f>
        <v>0</v>
      </c>
      <c r="AZ107" s="445" t="str">
        <f t="shared" si="72"/>
        <v/>
      </c>
      <c r="BA107" s="445" t="str">
        <f t="shared" si="55"/>
        <v>n/a</v>
      </c>
      <c r="BB107" s="451">
        <f t="shared" si="56"/>
        <v>0</v>
      </c>
    </row>
    <row r="108" spans="1:54" ht="16.5" x14ac:dyDescent="0.3">
      <c r="A108" s="155">
        <f>IFERROR(IF(A107+1&lt;MAX(D041_ClassFeatures!$A$2:$A$2033),A107+1,""),"")</f>
        <v>105</v>
      </c>
      <c r="B108" s="153" t="str">
        <f>IFERROR(INDEX(D041_ClassFeatures!$B$2:$B$2033,MATCH(C_Variables!A108,D041_ClassFeatures!$A$2:$A$2033,0),1),"")</f>
        <v>Path Feature3-2</v>
      </c>
      <c r="C108" s="153">
        <f>IF(B108="",0,IF(IFERROR(MATCH(B108,C_Input!$BC$160:$BC$239,0),0)&gt;0,1,0))</f>
        <v>0</v>
      </c>
      <c r="D108" s="153"/>
      <c r="E108" s="153"/>
      <c r="F108" s="153"/>
      <c r="G108" s="450"/>
      <c r="H108" s="460" t="s">
        <v>4535</v>
      </c>
      <c r="I108" s="450"/>
      <c r="J108" s="444"/>
      <c r="K108" s="445"/>
      <c r="L108" s="451">
        <v>9</v>
      </c>
      <c r="M108" s="460">
        <f t="shared" si="73"/>
        <v>0</v>
      </c>
      <c r="N108" s="445"/>
      <c r="O108" s="457">
        <f t="shared" si="57"/>
        <v>0</v>
      </c>
      <c r="P108" s="445">
        <f>IF(O108&gt;0,1+COUNTIF(O$86:O107,"&gt;0"),0)</f>
        <v>0</v>
      </c>
      <c r="Q108" s="445" t="str">
        <f t="shared" si="58"/>
        <v/>
      </c>
      <c r="R108" s="445" t="str">
        <f t="shared" si="41"/>
        <v>n/a</v>
      </c>
      <c r="S108" s="451">
        <f t="shared" si="42"/>
        <v>0</v>
      </c>
      <c r="T108" s="445">
        <f t="shared" si="59"/>
        <v>0</v>
      </c>
      <c r="U108" s="445">
        <f>IF(T108&gt;0,1+COUNTIF(T$86:T107,"&gt;0"),0)</f>
        <v>0</v>
      </c>
      <c r="V108" s="445" t="str">
        <f t="shared" si="60"/>
        <v/>
      </c>
      <c r="W108" s="445" t="str">
        <f t="shared" si="43"/>
        <v>n/a</v>
      </c>
      <c r="X108" s="451">
        <f t="shared" si="44"/>
        <v>0</v>
      </c>
      <c r="Y108" s="445">
        <f t="shared" si="61"/>
        <v>0</v>
      </c>
      <c r="Z108" s="445">
        <f>IF(Y108&gt;0,1+COUNTIF(Y$86:Y107,"&gt;0"),0)</f>
        <v>0</v>
      </c>
      <c r="AA108" s="445" t="str">
        <f t="shared" si="62"/>
        <v/>
      </c>
      <c r="AB108" s="445" t="str">
        <f t="shared" si="45"/>
        <v>n/a</v>
      </c>
      <c r="AC108" s="451">
        <f t="shared" si="46"/>
        <v>0</v>
      </c>
      <c r="AD108" s="445">
        <f t="shared" si="63"/>
        <v>0</v>
      </c>
      <c r="AE108" s="445">
        <f>IF(AD108&gt;0,1+COUNTIF(AD$86:AD107,"&gt;0"),0)</f>
        <v>0</v>
      </c>
      <c r="AF108" s="445" t="str">
        <f t="shared" si="64"/>
        <v/>
      </c>
      <c r="AG108" s="445" t="str">
        <f t="shared" si="47"/>
        <v>n/a</v>
      </c>
      <c r="AH108" s="451">
        <f t="shared" si="48"/>
        <v>0</v>
      </c>
      <c r="AI108" s="445">
        <f t="shared" si="65"/>
        <v>0</v>
      </c>
      <c r="AJ108" s="445">
        <f>IF(AI108&gt;0,1+COUNTIF(AI$86:AI107,"&gt;0"),0)</f>
        <v>0</v>
      </c>
      <c r="AK108" s="445" t="str">
        <f t="shared" si="66"/>
        <v/>
      </c>
      <c r="AL108" s="445" t="str">
        <f t="shared" si="49"/>
        <v>n/a</v>
      </c>
      <c r="AM108" s="451">
        <f t="shared" si="50"/>
        <v>0</v>
      </c>
      <c r="AN108" s="445">
        <f t="shared" si="67"/>
        <v>0</v>
      </c>
      <c r="AO108" s="445">
        <f>IF(AN108&gt;0,1+COUNTIF(AN$86:AN107,"&gt;0"),0)</f>
        <v>0</v>
      </c>
      <c r="AP108" s="445" t="str">
        <f t="shared" si="68"/>
        <v/>
      </c>
      <c r="AQ108" s="445" t="str">
        <f t="shared" si="51"/>
        <v>n/a</v>
      </c>
      <c r="AR108" s="451">
        <f t="shared" si="52"/>
        <v>0</v>
      </c>
      <c r="AS108" s="445">
        <f t="shared" si="69"/>
        <v>0</v>
      </c>
      <c r="AT108" s="445">
        <f>IF(AS108&gt;0,1+COUNTIF(AS$86:AS107,"&gt;0"),0)</f>
        <v>0</v>
      </c>
      <c r="AU108" s="445" t="str">
        <f t="shared" si="70"/>
        <v/>
      </c>
      <c r="AV108" s="445" t="str">
        <f t="shared" si="53"/>
        <v>n/a</v>
      </c>
      <c r="AW108" s="451">
        <f t="shared" si="54"/>
        <v>0</v>
      </c>
      <c r="AX108" s="445">
        <f t="shared" si="71"/>
        <v>0</v>
      </c>
      <c r="AY108" s="445">
        <f>IF(AX108&gt;0,1+COUNTIF(AX$86:AX107,"&gt;0"),0)</f>
        <v>0</v>
      </c>
      <c r="AZ108" s="445" t="str">
        <f t="shared" si="72"/>
        <v/>
      </c>
      <c r="BA108" s="445" t="str">
        <f t="shared" si="55"/>
        <v>n/a</v>
      </c>
      <c r="BB108" s="451">
        <f t="shared" si="56"/>
        <v>0</v>
      </c>
    </row>
    <row r="109" spans="1:54" ht="16.5" x14ac:dyDescent="0.3">
      <c r="A109" s="155">
        <f>IFERROR(IF(A108+1&lt;MAX(D041_ClassFeatures!$A$2:$A$2033),A108+1,""),"")</f>
        <v>106</v>
      </c>
      <c r="B109" s="153" t="str">
        <f>IFERROR(INDEX(D041_ClassFeatures!$B$2:$B$2033,MATCH(C_Variables!A109,D041_ClassFeatures!$A$2:$A$2033,0),1),"")</f>
        <v>Path Feature6</v>
      </c>
      <c r="C109" s="153">
        <f>IF(B109="",0,IF(IFERROR(MATCH(B109,C_Input!$BC$160:$BC$239,0),0)&gt;0,1,0))</f>
        <v>0</v>
      </c>
      <c r="D109" s="153"/>
      <c r="E109" s="153"/>
      <c r="F109" s="153"/>
      <c r="G109" s="450"/>
      <c r="H109" s="460" t="s">
        <v>4536</v>
      </c>
      <c r="I109" s="450"/>
      <c r="J109" s="444"/>
      <c r="K109" s="445"/>
      <c r="L109" s="451"/>
      <c r="M109" s="460">
        <f t="shared" si="73"/>
        <v>1</v>
      </c>
      <c r="N109" s="445"/>
      <c r="O109" s="457">
        <f t="shared" si="57"/>
        <v>1</v>
      </c>
      <c r="P109" s="445">
        <f>IF(O109&gt;0,1+COUNTIF(O$86:O108,"&gt;0"),0)</f>
        <v>13</v>
      </c>
      <c r="Q109" s="445" t="str">
        <f t="shared" si="58"/>
        <v/>
      </c>
      <c r="R109" s="445" t="str">
        <f t="shared" si="41"/>
        <v>n/a</v>
      </c>
      <c r="S109" s="451">
        <f t="shared" si="42"/>
        <v>0</v>
      </c>
      <c r="T109" s="445">
        <f t="shared" si="59"/>
        <v>1</v>
      </c>
      <c r="U109" s="445">
        <f>IF(T109&gt;0,1+COUNTIF(T$86:T108,"&gt;0"),0)</f>
        <v>13</v>
      </c>
      <c r="V109" s="445" t="str">
        <f t="shared" si="60"/>
        <v/>
      </c>
      <c r="W109" s="445" t="str">
        <f t="shared" si="43"/>
        <v>n/a</v>
      </c>
      <c r="X109" s="451">
        <f t="shared" si="44"/>
        <v>0</v>
      </c>
      <c r="Y109" s="445">
        <f t="shared" si="61"/>
        <v>1</v>
      </c>
      <c r="Z109" s="445">
        <f>IF(Y109&gt;0,1+COUNTIF(Y$86:Y108,"&gt;0"),0)</f>
        <v>13</v>
      </c>
      <c r="AA109" s="445" t="str">
        <f t="shared" si="62"/>
        <v/>
      </c>
      <c r="AB109" s="445" t="str">
        <f t="shared" si="45"/>
        <v>n/a</v>
      </c>
      <c r="AC109" s="451">
        <f t="shared" si="46"/>
        <v>0</v>
      </c>
      <c r="AD109" s="445">
        <f t="shared" si="63"/>
        <v>1</v>
      </c>
      <c r="AE109" s="445">
        <f>IF(AD109&gt;0,1+COUNTIF(AD$86:AD108,"&gt;0"),0)</f>
        <v>13</v>
      </c>
      <c r="AF109" s="445" t="str">
        <f t="shared" si="64"/>
        <v/>
      </c>
      <c r="AG109" s="445" t="str">
        <f t="shared" si="47"/>
        <v>n/a</v>
      </c>
      <c r="AH109" s="451">
        <f t="shared" si="48"/>
        <v>0</v>
      </c>
      <c r="AI109" s="445">
        <f t="shared" si="65"/>
        <v>1</v>
      </c>
      <c r="AJ109" s="445">
        <f>IF(AI109&gt;0,1+COUNTIF(AI$86:AI108,"&gt;0"),0)</f>
        <v>13</v>
      </c>
      <c r="AK109" s="445" t="str">
        <f t="shared" si="66"/>
        <v/>
      </c>
      <c r="AL109" s="445" t="str">
        <f t="shared" si="49"/>
        <v>n/a</v>
      </c>
      <c r="AM109" s="451">
        <f t="shared" si="50"/>
        <v>0</v>
      </c>
      <c r="AN109" s="445">
        <f t="shared" si="67"/>
        <v>1</v>
      </c>
      <c r="AO109" s="445">
        <f>IF(AN109&gt;0,1+COUNTIF(AN$86:AN108,"&gt;0"),0)</f>
        <v>13</v>
      </c>
      <c r="AP109" s="445" t="str">
        <f t="shared" si="68"/>
        <v/>
      </c>
      <c r="AQ109" s="445" t="str">
        <f t="shared" si="51"/>
        <v>n/a</v>
      </c>
      <c r="AR109" s="451">
        <f t="shared" si="52"/>
        <v>0</v>
      </c>
      <c r="AS109" s="445">
        <f t="shared" si="69"/>
        <v>1</v>
      </c>
      <c r="AT109" s="445">
        <f>IF(AS109&gt;0,1+COUNTIF(AS$86:AS108,"&gt;0"),0)</f>
        <v>13</v>
      </c>
      <c r="AU109" s="445" t="str">
        <f t="shared" si="70"/>
        <v/>
      </c>
      <c r="AV109" s="445" t="str">
        <f t="shared" si="53"/>
        <v>n/a</v>
      </c>
      <c r="AW109" s="451">
        <f t="shared" si="54"/>
        <v>0</v>
      </c>
      <c r="AX109" s="445">
        <f t="shared" si="71"/>
        <v>1</v>
      </c>
      <c r="AY109" s="445">
        <f>IF(AX109&gt;0,1+COUNTIF(AX$86:AX108,"&gt;0"),0)</f>
        <v>13</v>
      </c>
      <c r="AZ109" s="445" t="str">
        <f t="shared" si="72"/>
        <v/>
      </c>
      <c r="BA109" s="445" t="str">
        <f t="shared" si="55"/>
        <v>n/a</v>
      </c>
      <c r="BB109" s="451">
        <f t="shared" si="56"/>
        <v>0</v>
      </c>
    </row>
    <row r="110" spans="1:54" ht="16.5" x14ac:dyDescent="0.3">
      <c r="A110" s="155">
        <f>IFERROR(IF(A109+1&lt;MAX(D041_ClassFeatures!$A$2:$A$2033),A109+1,""),"")</f>
        <v>107</v>
      </c>
      <c r="B110" s="153" t="str">
        <f>IFERROR(INDEX(D041_ClassFeatures!$B$2:$B$2033,MATCH(C_Variables!A110,D041_ClassFeatures!$A$2:$A$2033,0),1),"")</f>
        <v>Path Feature10</v>
      </c>
      <c r="C110" s="153">
        <f>IF(B110="",0,IF(IFERROR(MATCH(B110,C_Input!$BC$160:$BC$239,0),0)&gt;0,1,0))</f>
        <v>0</v>
      </c>
      <c r="D110" s="153"/>
      <c r="E110" s="153"/>
      <c r="F110" s="153"/>
      <c r="G110" s="450"/>
      <c r="H110" s="460" t="s">
        <v>4537</v>
      </c>
      <c r="I110" s="450"/>
      <c r="J110" s="444"/>
      <c r="K110" s="445"/>
      <c r="L110" s="451">
        <v>7</v>
      </c>
      <c r="M110" s="460">
        <f t="shared" si="73"/>
        <v>0</v>
      </c>
      <c r="N110" s="445"/>
      <c r="O110" s="457">
        <f t="shared" si="57"/>
        <v>0</v>
      </c>
      <c r="P110" s="445">
        <f>IF(O110&gt;0,1+COUNTIF(O$86:O109,"&gt;0"),0)</f>
        <v>0</v>
      </c>
      <c r="Q110" s="445" t="str">
        <f t="shared" si="58"/>
        <v/>
      </c>
      <c r="R110" s="445" t="str">
        <f t="shared" si="41"/>
        <v>n/a</v>
      </c>
      <c r="S110" s="451">
        <f t="shared" si="42"/>
        <v>0</v>
      </c>
      <c r="T110" s="445">
        <f t="shared" si="59"/>
        <v>0</v>
      </c>
      <c r="U110" s="445">
        <f>IF(T110&gt;0,1+COUNTIF(T$86:T109,"&gt;0"),0)</f>
        <v>0</v>
      </c>
      <c r="V110" s="445" t="str">
        <f t="shared" si="60"/>
        <v/>
      </c>
      <c r="W110" s="445" t="str">
        <f t="shared" si="43"/>
        <v>n/a</v>
      </c>
      <c r="X110" s="451">
        <f t="shared" si="44"/>
        <v>0</v>
      </c>
      <c r="Y110" s="445">
        <f t="shared" si="61"/>
        <v>0</v>
      </c>
      <c r="Z110" s="445">
        <f>IF(Y110&gt;0,1+COUNTIF(Y$86:Y109,"&gt;0"),0)</f>
        <v>0</v>
      </c>
      <c r="AA110" s="445" t="str">
        <f t="shared" si="62"/>
        <v/>
      </c>
      <c r="AB110" s="445" t="str">
        <f t="shared" si="45"/>
        <v>n/a</v>
      </c>
      <c r="AC110" s="451">
        <f t="shared" si="46"/>
        <v>0</v>
      </c>
      <c r="AD110" s="445">
        <f t="shared" si="63"/>
        <v>0</v>
      </c>
      <c r="AE110" s="445">
        <f>IF(AD110&gt;0,1+COUNTIF(AD$86:AD109,"&gt;0"),0)</f>
        <v>0</v>
      </c>
      <c r="AF110" s="445" t="str">
        <f t="shared" si="64"/>
        <v/>
      </c>
      <c r="AG110" s="445" t="str">
        <f t="shared" si="47"/>
        <v>n/a</v>
      </c>
      <c r="AH110" s="451">
        <f t="shared" si="48"/>
        <v>0</v>
      </c>
      <c r="AI110" s="445">
        <f t="shared" si="65"/>
        <v>0</v>
      </c>
      <c r="AJ110" s="445">
        <f>IF(AI110&gt;0,1+COUNTIF(AI$86:AI109,"&gt;0"),0)</f>
        <v>0</v>
      </c>
      <c r="AK110" s="445" t="str">
        <f t="shared" si="66"/>
        <v/>
      </c>
      <c r="AL110" s="445" t="str">
        <f t="shared" si="49"/>
        <v>n/a</v>
      </c>
      <c r="AM110" s="451">
        <f t="shared" si="50"/>
        <v>0</v>
      </c>
      <c r="AN110" s="445">
        <f t="shared" si="67"/>
        <v>0</v>
      </c>
      <c r="AO110" s="445">
        <f>IF(AN110&gt;0,1+COUNTIF(AN$86:AN109,"&gt;0"),0)</f>
        <v>0</v>
      </c>
      <c r="AP110" s="445" t="str">
        <f t="shared" si="68"/>
        <v/>
      </c>
      <c r="AQ110" s="445" t="str">
        <f t="shared" si="51"/>
        <v>n/a</v>
      </c>
      <c r="AR110" s="451">
        <f t="shared" si="52"/>
        <v>0</v>
      </c>
      <c r="AS110" s="445">
        <f t="shared" si="69"/>
        <v>0</v>
      </c>
      <c r="AT110" s="445">
        <f>IF(AS110&gt;0,1+COUNTIF(AS$86:AS109,"&gt;0"),0)</f>
        <v>0</v>
      </c>
      <c r="AU110" s="445" t="str">
        <f t="shared" si="70"/>
        <v/>
      </c>
      <c r="AV110" s="445" t="str">
        <f t="shared" si="53"/>
        <v>n/a</v>
      </c>
      <c r="AW110" s="451">
        <f t="shared" si="54"/>
        <v>0</v>
      </c>
      <c r="AX110" s="445">
        <f t="shared" si="71"/>
        <v>0</v>
      </c>
      <c r="AY110" s="445">
        <f>IF(AX110&gt;0,1+COUNTIF(AX$86:AX109,"&gt;0"),0)</f>
        <v>0</v>
      </c>
      <c r="AZ110" s="445" t="str">
        <f t="shared" si="72"/>
        <v/>
      </c>
      <c r="BA110" s="445" t="str">
        <f t="shared" si="55"/>
        <v>n/a</v>
      </c>
      <c r="BB110" s="451">
        <f t="shared" si="56"/>
        <v>0</v>
      </c>
    </row>
    <row r="111" spans="1:54" ht="16.5" x14ac:dyDescent="0.3">
      <c r="A111" s="155">
        <f>IFERROR(IF(A110+1&lt;MAX(D041_ClassFeatures!$A$2:$A$2033),A110+1,""),"")</f>
        <v>108</v>
      </c>
      <c r="B111" s="153" t="str">
        <f>IFERROR(INDEX(D041_ClassFeatures!$B$2:$B$2033,MATCH(C_Variables!A111,D041_ClassFeatures!$A$2:$A$2033,0),1),"")</f>
        <v>Path Feature14</v>
      </c>
      <c r="C111" s="153">
        <f>IF(B111="",0,IF(IFERROR(MATCH(B111,C_Input!$BC$160:$BC$239,0),0)&gt;0,1,0))</f>
        <v>0</v>
      </c>
      <c r="D111" s="153"/>
      <c r="E111" s="153"/>
      <c r="F111" s="153"/>
      <c r="G111" s="450"/>
      <c r="H111" s="460" t="s">
        <v>4538</v>
      </c>
      <c r="I111" s="450"/>
      <c r="J111" s="444"/>
      <c r="K111" s="445"/>
      <c r="L111" s="451">
        <v>5</v>
      </c>
      <c r="M111" s="460">
        <f t="shared" si="73"/>
        <v>0</v>
      </c>
      <c r="N111" s="445"/>
      <c r="O111" s="457">
        <f t="shared" si="57"/>
        <v>0</v>
      </c>
      <c r="P111" s="445">
        <f>IF(O111&gt;0,1+COUNTIF(O$86:O110,"&gt;0"),0)</f>
        <v>0</v>
      </c>
      <c r="Q111" s="445" t="str">
        <f t="shared" si="58"/>
        <v/>
      </c>
      <c r="R111" s="445" t="str">
        <f t="shared" si="41"/>
        <v>n/a</v>
      </c>
      <c r="S111" s="451">
        <f t="shared" si="42"/>
        <v>0</v>
      </c>
      <c r="T111" s="445">
        <f t="shared" si="59"/>
        <v>0</v>
      </c>
      <c r="U111" s="445">
        <f>IF(T111&gt;0,1+COUNTIF(T$86:T110,"&gt;0"),0)</f>
        <v>0</v>
      </c>
      <c r="V111" s="445" t="str">
        <f t="shared" si="60"/>
        <v/>
      </c>
      <c r="W111" s="445" t="str">
        <f t="shared" si="43"/>
        <v>n/a</v>
      </c>
      <c r="X111" s="451">
        <f t="shared" si="44"/>
        <v>0</v>
      </c>
      <c r="Y111" s="445">
        <f t="shared" si="61"/>
        <v>0</v>
      </c>
      <c r="Z111" s="445">
        <f>IF(Y111&gt;0,1+COUNTIF(Y$86:Y110,"&gt;0"),0)</f>
        <v>0</v>
      </c>
      <c r="AA111" s="445" t="str">
        <f t="shared" si="62"/>
        <v/>
      </c>
      <c r="AB111" s="445" t="str">
        <f t="shared" si="45"/>
        <v>n/a</v>
      </c>
      <c r="AC111" s="451">
        <f t="shared" si="46"/>
        <v>0</v>
      </c>
      <c r="AD111" s="445">
        <f t="shared" si="63"/>
        <v>0</v>
      </c>
      <c r="AE111" s="445">
        <f>IF(AD111&gt;0,1+COUNTIF(AD$86:AD110,"&gt;0"),0)</f>
        <v>0</v>
      </c>
      <c r="AF111" s="445" t="str">
        <f t="shared" si="64"/>
        <v/>
      </c>
      <c r="AG111" s="445" t="str">
        <f t="shared" si="47"/>
        <v>n/a</v>
      </c>
      <c r="AH111" s="451">
        <f t="shared" si="48"/>
        <v>0</v>
      </c>
      <c r="AI111" s="445">
        <f t="shared" si="65"/>
        <v>0</v>
      </c>
      <c r="AJ111" s="445">
        <f>IF(AI111&gt;0,1+COUNTIF(AI$86:AI110,"&gt;0"),0)</f>
        <v>0</v>
      </c>
      <c r="AK111" s="445" t="str">
        <f t="shared" si="66"/>
        <v/>
      </c>
      <c r="AL111" s="445" t="str">
        <f t="shared" si="49"/>
        <v>n/a</v>
      </c>
      <c r="AM111" s="451">
        <f t="shared" si="50"/>
        <v>0</v>
      </c>
      <c r="AN111" s="445">
        <f t="shared" si="67"/>
        <v>0</v>
      </c>
      <c r="AO111" s="445">
        <f>IF(AN111&gt;0,1+COUNTIF(AN$86:AN110,"&gt;0"),0)</f>
        <v>0</v>
      </c>
      <c r="AP111" s="445" t="str">
        <f t="shared" si="68"/>
        <v/>
      </c>
      <c r="AQ111" s="445" t="str">
        <f t="shared" si="51"/>
        <v>n/a</v>
      </c>
      <c r="AR111" s="451">
        <f t="shared" si="52"/>
        <v>0</v>
      </c>
      <c r="AS111" s="445">
        <f t="shared" si="69"/>
        <v>0</v>
      </c>
      <c r="AT111" s="445">
        <f>IF(AS111&gt;0,1+COUNTIF(AS$86:AS110,"&gt;0"),0)</f>
        <v>0</v>
      </c>
      <c r="AU111" s="445" t="str">
        <f t="shared" si="70"/>
        <v/>
      </c>
      <c r="AV111" s="445" t="str">
        <f t="shared" si="53"/>
        <v>n/a</v>
      </c>
      <c r="AW111" s="451">
        <f t="shared" si="54"/>
        <v>0</v>
      </c>
      <c r="AX111" s="445">
        <f t="shared" si="71"/>
        <v>0</v>
      </c>
      <c r="AY111" s="445">
        <f>IF(AX111&gt;0,1+COUNTIF(AX$86:AX110,"&gt;0"),0)</f>
        <v>0</v>
      </c>
      <c r="AZ111" s="445" t="str">
        <f t="shared" si="72"/>
        <v/>
      </c>
      <c r="BA111" s="445" t="str">
        <f t="shared" si="55"/>
        <v>n/a</v>
      </c>
      <c r="BB111" s="451">
        <f t="shared" si="56"/>
        <v>0</v>
      </c>
    </row>
    <row r="112" spans="1:54" ht="16.5" x14ac:dyDescent="0.3">
      <c r="A112" s="155">
        <f>IFERROR(IF(A111+1&lt;MAX(D041_ClassFeatures!$A$2:$A$2033),A111+1,""),"")</f>
        <v>109</v>
      </c>
      <c r="B112" s="153" t="str">
        <f>IFERROR(INDEX(D041_ClassFeatures!$B$2:$B$2033,MATCH(C_Variables!A112,D041_ClassFeatures!$A$2:$A$2033,0),1),"")</f>
        <v>Primeval Awareness</v>
      </c>
      <c r="C112" s="153">
        <f>IF(B112="",0,IF(IFERROR(MATCH(B112,C_Input!$BC$160:$BC$239,0),0)&gt;0,1,0))</f>
        <v>0</v>
      </c>
      <c r="D112" s="153"/>
      <c r="E112" s="153"/>
      <c r="F112" s="153"/>
      <c r="G112" s="450"/>
      <c r="H112" s="460" t="s">
        <v>4539</v>
      </c>
      <c r="I112" s="450"/>
      <c r="J112" s="444"/>
      <c r="K112" s="445"/>
      <c r="L112" s="451"/>
      <c r="M112" s="460">
        <f t="shared" si="73"/>
        <v>1</v>
      </c>
      <c r="N112" s="445"/>
      <c r="O112" s="457">
        <f t="shared" si="57"/>
        <v>1</v>
      </c>
      <c r="P112" s="445">
        <f>IF(O112&gt;0,1+COUNTIF(O$86:O111,"&gt;0"),0)</f>
        <v>14</v>
      </c>
      <c r="Q112" s="445" t="str">
        <f t="shared" si="58"/>
        <v/>
      </c>
      <c r="R112" s="445" t="str">
        <f t="shared" si="41"/>
        <v>n/a</v>
      </c>
      <c r="S112" s="451">
        <f t="shared" si="42"/>
        <v>0</v>
      </c>
      <c r="T112" s="445">
        <f t="shared" si="59"/>
        <v>1</v>
      </c>
      <c r="U112" s="445">
        <f>IF(T112&gt;0,1+COUNTIF(T$86:T111,"&gt;0"),0)</f>
        <v>14</v>
      </c>
      <c r="V112" s="445" t="str">
        <f t="shared" si="60"/>
        <v/>
      </c>
      <c r="W112" s="445" t="str">
        <f t="shared" si="43"/>
        <v>n/a</v>
      </c>
      <c r="X112" s="451">
        <f t="shared" si="44"/>
        <v>0</v>
      </c>
      <c r="Y112" s="445">
        <f t="shared" si="61"/>
        <v>1</v>
      </c>
      <c r="Z112" s="445">
        <f>IF(Y112&gt;0,1+COUNTIF(Y$86:Y111,"&gt;0"),0)</f>
        <v>14</v>
      </c>
      <c r="AA112" s="445" t="str">
        <f t="shared" si="62"/>
        <v/>
      </c>
      <c r="AB112" s="445" t="str">
        <f t="shared" si="45"/>
        <v>n/a</v>
      </c>
      <c r="AC112" s="451">
        <f t="shared" si="46"/>
        <v>0</v>
      </c>
      <c r="AD112" s="445">
        <f t="shared" si="63"/>
        <v>1</v>
      </c>
      <c r="AE112" s="445">
        <f>IF(AD112&gt;0,1+COUNTIF(AD$86:AD111,"&gt;0"),0)</f>
        <v>14</v>
      </c>
      <c r="AF112" s="445" t="str">
        <f t="shared" si="64"/>
        <v/>
      </c>
      <c r="AG112" s="445" t="str">
        <f t="shared" si="47"/>
        <v>n/a</v>
      </c>
      <c r="AH112" s="451">
        <f t="shared" si="48"/>
        <v>0</v>
      </c>
      <c r="AI112" s="445">
        <f t="shared" si="65"/>
        <v>1</v>
      </c>
      <c r="AJ112" s="445">
        <f>IF(AI112&gt;0,1+COUNTIF(AI$86:AI111,"&gt;0"),0)</f>
        <v>14</v>
      </c>
      <c r="AK112" s="445" t="str">
        <f t="shared" si="66"/>
        <v/>
      </c>
      <c r="AL112" s="445" t="str">
        <f t="shared" si="49"/>
        <v>n/a</v>
      </c>
      <c r="AM112" s="451">
        <f t="shared" si="50"/>
        <v>0</v>
      </c>
      <c r="AN112" s="445">
        <f t="shared" si="67"/>
        <v>1</v>
      </c>
      <c r="AO112" s="445">
        <f>IF(AN112&gt;0,1+COUNTIF(AN$86:AN111,"&gt;0"),0)</f>
        <v>14</v>
      </c>
      <c r="AP112" s="445" t="str">
        <f t="shared" si="68"/>
        <v/>
      </c>
      <c r="AQ112" s="445" t="str">
        <f t="shared" si="51"/>
        <v>n/a</v>
      </c>
      <c r="AR112" s="451">
        <f t="shared" si="52"/>
        <v>0</v>
      </c>
      <c r="AS112" s="445">
        <f t="shared" si="69"/>
        <v>1</v>
      </c>
      <c r="AT112" s="445">
        <f>IF(AS112&gt;0,1+COUNTIF(AS$86:AS111,"&gt;0"),0)</f>
        <v>14</v>
      </c>
      <c r="AU112" s="445" t="str">
        <f t="shared" si="70"/>
        <v/>
      </c>
      <c r="AV112" s="445" t="str">
        <f t="shared" si="53"/>
        <v>n/a</v>
      </c>
      <c r="AW112" s="451">
        <f t="shared" si="54"/>
        <v>0</v>
      </c>
      <c r="AX112" s="445">
        <f t="shared" si="71"/>
        <v>1</v>
      </c>
      <c r="AY112" s="445">
        <f>IF(AX112&gt;0,1+COUNTIF(AX$86:AX111,"&gt;0"),0)</f>
        <v>14</v>
      </c>
      <c r="AZ112" s="445" t="str">
        <f t="shared" si="72"/>
        <v/>
      </c>
      <c r="BA112" s="445" t="str">
        <f t="shared" si="55"/>
        <v>n/a</v>
      </c>
      <c r="BB112" s="451">
        <f t="shared" si="56"/>
        <v>0</v>
      </c>
    </row>
    <row r="113" spans="1:65" ht="16.5" x14ac:dyDescent="0.3">
      <c r="A113" s="155">
        <f>IFERROR(IF(A112+1&lt;MAX(D041_ClassFeatures!$A$2:$A$2033),A112+1,""),"")</f>
        <v>110</v>
      </c>
      <c r="B113" s="153" t="str">
        <f>IFERROR(INDEX(D041_ClassFeatures!$B$2:$B$2033,MATCH(C_Variables!A113,D041_ClassFeatures!$A$2:$A$2033,0),1),"")</f>
        <v>Purity of Body</v>
      </c>
      <c r="C113" s="153">
        <f>IF(B113="",0,IF(IFERROR(MATCH(B113,C_Input!$BC$160:$BC$239,0),0)&gt;0,1,0))</f>
        <v>0</v>
      </c>
      <c r="D113" s="153"/>
      <c r="E113" s="153"/>
      <c r="F113" s="153"/>
      <c r="G113" s="450"/>
      <c r="H113" s="460" t="s">
        <v>4540</v>
      </c>
      <c r="I113" s="450"/>
      <c r="J113" s="444">
        <v>1</v>
      </c>
      <c r="K113" s="445"/>
      <c r="L113" s="451">
        <v>5</v>
      </c>
      <c r="M113" s="460">
        <f t="shared" si="73"/>
        <v>0</v>
      </c>
      <c r="N113" s="445"/>
      <c r="O113" s="457">
        <f t="shared" si="57"/>
        <v>0</v>
      </c>
      <c r="P113" s="445">
        <f>IF(O113&gt;0,1+COUNTIF(O$86:O112,"&gt;0"),0)</f>
        <v>0</v>
      </c>
      <c r="Q113" s="445" t="str">
        <f t="shared" si="58"/>
        <v/>
      </c>
      <c r="R113" s="445" t="str">
        <f t="shared" si="41"/>
        <v>n/a</v>
      </c>
      <c r="S113" s="451">
        <f t="shared" si="42"/>
        <v>0</v>
      </c>
      <c r="T113" s="445">
        <f t="shared" si="59"/>
        <v>0</v>
      </c>
      <c r="U113" s="445">
        <f>IF(T113&gt;0,1+COUNTIF(T$86:T112,"&gt;0"),0)</f>
        <v>0</v>
      </c>
      <c r="V113" s="445" t="str">
        <f t="shared" si="60"/>
        <v/>
      </c>
      <c r="W113" s="445" t="str">
        <f t="shared" si="43"/>
        <v>n/a</v>
      </c>
      <c r="X113" s="451">
        <f t="shared" si="44"/>
        <v>0</v>
      </c>
      <c r="Y113" s="445">
        <f t="shared" si="61"/>
        <v>0</v>
      </c>
      <c r="Z113" s="445">
        <f>IF(Y113&gt;0,1+COUNTIF(Y$86:Y112,"&gt;0"),0)</f>
        <v>0</v>
      </c>
      <c r="AA113" s="445" t="str">
        <f t="shared" si="62"/>
        <v/>
      </c>
      <c r="AB113" s="445" t="str">
        <f t="shared" si="45"/>
        <v>n/a</v>
      </c>
      <c r="AC113" s="451">
        <f t="shared" si="46"/>
        <v>0</v>
      </c>
      <c r="AD113" s="445">
        <f t="shared" si="63"/>
        <v>0</v>
      </c>
      <c r="AE113" s="445">
        <f>IF(AD113&gt;0,1+COUNTIF(AD$86:AD112,"&gt;0"),0)</f>
        <v>0</v>
      </c>
      <c r="AF113" s="445" t="str">
        <f t="shared" si="64"/>
        <v/>
      </c>
      <c r="AG113" s="445" t="str">
        <f t="shared" si="47"/>
        <v>n/a</v>
      </c>
      <c r="AH113" s="451">
        <f t="shared" si="48"/>
        <v>0</v>
      </c>
      <c r="AI113" s="445">
        <f t="shared" si="65"/>
        <v>0</v>
      </c>
      <c r="AJ113" s="445">
        <f>IF(AI113&gt;0,1+COUNTIF(AI$86:AI112,"&gt;0"),0)</f>
        <v>0</v>
      </c>
      <c r="AK113" s="445" t="str">
        <f t="shared" si="66"/>
        <v/>
      </c>
      <c r="AL113" s="445" t="str">
        <f t="shared" si="49"/>
        <v>n/a</v>
      </c>
      <c r="AM113" s="451">
        <f t="shared" si="50"/>
        <v>0</v>
      </c>
      <c r="AN113" s="445">
        <f t="shared" si="67"/>
        <v>0</v>
      </c>
      <c r="AO113" s="445">
        <f>IF(AN113&gt;0,1+COUNTIF(AN$86:AN112,"&gt;0"),0)</f>
        <v>0</v>
      </c>
      <c r="AP113" s="445" t="str">
        <f t="shared" si="68"/>
        <v/>
      </c>
      <c r="AQ113" s="445" t="str">
        <f t="shared" si="51"/>
        <v>n/a</v>
      </c>
      <c r="AR113" s="451">
        <f t="shared" si="52"/>
        <v>0</v>
      </c>
      <c r="AS113" s="445">
        <f t="shared" si="69"/>
        <v>0</v>
      </c>
      <c r="AT113" s="445">
        <f>IF(AS113&gt;0,1+COUNTIF(AS$86:AS112,"&gt;0"),0)</f>
        <v>0</v>
      </c>
      <c r="AU113" s="445" t="str">
        <f t="shared" si="70"/>
        <v/>
      </c>
      <c r="AV113" s="445" t="str">
        <f t="shared" si="53"/>
        <v>n/a</v>
      </c>
      <c r="AW113" s="451">
        <f t="shared" si="54"/>
        <v>0</v>
      </c>
      <c r="AX113" s="445">
        <f t="shared" si="71"/>
        <v>0</v>
      </c>
      <c r="AY113" s="445">
        <f>IF(AX113&gt;0,1+COUNTIF(AX$86:AX112,"&gt;0"),0)</f>
        <v>0</v>
      </c>
      <c r="AZ113" s="445" t="str">
        <f t="shared" si="72"/>
        <v/>
      </c>
      <c r="BA113" s="445" t="str">
        <f t="shared" si="55"/>
        <v>n/a</v>
      </c>
      <c r="BB113" s="451">
        <f t="shared" si="56"/>
        <v>0</v>
      </c>
    </row>
    <row r="114" spans="1:65" ht="16.5" x14ac:dyDescent="0.3">
      <c r="A114" s="155">
        <f>IFERROR(IF(A113+1&lt;MAX(D041_ClassFeatures!$A$2:$A$2033),A113+1,""),"")</f>
        <v>111</v>
      </c>
      <c r="B114" s="153" t="str">
        <f>IFERROR(INDEX(D041_ClassFeatures!$B$2:$B$2033,MATCH(C_Variables!A114,D041_ClassFeatures!$A$2:$A$2033,0),1),"")</f>
        <v>Rage</v>
      </c>
      <c r="C114" s="153">
        <f>IF(B114="",0,IF(IFERROR(MATCH(B114,C_Input!$BC$160:$BC$239,0),0)&gt;0,1,0))</f>
        <v>0</v>
      </c>
      <c r="D114" s="153"/>
      <c r="E114" s="153"/>
      <c r="F114" s="153"/>
      <c r="G114" s="450"/>
      <c r="H114" s="460" t="s">
        <v>4541</v>
      </c>
      <c r="I114" s="450"/>
      <c r="J114" s="444"/>
      <c r="K114" s="445"/>
      <c r="L114" s="451">
        <v>15</v>
      </c>
      <c r="M114" s="460">
        <f t="shared" si="73"/>
        <v>0</v>
      </c>
      <c r="N114" s="445"/>
      <c r="O114" s="457">
        <f t="shared" si="57"/>
        <v>0</v>
      </c>
      <c r="P114" s="445">
        <f>IF(O114&gt;0,1+COUNTIF(O$86:O113,"&gt;0"),0)</f>
        <v>0</v>
      </c>
      <c r="Q114" s="445" t="str">
        <f t="shared" si="58"/>
        <v/>
      </c>
      <c r="R114" s="445" t="str">
        <f t="shared" si="41"/>
        <v>n/a</v>
      </c>
      <c r="S114" s="451">
        <f t="shared" si="42"/>
        <v>0</v>
      </c>
      <c r="T114" s="445">
        <f t="shared" si="59"/>
        <v>0</v>
      </c>
      <c r="U114" s="445">
        <f>IF(T114&gt;0,1+COUNTIF(T$86:T113,"&gt;0"),0)</f>
        <v>0</v>
      </c>
      <c r="V114" s="445" t="str">
        <f t="shared" si="60"/>
        <v/>
      </c>
      <c r="W114" s="445" t="str">
        <f t="shared" si="43"/>
        <v>n/a</v>
      </c>
      <c r="X114" s="451">
        <f t="shared" si="44"/>
        <v>0</v>
      </c>
      <c r="Y114" s="445">
        <f t="shared" si="61"/>
        <v>0</v>
      </c>
      <c r="Z114" s="445">
        <f>IF(Y114&gt;0,1+COUNTIF(Y$86:Y113,"&gt;0"),0)</f>
        <v>0</v>
      </c>
      <c r="AA114" s="445" t="str">
        <f t="shared" si="62"/>
        <v/>
      </c>
      <c r="AB114" s="445" t="str">
        <f t="shared" si="45"/>
        <v>n/a</v>
      </c>
      <c r="AC114" s="451">
        <f t="shared" si="46"/>
        <v>0</v>
      </c>
      <c r="AD114" s="445">
        <f t="shared" si="63"/>
        <v>0</v>
      </c>
      <c r="AE114" s="445">
        <f>IF(AD114&gt;0,1+COUNTIF(AD$86:AD113,"&gt;0"),0)</f>
        <v>0</v>
      </c>
      <c r="AF114" s="445" t="str">
        <f t="shared" si="64"/>
        <v/>
      </c>
      <c r="AG114" s="445" t="str">
        <f t="shared" si="47"/>
        <v>n/a</v>
      </c>
      <c r="AH114" s="451">
        <f t="shared" si="48"/>
        <v>0</v>
      </c>
      <c r="AI114" s="445">
        <f t="shared" si="65"/>
        <v>0</v>
      </c>
      <c r="AJ114" s="445">
        <f>IF(AI114&gt;0,1+COUNTIF(AI$86:AI113,"&gt;0"),0)</f>
        <v>0</v>
      </c>
      <c r="AK114" s="445" t="str">
        <f t="shared" si="66"/>
        <v/>
      </c>
      <c r="AL114" s="445" t="str">
        <f t="shared" si="49"/>
        <v>n/a</v>
      </c>
      <c r="AM114" s="451">
        <f t="shared" si="50"/>
        <v>0</v>
      </c>
      <c r="AN114" s="445">
        <f t="shared" si="67"/>
        <v>0</v>
      </c>
      <c r="AO114" s="445">
        <f>IF(AN114&gt;0,1+COUNTIF(AN$86:AN113,"&gt;0"),0)</f>
        <v>0</v>
      </c>
      <c r="AP114" s="445" t="str">
        <f t="shared" si="68"/>
        <v/>
      </c>
      <c r="AQ114" s="445" t="str">
        <f t="shared" si="51"/>
        <v>n/a</v>
      </c>
      <c r="AR114" s="451">
        <f t="shared" si="52"/>
        <v>0</v>
      </c>
      <c r="AS114" s="445">
        <f t="shared" si="69"/>
        <v>0</v>
      </c>
      <c r="AT114" s="445">
        <f>IF(AS114&gt;0,1+COUNTIF(AS$86:AS113,"&gt;0"),0)</f>
        <v>0</v>
      </c>
      <c r="AU114" s="445" t="str">
        <f t="shared" si="70"/>
        <v/>
      </c>
      <c r="AV114" s="445" t="str">
        <f t="shared" si="53"/>
        <v>n/a</v>
      </c>
      <c r="AW114" s="451">
        <f t="shared" si="54"/>
        <v>0</v>
      </c>
      <c r="AX114" s="445">
        <f t="shared" si="71"/>
        <v>0</v>
      </c>
      <c r="AY114" s="445">
        <f>IF(AX114&gt;0,1+COUNTIF(AX$86:AX113,"&gt;0"),0)</f>
        <v>0</v>
      </c>
      <c r="AZ114" s="445" t="str">
        <f t="shared" si="72"/>
        <v/>
      </c>
      <c r="BA114" s="445" t="str">
        <f t="shared" si="55"/>
        <v>n/a</v>
      </c>
      <c r="BB114" s="451">
        <f t="shared" si="56"/>
        <v>0</v>
      </c>
    </row>
    <row r="115" spans="1:65" ht="16.5" x14ac:dyDescent="0.3">
      <c r="A115" s="155">
        <f>IFERROR(IF(A114+1&lt;MAX(D041_ClassFeatures!$A$2:$A$2033),A114+1,""),"")</f>
        <v>112</v>
      </c>
      <c r="B115" s="153" t="str">
        <f>IFERROR(INDEX(D041_ClassFeatures!$B$2:$B$2033,MATCH(C_Variables!A115,D041_ClassFeatures!$A$2:$A$2033,0),1),"")</f>
        <v>Ranger Archetype</v>
      </c>
      <c r="C115" s="153">
        <f>IF(B115="",0,IF(IFERROR(MATCH(B115,C_Input!$BC$160:$BC$239,0),0)&gt;0,1,0))</f>
        <v>0</v>
      </c>
      <c r="D115" s="153"/>
      <c r="E115" s="153"/>
      <c r="F115" s="153"/>
      <c r="G115" s="450"/>
      <c r="H115" s="460" t="s">
        <v>4542</v>
      </c>
      <c r="I115" s="450">
        <v>1</v>
      </c>
      <c r="J115" s="444"/>
      <c r="K115" s="445"/>
      <c r="L115" s="451"/>
      <c r="M115" s="460">
        <f t="shared" si="73"/>
        <v>0</v>
      </c>
      <c r="N115" s="445"/>
      <c r="O115" s="457">
        <f t="shared" si="57"/>
        <v>0</v>
      </c>
      <c r="P115" s="445">
        <f>IF(O115&gt;0,1+COUNTIF(O$86:O114,"&gt;0"),0)</f>
        <v>0</v>
      </c>
      <c r="Q115" s="445" t="str">
        <f t="shared" si="58"/>
        <v/>
      </c>
      <c r="R115" s="445" t="str">
        <f t="shared" si="41"/>
        <v>n/a</v>
      </c>
      <c r="S115" s="451">
        <f t="shared" si="42"/>
        <v>0</v>
      </c>
      <c r="T115" s="445">
        <f t="shared" si="59"/>
        <v>0</v>
      </c>
      <c r="U115" s="445">
        <f>IF(T115&gt;0,1+COUNTIF(T$86:T114,"&gt;0"),0)</f>
        <v>0</v>
      </c>
      <c r="V115" s="445" t="str">
        <f t="shared" si="60"/>
        <v/>
      </c>
      <c r="W115" s="445" t="str">
        <f t="shared" si="43"/>
        <v>n/a</v>
      </c>
      <c r="X115" s="451">
        <f t="shared" si="44"/>
        <v>0</v>
      </c>
      <c r="Y115" s="445">
        <f t="shared" si="61"/>
        <v>0</v>
      </c>
      <c r="Z115" s="445">
        <f>IF(Y115&gt;0,1+COUNTIF(Y$86:Y114,"&gt;0"),0)</f>
        <v>0</v>
      </c>
      <c r="AA115" s="445" t="str">
        <f t="shared" si="62"/>
        <v/>
      </c>
      <c r="AB115" s="445" t="str">
        <f t="shared" si="45"/>
        <v>n/a</v>
      </c>
      <c r="AC115" s="451">
        <f t="shared" si="46"/>
        <v>0</v>
      </c>
      <c r="AD115" s="445">
        <f t="shared" si="63"/>
        <v>0</v>
      </c>
      <c r="AE115" s="445">
        <f>IF(AD115&gt;0,1+COUNTIF(AD$86:AD114,"&gt;0"),0)</f>
        <v>0</v>
      </c>
      <c r="AF115" s="445" t="str">
        <f t="shared" si="64"/>
        <v/>
      </c>
      <c r="AG115" s="445" t="str">
        <f t="shared" si="47"/>
        <v>n/a</v>
      </c>
      <c r="AH115" s="451">
        <f t="shared" si="48"/>
        <v>0</v>
      </c>
      <c r="AI115" s="445">
        <f t="shared" si="65"/>
        <v>0</v>
      </c>
      <c r="AJ115" s="445">
        <f>IF(AI115&gt;0,1+COUNTIF(AI$86:AI114,"&gt;0"),0)</f>
        <v>0</v>
      </c>
      <c r="AK115" s="445" t="str">
        <f t="shared" si="66"/>
        <v/>
      </c>
      <c r="AL115" s="445" t="str">
        <f t="shared" si="49"/>
        <v>n/a</v>
      </c>
      <c r="AM115" s="451">
        <f t="shared" si="50"/>
        <v>0</v>
      </c>
      <c r="AN115" s="445">
        <f t="shared" si="67"/>
        <v>0</v>
      </c>
      <c r="AO115" s="445">
        <f>IF(AN115&gt;0,1+COUNTIF(AN$86:AN114,"&gt;0"),0)</f>
        <v>0</v>
      </c>
      <c r="AP115" s="445" t="str">
        <f t="shared" si="68"/>
        <v/>
      </c>
      <c r="AQ115" s="445" t="str">
        <f t="shared" si="51"/>
        <v>n/a</v>
      </c>
      <c r="AR115" s="451">
        <f t="shared" si="52"/>
        <v>0</v>
      </c>
      <c r="AS115" s="445">
        <f t="shared" si="69"/>
        <v>0</v>
      </c>
      <c r="AT115" s="445">
        <f>IF(AS115&gt;0,1+COUNTIF(AS$86:AS114,"&gt;0"),0)</f>
        <v>0</v>
      </c>
      <c r="AU115" s="445" t="str">
        <f t="shared" si="70"/>
        <v/>
      </c>
      <c r="AV115" s="445" t="str">
        <f t="shared" si="53"/>
        <v>n/a</v>
      </c>
      <c r="AW115" s="451">
        <f t="shared" si="54"/>
        <v>0</v>
      </c>
      <c r="AX115" s="445">
        <f t="shared" si="71"/>
        <v>0</v>
      </c>
      <c r="AY115" s="445">
        <f>IF(AX115&gt;0,1+COUNTIF(AX$86:AX114,"&gt;0"),0)</f>
        <v>0</v>
      </c>
      <c r="AZ115" s="445" t="str">
        <f t="shared" si="72"/>
        <v/>
      </c>
      <c r="BA115" s="445" t="str">
        <f t="shared" si="55"/>
        <v>n/a</v>
      </c>
      <c r="BB115" s="451">
        <f t="shared" si="56"/>
        <v>0</v>
      </c>
    </row>
    <row r="116" spans="1:65" ht="16.5" x14ac:dyDescent="0.3">
      <c r="A116" s="155">
        <f>IFERROR(IF(A115+1&lt;MAX(D041_ClassFeatures!$A$2:$A$2033),A115+1,""),"")</f>
        <v>113</v>
      </c>
      <c r="B116" s="153" t="str">
        <f>IFERROR(INDEX(D041_ClassFeatures!$B$2:$B$2033,MATCH(C_Variables!A116,D041_ClassFeatures!$A$2:$A$2033,0),1),"")</f>
        <v>Ranger Archetype Feature3</v>
      </c>
      <c r="C116" s="153">
        <f>IF(B116="",0,IF(IFERROR(MATCH(B116,C_Input!$BC$160:$BC$239,0),0)&gt;0,1,0))</f>
        <v>0</v>
      </c>
      <c r="D116" s="153"/>
      <c r="E116" s="153"/>
      <c r="F116" s="153"/>
      <c r="G116" s="450"/>
      <c r="H116" s="460" t="s">
        <v>4543</v>
      </c>
      <c r="I116" s="450"/>
      <c r="J116" s="444"/>
      <c r="K116" s="445"/>
      <c r="L116" s="451">
        <v>9</v>
      </c>
      <c r="M116" s="460">
        <f t="shared" si="73"/>
        <v>0</v>
      </c>
      <c r="N116" s="445"/>
      <c r="O116" s="457">
        <f t="shared" si="57"/>
        <v>0</v>
      </c>
      <c r="P116" s="445">
        <f>IF(O116&gt;0,1+COUNTIF(O$86:O115,"&gt;0"),0)</f>
        <v>0</v>
      </c>
      <c r="Q116" s="445" t="str">
        <f t="shared" si="58"/>
        <v/>
      </c>
      <c r="R116" s="445" t="str">
        <f t="shared" si="41"/>
        <v>n/a</v>
      </c>
      <c r="S116" s="451">
        <f t="shared" si="42"/>
        <v>0</v>
      </c>
      <c r="T116" s="445">
        <f t="shared" si="59"/>
        <v>0</v>
      </c>
      <c r="U116" s="445">
        <f>IF(T116&gt;0,1+COUNTIF(T$86:T115,"&gt;0"),0)</f>
        <v>0</v>
      </c>
      <c r="V116" s="445" t="str">
        <f t="shared" si="60"/>
        <v/>
      </c>
      <c r="W116" s="445" t="str">
        <f t="shared" si="43"/>
        <v>n/a</v>
      </c>
      <c r="X116" s="451">
        <f t="shared" si="44"/>
        <v>0</v>
      </c>
      <c r="Y116" s="445">
        <f t="shared" si="61"/>
        <v>0</v>
      </c>
      <c r="Z116" s="445">
        <f>IF(Y116&gt;0,1+COUNTIF(Y$86:Y115,"&gt;0"),0)</f>
        <v>0</v>
      </c>
      <c r="AA116" s="445" t="str">
        <f t="shared" si="62"/>
        <v/>
      </c>
      <c r="AB116" s="445" t="str">
        <f t="shared" si="45"/>
        <v>n/a</v>
      </c>
      <c r="AC116" s="451">
        <f t="shared" si="46"/>
        <v>0</v>
      </c>
      <c r="AD116" s="445">
        <f t="shared" si="63"/>
        <v>0</v>
      </c>
      <c r="AE116" s="445">
        <f>IF(AD116&gt;0,1+COUNTIF(AD$86:AD115,"&gt;0"),0)</f>
        <v>0</v>
      </c>
      <c r="AF116" s="445" t="str">
        <f t="shared" si="64"/>
        <v/>
      </c>
      <c r="AG116" s="445" t="str">
        <f t="shared" si="47"/>
        <v>n/a</v>
      </c>
      <c r="AH116" s="451">
        <f t="shared" si="48"/>
        <v>0</v>
      </c>
      <c r="AI116" s="445">
        <f t="shared" si="65"/>
        <v>0</v>
      </c>
      <c r="AJ116" s="445">
        <f>IF(AI116&gt;0,1+COUNTIF(AI$86:AI115,"&gt;0"),0)</f>
        <v>0</v>
      </c>
      <c r="AK116" s="445" t="str">
        <f t="shared" si="66"/>
        <v/>
      </c>
      <c r="AL116" s="445" t="str">
        <f t="shared" si="49"/>
        <v>n/a</v>
      </c>
      <c r="AM116" s="451">
        <f t="shared" si="50"/>
        <v>0</v>
      </c>
      <c r="AN116" s="445">
        <f t="shared" si="67"/>
        <v>0</v>
      </c>
      <c r="AO116" s="445">
        <f>IF(AN116&gt;0,1+COUNTIF(AN$86:AN115,"&gt;0"),0)</f>
        <v>0</v>
      </c>
      <c r="AP116" s="445" t="str">
        <f t="shared" si="68"/>
        <v/>
      </c>
      <c r="AQ116" s="445" t="str">
        <f t="shared" si="51"/>
        <v>n/a</v>
      </c>
      <c r="AR116" s="451">
        <f t="shared" si="52"/>
        <v>0</v>
      </c>
      <c r="AS116" s="445">
        <f t="shared" si="69"/>
        <v>0</v>
      </c>
      <c r="AT116" s="445">
        <f>IF(AS116&gt;0,1+COUNTIF(AS$86:AS115,"&gt;0"),0)</f>
        <v>0</v>
      </c>
      <c r="AU116" s="445" t="str">
        <f t="shared" si="70"/>
        <v/>
      </c>
      <c r="AV116" s="445" t="str">
        <f t="shared" si="53"/>
        <v>n/a</v>
      </c>
      <c r="AW116" s="451">
        <f t="shared" si="54"/>
        <v>0</v>
      </c>
      <c r="AX116" s="445">
        <f t="shared" si="71"/>
        <v>0</v>
      </c>
      <c r="AY116" s="445">
        <f>IF(AX116&gt;0,1+COUNTIF(AX$86:AX115,"&gt;0"),0)</f>
        <v>0</v>
      </c>
      <c r="AZ116" s="445" t="str">
        <f t="shared" si="72"/>
        <v/>
      </c>
      <c r="BA116" s="445" t="str">
        <f t="shared" si="55"/>
        <v>n/a</v>
      </c>
      <c r="BB116" s="451">
        <f t="shared" si="56"/>
        <v>0</v>
      </c>
    </row>
    <row r="117" spans="1:65" ht="17.25" thickBot="1" x14ac:dyDescent="0.35">
      <c r="A117" s="155">
        <f>IFERROR(IF(A116+1&lt;MAX(D041_ClassFeatures!$A$2:$A$2033),A116+1,""),"")</f>
        <v>114</v>
      </c>
      <c r="B117" s="153" t="str">
        <f>IFERROR(INDEX(D041_ClassFeatures!$B$2:$B$2033,MATCH(C_Variables!A117,D041_ClassFeatures!$A$2:$A$2033,0),1),"")</f>
        <v>Ranger Archetype Feature7</v>
      </c>
      <c r="C117" s="153">
        <f>IF(B117="",0,IF(IFERROR(MATCH(B117,C_Input!$BC$160:$BC$239,0),0)&gt;0,1,0))</f>
        <v>0</v>
      </c>
      <c r="D117" s="153"/>
      <c r="E117" s="153"/>
      <c r="F117" s="153"/>
      <c r="G117" s="453"/>
      <c r="H117" s="461" t="s">
        <v>4544</v>
      </c>
      <c r="I117" s="453"/>
      <c r="J117" s="455"/>
      <c r="K117" s="454"/>
      <c r="L117" s="456">
        <v>15</v>
      </c>
      <c r="M117" s="461">
        <f t="shared" si="73"/>
        <v>0</v>
      </c>
      <c r="N117" s="454"/>
      <c r="O117" s="458">
        <f t="shared" si="57"/>
        <v>0</v>
      </c>
      <c r="P117" s="454">
        <f>IF(O117&gt;0,1+COUNTIF(O$86:O116,"&gt;0"),0)</f>
        <v>0</v>
      </c>
      <c r="Q117" s="454" t="str">
        <f t="shared" si="58"/>
        <v/>
      </c>
      <c r="R117" s="454" t="str">
        <f t="shared" si="41"/>
        <v>n/a</v>
      </c>
      <c r="S117" s="456">
        <f t="shared" si="42"/>
        <v>0</v>
      </c>
      <c r="T117" s="454">
        <f t="shared" si="59"/>
        <v>0</v>
      </c>
      <c r="U117" s="454">
        <f>IF(T117&gt;0,1+COUNTIF(T$86:T116,"&gt;0"),0)</f>
        <v>0</v>
      </c>
      <c r="V117" s="454" t="str">
        <f t="shared" si="60"/>
        <v/>
      </c>
      <c r="W117" s="454" t="str">
        <f t="shared" si="43"/>
        <v>n/a</v>
      </c>
      <c r="X117" s="456">
        <f t="shared" si="44"/>
        <v>0</v>
      </c>
      <c r="Y117" s="454">
        <f t="shared" si="61"/>
        <v>0</v>
      </c>
      <c r="Z117" s="454">
        <f>IF(Y117&gt;0,1+COUNTIF(Y$86:Y116,"&gt;0"),0)</f>
        <v>0</v>
      </c>
      <c r="AA117" s="454" t="str">
        <f t="shared" si="62"/>
        <v/>
      </c>
      <c r="AB117" s="454" t="str">
        <f t="shared" si="45"/>
        <v>n/a</v>
      </c>
      <c r="AC117" s="456">
        <f t="shared" si="46"/>
        <v>0</v>
      </c>
      <c r="AD117" s="454">
        <f t="shared" si="63"/>
        <v>0</v>
      </c>
      <c r="AE117" s="454">
        <f>IF(AD117&gt;0,1+COUNTIF(AD$86:AD116,"&gt;0"),0)</f>
        <v>0</v>
      </c>
      <c r="AF117" s="454" t="str">
        <f t="shared" si="64"/>
        <v/>
      </c>
      <c r="AG117" s="454" t="str">
        <f t="shared" si="47"/>
        <v>n/a</v>
      </c>
      <c r="AH117" s="456">
        <f t="shared" si="48"/>
        <v>0</v>
      </c>
      <c r="AI117" s="454">
        <f t="shared" si="65"/>
        <v>0</v>
      </c>
      <c r="AJ117" s="454">
        <f>IF(AI117&gt;0,1+COUNTIF(AI$86:AI116,"&gt;0"),0)</f>
        <v>0</v>
      </c>
      <c r="AK117" s="454" t="str">
        <f t="shared" si="66"/>
        <v/>
      </c>
      <c r="AL117" s="454" t="str">
        <f t="shared" si="49"/>
        <v>n/a</v>
      </c>
      <c r="AM117" s="456">
        <f t="shared" si="50"/>
        <v>0</v>
      </c>
      <c r="AN117" s="454">
        <f t="shared" si="67"/>
        <v>0</v>
      </c>
      <c r="AO117" s="454">
        <f>IF(AN117&gt;0,1+COUNTIF(AN$86:AN116,"&gt;0"),0)</f>
        <v>0</v>
      </c>
      <c r="AP117" s="454" t="str">
        <f t="shared" si="68"/>
        <v/>
      </c>
      <c r="AQ117" s="454" t="str">
        <f t="shared" si="51"/>
        <v>n/a</v>
      </c>
      <c r="AR117" s="456">
        <f t="shared" si="52"/>
        <v>0</v>
      </c>
      <c r="AS117" s="454">
        <f t="shared" si="69"/>
        <v>0</v>
      </c>
      <c r="AT117" s="454">
        <f>IF(AS117&gt;0,1+COUNTIF(AS$86:AS116,"&gt;0"),0)</f>
        <v>0</v>
      </c>
      <c r="AU117" s="454" t="str">
        <f t="shared" si="70"/>
        <v/>
      </c>
      <c r="AV117" s="454" t="str">
        <f t="shared" si="53"/>
        <v>n/a</v>
      </c>
      <c r="AW117" s="456">
        <f t="shared" si="54"/>
        <v>0</v>
      </c>
      <c r="AX117" s="454">
        <f t="shared" si="71"/>
        <v>0</v>
      </c>
      <c r="AY117" s="454">
        <f>IF(AX117&gt;0,1+COUNTIF(AX$86:AX116,"&gt;0"),0)</f>
        <v>0</v>
      </c>
      <c r="AZ117" s="454" t="str">
        <f t="shared" si="72"/>
        <v/>
      </c>
      <c r="BA117" s="454" t="str">
        <f t="shared" si="55"/>
        <v>n/a</v>
      </c>
      <c r="BB117" s="456">
        <f t="shared" si="56"/>
        <v>0</v>
      </c>
    </row>
    <row r="118" spans="1:65" ht="16.5" x14ac:dyDescent="0.3">
      <c r="A118" s="155">
        <f>IFERROR(IF(A117+1&lt;MAX(D041_ClassFeatures!$A$2:$A$2033),A117+1,""),"")</f>
        <v>115</v>
      </c>
      <c r="B118" s="153" t="str">
        <f>IFERROR(INDEX(D041_ClassFeatures!$B$2:$B$2033,MATCH(C_Variables!A118,D041_ClassFeatures!$A$2:$A$2033,0),1),"")</f>
        <v>Ranger Archetype Feature11</v>
      </c>
      <c r="C118" s="153">
        <f>IF(B118="",0,IF(IFERROR(MATCH(B118,C_Input!$BC$160:$BC$239,0),0)&gt;0,1,0))</f>
        <v>0</v>
      </c>
      <c r="D118" s="153"/>
      <c r="E118" s="153"/>
      <c r="F118" s="153"/>
      <c r="G118" s="153"/>
      <c r="H118" s="153"/>
      <c r="I118" s="153"/>
      <c r="J118" s="153"/>
    </row>
    <row r="119" spans="1:65" ht="16.5" x14ac:dyDescent="0.3">
      <c r="A119" s="155">
        <f>IFERROR(IF(A118+1&lt;MAX(D041_ClassFeatures!$A$2:$A$2033),A118+1,""),"")</f>
        <v>116</v>
      </c>
      <c r="B119" s="153" t="str">
        <f>IFERROR(INDEX(D041_ClassFeatures!$B$2:$B$2033,MATCH(C_Variables!A119,D041_ClassFeatures!$A$2:$A$2033,0),1),"")</f>
        <v>Ranger Archetype Feature15</v>
      </c>
      <c r="C119" s="153">
        <f>IF(B119="",0,IF(IFERROR(MATCH(B119,C_Input!$BC$160:$BC$239,0),0)&gt;0,1,0))</f>
        <v>0</v>
      </c>
      <c r="D119" s="153"/>
      <c r="E119" s="153"/>
      <c r="F119" s="153"/>
      <c r="G119" s="153"/>
      <c r="H119" s="153"/>
      <c r="I119" s="153"/>
      <c r="J119" s="153"/>
    </row>
    <row r="120" spans="1:65" ht="16.5" x14ac:dyDescent="0.3">
      <c r="A120" s="155">
        <f>IFERROR(IF(A119+1&lt;MAX(D041_ClassFeatures!$A$2:$A$2033),A119+1,""),"")</f>
        <v>117</v>
      </c>
      <c r="B120" s="153" t="str">
        <f>IFERROR(INDEX(D041_ClassFeatures!$B$2:$B$2033,MATCH(C_Variables!A120,D041_ClassFeatures!$A$2:$A$2033,0),1),"")</f>
        <v>Reckless Attack</v>
      </c>
      <c r="C120" s="153">
        <f>IF(B120="",0,IF(IFERROR(MATCH(B120,C_Input!$BC$160:$BC$239,0),0)&gt;0,1,0))</f>
        <v>0</v>
      </c>
      <c r="D120" s="153"/>
      <c r="E120" s="153"/>
      <c r="F120" s="153"/>
      <c r="G120" s="153"/>
      <c r="H120" s="153"/>
      <c r="I120" s="153"/>
      <c r="J120" s="153"/>
    </row>
    <row r="121" spans="1:65" ht="16.5" x14ac:dyDescent="0.3">
      <c r="A121" s="155">
        <f>IFERROR(IF(A120+1&lt;MAX(D041_ClassFeatures!$A$2:$A$2033),A120+1,""),"")</f>
        <v>118</v>
      </c>
      <c r="B121" s="153" t="str">
        <f>IFERROR(INDEX(D041_ClassFeatures!$B$2:$B$2033,MATCH(C_Variables!A121,D041_ClassFeatures!$A$2:$A$2033,0),1),"")</f>
        <v>Relentless Rage</v>
      </c>
      <c r="C121" s="153">
        <f>IF(B121="",0,IF(IFERROR(MATCH(B121,C_Input!$BC$160:$BC$239,0),0)&gt;0,1,0))</f>
        <v>0</v>
      </c>
      <c r="D121" s="153"/>
      <c r="E121" s="153"/>
      <c r="F121" s="153"/>
      <c r="G121" s="153"/>
      <c r="H121" s="153" t="s">
        <v>5378</v>
      </c>
      <c r="I121" s="153"/>
      <c r="J121" s="153"/>
    </row>
    <row r="122" spans="1:65" ht="16.5" x14ac:dyDescent="0.3">
      <c r="A122" s="155">
        <f>IFERROR(IF(A121+1&lt;MAX(D041_ClassFeatures!$A$2:$A$2033),A121+1,""),"")</f>
        <v>119</v>
      </c>
      <c r="B122" s="153" t="str">
        <f>IFERROR(INDEX(D041_ClassFeatures!$B$2:$B$2033,MATCH(C_Variables!A122,D041_ClassFeatures!$A$2:$A$2033,0),1),"")</f>
        <v>Reliable Talent</v>
      </c>
      <c r="C122" s="153">
        <f>IF(B122="",0,IF(IFERROR(MATCH(B122,C_Input!$BC$160:$BC$239,0),0)&gt;0,1,0))</f>
        <v>0</v>
      </c>
      <c r="D122" s="153"/>
      <c r="E122" s="153"/>
      <c r="F122" s="153"/>
      <c r="G122" s="153"/>
      <c r="H122" s="153"/>
      <c r="I122" s="999" t="s">
        <v>5572</v>
      </c>
      <c r="J122" s="999"/>
      <c r="K122" s="986" t="s">
        <v>5552</v>
      </c>
      <c r="L122" s="986"/>
      <c r="M122" s="986"/>
      <c r="N122" s="986"/>
      <c r="O122" s="986"/>
      <c r="P122" s="986" t="s">
        <v>5553</v>
      </c>
      <c r="Q122" s="986"/>
      <c r="R122" s="986"/>
      <c r="S122" s="986"/>
      <c r="T122" s="986"/>
      <c r="U122" s="986" t="s">
        <v>5554</v>
      </c>
      <c r="V122" s="986"/>
      <c r="W122" s="986"/>
      <c r="X122" s="986"/>
      <c r="Y122" s="986"/>
      <c r="Z122" s="986" t="s">
        <v>5555</v>
      </c>
      <c r="AA122" s="986"/>
      <c r="AB122" s="986"/>
      <c r="AC122" s="986"/>
      <c r="AD122" s="986"/>
      <c r="AE122" s="986" t="s">
        <v>5556</v>
      </c>
      <c r="AF122" s="986"/>
      <c r="AG122" s="986"/>
      <c r="AH122" s="986"/>
      <c r="AI122" s="986"/>
      <c r="AJ122" s="986" t="s">
        <v>5557</v>
      </c>
      <c r="AK122" s="986"/>
      <c r="AL122" s="986"/>
      <c r="AM122" s="986"/>
      <c r="AN122" s="986"/>
      <c r="AO122" s="986" t="s">
        <v>5558</v>
      </c>
      <c r="AP122" s="986"/>
      <c r="AQ122" s="986"/>
      <c r="AR122" s="986"/>
      <c r="AS122" s="986"/>
      <c r="AT122" s="986" t="s">
        <v>5559</v>
      </c>
      <c r="AU122" s="986"/>
      <c r="AV122" s="986"/>
      <c r="AW122" s="986"/>
      <c r="AX122" s="986"/>
      <c r="AY122" s="158" t="s">
        <v>5560</v>
      </c>
      <c r="AZ122" s="158"/>
      <c r="BA122" s="158"/>
      <c r="BB122" s="158"/>
      <c r="BC122" s="158"/>
      <c r="BD122" s="986" t="s">
        <v>5561</v>
      </c>
      <c r="BE122" s="986"/>
      <c r="BF122" s="986"/>
      <c r="BG122" s="986"/>
      <c r="BH122" s="986"/>
      <c r="BI122" s="986" t="s">
        <v>5561</v>
      </c>
      <c r="BJ122" s="986"/>
      <c r="BK122" s="986"/>
      <c r="BL122" s="986"/>
      <c r="BM122" s="986"/>
    </row>
    <row r="123" spans="1:65" ht="16.5" x14ac:dyDescent="0.3">
      <c r="A123" s="155">
        <f>IFERROR(IF(A122+1&lt;MAX(D041_ClassFeatures!$A$2:$A$2033),A122+1,""),"")</f>
        <v>120</v>
      </c>
      <c r="B123" s="153" t="str">
        <f>IFERROR(INDEX(D041_ClassFeatures!$B$2:$B$2033,MATCH(C_Variables!A123,D041_ClassFeatures!$A$2:$A$2033,0),1),"")</f>
        <v>Roguish Archetype</v>
      </c>
      <c r="C123" s="153">
        <f>IF(B123="",0,IF(IFERROR(MATCH(B123,C_Input!$BC$160:$BC$239,0),0)&gt;0,1,0))</f>
        <v>0</v>
      </c>
      <c r="D123" s="153"/>
      <c r="E123" s="153"/>
      <c r="F123" s="153"/>
      <c r="G123" s="153"/>
      <c r="H123" s="153" t="s">
        <v>4441</v>
      </c>
      <c r="I123" s="153">
        <v>1</v>
      </c>
      <c r="J123" s="391">
        <f t="shared" ref="J123:J138" si="74">IF(CombatManeuver1=H123,1,0)</f>
        <v>0</v>
      </c>
      <c r="K123" s="390">
        <f>$I123-J123</f>
        <v>1</v>
      </c>
      <c r="L123" s="390">
        <f>IF(K$123=0,0,1)</f>
        <v>1</v>
      </c>
      <c r="M123" s="390">
        <v>1</v>
      </c>
      <c r="N123" s="390" t="str">
        <f t="shared" ref="N123:N138" si="75">IF(CombatManeuversKnown&lt;2,"n/a",IFERROR(INDEX($H$123:$H$138,MATCH(M123,L$123:L$138,0),1),""))</f>
        <v>n/a</v>
      </c>
      <c r="O123" s="391">
        <f t="shared" ref="O123:O138" si="76">IF(CombatManeuver2=$H123,1,0)</f>
        <v>0</v>
      </c>
      <c r="P123">
        <f>IF(L123&gt;0,1,0)-O123</f>
        <v>1</v>
      </c>
      <c r="Q123" s="390">
        <f>IF(P$123=0,0,1)</f>
        <v>1</v>
      </c>
      <c r="R123" s="390">
        <v>1</v>
      </c>
      <c r="S123" s="390" t="str">
        <f t="shared" ref="S123:S138" si="77">IF(CombatManeuversKnown&lt;3,"n/a",IFERROR(INDEX($H$123:$H$138,MATCH(R123,Q$123:Q$138,0),1),""))</f>
        <v>n/a</v>
      </c>
      <c r="T123" s="391">
        <f t="shared" ref="T123:T138" si="78">IF(CombatManeuver3=$H123,1,0)</f>
        <v>0</v>
      </c>
      <c r="U123">
        <f>IF(IF(Q123&gt;0,1,0)-T123&gt;0,1,0)</f>
        <v>1</v>
      </c>
      <c r="V123" s="390">
        <f>IF(U$123=0,0,1)</f>
        <v>1</v>
      </c>
      <c r="W123" s="390">
        <v>1</v>
      </c>
      <c r="X123" s="390" t="str">
        <f t="shared" ref="X123:X138" si="79">IF(CombatManeuversKnown&lt;3,"n/a",IFERROR(INDEX($H$123:$H$138,MATCH(W123,V$123:V$138,0),1),""))</f>
        <v>n/a</v>
      </c>
      <c r="Y123" s="391">
        <f t="shared" ref="Y123:Y138" si="80">IF(CombatManeuver4=$H123,1,0)</f>
        <v>0</v>
      </c>
      <c r="Z123">
        <f>IF(IF(V123&gt;0,1,0)-Y123&gt;0,1,0)</f>
        <v>1</v>
      </c>
      <c r="AA123" s="390">
        <f>IF(Z$123=0,0,1)</f>
        <v>1</v>
      </c>
      <c r="AB123" s="390">
        <v>1</v>
      </c>
      <c r="AC123" s="390" t="str">
        <f t="shared" ref="AC123:AC138" si="81">IF(CombatManeuversKnown&lt;3,"n/a",IFERROR(INDEX($H$123:$H$138,MATCH(AB123,AA$123:AA$138,0),1),""))</f>
        <v>n/a</v>
      </c>
      <c r="AD123" s="391">
        <f t="shared" ref="AD123:AD138" si="82">IF(CombatManeuver4=$H123,1,0)</f>
        <v>0</v>
      </c>
      <c r="AE123">
        <f>IF(IF(AA123&gt;0,1,0)-AD123&gt;0,1,0)</f>
        <v>1</v>
      </c>
      <c r="AF123" s="390">
        <f>IF(AE$123=0,0,1)</f>
        <v>1</v>
      </c>
      <c r="AG123" s="390">
        <v>1</v>
      </c>
      <c r="AH123" s="390" t="str">
        <f t="shared" ref="AH123:AH138" si="83">IF(CombatManeuversKnown&lt;3,"n/a",IFERROR(INDEX($H$123:$H$138,MATCH(AG123,AF$123:AF$138,0),1),""))</f>
        <v>n/a</v>
      </c>
      <c r="AI123" s="391">
        <f t="shared" ref="AI123:AI138" si="84">IF(CombatManeuver3=$H123,1,0)</f>
        <v>0</v>
      </c>
      <c r="AJ123">
        <f>IF(AF123&gt;0,1,0)-AI123</f>
        <v>1</v>
      </c>
      <c r="AK123" s="390">
        <f>IF(AJ$123=0,0,1)</f>
        <v>1</v>
      </c>
      <c r="AL123" s="390">
        <v>1</v>
      </c>
      <c r="AM123" s="390" t="str">
        <f t="shared" ref="AM123:AM138" si="85">IF(CombatManeuversKnown&lt;3,"n/a",IFERROR(INDEX($H$123:$H$138,MATCH(AL123,AK$123:AK$138,0),1),""))</f>
        <v>n/a</v>
      </c>
      <c r="AN123" s="391">
        <f t="shared" ref="AN123:AN138" si="86">IF(CombatManeuver3=$H123,1,0)</f>
        <v>0</v>
      </c>
      <c r="AO123">
        <f>IF(AK123&gt;0,1,0)-AN123</f>
        <v>1</v>
      </c>
      <c r="AP123" s="390">
        <f>IF(AO$123=0,0,1)</f>
        <v>1</v>
      </c>
      <c r="AQ123" s="390">
        <v>1</v>
      </c>
      <c r="AR123" s="390" t="str">
        <f t="shared" ref="AR123:AR138" si="87">IF(CombatManeuversKnown&lt;3,"n/a",IFERROR(INDEX($H$123:$H$138,MATCH(AQ123,AP$123:AP$138,0),1),""))</f>
        <v>n/a</v>
      </c>
      <c r="AS123" s="391">
        <f t="shared" ref="AS123:AS138" si="88">IF(CombatManeuver3=$H123,1,0)</f>
        <v>0</v>
      </c>
      <c r="AT123">
        <f>IF(AP123&gt;0,1,0)-AS123</f>
        <v>1</v>
      </c>
      <c r="AU123" s="390">
        <f>IF(AT$123=0,0,1)</f>
        <v>1</v>
      </c>
      <c r="AV123" s="390">
        <v>1</v>
      </c>
      <c r="AW123" s="390" t="str">
        <f t="shared" ref="AW123:AW138" si="89">IF(CombatManeuversKnown&lt;3,"n/a",IFERROR(INDEX($H$123:$H$138,MATCH(AV123,AU$123:AU$138,0),1),""))</f>
        <v>n/a</v>
      </c>
      <c r="AX123" s="391">
        <f t="shared" ref="AX123:AX138" si="90">IF(CombatManeuver3=$H123,1,0)</f>
        <v>0</v>
      </c>
      <c r="AY123">
        <f>IF(AU123&gt;0,1,0)-AX123</f>
        <v>1</v>
      </c>
      <c r="AZ123" s="390">
        <f>IF(AY$123=0,0,1)</f>
        <v>1</v>
      </c>
      <c r="BA123" s="390">
        <v>1</v>
      </c>
      <c r="BB123" s="390" t="str">
        <f t="shared" ref="BB123:BB138" si="91">IF(CombatManeuversKnown&lt;3,"n/a",IFERROR(INDEX($H$123:$H$138,MATCH(BA123,AZ$123:AZ$138,0),1),""))</f>
        <v>n/a</v>
      </c>
      <c r="BC123" s="391">
        <f t="shared" ref="BC123:BC138" si="92">IF(CombatManeuver3=$H123,1,0)</f>
        <v>0</v>
      </c>
      <c r="BD123">
        <f>IF(AZ123&gt;0,1,0)-BC123</f>
        <v>1</v>
      </c>
      <c r="BE123" s="390">
        <f>IF(BD$123=0,0,1)</f>
        <v>1</v>
      </c>
      <c r="BF123" s="390">
        <v>1</v>
      </c>
      <c r="BG123" s="390" t="str">
        <f t="shared" ref="BG123:BG138" si="93">IF(CombatManeuversKnown&lt;3,"n/a",IFERROR(INDEX($H$123:$H$138,MATCH(BF123,BE$123:BE$138,0),1),""))</f>
        <v>n/a</v>
      </c>
      <c r="BH123" s="391">
        <f t="shared" ref="BH123:BH138" si="94">IF(CombatManeuver3=$H123,1,0)</f>
        <v>0</v>
      </c>
      <c r="BI123">
        <f>IF(BE123&gt;0,1,0)-BH123</f>
        <v>1</v>
      </c>
      <c r="BJ123" s="390">
        <f>IF(BI$123=0,0,1)</f>
        <v>1</v>
      </c>
      <c r="BK123" s="390">
        <v>1</v>
      </c>
      <c r="BL123" s="390" t="str">
        <f t="shared" ref="BL123:BL138" si="95">IF(CombatManeuversKnown&lt;3,"n/a",IFERROR(INDEX($H$123:$H$138,MATCH(BK123,BJ$123:BJ$138,0),1),""))</f>
        <v>n/a</v>
      </c>
      <c r="BM123" s="391">
        <f t="shared" ref="BM123:BM138" si="96">IF(CombatManeuver3=$H123,1,0)</f>
        <v>0</v>
      </c>
    </row>
    <row r="124" spans="1:65" ht="16.5" x14ac:dyDescent="0.3">
      <c r="A124" s="155">
        <f>IFERROR(IF(A123+1&lt;MAX(D041_ClassFeatures!$A$2:$A$2033),A123+1,""),"")</f>
        <v>121</v>
      </c>
      <c r="B124" s="153" t="str">
        <f>IFERROR(INDEX(D041_ClassFeatures!$B$2:$B$2033,MATCH(C_Variables!A124,D041_ClassFeatures!$A$2:$A$2033,0),1),"")</f>
        <v>Roguish Archetype Feature3-1</v>
      </c>
      <c r="C124" s="153">
        <f>IF(B124="",0,IF(IFERROR(MATCH(B124,C_Input!$BC$160:$BC$239,0),0)&gt;0,1,0))</f>
        <v>0</v>
      </c>
      <c r="D124" s="153"/>
      <c r="E124" s="153"/>
      <c r="F124" s="153"/>
      <c r="G124" s="153"/>
      <c r="H124" s="153" t="s">
        <v>4442</v>
      </c>
      <c r="I124" s="153">
        <v>1</v>
      </c>
      <c r="J124" s="391">
        <f t="shared" si="74"/>
        <v>0</v>
      </c>
      <c r="K124" s="390">
        <f t="shared" ref="K124:K138" si="97">$I124-J124</f>
        <v>1</v>
      </c>
      <c r="L124" s="390">
        <f>IF(K124&gt;0,1+COUNTIF(L123:L$123,"&gt;0"),0)</f>
        <v>2</v>
      </c>
      <c r="M124" s="390" t="str">
        <f t="shared" ref="M124:M138" si="98">IF(CombatManeuversKnown&lt;2,"",IFERROR(IF(M123&lt;MAX(L$123:L$138),M123+1,""),""))</f>
        <v/>
      </c>
      <c r="N124" s="390" t="str">
        <f t="shared" si="75"/>
        <v>n/a</v>
      </c>
      <c r="O124" s="391">
        <f t="shared" si="76"/>
        <v>0</v>
      </c>
      <c r="P124">
        <f t="shared" ref="P124:P138" si="99">IF(L124&gt;0,1,0)-O124</f>
        <v>1</v>
      </c>
      <c r="Q124" s="390">
        <f>IF(P124&gt;0,1+COUNTIF(Q123:Q$123,"&gt;0"),0)</f>
        <v>2</v>
      </c>
      <c r="R124" s="390" t="str">
        <f t="shared" ref="R124:R138" si="100">IF(CombatManeuversKnown&lt;3,"",IFERROR(IF(R123&lt;MAX(Q$123:Q$138),R123+1,""),""))</f>
        <v/>
      </c>
      <c r="S124" s="390" t="str">
        <f t="shared" si="77"/>
        <v>n/a</v>
      </c>
      <c r="T124" s="391">
        <f t="shared" si="78"/>
        <v>0</v>
      </c>
      <c r="U124">
        <f t="shared" ref="U124:U138" si="101">IF(IF(Q124&gt;0,1,0)-T124&gt;0,1,0)</f>
        <v>1</v>
      </c>
      <c r="V124" s="390">
        <f>IF(U124&gt;0,1+COUNTIF(V123:V$123,"&gt;0"),0)</f>
        <v>2</v>
      </c>
      <c r="W124" s="390" t="str">
        <f t="shared" ref="W124:W138" si="102">IF(CombatManeuversKnown&lt;3,"",IFERROR(IF(W123&lt;MAX(V$123:V$138),W123+1,""),""))</f>
        <v/>
      </c>
      <c r="X124" s="390" t="str">
        <f t="shared" si="79"/>
        <v>n/a</v>
      </c>
      <c r="Y124" s="391">
        <f t="shared" si="80"/>
        <v>0</v>
      </c>
      <c r="Z124">
        <f t="shared" ref="Z124:Z138" si="103">IF(IF(V124&gt;0,1,0)-Y124&gt;0,1,0)</f>
        <v>1</v>
      </c>
      <c r="AA124" s="390">
        <f>IF(Z124&gt;0,1+COUNTIF(AA123:AA$123,"&gt;0"),0)</f>
        <v>2</v>
      </c>
      <c r="AB124" s="390" t="str">
        <f t="shared" ref="AB124:AB138" si="104">IF(CombatManeuversKnown&lt;3,"",IFERROR(IF(AB123&lt;MAX(AA$123:AA$138),AB123+1,""),""))</f>
        <v/>
      </c>
      <c r="AC124" s="390" t="str">
        <f t="shared" si="81"/>
        <v>n/a</v>
      </c>
      <c r="AD124" s="391">
        <f t="shared" si="82"/>
        <v>0</v>
      </c>
      <c r="AE124">
        <f t="shared" ref="AE124:AE138" si="105">IF(IF(AA124&gt;0,1,0)-AD124&gt;0,1,0)</f>
        <v>1</v>
      </c>
      <c r="AF124" s="390">
        <f>IF(AE124&gt;0,1+COUNTIF(AF123:AF$123,"&gt;0"),0)</f>
        <v>2</v>
      </c>
      <c r="AG124" s="390" t="str">
        <f t="shared" ref="AG124:AG138" si="106">IF(CombatManeuversKnown&lt;3,"",IFERROR(IF(AG123&lt;MAX(AF$123:AF$138),AG123+1,""),""))</f>
        <v/>
      </c>
      <c r="AH124" s="390" t="str">
        <f t="shared" si="83"/>
        <v>n/a</v>
      </c>
      <c r="AI124" s="391">
        <f t="shared" si="84"/>
        <v>0</v>
      </c>
      <c r="AJ124">
        <f t="shared" ref="AJ124:AJ138" si="107">IF(AF124&gt;0,1,0)-AI124</f>
        <v>1</v>
      </c>
      <c r="AK124" s="390">
        <f>IF(AJ124&gt;0,1+COUNTIF(AK123:AK$123,"&gt;0"),0)</f>
        <v>2</v>
      </c>
      <c r="AL124" s="390" t="str">
        <f t="shared" ref="AL124:AL138" si="108">IF(CombatManeuversKnown&lt;3,"",IFERROR(IF(AL123&lt;MAX(AK$123:AK$138),AL123+1,""),""))</f>
        <v/>
      </c>
      <c r="AM124" s="390" t="str">
        <f t="shared" si="85"/>
        <v>n/a</v>
      </c>
      <c r="AN124" s="391">
        <f t="shared" si="86"/>
        <v>0</v>
      </c>
      <c r="AO124">
        <f t="shared" ref="AO124:AO138" si="109">IF(AK124&gt;0,1,0)-AN124</f>
        <v>1</v>
      </c>
      <c r="AP124" s="390">
        <f>IF(AO124&gt;0,1+COUNTIF(AP123:AP$123,"&gt;0"),0)</f>
        <v>2</v>
      </c>
      <c r="AQ124" s="390" t="str">
        <f t="shared" ref="AQ124:AQ138" si="110">IF(CombatManeuversKnown&lt;3,"",IFERROR(IF(AQ123&lt;MAX(AP$123:AP$138),AQ123+1,""),""))</f>
        <v/>
      </c>
      <c r="AR124" s="390" t="str">
        <f t="shared" si="87"/>
        <v>n/a</v>
      </c>
      <c r="AS124" s="391">
        <f t="shared" si="88"/>
        <v>0</v>
      </c>
      <c r="AT124">
        <f t="shared" ref="AT124:AT138" si="111">IF(AP124&gt;0,1,0)-AS124</f>
        <v>1</v>
      </c>
      <c r="AU124" s="390">
        <f>IF(AT124&gt;0,1+COUNTIF(AU123:AU$123,"&gt;0"),0)</f>
        <v>2</v>
      </c>
      <c r="AV124" s="390" t="str">
        <f t="shared" ref="AV124:AV138" si="112">IF(CombatManeuversKnown&lt;3,"",IFERROR(IF(AV123&lt;MAX(AU$123:AU$138),AV123+1,""),""))</f>
        <v/>
      </c>
      <c r="AW124" s="390" t="str">
        <f t="shared" si="89"/>
        <v>n/a</v>
      </c>
      <c r="AX124" s="391">
        <f t="shared" si="90"/>
        <v>0</v>
      </c>
      <c r="AY124">
        <f t="shared" ref="AY124:AY138" si="113">IF(AU124&gt;0,1,0)-AX124</f>
        <v>1</v>
      </c>
      <c r="AZ124" s="390">
        <f>IF(AY124&gt;0,1+COUNTIF(AZ123:AZ$123,"&gt;0"),0)</f>
        <v>2</v>
      </c>
      <c r="BA124" s="390" t="str">
        <f t="shared" ref="BA124:BA138" si="114">IF(CombatManeuversKnown&lt;3,"",IFERROR(IF(BA123&lt;MAX(AZ$123:AZ$138),BA123+1,""),""))</f>
        <v/>
      </c>
      <c r="BB124" s="390" t="str">
        <f t="shared" si="91"/>
        <v>n/a</v>
      </c>
      <c r="BC124" s="391">
        <f t="shared" si="92"/>
        <v>0</v>
      </c>
      <c r="BD124">
        <f t="shared" ref="BD124:BD138" si="115">IF(AZ124&gt;0,1,0)-BC124</f>
        <v>1</v>
      </c>
      <c r="BE124" s="390">
        <f>IF(BD124&gt;0,1+COUNTIF(BE123:BE$123,"&gt;0"),0)</f>
        <v>2</v>
      </c>
      <c r="BF124" s="390" t="str">
        <f t="shared" ref="BF124:BF138" si="116">IF(CombatManeuversKnown&lt;3,"",IFERROR(IF(BF123&lt;MAX(BE$123:BE$138),BF123+1,""),""))</f>
        <v/>
      </c>
      <c r="BG124" s="390" t="str">
        <f t="shared" si="93"/>
        <v>n/a</v>
      </c>
      <c r="BH124" s="391">
        <f t="shared" si="94"/>
        <v>0</v>
      </c>
      <c r="BI124">
        <f t="shared" ref="BI124:BI138" si="117">IF(BE124&gt;0,1,0)-BH124</f>
        <v>1</v>
      </c>
      <c r="BJ124" s="390">
        <f>IF(BI124&gt;0,1+COUNTIF(BJ123:BJ$123,"&gt;0"),0)</f>
        <v>2</v>
      </c>
      <c r="BK124" s="390" t="str">
        <f t="shared" ref="BK124:BK138" si="118">IF(CombatManeuversKnown&lt;3,"",IFERROR(IF(BK123&lt;MAX(BJ$123:BJ$138),BK123+1,""),""))</f>
        <v/>
      </c>
      <c r="BL124" s="390" t="str">
        <f t="shared" si="95"/>
        <v>n/a</v>
      </c>
      <c r="BM124" s="391">
        <f t="shared" si="96"/>
        <v>0</v>
      </c>
    </row>
    <row r="125" spans="1:65" ht="16.5" x14ac:dyDescent="0.3">
      <c r="A125" s="155">
        <f>IFERROR(IF(A124+1&lt;MAX(D041_ClassFeatures!$A$2:$A$2033),A124+1,""),"")</f>
        <v>122</v>
      </c>
      <c r="B125" s="153" t="str">
        <f>IFERROR(INDEX(D041_ClassFeatures!$B$2:$B$2033,MATCH(C_Variables!A125,D041_ClassFeatures!$A$2:$A$2033,0),1),"")</f>
        <v>Roguish Archetype Feature3-2</v>
      </c>
      <c r="C125" s="153">
        <f>IF(B125="",0,IF(IFERROR(MATCH(B125,C_Input!$BC$160:$BC$239,0),0)&gt;0,1,0))</f>
        <v>0</v>
      </c>
      <c r="D125" s="153"/>
      <c r="E125" s="153"/>
      <c r="F125" s="153"/>
      <c r="G125" s="153"/>
      <c r="H125" s="153" t="s">
        <v>4443</v>
      </c>
      <c r="I125" s="153">
        <v>1</v>
      </c>
      <c r="J125" s="391">
        <f t="shared" si="74"/>
        <v>0</v>
      </c>
      <c r="K125" s="390">
        <f t="shared" si="97"/>
        <v>1</v>
      </c>
      <c r="L125" s="390">
        <f>IF(K125&gt;0,1+COUNTIF(L$123:L124,"&gt;0"),0)</f>
        <v>3</v>
      </c>
      <c r="M125" s="390" t="str">
        <f t="shared" si="98"/>
        <v/>
      </c>
      <c r="N125" s="390" t="str">
        <f t="shared" si="75"/>
        <v>n/a</v>
      </c>
      <c r="O125" s="391">
        <f t="shared" si="76"/>
        <v>0</v>
      </c>
      <c r="P125">
        <f t="shared" si="99"/>
        <v>1</v>
      </c>
      <c r="Q125" s="390">
        <f>IF(P125&gt;0,1+COUNTIF(Q$123:Q124,"&gt;0"),0)</f>
        <v>3</v>
      </c>
      <c r="R125" s="390" t="str">
        <f t="shared" si="100"/>
        <v/>
      </c>
      <c r="S125" s="390" t="str">
        <f t="shared" si="77"/>
        <v>n/a</v>
      </c>
      <c r="T125" s="391">
        <f t="shared" si="78"/>
        <v>0</v>
      </c>
      <c r="U125">
        <f t="shared" si="101"/>
        <v>1</v>
      </c>
      <c r="V125" s="390">
        <f>IF(U125&gt;0,1+COUNTIF(V$123:V124,"&gt;0"),0)</f>
        <v>3</v>
      </c>
      <c r="W125" s="390" t="str">
        <f t="shared" si="102"/>
        <v/>
      </c>
      <c r="X125" s="390" t="str">
        <f t="shared" si="79"/>
        <v>n/a</v>
      </c>
      <c r="Y125" s="391">
        <f t="shared" si="80"/>
        <v>0</v>
      </c>
      <c r="Z125">
        <f t="shared" si="103"/>
        <v>1</v>
      </c>
      <c r="AA125" s="390">
        <f>IF(Z125&gt;0,1+COUNTIF(AA$123:AA124,"&gt;0"),0)</f>
        <v>3</v>
      </c>
      <c r="AB125" s="390" t="str">
        <f t="shared" si="104"/>
        <v/>
      </c>
      <c r="AC125" s="390" t="str">
        <f t="shared" si="81"/>
        <v>n/a</v>
      </c>
      <c r="AD125" s="391">
        <f t="shared" si="82"/>
        <v>0</v>
      </c>
      <c r="AE125">
        <f t="shared" si="105"/>
        <v>1</v>
      </c>
      <c r="AF125" s="390">
        <f>IF(AE125&gt;0,1+COUNTIF(AF$123:AF124,"&gt;0"),0)</f>
        <v>3</v>
      </c>
      <c r="AG125" s="390" t="str">
        <f t="shared" si="106"/>
        <v/>
      </c>
      <c r="AH125" s="390" t="str">
        <f t="shared" si="83"/>
        <v>n/a</v>
      </c>
      <c r="AI125" s="391">
        <f t="shared" si="84"/>
        <v>0</v>
      </c>
      <c r="AJ125">
        <f t="shared" si="107"/>
        <v>1</v>
      </c>
      <c r="AK125" s="390">
        <f>IF(AJ125&gt;0,1+COUNTIF(AK$123:AK124,"&gt;0"),0)</f>
        <v>3</v>
      </c>
      <c r="AL125" s="390" t="str">
        <f t="shared" si="108"/>
        <v/>
      </c>
      <c r="AM125" s="390" t="str">
        <f t="shared" si="85"/>
        <v>n/a</v>
      </c>
      <c r="AN125" s="391">
        <f t="shared" si="86"/>
        <v>0</v>
      </c>
      <c r="AO125">
        <f t="shared" si="109"/>
        <v>1</v>
      </c>
      <c r="AP125" s="390">
        <f>IF(AO125&gt;0,1+COUNTIF(AP$123:AP124,"&gt;0"),0)</f>
        <v>3</v>
      </c>
      <c r="AQ125" s="390" t="str">
        <f t="shared" si="110"/>
        <v/>
      </c>
      <c r="AR125" s="390" t="str">
        <f t="shared" si="87"/>
        <v>n/a</v>
      </c>
      <c r="AS125" s="391">
        <f t="shared" si="88"/>
        <v>0</v>
      </c>
      <c r="AT125">
        <f t="shared" si="111"/>
        <v>1</v>
      </c>
      <c r="AU125" s="390">
        <f>IF(AT125&gt;0,1+COUNTIF(AU$123:AU124,"&gt;0"),0)</f>
        <v>3</v>
      </c>
      <c r="AV125" s="390" t="str">
        <f t="shared" si="112"/>
        <v/>
      </c>
      <c r="AW125" s="390" t="str">
        <f t="shared" si="89"/>
        <v>n/a</v>
      </c>
      <c r="AX125" s="391">
        <f t="shared" si="90"/>
        <v>0</v>
      </c>
      <c r="AY125">
        <f t="shared" si="113"/>
        <v>1</v>
      </c>
      <c r="AZ125" s="390">
        <f>IF(AY125&gt;0,1+COUNTIF(AZ$123:AZ124,"&gt;0"),0)</f>
        <v>3</v>
      </c>
      <c r="BA125" s="390" t="str">
        <f t="shared" si="114"/>
        <v/>
      </c>
      <c r="BB125" s="390" t="str">
        <f t="shared" si="91"/>
        <v>n/a</v>
      </c>
      <c r="BC125" s="391">
        <f t="shared" si="92"/>
        <v>0</v>
      </c>
      <c r="BD125">
        <f t="shared" si="115"/>
        <v>1</v>
      </c>
      <c r="BE125" s="390">
        <f>IF(BD125&gt;0,1+COUNTIF(BE$123:BE124,"&gt;0"),0)</f>
        <v>3</v>
      </c>
      <c r="BF125" s="390" t="str">
        <f t="shared" si="116"/>
        <v/>
      </c>
      <c r="BG125" s="390" t="str">
        <f t="shared" si="93"/>
        <v>n/a</v>
      </c>
      <c r="BH125" s="391">
        <f t="shared" si="94"/>
        <v>0</v>
      </c>
      <c r="BI125">
        <f t="shared" si="117"/>
        <v>1</v>
      </c>
      <c r="BJ125" s="390">
        <f>IF(BI125&gt;0,1+COUNTIF(BJ$123:BJ124,"&gt;0"),0)</f>
        <v>3</v>
      </c>
      <c r="BK125" s="390" t="str">
        <f t="shared" si="118"/>
        <v/>
      </c>
      <c r="BL125" s="390" t="str">
        <f t="shared" si="95"/>
        <v>n/a</v>
      </c>
      <c r="BM125" s="391">
        <f t="shared" si="96"/>
        <v>0</v>
      </c>
    </row>
    <row r="126" spans="1:65" ht="16.5" x14ac:dyDescent="0.3">
      <c r="A126" s="155">
        <f>IFERROR(IF(A125+1&lt;MAX(D041_ClassFeatures!$A$2:$A$2033),A125+1,""),"")</f>
        <v>123</v>
      </c>
      <c r="B126" s="153" t="str">
        <f>IFERROR(INDEX(D041_ClassFeatures!$B$2:$B$2033,MATCH(C_Variables!A126,D041_ClassFeatures!$A$2:$A$2033,0),1),"")</f>
        <v>Roguish Archetype Feature9</v>
      </c>
      <c r="C126" s="153">
        <f>IF(B126="",0,IF(IFERROR(MATCH(B126,C_Input!$BC$160:$BC$239,0),0)&gt;0,1,0))</f>
        <v>0</v>
      </c>
      <c r="D126" s="153"/>
      <c r="E126" s="153"/>
      <c r="F126" s="153"/>
      <c r="G126" s="153"/>
      <c r="H126" s="153" t="s">
        <v>4444</v>
      </c>
      <c r="I126" s="153">
        <v>1</v>
      </c>
      <c r="J126" s="391">
        <f t="shared" si="74"/>
        <v>0</v>
      </c>
      <c r="K126" s="390">
        <f t="shared" si="97"/>
        <v>1</v>
      </c>
      <c r="L126" s="390">
        <f>IF(K126&gt;0,1+COUNTIF(L$123:L125,"&gt;0"),0)</f>
        <v>4</v>
      </c>
      <c r="M126" s="390" t="str">
        <f t="shared" si="98"/>
        <v/>
      </c>
      <c r="N126" s="390" t="str">
        <f t="shared" si="75"/>
        <v>n/a</v>
      </c>
      <c r="O126" s="391">
        <f t="shared" si="76"/>
        <v>0</v>
      </c>
      <c r="P126">
        <f t="shared" si="99"/>
        <v>1</v>
      </c>
      <c r="Q126" s="390">
        <f>IF(P126&gt;0,1+COUNTIF(Q$123:Q125,"&gt;0"),0)</f>
        <v>4</v>
      </c>
      <c r="R126" s="390" t="str">
        <f t="shared" si="100"/>
        <v/>
      </c>
      <c r="S126" s="390" t="str">
        <f t="shared" si="77"/>
        <v>n/a</v>
      </c>
      <c r="T126" s="391">
        <f t="shared" si="78"/>
        <v>0</v>
      </c>
      <c r="U126">
        <f t="shared" si="101"/>
        <v>1</v>
      </c>
      <c r="V126" s="390">
        <f>IF(U126&gt;0,1+COUNTIF(V$123:V125,"&gt;0"),0)</f>
        <v>4</v>
      </c>
      <c r="W126" s="390" t="str">
        <f t="shared" si="102"/>
        <v/>
      </c>
      <c r="X126" s="390" t="str">
        <f t="shared" si="79"/>
        <v>n/a</v>
      </c>
      <c r="Y126" s="391">
        <f t="shared" si="80"/>
        <v>0</v>
      </c>
      <c r="Z126">
        <f t="shared" si="103"/>
        <v>1</v>
      </c>
      <c r="AA126" s="390">
        <f>IF(Z126&gt;0,1+COUNTIF(AA$123:AA125,"&gt;0"),0)</f>
        <v>4</v>
      </c>
      <c r="AB126" s="390" t="str">
        <f t="shared" si="104"/>
        <v/>
      </c>
      <c r="AC126" s="390" t="str">
        <f t="shared" si="81"/>
        <v>n/a</v>
      </c>
      <c r="AD126" s="391">
        <f t="shared" si="82"/>
        <v>0</v>
      </c>
      <c r="AE126">
        <f t="shared" si="105"/>
        <v>1</v>
      </c>
      <c r="AF126" s="390">
        <f>IF(AE126&gt;0,1+COUNTIF(AF$123:AF125,"&gt;0"),0)</f>
        <v>4</v>
      </c>
      <c r="AG126" s="390" t="str">
        <f t="shared" si="106"/>
        <v/>
      </c>
      <c r="AH126" s="390" t="str">
        <f t="shared" si="83"/>
        <v>n/a</v>
      </c>
      <c r="AI126" s="391">
        <f t="shared" si="84"/>
        <v>0</v>
      </c>
      <c r="AJ126">
        <f t="shared" si="107"/>
        <v>1</v>
      </c>
      <c r="AK126" s="390">
        <f>IF(AJ126&gt;0,1+COUNTIF(AK$123:AK125,"&gt;0"),0)</f>
        <v>4</v>
      </c>
      <c r="AL126" s="390" t="str">
        <f t="shared" si="108"/>
        <v/>
      </c>
      <c r="AM126" s="390" t="str">
        <f t="shared" si="85"/>
        <v>n/a</v>
      </c>
      <c r="AN126" s="391">
        <f t="shared" si="86"/>
        <v>0</v>
      </c>
      <c r="AO126">
        <f t="shared" si="109"/>
        <v>1</v>
      </c>
      <c r="AP126" s="390">
        <f>IF(AO126&gt;0,1+COUNTIF(AP$123:AP125,"&gt;0"),0)</f>
        <v>4</v>
      </c>
      <c r="AQ126" s="390" t="str">
        <f t="shared" si="110"/>
        <v/>
      </c>
      <c r="AR126" s="390" t="str">
        <f t="shared" si="87"/>
        <v>n/a</v>
      </c>
      <c r="AS126" s="391">
        <f t="shared" si="88"/>
        <v>0</v>
      </c>
      <c r="AT126">
        <f t="shared" si="111"/>
        <v>1</v>
      </c>
      <c r="AU126" s="390">
        <f>IF(AT126&gt;0,1+COUNTIF(AU$123:AU125,"&gt;0"),0)</f>
        <v>4</v>
      </c>
      <c r="AV126" s="390" t="str">
        <f t="shared" si="112"/>
        <v/>
      </c>
      <c r="AW126" s="390" t="str">
        <f t="shared" si="89"/>
        <v>n/a</v>
      </c>
      <c r="AX126" s="391">
        <f t="shared" si="90"/>
        <v>0</v>
      </c>
      <c r="AY126">
        <f t="shared" si="113"/>
        <v>1</v>
      </c>
      <c r="AZ126" s="390">
        <f>IF(AY126&gt;0,1+COUNTIF(AZ$123:AZ125,"&gt;0"),0)</f>
        <v>4</v>
      </c>
      <c r="BA126" s="390" t="str">
        <f t="shared" si="114"/>
        <v/>
      </c>
      <c r="BB126" s="390" t="str">
        <f t="shared" si="91"/>
        <v>n/a</v>
      </c>
      <c r="BC126" s="391">
        <f t="shared" si="92"/>
        <v>0</v>
      </c>
      <c r="BD126">
        <f t="shared" si="115"/>
        <v>1</v>
      </c>
      <c r="BE126" s="390">
        <f>IF(BD126&gt;0,1+COUNTIF(BE$123:BE125,"&gt;0"),0)</f>
        <v>4</v>
      </c>
      <c r="BF126" s="390" t="str">
        <f t="shared" si="116"/>
        <v/>
      </c>
      <c r="BG126" s="390" t="str">
        <f t="shared" si="93"/>
        <v>n/a</v>
      </c>
      <c r="BH126" s="391">
        <f t="shared" si="94"/>
        <v>0</v>
      </c>
      <c r="BI126">
        <f t="shared" si="117"/>
        <v>1</v>
      </c>
      <c r="BJ126" s="390">
        <f>IF(BI126&gt;0,1+COUNTIF(BJ$123:BJ125,"&gt;0"),0)</f>
        <v>4</v>
      </c>
      <c r="BK126" s="390" t="str">
        <f t="shared" si="118"/>
        <v/>
      </c>
      <c r="BL126" s="390" t="str">
        <f t="shared" si="95"/>
        <v>n/a</v>
      </c>
      <c r="BM126" s="391">
        <f t="shared" si="96"/>
        <v>0</v>
      </c>
    </row>
    <row r="127" spans="1:65" ht="16.5" x14ac:dyDescent="0.3">
      <c r="A127" s="155">
        <f>IFERROR(IF(A126+1&lt;MAX(D041_ClassFeatures!$A$2:$A$2033),A126+1,""),"")</f>
        <v>124</v>
      </c>
      <c r="B127" s="153" t="str">
        <f>IFERROR(INDEX(D041_ClassFeatures!$B$2:$B$2033,MATCH(C_Variables!A127,D041_ClassFeatures!$A$2:$A$2033,0),1),"")</f>
        <v>Roguish Archetype Feature13</v>
      </c>
      <c r="C127" s="153">
        <f>IF(B127="",0,IF(IFERROR(MATCH(B127,C_Input!$BC$160:$BC$239,0),0)&gt;0,1,0))</f>
        <v>0</v>
      </c>
      <c r="D127" s="153"/>
      <c r="E127" s="153"/>
      <c r="F127" s="153"/>
      <c r="G127" s="153"/>
      <c r="H127" s="153" t="s">
        <v>4445</v>
      </c>
      <c r="I127" s="153">
        <v>1</v>
      </c>
      <c r="J127" s="391">
        <f t="shared" si="74"/>
        <v>0</v>
      </c>
      <c r="K127" s="390">
        <f t="shared" si="97"/>
        <v>1</v>
      </c>
      <c r="L127" s="390">
        <f>IF(K127&gt;0,1+COUNTIF(L$123:L126,"&gt;0"),0)</f>
        <v>5</v>
      </c>
      <c r="M127" s="390" t="str">
        <f t="shared" si="98"/>
        <v/>
      </c>
      <c r="N127" s="390" t="str">
        <f t="shared" si="75"/>
        <v>n/a</v>
      </c>
      <c r="O127" s="391">
        <f t="shared" si="76"/>
        <v>0</v>
      </c>
      <c r="P127">
        <f t="shared" si="99"/>
        <v>1</v>
      </c>
      <c r="Q127" s="390">
        <f>IF(P127&gt;0,1+COUNTIF(Q$123:Q126,"&gt;0"),0)</f>
        <v>5</v>
      </c>
      <c r="R127" s="390" t="str">
        <f t="shared" si="100"/>
        <v/>
      </c>
      <c r="S127" s="390" t="str">
        <f t="shared" si="77"/>
        <v>n/a</v>
      </c>
      <c r="T127" s="391">
        <f t="shared" si="78"/>
        <v>0</v>
      </c>
      <c r="U127">
        <f t="shared" si="101"/>
        <v>1</v>
      </c>
      <c r="V127" s="390">
        <f>IF(U127&gt;0,1+COUNTIF(V$123:V126,"&gt;0"),0)</f>
        <v>5</v>
      </c>
      <c r="W127" s="390" t="str">
        <f t="shared" si="102"/>
        <v/>
      </c>
      <c r="X127" s="390" t="str">
        <f t="shared" si="79"/>
        <v>n/a</v>
      </c>
      <c r="Y127" s="391">
        <f t="shared" si="80"/>
        <v>0</v>
      </c>
      <c r="Z127">
        <f t="shared" si="103"/>
        <v>1</v>
      </c>
      <c r="AA127" s="390">
        <f>IF(Z127&gt;0,1+COUNTIF(AA$123:AA126,"&gt;0"),0)</f>
        <v>5</v>
      </c>
      <c r="AB127" s="390" t="str">
        <f t="shared" si="104"/>
        <v/>
      </c>
      <c r="AC127" s="390" t="str">
        <f t="shared" si="81"/>
        <v>n/a</v>
      </c>
      <c r="AD127" s="391">
        <f t="shared" si="82"/>
        <v>0</v>
      </c>
      <c r="AE127">
        <f t="shared" si="105"/>
        <v>1</v>
      </c>
      <c r="AF127" s="390">
        <f>IF(AE127&gt;0,1+COUNTIF(AF$123:AF126,"&gt;0"),0)</f>
        <v>5</v>
      </c>
      <c r="AG127" s="390" t="str">
        <f t="shared" si="106"/>
        <v/>
      </c>
      <c r="AH127" s="390" t="str">
        <f t="shared" si="83"/>
        <v>n/a</v>
      </c>
      <c r="AI127" s="391">
        <f t="shared" si="84"/>
        <v>0</v>
      </c>
      <c r="AJ127">
        <f t="shared" si="107"/>
        <v>1</v>
      </c>
      <c r="AK127" s="390">
        <f>IF(AJ127&gt;0,1+COUNTIF(AK$123:AK126,"&gt;0"),0)</f>
        <v>5</v>
      </c>
      <c r="AL127" s="390" t="str">
        <f t="shared" si="108"/>
        <v/>
      </c>
      <c r="AM127" s="390" t="str">
        <f t="shared" si="85"/>
        <v>n/a</v>
      </c>
      <c r="AN127" s="391">
        <f t="shared" si="86"/>
        <v>0</v>
      </c>
      <c r="AO127">
        <f t="shared" si="109"/>
        <v>1</v>
      </c>
      <c r="AP127" s="390">
        <f>IF(AO127&gt;0,1+COUNTIF(AP$123:AP126,"&gt;0"),0)</f>
        <v>5</v>
      </c>
      <c r="AQ127" s="390" t="str">
        <f t="shared" si="110"/>
        <v/>
      </c>
      <c r="AR127" s="390" t="str">
        <f t="shared" si="87"/>
        <v>n/a</v>
      </c>
      <c r="AS127" s="391">
        <f t="shared" si="88"/>
        <v>0</v>
      </c>
      <c r="AT127">
        <f t="shared" si="111"/>
        <v>1</v>
      </c>
      <c r="AU127" s="390">
        <f>IF(AT127&gt;0,1+COUNTIF(AU$123:AU126,"&gt;0"),0)</f>
        <v>5</v>
      </c>
      <c r="AV127" s="390" t="str">
        <f t="shared" si="112"/>
        <v/>
      </c>
      <c r="AW127" s="390" t="str">
        <f t="shared" si="89"/>
        <v>n/a</v>
      </c>
      <c r="AX127" s="391">
        <f t="shared" si="90"/>
        <v>0</v>
      </c>
      <c r="AY127">
        <f t="shared" si="113"/>
        <v>1</v>
      </c>
      <c r="AZ127" s="390">
        <f>IF(AY127&gt;0,1+COUNTIF(AZ$123:AZ126,"&gt;0"),0)</f>
        <v>5</v>
      </c>
      <c r="BA127" s="390" t="str">
        <f t="shared" si="114"/>
        <v/>
      </c>
      <c r="BB127" s="390" t="str">
        <f t="shared" si="91"/>
        <v>n/a</v>
      </c>
      <c r="BC127" s="391">
        <f t="shared" si="92"/>
        <v>0</v>
      </c>
      <c r="BD127">
        <f t="shared" si="115"/>
        <v>1</v>
      </c>
      <c r="BE127" s="390">
        <f>IF(BD127&gt;0,1+COUNTIF(BE$123:BE126,"&gt;0"),0)</f>
        <v>5</v>
      </c>
      <c r="BF127" s="390" t="str">
        <f t="shared" si="116"/>
        <v/>
      </c>
      <c r="BG127" s="390" t="str">
        <f t="shared" si="93"/>
        <v>n/a</v>
      </c>
      <c r="BH127" s="391">
        <f t="shared" si="94"/>
        <v>0</v>
      </c>
      <c r="BI127">
        <f t="shared" si="117"/>
        <v>1</v>
      </c>
      <c r="BJ127" s="390">
        <f>IF(BI127&gt;0,1+COUNTIF(BJ$123:BJ126,"&gt;0"),0)</f>
        <v>5</v>
      </c>
      <c r="BK127" s="390" t="str">
        <f t="shared" si="118"/>
        <v/>
      </c>
      <c r="BL127" s="390" t="str">
        <f t="shared" si="95"/>
        <v>n/a</v>
      </c>
      <c r="BM127" s="391">
        <f t="shared" si="96"/>
        <v>0</v>
      </c>
    </row>
    <row r="128" spans="1:65" ht="16.5" x14ac:dyDescent="0.3">
      <c r="A128" s="155">
        <f>IFERROR(IF(A127+1&lt;MAX(D041_ClassFeatures!$A$2:$A$2033),A127+1,""),"")</f>
        <v>125</v>
      </c>
      <c r="B128" s="153" t="str">
        <f>IFERROR(INDEX(D041_ClassFeatures!$B$2:$B$2033,MATCH(C_Variables!A128,D041_ClassFeatures!$A$2:$A$2033,0),1),"")</f>
        <v>Roguish Archetype Feature17</v>
      </c>
      <c r="C128" s="153">
        <f>IF(B128="",0,IF(IFERROR(MATCH(B128,C_Input!$BC$160:$BC$239,0),0)&gt;0,1,0))</f>
        <v>0</v>
      </c>
      <c r="D128" s="153"/>
      <c r="E128" s="153"/>
      <c r="F128" s="153"/>
      <c r="G128" s="153"/>
      <c r="H128" s="153" t="s">
        <v>4446</v>
      </c>
      <c r="I128" s="153">
        <v>1</v>
      </c>
      <c r="J128" s="391">
        <f t="shared" si="74"/>
        <v>0</v>
      </c>
      <c r="K128" s="390">
        <f t="shared" si="97"/>
        <v>1</v>
      </c>
      <c r="L128" s="390">
        <f>IF(K128&gt;0,1+COUNTIF(L$123:L127,"&gt;0"),0)</f>
        <v>6</v>
      </c>
      <c r="M128" s="390" t="str">
        <f t="shared" si="98"/>
        <v/>
      </c>
      <c r="N128" s="390" t="str">
        <f t="shared" si="75"/>
        <v>n/a</v>
      </c>
      <c r="O128" s="391">
        <f t="shared" si="76"/>
        <v>0</v>
      </c>
      <c r="P128">
        <f t="shared" si="99"/>
        <v>1</v>
      </c>
      <c r="Q128" s="390">
        <f>IF(P128&gt;0,1+COUNTIF(Q$123:Q127,"&gt;0"),0)</f>
        <v>6</v>
      </c>
      <c r="R128" s="390" t="str">
        <f t="shared" si="100"/>
        <v/>
      </c>
      <c r="S128" s="390" t="str">
        <f t="shared" si="77"/>
        <v>n/a</v>
      </c>
      <c r="T128" s="391">
        <f t="shared" si="78"/>
        <v>0</v>
      </c>
      <c r="U128">
        <f t="shared" si="101"/>
        <v>1</v>
      </c>
      <c r="V128" s="390">
        <f>IF(U128&gt;0,1+COUNTIF(V$123:V127,"&gt;0"),0)</f>
        <v>6</v>
      </c>
      <c r="W128" s="390" t="str">
        <f t="shared" si="102"/>
        <v/>
      </c>
      <c r="X128" s="390" t="str">
        <f t="shared" si="79"/>
        <v>n/a</v>
      </c>
      <c r="Y128" s="391">
        <f t="shared" si="80"/>
        <v>0</v>
      </c>
      <c r="Z128">
        <f t="shared" si="103"/>
        <v>1</v>
      </c>
      <c r="AA128" s="390">
        <f>IF(Z128&gt;0,1+COUNTIF(AA$123:AA127,"&gt;0"),0)</f>
        <v>6</v>
      </c>
      <c r="AB128" s="390" t="str">
        <f t="shared" si="104"/>
        <v/>
      </c>
      <c r="AC128" s="390" t="str">
        <f t="shared" si="81"/>
        <v>n/a</v>
      </c>
      <c r="AD128" s="391">
        <f t="shared" si="82"/>
        <v>0</v>
      </c>
      <c r="AE128">
        <f t="shared" si="105"/>
        <v>1</v>
      </c>
      <c r="AF128" s="390">
        <f>IF(AE128&gt;0,1+COUNTIF(AF$123:AF127,"&gt;0"),0)</f>
        <v>6</v>
      </c>
      <c r="AG128" s="390" t="str">
        <f t="shared" si="106"/>
        <v/>
      </c>
      <c r="AH128" s="390" t="str">
        <f t="shared" si="83"/>
        <v>n/a</v>
      </c>
      <c r="AI128" s="391">
        <f t="shared" si="84"/>
        <v>0</v>
      </c>
      <c r="AJ128">
        <f t="shared" si="107"/>
        <v>1</v>
      </c>
      <c r="AK128" s="390">
        <f>IF(AJ128&gt;0,1+COUNTIF(AK$123:AK127,"&gt;0"),0)</f>
        <v>6</v>
      </c>
      <c r="AL128" s="390" t="str">
        <f t="shared" si="108"/>
        <v/>
      </c>
      <c r="AM128" s="390" t="str">
        <f t="shared" si="85"/>
        <v>n/a</v>
      </c>
      <c r="AN128" s="391">
        <f t="shared" si="86"/>
        <v>0</v>
      </c>
      <c r="AO128">
        <f t="shared" si="109"/>
        <v>1</v>
      </c>
      <c r="AP128" s="390">
        <f>IF(AO128&gt;0,1+COUNTIF(AP$123:AP127,"&gt;0"),0)</f>
        <v>6</v>
      </c>
      <c r="AQ128" s="390" t="str">
        <f t="shared" si="110"/>
        <v/>
      </c>
      <c r="AR128" s="390" t="str">
        <f t="shared" si="87"/>
        <v>n/a</v>
      </c>
      <c r="AS128" s="391">
        <f t="shared" si="88"/>
        <v>0</v>
      </c>
      <c r="AT128">
        <f t="shared" si="111"/>
        <v>1</v>
      </c>
      <c r="AU128" s="390">
        <f>IF(AT128&gt;0,1+COUNTIF(AU$123:AU127,"&gt;0"),0)</f>
        <v>6</v>
      </c>
      <c r="AV128" s="390" t="str">
        <f t="shared" si="112"/>
        <v/>
      </c>
      <c r="AW128" s="390" t="str">
        <f t="shared" si="89"/>
        <v>n/a</v>
      </c>
      <c r="AX128" s="391">
        <f t="shared" si="90"/>
        <v>0</v>
      </c>
      <c r="AY128">
        <f t="shared" si="113"/>
        <v>1</v>
      </c>
      <c r="AZ128" s="390">
        <f>IF(AY128&gt;0,1+COUNTIF(AZ$123:AZ127,"&gt;0"),0)</f>
        <v>6</v>
      </c>
      <c r="BA128" s="390" t="str">
        <f t="shared" si="114"/>
        <v/>
      </c>
      <c r="BB128" s="390" t="str">
        <f t="shared" si="91"/>
        <v>n/a</v>
      </c>
      <c r="BC128" s="391">
        <f t="shared" si="92"/>
        <v>0</v>
      </c>
      <c r="BD128">
        <f t="shared" si="115"/>
        <v>1</v>
      </c>
      <c r="BE128" s="390">
        <f>IF(BD128&gt;0,1+COUNTIF(BE$123:BE127,"&gt;0"),0)</f>
        <v>6</v>
      </c>
      <c r="BF128" s="390" t="str">
        <f t="shared" si="116"/>
        <v/>
      </c>
      <c r="BG128" s="390" t="str">
        <f t="shared" si="93"/>
        <v>n/a</v>
      </c>
      <c r="BH128" s="391">
        <f t="shared" si="94"/>
        <v>0</v>
      </c>
      <c r="BI128">
        <f t="shared" si="117"/>
        <v>1</v>
      </c>
      <c r="BJ128" s="390">
        <f>IF(BI128&gt;0,1+COUNTIF(BJ$123:BJ127,"&gt;0"),0)</f>
        <v>6</v>
      </c>
      <c r="BK128" s="390" t="str">
        <f t="shared" si="118"/>
        <v/>
      </c>
      <c r="BL128" s="390" t="str">
        <f t="shared" si="95"/>
        <v>n/a</v>
      </c>
      <c r="BM128" s="391">
        <f t="shared" si="96"/>
        <v>0</v>
      </c>
    </row>
    <row r="129" spans="1:65" ht="16.5" x14ac:dyDescent="0.3">
      <c r="A129" s="155">
        <f>IFERROR(IF(A128+1&lt;MAX(D041_ClassFeatures!$A$2:$A$2033),A128+1,""),"")</f>
        <v>126</v>
      </c>
      <c r="B129" s="153" t="str">
        <f>IFERROR(INDEX(D041_ClassFeatures!$B$2:$B$2033,MATCH(C_Variables!A129,D041_ClassFeatures!$A$2:$A$2033,0),1),"")</f>
        <v>Sacred Oath</v>
      </c>
      <c r="C129" s="153">
        <f>IF(B129="",0,IF(IFERROR(MATCH(B129,C_Input!$BC$160:$BC$239,0),0)&gt;0,1,0))</f>
        <v>0</v>
      </c>
      <c r="D129" s="153"/>
      <c r="E129" s="153"/>
      <c r="F129" s="153"/>
      <c r="G129" s="153"/>
      <c r="H129" s="153" t="s">
        <v>4447</v>
      </c>
      <c r="I129" s="153">
        <v>1</v>
      </c>
      <c r="J129" s="391">
        <f t="shared" si="74"/>
        <v>0</v>
      </c>
      <c r="K129" s="390">
        <f t="shared" si="97"/>
        <v>1</v>
      </c>
      <c r="L129" s="390">
        <f>IF(K129&gt;0,1+COUNTIF(L$123:L128,"&gt;0"),0)</f>
        <v>7</v>
      </c>
      <c r="M129" s="390" t="str">
        <f t="shared" si="98"/>
        <v/>
      </c>
      <c r="N129" s="390" t="str">
        <f t="shared" si="75"/>
        <v>n/a</v>
      </c>
      <c r="O129" s="391">
        <f t="shared" si="76"/>
        <v>0</v>
      </c>
      <c r="P129">
        <f t="shared" si="99"/>
        <v>1</v>
      </c>
      <c r="Q129" s="390">
        <f>IF(P129&gt;0,1+COUNTIF(Q$123:Q128,"&gt;0"),0)</f>
        <v>7</v>
      </c>
      <c r="R129" s="390" t="str">
        <f t="shared" si="100"/>
        <v/>
      </c>
      <c r="S129" s="390" t="str">
        <f t="shared" si="77"/>
        <v>n/a</v>
      </c>
      <c r="T129" s="391">
        <f t="shared" si="78"/>
        <v>0</v>
      </c>
      <c r="U129">
        <f t="shared" si="101"/>
        <v>1</v>
      </c>
      <c r="V129" s="390">
        <f>IF(U129&gt;0,1+COUNTIF(V$123:V128,"&gt;0"),0)</f>
        <v>7</v>
      </c>
      <c r="W129" s="390" t="str">
        <f t="shared" si="102"/>
        <v/>
      </c>
      <c r="X129" s="390" t="str">
        <f t="shared" si="79"/>
        <v>n/a</v>
      </c>
      <c r="Y129" s="391">
        <f t="shared" si="80"/>
        <v>0</v>
      </c>
      <c r="Z129">
        <f t="shared" si="103"/>
        <v>1</v>
      </c>
      <c r="AA129" s="390">
        <f>IF(Z129&gt;0,1+COUNTIF(AA$123:AA128,"&gt;0"),0)</f>
        <v>7</v>
      </c>
      <c r="AB129" s="390" t="str">
        <f t="shared" si="104"/>
        <v/>
      </c>
      <c r="AC129" s="390" t="str">
        <f t="shared" si="81"/>
        <v>n/a</v>
      </c>
      <c r="AD129" s="391">
        <f t="shared" si="82"/>
        <v>0</v>
      </c>
      <c r="AE129">
        <f t="shared" si="105"/>
        <v>1</v>
      </c>
      <c r="AF129" s="390">
        <f>IF(AE129&gt;0,1+COUNTIF(AF$123:AF128,"&gt;0"),0)</f>
        <v>7</v>
      </c>
      <c r="AG129" s="390" t="str">
        <f t="shared" si="106"/>
        <v/>
      </c>
      <c r="AH129" s="390" t="str">
        <f t="shared" si="83"/>
        <v>n/a</v>
      </c>
      <c r="AI129" s="391">
        <f t="shared" si="84"/>
        <v>0</v>
      </c>
      <c r="AJ129">
        <f t="shared" si="107"/>
        <v>1</v>
      </c>
      <c r="AK129" s="390">
        <f>IF(AJ129&gt;0,1+COUNTIF(AK$123:AK128,"&gt;0"),0)</f>
        <v>7</v>
      </c>
      <c r="AL129" s="390" t="str">
        <f t="shared" si="108"/>
        <v/>
      </c>
      <c r="AM129" s="390" t="str">
        <f t="shared" si="85"/>
        <v>n/a</v>
      </c>
      <c r="AN129" s="391">
        <f t="shared" si="86"/>
        <v>0</v>
      </c>
      <c r="AO129">
        <f t="shared" si="109"/>
        <v>1</v>
      </c>
      <c r="AP129" s="390">
        <f>IF(AO129&gt;0,1+COUNTIF(AP$123:AP128,"&gt;0"),0)</f>
        <v>7</v>
      </c>
      <c r="AQ129" s="390" t="str">
        <f t="shared" si="110"/>
        <v/>
      </c>
      <c r="AR129" s="390" t="str">
        <f t="shared" si="87"/>
        <v>n/a</v>
      </c>
      <c r="AS129" s="391">
        <f t="shared" si="88"/>
        <v>0</v>
      </c>
      <c r="AT129">
        <f t="shared" si="111"/>
        <v>1</v>
      </c>
      <c r="AU129" s="390">
        <f>IF(AT129&gt;0,1+COUNTIF(AU$123:AU128,"&gt;0"),0)</f>
        <v>7</v>
      </c>
      <c r="AV129" s="390" t="str">
        <f t="shared" si="112"/>
        <v/>
      </c>
      <c r="AW129" s="390" t="str">
        <f t="shared" si="89"/>
        <v>n/a</v>
      </c>
      <c r="AX129" s="391">
        <f t="shared" si="90"/>
        <v>0</v>
      </c>
      <c r="AY129">
        <f t="shared" si="113"/>
        <v>1</v>
      </c>
      <c r="AZ129" s="390">
        <f>IF(AY129&gt;0,1+COUNTIF(AZ$123:AZ128,"&gt;0"),0)</f>
        <v>7</v>
      </c>
      <c r="BA129" s="390" t="str">
        <f t="shared" si="114"/>
        <v/>
      </c>
      <c r="BB129" s="390" t="str">
        <f t="shared" si="91"/>
        <v>n/a</v>
      </c>
      <c r="BC129" s="391">
        <f t="shared" si="92"/>
        <v>0</v>
      </c>
      <c r="BD129">
        <f t="shared" si="115"/>
        <v>1</v>
      </c>
      <c r="BE129" s="390">
        <f>IF(BD129&gt;0,1+COUNTIF(BE$123:BE128,"&gt;0"),0)</f>
        <v>7</v>
      </c>
      <c r="BF129" s="390" t="str">
        <f t="shared" si="116"/>
        <v/>
      </c>
      <c r="BG129" s="390" t="str">
        <f t="shared" si="93"/>
        <v>n/a</v>
      </c>
      <c r="BH129" s="391">
        <f t="shared" si="94"/>
        <v>0</v>
      </c>
      <c r="BI129">
        <f t="shared" si="117"/>
        <v>1</v>
      </c>
      <c r="BJ129" s="390">
        <f>IF(BI129&gt;0,1+COUNTIF(BJ$123:BJ128,"&gt;0"),0)</f>
        <v>7</v>
      </c>
      <c r="BK129" s="390" t="str">
        <f t="shared" si="118"/>
        <v/>
      </c>
      <c r="BL129" s="390" t="str">
        <f t="shared" si="95"/>
        <v>n/a</v>
      </c>
      <c r="BM129" s="391">
        <f t="shared" si="96"/>
        <v>0</v>
      </c>
    </row>
    <row r="130" spans="1:65" ht="16.5" x14ac:dyDescent="0.3">
      <c r="A130" s="155">
        <f>IFERROR(IF(A129+1&lt;MAX(D041_ClassFeatures!$A$2:$A$2033),A129+1,""),"")</f>
        <v>127</v>
      </c>
      <c r="B130" s="153" t="str">
        <f>IFERROR(INDEX(D041_ClassFeatures!$B$2:$B$2033,MATCH(C_Variables!A130,D041_ClassFeatures!$A$2:$A$2033,0),1),"")</f>
        <v>Sacred Oath Feature3-1</v>
      </c>
      <c r="C130" s="153">
        <f>IF(B130="",0,IF(IFERROR(MATCH(B130,C_Input!$BC$160:$BC$239,0),0)&gt;0,1,0))</f>
        <v>0</v>
      </c>
      <c r="D130" s="153"/>
      <c r="E130" s="153"/>
      <c r="F130" s="153"/>
      <c r="G130" s="153"/>
      <c r="H130" s="153" t="s">
        <v>4448</v>
      </c>
      <c r="I130" s="153">
        <v>1</v>
      </c>
      <c r="J130" s="391">
        <f t="shared" si="74"/>
        <v>0</v>
      </c>
      <c r="K130" s="390">
        <f t="shared" si="97"/>
        <v>1</v>
      </c>
      <c r="L130" s="390">
        <f>IF(K130&gt;0,1+COUNTIF(L$123:L129,"&gt;0"),0)</f>
        <v>8</v>
      </c>
      <c r="M130" s="390" t="str">
        <f t="shared" si="98"/>
        <v/>
      </c>
      <c r="N130" s="390" t="str">
        <f t="shared" si="75"/>
        <v>n/a</v>
      </c>
      <c r="O130" s="391">
        <f t="shared" si="76"/>
        <v>0</v>
      </c>
      <c r="P130">
        <f t="shared" si="99"/>
        <v>1</v>
      </c>
      <c r="Q130" s="390">
        <f>IF(P130&gt;0,1+COUNTIF(Q$123:Q129,"&gt;0"),0)</f>
        <v>8</v>
      </c>
      <c r="R130" s="390" t="str">
        <f t="shared" si="100"/>
        <v/>
      </c>
      <c r="S130" s="390" t="str">
        <f t="shared" si="77"/>
        <v>n/a</v>
      </c>
      <c r="T130" s="391">
        <f t="shared" si="78"/>
        <v>0</v>
      </c>
      <c r="U130">
        <f t="shared" si="101"/>
        <v>1</v>
      </c>
      <c r="V130" s="390">
        <f>IF(U130&gt;0,1+COUNTIF(V$123:V129,"&gt;0"),0)</f>
        <v>8</v>
      </c>
      <c r="W130" s="390" t="str">
        <f t="shared" si="102"/>
        <v/>
      </c>
      <c r="X130" s="390" t="str">
        <f t="shared" si="79"/>
        <v>n/a</v>
      </c>
      <c r="Y130" s="391">
        <f t="shared" si="80"/>
        <v>0</v>
      </c>
      <c r="Z130">
        <f t="shared" si="103"/>
        <v>1</v>
      </c>
      <c r="AA130" s="390">
        <f>IF(Z130&gt;0,1+COUNTIF(AA$123:AA129,"&gt;0"),0)</f>
        <v>8</v>
      </c>
      <c r="AB130" s="390" t="str">
        <f t="shared" si="104"/>
        <v/>
      </c>
      <c r="AC130" s="390" t="str">
        <f t="shared" si="81"/>
        <v>n/a</v>
      </c>
      <c r="AD130" s="391">
        <f t="shared" si="82"/>
        <v>0</v>
      </c>
      <c r="AE130">
        <f t="shared" si="105"/>
        <v>1</v>
      </c>
      <c r="AF130" s="390">
        <f>IF(AE130&gt;0,1+COUNTIF(AF$123:AF129,"&gt;0"),0)</f>
        <v>8</v>
      </c>
      <c r="AG130" s="390" t="str">
        <f t="shared" si="106"/>
        <v/>
      </c>
      <c r="AH130" s="390" t="str">
        <f t="shared" si="83"/>
        <v>n/a</v>
      </c>
      <c r="AI130" s="391">
        <f t="shared" si="84"/>
        <v>0</v>
      </c>
      <c r="AJ130">
        <f t="shared" si="107"/>
        <v>1</v>
      </c>
      <c r="AK130" s="390">
        <f>IF(AJ130&gt;0,1+COUNTIF(AK$123:AK129,"&gt;0"),0)</f>
        <v>8</v>
      </c>
      <c r="AL130" s="390" t="str">
        <f t="shared" si="108"/>
        <v/>
      </c>
      <c r="AM130" s="390" t="str">
        <f t="shared" si="85"/>
        <v>n/a</v>
      </c>
      <c r="AN130" s="391">
        <f t="shared" si="86"/>
        <v>0</v>
      </c>
      <c r="AO130">
        <f t="shared" si="109"/>
        <v>1</v>
      </c>
      <c r="AP130" s="390">
        <f>IF(AO130&gt;0,1+COUNTIF(AP$123:AP129,"&gt;0"),0)</f>
        <v>8</v>
      </c>
      <c r="AQ130" s="390" t="str">
        <f t="shared" si="110"/>
        <v/>
      </c>
      <c r="AR130" s="390" t="str">
        <f t="shared" si="87"/>
        <v>n/a</v>
      </c>
      <c r="AS130" s="391">
        <f t="shared" si="88"/>
        <v>0</v>
      </c>
      <c r="AT130">
        <f t="shared" si="111"/>
        <v>1</v>
      </c>
      <c r="AU130" s="390">
        <f>IF(AT130&gt;0,1+COUNTIF(AU$123:AU129,"&gt;0"),0)</f>
        <v>8</v>
      </c>
      <c r="AV130" s="390" t="str">
        <f t="shared" si="112"/>
        <v/>
      </c>
      <c r="AW130" s="390" t="str">
        <f t="shared" si="89"/>
        <v>n/a</v>
      </c>
      <c r="AX130" s="391">
        <f t="shared" si="90"/>
        <v>0</v>
      </c>
      <c r="AY130">
        <f t="shared" si="113"/>
        <v>1</v>
      </c>
      <c r="AZ130" s="390">
        <f>IF(AY130&gt;0,1+COUNTIF(AZ$123:AZ129,"&gt;0"),0)</f>
        <v>8</v>
      </c>
      <c r="BA130" s="390" t="str">
        <f t="shared" si="114"/>
        <v/>
      </c>
      <c r="BB130" s="390" t="str">
        <f t="shared" si="91"/>
        <v>n/a</v>
      </c>
      <c r="BC130" s="391">
        <f t="shared" si="92"/>
        <v>0</v>
      </c>
      <c r="BD130">
        <f t="shared" si="115"/>
        <v>1</v>
      </c>
      <c r="BE130" s="390">
        <f>IF(BD130&gt;0,1+COUNTIF(BE$123:BE129,"&gt;0"),0)</f>
        <v>8</v>
      </c>
      <c r="BF130" s="390" t="str">
        <f t="shared" si="116"/>
        <v/>
      </c>
      <c r="BG130" s="390" t="str">
        <f t="shared" si="93"/>
        <v>n/a</v>
      </c>
      <c r="BH130" s="391">
        <f t="shared" si="94"/>
        <v>0</v>
      </c>
      <c r="BI130">
        <f t="shared" si="117"/>
        <v>1</v>
      </c>
      <c r="BJ130" s="390">
        <f>IF(BI130&gt;0,1+COUNTIF(BJ$123:BJ129,"&gt;0"),0)</f>
        <v>8</v>
      </c>
      <c r="BK130" s="390" t="str">
        <f t="shared" si="118"/>
        <v/>
      </c>
      <c r="BL130" s="390" t="str">
        <f t="shared" si="95"/>
        <v>n/a</v>
      </c>
      <c r="BM130" s="391">
        <f t="shared" si="96"/>
        <v>0</v>
      </c>
    </row>
    <row r="131" spans="1:65" ht="16.5" x14ac:dyDescent="0.3">
      <c r="A131" s="155">
        <f>IFERROR(IF(A130+1&lt;MAX(D041_ClassFeatures!$A$2:$A$2033),A130+1,""),"")</f>
        <v>128</v>
      </c>
      <c r="B131" s="153" t="str">
        <f>IFERROR(INDEX(D041_ClassFeatures!$B$2:$B$2033,MATCH(C_Variables!A131,D041_ClassFeatures!$A$2:$A$2033,0),1),"")</f>
        <v>Sacred Oath Feature3-2</v>
      </c>
      <c r="C131" s="153">
        <f>IF(B131="",0,IF(IFERROR(MATCH(B131,C_Input!$BC$160:$BC$239,0),0)&gt;0,1,0))</f>
        <v>0</v>
      </c>
      <c r="D131" s="153"/>
      <c r="E131" s="153"/>
      <c r="F131" s="153"/>
      <c r="G131" s="153"/>
      <c r="H131" s="153" t="s">
        <v>4449</v>
      </c>
      <c r="I131" s="153">
        <v>1</v>
      </c>
      <c r="J131" s="391">
        <f t="shared" si="74"/>
        <v>0</v>
      </c>
      <c r="K131" s="390">
        <f t="shared" si="97"/>
        <v>1</v>
      </c>
      <c r="L131" s="390">
        <f>IF(K131&gt;0,1+COUNTIF(L$123:L130,"&gt;0"),0)</f>
        <v>9</v>
      </c>
      <c r="M131" s="390" t="str">
        <f t="shared" si="98"/>
        <v/>
      </c>
      <c r="N131" s="390" t="str">
        <f t="shared" si="75"/>
        <v>n/a</v>
      </c>
      <c r="O131" s="391">
        <f t="shared" si="76"/>
        <v>0</v>
      </c>
      <c r="P131">
        <f t="shared" si="99"/>
        <v>1</v>
      </c>
      <c r="Q131" s="390">
        <f>IF(P131&gt;0,1+COUNTIF(Q$123:Q130,"&gt;0"),0)</f>
        <v>9</v>
      </c>
      <c r="R131" s="390" t="str">
        <f t="shared" si="100"/>
        <v/>
      </c>
      <c r="S131" s="390" t="str">
        <f t="shared" si="77"/>
        <v>n/a</v>
      </c>
      <c r="T131" s="391">
        <f t="shared" si="78"/>
        <v>0</v>
      </c>
      <c r="U131">
        <f t="shared" si="101"/>
        <v>1</v>
      </c>
      <c r="V131" s="390">
        <f>IF(U131&gt;0,1+COUNTIF(V$123:V130,"&gt;0"),0)</f>
        <v>9</v>
      </c>
      <c r="W131" s="390" t="str">
        <f t="shared" si="102"/>
        <v/>
      </c>
      <c r="X131" s="390" t="str">
        <f t="shared" si="79"/>
        <v>n/a</v>
      </c>
      <c r="Y131" s="391">
        <f t="shared" si="80"/>
        <v>0</v>
      </c>
      <c r="Z131">
        <f t="shared" si="103"/>
        <v>1</v>
      </c>
      <c r="AA131" s="390">
        <f>IF(Z131&gt;0,1+COUNTIF(AA$123:AA130,"&gt;0"),0)</f>
        <v>9</v>
      </c>
      <c r="AB131" s="390" t="str">
        <f t="shared" si="104"/>
        <v/>
      </c>
      <c r="AC131" s="390" t="str">
        <f t="shared" si="81"/>
        <v>n/a</v>
      </c>
      <c r="AD131" s="391">
        <f t="shared" si="82"/>
        <v>0</v>
      </c>
      <c r="AE131">
        <f t="shared" si="105"/>
        <v>1</v>
      </c>
      <c r="AF131" s="390">
        <f>IF(AE131&gt;0,1+COUNTIF(AF$123:AF130,"&gt;0"),0)</f>
        <v>9</v>
      </c>
      <c r="AG131" s="390" t="str">
        <f t="shared" si="106"/>
        <v/>
      </c>
      <c r="AH131" s="390" t="str">
        <f t="shared" si="83"/>
        <v>n/a</v>
      </c>
      <c r="AI131" s="391">
        <f t="shared" si="84"/>
        <v>0</v>
      </c>
      <c r="AJ131">
        <f t="shared" si="107"/>
        <v>1</v>
      </c>
      <c r="AK131" s="390">
        <f>IF(AJ131&gt;0,1+COUNTIF(AK$123:AK130,"&gt;0"),0)</f>
        <v>9</v>
      </c>
      <c r="AL131" s="390" t="str">
        <f t="shared" si="108"/>
        <v/>
      </c>
      <c r="AM131" s="390" t="str">
        <f t="shared" si="85"/>
        <v>n/a</v>
      </c>
      <c r="AN131" s="391">
        <f t="shared" si="86"/>
        <v>0</v>
      </c>
      <c r="AO131">
        <f t="shared" si="109"/>
        <v>1</v>
      </c>
      <c r="AP131" s="390">
        <f>IF(AO131&gt;0,1+COUNTIF(AP$123:AP130,"&gt;0"),0)</f>
        <v>9</v>
      </c>
      <c r="AQ131" s="390" t="str">
        <f t="shared" si="110"/>
        <v/>
      </c>
      <c r="AR131" s="390" t="str">
        <f t="shared" si="87"/>
        <v>n/a</v>
      </c>
      <c r="AS131" s="391">
        <f t="shared" si="88"/>
        <v>0</v>
      </c>
      <c r="AT131">
        <f t="shared" si="111"/>
        <v>1</v>
      </c>
      <c r="AU131" s="390">
        <f>IF(AT131&gt;0,1+COUNTIF(AU$123:AU130,"&gt;0"),0)</f>
        <v>9</v>
      </c>
      <c r="AV131" s="390" t="str">
        <f t="shared" si="112"/>
        <v/>
      </c>
      <c r="AW131" s="390" t="str">
        <f t="shared" si="89"/>
        <v>n/a</v>
      </c>
      <c r="AX131" s="391">
        <f t="shared" si="90"/>
        <v>0</v>
      </c>
      <c r="AY131">
        <f t="shared" si="113"/>
        <v>1</v>
      </c>
      <c r="AZ131" s="390">
        <f>IF(AY131&gt;0,1+COUNTIF(AZ$123:AZ130,"&gt;0"),0)</f>
        <v>9</v>
      </c>
      <c r="BA131" s="390" t="str">
        <f t="shared" si="114"/>
        <v/>
      </c>
      <c r="BB131" s="390" t="str">
        <f t="shared" si="91"/>
        <v>n/a</v>
      </c>
      <c r="BC131" s="391">
        <f t="shared" si="92"/>
        <v>0</v>
      </c>
      <c r="BD131">
        <f t="shared" si="115"/>
        <v>1</v>
      </c>
      <c r="BE131" s="390">
        <f>IF(BD131&gt;0,1+COUNTIF(BE$123:BE130,"&gt;0"),0)</f>
        <v>9</v>
      </c>
      <c r="BF131" s="390" t="str">
        <f t="shared" si="116"/>
        <v/>
      </c>
      <c r="BG131" s="390" t="str">
        <f t="shared" si="93"/>
        <v>n/a</v>
      </c>
      <c r="BH131" s="391">
        <f t="shared" si="94"/>
        <v>0</v>
      </c>
      <c r="BI131">
        <f t="shared" si="117"/>
        <v>1</v>
      </c>
      <c r="BJ131" s="390">
        <f>IF(BI131&gt;0,1+COUNTIF(BJ$123:BJ130,"&gt;0"),0)</f>
        <v>9</v>
      </c>
      <c r="BK131" s="390" t="str">
        <f t="shared" si="118"/>
        <v/>
      </c>
      <c r="BL131" s="390" t="str">
        <f t="shared" si="95"/>
        <v>n/a</v>
      </c>
      <c r="BM131" s="391">
        <f t="shared" si="96"/>
        <v>0</v>
      </c>
    </row>
    <row r="132" spans="1:65" ht="16.5" x14ac:dyDescent="0.3">
      <c r="A132" s="155">
        <f>IFERROR(IF(A131+1&lt;MAX(D041_ClassFeatures!$A$2:$A$2033),A131+1,""),"")</f>
        <v>129</v>
      </c>
      <c r="B132" s="153" t="str">
        <f>IFERROR(INDEX(D041_ClassFeatures!$B$2:$B$2033,MATCH(C_Variables!A132,D041_ClassFeatures!$A$2:$A$2033,0),1),"")</f>
        <v>Sacred Oath Feature7</v>
      </c>
      <c r="C132" s="153">
        <f>IF(B132="",0,IF(IFERROR(MATCH(B132,C_Input!$BC$160:$BC$239,0),0)&gt;0,1,0))</f>
        <v>0</v>
      </c>
      <c r="D132" s="153"/>
      <c r="E132" s="153"/>
      <c r="F132" s="153"/>
      <c r="G132" s="153"/>
      <c r="H132" s="153" t="s">
        <v>4450</v>
      </c>
      <c r="I132" s="153">
        <v>1</v>
      </c>
      <c r="J132" s="391">
        <f t="shared" si="74"/>
        <v>0</v>
      </c>
      <c r="K132" s="390">
        <f t="shared" si="97"/>
        <v>1</v>
      </c>
      <c r="L132" s="390">
        <f>IF(K132&gt;0,1+COUNTIF(L$123:L131,"&gt;0"),0)</f>
        <v>10</v>
      </c>
      <c r="M132" s="390" t="str">
        <f t="shared" si="98"/>
        <v/>
      </c>
      <c r="N132" s="390" t="str">
        <f t="shared" si="75"/>
        <v>n/a</v>
      </c>
      <c r="O132" s="391">
        <f t="shared" si="76"/>
        <v>0</v>
      </c>
      <c r="P132">
        <f t="shared" si="99"/>
        <v>1</v>
      </c>
      <c r="Q132" s="390">
        <f>IF(P132&gt;0,1+COUNTIF(Q$123:Q131,"&gt;0"),0)</f>
        <v>10</v>
      </c>
      <c r="R132" s="390" t="str">
        <f t="shared" si="100"/>
        <v/>
      </c>
      <c r="S132" s="390" t="str">
        <f t="shared" si="77"/>
        <v>n/a</v>
      </c>
      <c r="T132" s="391">
        <f t="shared" si="78"/>
        <v>0</v>
      </c>
      <c r="U132">
        <f t="shared" si="101"/>
        <v>1</v>
      </c>
      <c r="V132" s="390">
        <f>IF(U132&gt;0,1+COUNTIF(V$123:V131,"&gt;0"),0)</f>
        <v>10</v>
      </c>
      <c r="W132" s="390" t="str">
        <f t="shared" si="102"/>
        <v/>
      </c>
      <c r="X132" s="390" t="str">
        <f t="shared" si="79"/>
        <v>n/a</v>
      </c>
      <c r="Y132" s="391">
        <f t="shared" si="80"/>
        <v>0</v>
      </c>
      <c r="Z132">
        <f t="shared" si="103"/>
        <v>1</v>
      </c>
      <c r="AA132" s="390">
        <f>IF(Z132&gt;0,1+COUNTIF(AA$123:AA131,"&gt;0"),0)</f>
        <v>10</v>
      </c>
      <c r="AB132" s="390" t="str">
        <f t="shared" si="104"/>
        <v/>
      </c>
      <c r="AC132" s="390" t="str">
        <f t="shared" si="81"/>
        <v>n/a</v>
      </c>
      <c r="AD132" s="391">
        <f t="shared" si="82"/>
        <v>0</v>
      </c>
      <c r="AE132">
        <f t="shared" si="105"/>
        <v>1</v>
      </c>
      <c r="AF132" s="390">
        <f>IF(AE132&gt;0,1+COUNTIF(AF$123:AF131,"&gt;0"),0)</f>
        <v>10</v>
      </c>
      <c r="AG132" s="390" t="str">
        <f t="shared" si="106"/>
        <v/>
      </c>
      <c r="AH132" s="390" t="str">
        <f t="shared" si="83"/>
        <v>n/a</v>
      </c>
      <c r="AI132" s="391">
        <f t="shared" si="84"/>
        <v>0</v>
      </c>
      <c r="AJ132">
        <f t="shared" si="107"/>
        <v>1</v>
      </c>
      <c r="AK132" s="390">
        <f>IF(AJ132&gt;0,1+COUNTIF(AK$123:AK131,"&gt;0"),0)</f>
        <v>10</v>
      </c>
      <c r="AL132" s="390" t="str">
        <f t="shared" si="108"/>
        <v/>
      </c>
      <c r="AM132" s="390" t="str">
        <f t="shared" si="85"/>
        <v>n/a</v>
      </c>
      <c r="AN132" s="391">
        <f t="shared" si="86"/>
        <v>0</v>
      </c>
      <c r="AO132">
        <f t="shared" si="109"/>
        <v>1</v>
      </c>
      <c r="AP132" s="390">
        <f>IF(AO132&gt;0,1+COUNTIF(AP$123:AP131,"&gt;0"),0)</f>
        <v>10</v>
      </c>
      <c r="AQ132" s="390" t="str">
        <f t="shared" si="110"/>
        <v/>
      </c>
      <c r="AR132" s="390" t="str">
        <f t="shared" si="87"/>
        <v>n/a</v>
      </c>
      <c r="AS132" s="391">
        <f t="shared" si="88"/>
        <v>0</v>
      </c>
      <c r="AT132">
        <f t="shared" si="111"/>
        <v>1</v>
      </c>
      <c r="AU132" s="390">
        <f>IF(AT132&gt;0,1+COUNTIF(AU$123:AU131,"&gt;0"),0)</f>
        <v>10</v>
      </c>
      <c r="AV132" s="390" t="str">
        <f t="shared" si="112"/>
        <v/>
      </c>
      <c r="AW132" s="390" t="str">
        <f t="shared" si="89"/>
        <v>n/a</v>
      </c>
      <c r="AX132" s="391">
        <f t="shared" si="90"/>
        <v>0</v>
      </c>
      <c r="AY132">
        <f t="shared" si="113"/>
        <v>1</v>
      </c>
      <c r="AZ132" s="390">
        <f>IF(AY132&gt;0,1+COUNTIF(AZ$123:AZ131,"&gt;0"),0)</f>
        <v>10</v>
      </c>
      <c r="BA132" s="390" t="str">
        <f t="shared" si="114"/>
        <v/>
      </c>
      <c r="BB132" s="390" t="str">
        <f t="shared" si="91"/>
        <v>n/a</v>
      </c>
      <c r="BC132" s="391">
        <f t="shared" si="92"/>
        <v>0</v>
      </c>
      <c r="BD132">
        <f t="shared" si="115"/>
        <v>1</v>
      </c>
      <c r="BE132" s="390">
        <f>IF(BD132&gt;0,1+COUNTIF(BE$123:BE131,"&gt;0"),0)</f>
        <v>10</v>
      </c>
      <c r="BF132" s="390" t="str">
        <f t="shared" si="116"/>
        <v/>
      </c>
      <c r="BG132" s="390" t="str">
        <f t="shared" si="93"/>
        <v>n/a</v>
      </c>
      <c r="BH132" s="391">
        <f t="shared" si="94"/>
        <v>0</v>
      </c>
      <c r="BI132">
        <f t="shared" si="117"/>
        <v>1</v>
      </c>
      <c r="BJ132" s="390">
        <f>IF(BI132&gt;0,1+COUNTIF(BJ$123:BJ131,"&gt;0"),0)</f>
        <v>10</v>
      </c>
      <c r="BK132" s="390" t="str">
        <f t="shared" si="118"/>
        <v/>
      </c>
      <c r="BL132" s="390" t="str">
        <f t="shared" si="95"/>
        <v>n/a</v>
      </c>
      <c r="BM132" s="391">
        <f t="shared" si="96"/>
        <v>0</v>
      </c>
    </row>
    <row r="133" spans="1:65" ht="16.5" x14ac:dyDescent="0.3">
      <c r="A133" s="155">
        <f>IFERROR(IF(A132+1&lt;MAX(D041_ClassFeatures!$A$2:$A$2033),A132+1,""),"")</f>
        <v>130</v>
      </c>
      <c r="B133" s="153" t="str">
        <f>IFERROR(INDEX(D041_ClassFeatures!$B$2:$B$2033,MATCH(C_Variables!A133,D041_ClassFeatures!$A$2:$A$2033,0),1),"")</f>
        <v>Sacred Oath Feature15</v>
      </c>
      <c r="C133" s="153">
        <f>IF(B133="",0,IF(IFERROR(MATCH(B133,C_Input!$BC$160:$BC$239,0),0)&gt;0,1,0))</f>
        <v>0</v>
      </c>
      <c r="D133" s="153"/>
      <c r="E133" s="153"/>
      <c r="F133" s="153"/>
      <c r="G133" s="153"/>
      <c r="H133" s="153" t="s">
        <v>4451</v>
      </c>
      <c r="I133" s="153">
        <v>1</v>
      </c>
      <c r="J133" s="391">
        <f t="shared" si="74"/>
        <v>0</v>
      </c>
      <c r="K133" s="390">
        <f t="shared" si="97"/>
        <v>1</v>
      </c>
      <c r="L133" s="390">
        <f>IF(K133&gt;0,1+COUNTIF(L$123:L132,"&gt;0"),0)</f>
        <v>11</v>
      </c>
      <c r="M133" s="390" t="str">
        <f t="shared" si="98"/>
        <v/>
      </c>
      <c r="N133" s="390" t="str">
        <f t="shared" si="75"/>
        <v>n/a</v>
      </c>
      <c r="O133" s="391">
        <f t="shared" si="76"/>
        <v>0</v>
      </c>
      <c r="P133">
        <f t="shared" si="99"/>
        <v>1</v>
      </c>
      <c r="Q133" s="390">
        <f>IF(P133&gt;0,1+COUNTIF(Q$123:Q132,"&gt;0"),0)</f>
        <v>11</v>
      </c>
      <c r="R133" s="390" t="str">
        <f t="shared" si="100"/>
        <v/>
      </c>
      <c r="S133" s="390" t="str">
        <f t="shared" si="77"/>
        <v>n/a</v>
      </c>
      <c r="T133" s="391">
        <f t="shared" si="78"/>
        <v>0</v>
      </c>
      <c r="U133">
        <f t="shared" si="101"/>
        <v>1</v>
      </c>
      <c r="V133" s="390">
        <f>IF(U133&gt;0,1+COUNTIF(V$123:V132,"&gt;0"),0)</f>
        <v>11</v>
      </c>
      <c r="W133" s="390" t="str">
        <f t="shared" si="102"/>
        <v/>
      </c>
      <c r="X133" s="390" t="str">
        <f t="shared" si="79"/>
        <v>n/a</v>
      </c>
      <c r="Y133" s="391">
        <f t="shared" si="80"/>
        <v>0</v>
      </c>
      <c r="Z133">
        <f t="shared" si="103"/>
        <v>1</v>
      </c>
      <c r="AA133" s="390">
        <f>IF(Z133&gt;0,1+COUNTIF(AA$123:AA132,"&gt;0"),0)</f>
        <v>11</v>
      </c>
      <c r="AB133" s="390" t="str">
        <f t="shared" si="104"/>
        <v/>
      </c>
      <c r="AC133" s="390" t="str">
        <f t="shared" si="81"/>
        <v>n/a</v>
      </c>
      <c r="AD133" s="391">
        <f t="shared" si="82"/>
        <v>0</v>
      </c>
      <c r="AE133">
        <f t="shared" si="105"/>
        <v>1</v>
      </c>
      <c r="AF133" s="390">
        <f>IF(AE133&gt;0,1+COUNTIF(AF$123:AF132,"&gt;0"),0)</f>
        <v>11</v>
      </c>
      <c r="AG133" s="390" t="str">
        <f t="shared" si="106"/>
        <v/>
      </c>
      <c r="AH133" s="390" t="str">
        <f t="shared" si="83"/>
        <v>n/a</v>
      </c>
      <c r="AI133" s="391">
        <f t="shared" si="84"/>
        <v>0</v>
      </c>
      <c r="AJ133">
        <f t="shared" si="107"/>
        <v>1</v>
      </c>
      <c r="AK133" s="390">
        <f>IF(AJ133&gt;0,1+COUNTIF(AK$123:AK132,"&gt;0"),0)</f>
        <v>11</v>
      </c>
      <c r="AL133" s="390" t="str">
        <f t="shared" si="108"/>
        <v/>
      </c>
      <c r="AM133" s="390" t="str">
        <f t="shared" si="85"/>
        <v>n/a</v>
      </c>
      <c r="AN133" s="391">
        <f t="shared" si="86"/>
        <v>0</v>
      </c>
      <c r="AO133">
        <f t="shared" si="109"/>
        <v>1</v>
      </c>
      <c r="AP133" s="390">
        <f>IF(AO133&gt;0,1+COUNTIF(AP$123:AP132,"&gt;0"),0)</f>
        <v>11</v>
      </c>
      <c r="AQ133" s="390" t="str">
        <f t="shared" si="110"/>
        <v/>
      </c>
      <c r="AR133" s="390" t="str">
        <f t="shared" si="87"/>
        <v>n/a</v>
      </c>
      <c r="AS133" s="391">
        <f t="shared" si="88"/>
        <v>0</v>
      </c>
      <c r="AT133">
        <f t="shared" si="111"/>
        <v>1</v>
      </c>
      <c r="AU133" s="390">
        <f>IF(AT133&gt;0,1+COUNTIF(AU$123:AU132,"&gt;0"),0)</f>
        <v>11</v>
      </c>
      <c r="AV133" s="390" t="str">
        <f t="shared" si="112"/>
        <v/>
      </c>
      <c r="AW133" s="390" t="str">
        <f t="shared" si="89"/>
        <v>n/a</v>
      </c>
      <c r="AX133" s="391">
        <f t="shared" si="90"/>
        <v>0</v>
      </c>
      <c r="AY133">
        <f t="shared" si="113"/>
        <v>1</v>
      </c>
      <c r="AZ133" s="390">
        <f>IF(AY133&gt;0,1+COUNTIF(AZ$123:AZ132,"&gt;0"),0)</f>
        <v>11</v>
      </c>
      <c r="BA133" s="390" t="str">
        <f t="shared" si="114"/>
        <v/>
      </c>
      <c r="BB133" s="390" t="str">
        <f t="shared" si="91"/>
        <v>n/a</v>
      </c>
      <c r="BC133" s="391">
        <f t="shared" si="92"/>
        <v>0</v>
      </c>
      <c r="BD133">
        <f t="shared" si="115"/>
        <v>1</v>
      </c>
      <c r="BE133" s="390">
        <f>IF(BD133&gt;0,1+COUNTIF(BE$123:BE132,"&gt;0"),0)</f>
        <v>11</v>
      </c>
      <c r="BF133" s="390" t="str">
        <f t="shared" si="116"/>
        <v/>
      </c>
      <c r="BG133" s="390" t="str">
        <f t="shared" si="93"/>
        <v>n/a</v>
      </c>
      <c r="BH133" s="391">
        <f t="shared" si="94"/>
        <v>0</v>
      </c>
      <c r="BI133">
        <f t="shared" si="117"/>
        <v>1</v>
      </c>
      <c r="BJ133" s="390">
        <f>IF(BI133&gt;0,1+COUNTIF(BJ$123:BJ132,"&gt;0"),0)</f>
        <v>11</v>
      </c>
      <c r="BK133" s="390" t="str">
        <f t="shared" si="118"/>
        <v/>
      </c>
      <c r="BL133" s="390" t="str">
        <f t="shared" si="95"/>
        <v>n/a</v>
      </c>
      <c r="BM133" s="391">
        <f t="shared" si="96"/>
        <v>0</v>
      </c>
    </row>
    <row r="134" spans="1:65" ht="16.5" x14ac:dyDescent="0.3">
      <c r="A134" s="155">
        <f>IFERROR(IF(A133+1&lt;MAX(D041_ClassFeatures!$A$2:$A$2033),A133+1,""),"")</f>
        <v>131</v>
      </c>
      <c r="B134" s="153" t="str">
        <f>IFERROR(INDEX(D041_ClassFeatures!$B$2:$B$2033,MATCH(C_Variables!A134,D041_ClassFeatures!$A$2:$A$2033,0),1),"")</f>
        <v>Sacred Oath Feature20</v>
      </c>
      <c r="C134" s="153">
        <f>IF(B134="",0,IF(IFERROR(MATCH(B134,C_Input!$BC$160:$BC$239,0),0)&gt;0,1,0))</f>
        <v>0</v>
      </c>
      <c r="D134" s="153"/>
      <c r="E134" s="153"/>
      <c r="F134" s="153"/>
      <c r="G134" s="153"/>
      <c r="H134" s="153" t="s">
        <v>4452</v>
      </c>
      <c r="I134" s="153">
        <v>1</v>
      </c>
      <c r="J134" s="391">
        <f t="shared" si="74"/>
        <v>0</v>
      </c>
      <c r="K134" s="390">
        <f t="shared" si="97"/>
        <v>1</v>
      </c>
      <c r="L134" s="390">
        <f>IF(K134&gt;0,1+COUNTIF(L$123:L133,"&gt;0"),0)</f>
        <v>12</v>
      </c>
      <c r="M134" s="390" t="str">
        <f t="shared" si="98"/>
        <v/>
      </c>
      <c r="N134" s="390" t="str">
        <f t="shared" si="75"/>
        <v>n/a</v>
      </c>
      <c r="O134" s="391">
        <f t="shared" si="76"/>
        <v>0</v>
      </c>
      <c r="P134">
        <f t="shared" si="99"/>
        <v>1</v>
      </c>
      <c r="Q134" s="390">
        <f>IF(P134&gt;0,1+COUNTIF(Q$123:Q133,"&gt;0"),0)</f>
        <v>12</v>
      </c>
      <c r="R134" s="390" t="str">
        <f t="shared" si="100"/>
        <v/>
      </c>
      <c r="S134" s="390" t="str">
        <f t="shared" si="77"/>
        <v>n/a</v>
      </c>
      <c r="T134" s="391">
        <f t="shared" si="78"/>
        <v>0</v>
      </c>
      <c r="U134">
        <f t="shared" si="101"/>
        <v>1</v>
      </c>
      <c r="V134" s="390">
        <f>IF(U134&gt;0,1+COUNTIF(V$123:V133,"&gt;0"),0)</f>
        <v>12</v>
      </c>
      <c r="W134" s="390" t="str">
        <f t="shared" si="102"/>
        <v/>
      </c>
      <c r="X134" s="390" t="str">
        <f t="shared" si="79"/>
        <v>n/a</v>
      </c>
      <c r="Y134" s="391">
        <f t="shared" si="80"/>
        <v>0</v>
      </c>
      <c r="Z134">
        <f t="shared" si="103"/>
        <v>1</v>
      </c>
      <c r="AA134" s="390">
        <f>IF(Z134&gt;0,1+COUNTIF(AA$123:AA133,"&gt;0"),0)</f>
        <v>12</v>
      </c>
      <c r="AB134" s="390" t="str">
        <f t="shared" si="104"/>
        <v/>
      </c>
      <c r="AC134" s="390" t="str">
        <f t="shared" si="81"/>
        <v>n/a</v>
      </c>
      <c r="AD134" s="391">
        <f t="shared" si="82"/>
        <v>0</v>
      </c>
      <c r="AE134">
        <f t="shared" si="105"/>
        <v>1</v>
      </c>
      <c r="AF134" s="390">
        <f>IF(AE134&gt;0,1+COUNTIF(AF$123:AF133,"&gt;0"),0)</f>
        <v>12</v>
      </c>
      <c r="AG134" s="390" t="str">
        <f t="shared" si="106"/>
        <v/>
      </c>
      <c r="AH134" s="390" t="str">
        <f t="shared" si="83"/>
        <v>n/a</v>
      </c>
      <c r="AI134" s="391">
        <f t="shared" si="84"/>
        <v>0</v>
      </c>
      <c r="AJ134">
        <f t="shared" si="107"/>
        <v>1</v>
      </c>
      <c r="AK134" s="390">
        <f>IF(AJ134&gt;0,1+COUNTIF(AK$123:AK133,"&gt;0"),0)</f>
        <v>12</v>
      </c>
      <c r="AL134" s="390" t="str">
        <f t="shared" si="108"/>
        <v/>
      </c>
      <c r="AM134" s="390" t="str">
        <f t="shared" si="85"/>
        <v>n/a</v>
      </c>
      <c r="AN134" s="391">
        <f t="shared" si="86"/>
        <v>0</v>
      </c>
      <c r="AO134">
        <f t="shared" si="109"/>
        <v>1</v>
      </c>
      <c r="AP134" s="390">
        <f>IF(AO134&gt;0,1+COUNTIF(AP$123:AP133,"&gt;0"),0)</f>
        <v>12</v>
      </c>
      <c r="AQ134" s="390" t="str">
        <f t="shared" si="110"/>
        <v/>
      </c>
      <c r="AR134" s="390" t="str">
        <f t="shared" si="87"/>
        <v>n/a</v>
      </c>
      <c r="AS134" s="391">
        <f t="shared" si="88"/>
        <v>0</v>
      </c>
      <c r="AT134">
        <f t="shared" si="111"/>
        <v>1</v>
      </c>
      <c r="AU134" s="390">
        <f>IF(AT134&gt;0,1+COUNTIF(AU$123:AU133,"&gt;0"),0)</f>
        <v>12</v>
      </c>
      <c r="AV134" s="390" t="str">
        <f t="shared" si="112"/>
        <v/>
      </c>
      <c r="AW134" s="390" t="str">
        <f t="shared" si="89"/>
        <v>n/a</v>
      </c>
      <c r="AX134" s="391">
        <f t="shared" si="90"/>
        <v>0</v>
      </c>
      <c r="AY134">
        <f t="shared" si="113"/>
        <v>1</v>
      </c>
      <c r="AZ134" s="390">
        <f>IF(AY134&gt;0,1+COUNTIF(AZ$123:AZ133,"&gt;0"),0)</f>
        <v>12</v>
      </c>
      <c r="BA134" s="390" t="str">
        <f t="shared" si="114"/>
        <v/>
      </c>
      <c r="BB134" s="390" t="str">
        <f t="shared" si="91"/>
        <v>n/a</v>
      </c>
      <c r="BC134" s="391">
        <f t="shared" si="92"/>
        <v>0</v>
      </c>
      <c r="BD134">
        <f t="shared" si="115"/>
        <v>1</v>
      </c>
      <c r="BE134" s="390">
        <f>IF(BD134&gt;0,1+COUNTIF(BE$123:BE133,"&gt;0"),0)</f>
        <v>12</v>
      </c>
      <c r="BF134" s="390" t="str">
        <f t="shared" si="116"/>
        <v/>
      </c>
      <c r="BG134" s="390" t="str">
        <f t="shared" si="93"/>
        <v>n/a</v>
      </c>
      <c r="BH134" s="391">
        <f t="shared" si="94"/>
        <v>0</v>
      </c>
      <c r="BI134">
        <f t="shared" si="117"/>
        <v>1</v>
      </c>
      <c r="BJ134" s="390">
        <f>IF(BI134&gt;0,1+COUNTIF(BJ$123:BJ133,"&gt;0"),0)</f>
        <v>12</v>
      </c>
      <c r="BK134" s="390" t="str">
        <f t="shared" si="118"/>
        <v/>
      </c>
      <c r="BL134" s="390" t="str">
        <f t="shared" si="95"/>
        <v>n/a</v>
      </c>
      <c r="BM134" s="391">
        <f t="shared" si="96"/>
        <v>0</v>
      </c>
    </row>
    <row r="135" spans="1:65" ht="16.5" x14ac:dyDescent="0.3">
      <c r="A135" s="155">
        <f>IFERROR(IF(A134+1&lt;MAX(D041_ClassFeatures!$A$2:$A$2033),A134+1,""),"")</f>
        <v>132</v>
      </c>
      <c r="B135" s="153" t="str">
        <f>IFERROR(INDEX(D041_ClassFeatures!$B$2:$B$2033,MATCH(C_Variables!A135,D041_ClassFeatures!$A$2:$A$2033,0),1),"")</f>
        <v>Second Wind</v>
      </c>
      <c r="C135" s="153">
        <f>IF(B135="",0,IF(IFERROR(MATCH(B135,C_Input!$BC$160:$BC$239,0),0)&gt;0,1,0))</f>
        <v>0</v>
      </c>
      <c r="D135" s="153"/>
      <c r="E135" s="153"/>
      <c r="F135" s="153"/>
      <c r="G135" s="153"/>
      <c r="H135" s="153" t="s">
        <v>4453</v>
      </c>
      <c r="I135" s="153">
        <v>1</v>
      </c>
      <c r="J135" s="391">
        <f t="shared" si="74"/>
        <v>0</v>
      </c>
      <c r="K135" s="390">
        <f t="shared" si="97"/>
        <v>1</v>
      </c>
      <c r="L135" s="390">
        <f>IF(K135&gt;0,1+COUNTIF(L$123:L134,"&gt;0"),0)</f>
        <v>13</v>
      </c>
      <c r="M135" s="390" t="str">
        <f t="shared" si="98"/>
        <v/>
      </c>
      <c r="N135" s="390" t="str">
        <f t="shared" si="75"/>
        <v>n/a</v>
      </c>
      <c r="O135" s="391">
        <f t="shared" si="76"/>
        <v>0</v>
      </c>
      <c r="P135">
        <f t="shared" si="99"/>
        <v>1</v>
      </c>
      <c r="Q135" s="390">
        <f>IF(P135&gt;0,1+COUNTIF(Q$123:Q134,"&gt;0"),0)</f>
        <v>13</v>
      </c>
      <c r="R135" s="390" t="str">
        <f t="shared" si="100"/>
        <v/>
      </c>
      <c r="S135" s="390" t="str">
        <f t="shared" si="77"/>
        <v>n/a</v>
      </c>
      <c r="T135" s="391">
        <f t="shared" si="78"/>
        <v>0</v>
      </c>
      <c r="U135">
        <f t="shared" si="101"/>
        <v>1</v>
      </c>
      <c r="V135" s="390">
        <f>IF(U135&gt;0,1+COUNTIF(V$123:V134,"&gt;0"),0)</f>
        <v>13</v>
      </c>
      <c r="W135" s="390" t="str">
        <f t="shared" si="102"/>
        <v/>
      </c>
      <c r="X135" s="390" t="str">
        <f t="shared" si="79"/>
        <v>n/a</v>
      </c>
      <c r="Y135" s="391">
        <f t="shared" si="80"/>
        <v>0</v>
      </c>
      <c r="Z135">
        <f t="shared" si="103"/>
        <v>1</v>
      </c>
      <c r="AA135" s="390">
        <f>IF(Z135&gt;0,1+COUNTIF(AA$123:AA134,"&gt;0"),0)</f>
        <v>13</v>
      </c>
      <c r="AB135" s="390" t="str">
        <f t="shared" si="104"/>
        <v/>
      </c>
      <c r="AC135" s="390" t="str">
        <f t="shared" si="81"/>
        <v>n/a</v>
      </c>
      <c r="AD135" s="391">
        <f t="shared" si="82"/>
        <v>0</v>
      </c>
      <c r="AE135">
        <f t="shared" si="105"/>
        <v>1</v>
      </c>
      <c r="AF135" s="390">
        <f>IF(AE135&gt;0,1+COUNTIF(AF$123:AF134,"&gt;0"),0)</f>
        <v>13</v>
      </c>
      <c r="AG135" s="390" t="str">
        <f t="shared" si="106"/>
        <v/>
      </c>
      <c r="AH135" s="390" t="str">
        <f t="shared" si="83"/>
        <v>n/a</v>
      </c>
      <c r="AI135" s="391">
        <f t="shared" si="84"/>
        <v>0</v>
      </c>
      <c r="AJ135">
        <f t="shared" si="107"/>
        <v>1</v>
      </c>
      <c r="AK135" s="390">
        <f>IF(AJ135&gt;0,1+COUNTIF(AK$123:AK134,"&gt;0"),0)</f>
        <v>13</v>
      </c>
      <c r="AL135" s="390" t="str">
        <f t="shared" si="108"/>
        <v/>
      </c>
      <c r="AM135" s="390" t="str">
        <f t="shared" si="85"/>
        <v>n/a</v>
      </c>
      <c r="AN135" s="391">
        <f t="shared" si="86"/>
        <v>0</v>
      </c>
      <c r="AO135">
        <f t="shared" si="109"/>
        <v>1</v>
      </c>
      <c r="AP135" s="390">
        <f>IF(AO135&gt;0,1+COUNTIF(AP$123:AP134,"&gt;0"),0)</f>
        <v>13</v>
      </c>
      <c r="AQ135" s="390" t="str">
        <f t="shared" si="110"/>
        <v/>
      </c>
      <c r="AR135" s="390" t="str">
        <f t="shared" si="87"/>
        <v>n/a</v>
      </c>
      <c r="AS135" s="391">
        <f t="shared" si="88"/>
        <v>0</v>
      </c>
      <c r="AT135">
        <f t="shared" si="111"/>
        <v>1</v>
      </c>
      <c r="AU135" s="390">
        <f>IF(AT135&gt;0,1+COUNTIF(AU$123:AU134,"&gt;0"),0)</f>
        <v>13</v>
      </c>
      <c r="AV135" s="390" t="str">
        <f t="shared" si="112"/>
        <v/>
      </c>
      <c r="AW135" s="390" t="str">
        <f t="shared" si="89"/>
        <v>n/a</v>
      </c>
      <c r="AX135" s="391">
        <f t="shared" si="90"/>
        <v>0</v>
      </c>
      <c r="AY135">
        <f t="shared" si="113"/>
        <v>1</v>
      </c>
      <c r="AZ135" s="390">
        <f>IF(AY135&gt;0,1+COUNTIF(AZ$123:AZ134,"&gt;0"),0)</f>
        <v>13</v>
      </c>
      <c r="BA135" s="390" t="str">
        <f t="shared" si="114"/>
        <v/>
      </c>
      <c r="BB135" s="390" t="str">
        <f t="shared" si="91"/>
        <v>n/a</v>
      </c>
      <c r="BC135" s="391">
        <f t="shared" si="92"/>
        <v>0</v>
      </c>
      <c r="BD135">
        <f t="shared" si="115"/>
        <v>1</v>
      </c>
      <c r="BE135" s="390">
        <f>IF(BD135&gt;0,1+COUNTIF(BE$123:BE134,"&gt;0"),0)</f>
        <v>13</v>
      </c>
      <c r="BF135" s="390" t="str">
        <f t="shared" si="116"/>
        <v/>
      </c>
      <c r="BG135" s="390" t="str">
        <f t="shared" si="93"/>
        <v>n/a</v>
      </c>
      <c r="BH135" s="391">
        <f t="shared" si="94"/>
        <v>0</v>
      </c>
      <c r="BI135">
        <f t="shared" si="117"/>
        <v>1</v>
      </c>
      <c r="BJ135" s="390">
        <f>IF(BI135&gt;0,1+COUNTIF(BJ$123:BJ134,"&gt;0"),0)</f>
        <v>13</v>
      </c>
      <c r="BK135" s="390" t="str">
        <f t="shared" si="118"/>
        <v/>
      </c>
      <c r="BL135" s="390" t="str">
        <f t="shared" si="95"/>
        <v>n/a</v>
      </c>
      <c r="BM135" s="391">
        <f t="shared" si="96"/>
        <v>0</v>
      </c>
    </row>
    <row r="136" spans="1:65" ht="16.5" x14ac:dyDescent="0.3">
      <c r="A136" s="155">
        <f>IFERROR(IF(A135+1&lt;MAX(D041_ClassFeatures!$A$2:$A$2033),A135+1,""),"")</f>
        <v>133</v>
      </c>
      <c r="B136" s="153" t="str">
        <f>IFERROR(INDEX(D041_ClassFeatures!$B$2:$B$2033,MATCH(C_Variables!A136,D041_ClassFeatures!$A$2:$A$2033,0),1),"")</f>
        <v>Signature Spell</v>
      </c>
      <c r="C136" s="153">
        <f>IF(B136="",0,IF(IFERROR(MATCH(B136,C_Input!$BC$160:$BC$239,0),0)&gt;0,1,0))</f>
        <v>0</v>
      </c>
      <c r="D136" s="153"/>
      <c r="E136" s="153"/>
      <c r="F136" s="153"/>
      <c r="G136" s="153"/>
      <c r="H136" s="153" t="s">
        <v>4454</v>
      </c>
      <c r="I136" s="153">
        <v>1</v>
      </c>
      <c r="J136" s="391">
        <f t="shared" si="74"/>
        <v>0</v>
      </c>
      <c r="K136" s="390">
        <f t="shared" si="97"/>
        <v>1</v>
      </c>
      <c r="L136" s="390">
        <f>IF(K136&gt;0,1+COUNTIF(L$123:L135,"&gt;0"),0)</f>
        <v>14</v>
      </c>
      <c r="M136" s="390" t="str">
        <f t="shared" si="98"/>
        <v/>
      </c>
      <c r="N136" s="390" t="str">
        <f t="shared" si="75"/>
        <v>n/a</v>
      </c>
      <c r="O136" s="391">
        <f t="shared" si="76"/>
        <v>0</v>
      </c>
      <c r="P136">
        <f t="shared" si="99"/>
        <v>1</v>
      </c>
      <c r="Q136" s="390">
        <f>IF(P136&gt;0,1+COUNTIF(Q$123:Q135,"&gt;0"),0)</f>
        <v>14</v>
      </c>
      <c r="R136" s="390" t="str">
        <f t="shared" si="100"/>
        <v/>
      </c>
      <c r="S136" s="390" t="str">
        <f t="shared" si="77"/>
        <v>n/a</v>
      </c>
      <c r="T136" s="391">
        <f t="shared" si="78"/>
        <v>0</v>
      </c>
      <c r="U136">
        <f t="shared" si="101"/>
        <v>1</v>
      </c>
      <c r="V136" s="390">
        <f>IF(U136&gt;0,1+COUNTIF(V$123:V135,"&gt;0"),0)</f>
        <v>14</v>
      </c>
      <c r="W136" s="390" t="str">
        <f t="shared" si="102"/>
        <v/>
      </c>
      <c r="X136" s="390" t="str">
        <f t="shared" si="79"/>
        <v>n/a</v>
      </c>
      <c r="Y136" s="391">
        <f t="shared" si="80"/>
        <v>0</v>
      </c>
      <c r="Z136">
        <f t="shared" si="103"/>
        <v>1</v>
      </c>
      <c r="AA136" s="390">
        <f>IF(Z136&gt;0,1+COUNTIF(AA$123:AA135,"&gt;0"),0)</f>
        <v>14</v>
      </c>
      <c r="AB136" s="390" t="str">
        <f t="shared" si="104"/>
        <v/>
      </c>
      <c r="AC136" s="390" t="str">
        <f t="shared" si="81"/>
        <v>n/a</v>
      </c>
      <c r="AD136" s="391">
        <f t="shared" si="82"/>
        <v>0</v>
      </c>
      <c r="AE136">
        <f t="shared" si="105"/>
        <v>1</v>
      </c>
      <c r="AF136" s="390">
        <f>IF(AE136&gt;0,1+COUNTIF(AF$123:AF135,"&gt;0"),0)</f>
        <v>14</v>
      </c>
      <c r="AG136" s="390" t="str">
        <f t="shared" si="106"/>
        <v/>
      </c>
      <c r="AH136" s="390" t="str">
        <f t="shared" si="83"/>
        <v>n/a</v>
      </c>
      <c r="AI136" s="391">
        <f t="shared" si="84"/>
        <v>0</v>
      </c>
      <c r="AJ136">
        <f t="shared" si="107"/>
        <v>1</v>
      </c>
      <c r="AK136" s="390">
        <f>IF(AJ136&gt;0,1+COUNTIF(AK$123:AK135,"&gt;0"),0)</f>
        <v>14</v>
      </c>
      <c r="AL136" s="390" t="str">
        <f t="shared" si="108"/>
        <v/>
      </c>
      <c r="AM136" s="390" t="str">
        <f t="shared" si="85"/>
        <v>n/a</v>
      </c>
      <c r="AN136" s="391">
        <f t="shared" si="86"/>
        <v>0</v>
      </c>
      <c r="AO136">
        <f t="shared" si="109"/>
        <v>1</v>
      </c>
      <c r="AP136" s="390">
        <f>IF(AO136&gt;0,1+COUNTIF(AP$123:AP135,"&gt;0"),0)</f>
        <v>14</v>
      </c>
      <c r="AQ136" s="390" t="str">
        <f t="shared" si="110"/>
        <v/>
      </c>
      <c r="AR136" s="390" t="str">
        <f t="shared" si="87"/>
        <v>n/a</v>
      </c>
      <c r="AS136" s="391">
        <f t="shared" si="88"/>
        <v>0</v>
      </c>
      <c r="AT136">
        <f t="shared" si="111"/>
        <v>1</v>
      </c>
      <c r="AU136" s="390">
        <f>IF(AT136&gt;0,1+COUNTIF(AU$123:AU135,"&gt;0"),0)</f>
        <v>14</v>
      </c>
      <c r="AV136" s="390" t="str">
        <f t="shared" si="112"/>
        <v/>
      </c>
      <c r="AW136" s="390" t="str">
        <f t="shared" si="89"/>
        <v>n/a</v>
      </c>
      <c r="AX136" s="391">
        <f t="shared" si="90"/>
        <v>0</v>
      </c>
      <c r="AY136">
        <f t="shared" si="113"/>
        <v>1</v>
      </c>
      <c r="AZ136" s="390">
        <f>IF(AY136&gt;0,1+COUNTIF(AZ$123:AZ135,"&gt;0"),0)</f>
        <v>14</v>
      </c>
      <c r="BA136" s="390" t="str">
        <f t="shared" si="114"/>
        <v/>
      </c>
      <c r="BB136" s="390" t="str">
        <f t="shared" si="91"/>
        <v>n/a</v>
      </c>
      <c r="BC136" s="391">
        <f t="shared" si="92"/>
        <v>0</v>
      </c>
      <c r="BD136">
        <f t="shared" si="115"/>
        <v>1</v>
      </c>
      <c r="BE136" s="390">
        <f>IF(BD136&gt;0,1+COUNTIF(BE$123:BE135,"&gt;0"),0)</f>
        <v>14</v>
      </c>
      <c r="BF136" s="390" t="str">
        <f t="shared" si="116"/>
        <v/>
      </c>
      <c r="BG136" s="390" t="str">
        <f t="shared" si="93"/>
        <v>n/a</v>
      </c>
      <c r="BH136" s="391">
        <f t="shared" si="94"/>
        <v>0</v>
      </c>
      <c r="BI136">
        <f t="shared" si="117"/>
        <v>1</v>
      </c>
      <c r="BJ136" s="390">
        <f>IF(BI136&gt;0,1+COUNTIF(BJ$123:BJ135,"&gt;0"),0)</f>
        <v>14</v>
      </c>
      <c r="BK136" s="390" t="str">
        <f t="shared" si="118"/>
        <v/>
      </c>
      <c r="BL136" s="390" t="str">
        <f t="shared" si="95"/>
        <v>n/a</v>
      </c>
      <c r="BM136" s="391">
        <f t="shared" si="96"/>
        <v>0</v>
      </c>
    </row>
    <row r="137" spans="1:65" ht="16.5" x14ac:dyDescent="0.3">
      <c r="A137" s="155">
        <f>IFERROR(IF(A136+1&lt;MAX(D041_ClassFeatures!$A$2:$A$2033),A136+1,""),"")</f>
        <v>134</v>
      </c>
      <c r="B137" s="153" t="str">
        <f>IFERROR(INDEX(D041_ClassFeatures!$B$2:$B$2033,MATCH(C_Variables!A137,D041_ClassFeatures!$A$2:$A$2033,0),1),"")</f>
        <v>Slippery Mind</v>
      </c>
      <c r="C137" s="153">
        <f>IF(B137="",0,IF(IFERROR(MATCH(B137,C_Input!$BC$160:$BC$239,0),0)&gt;0,1,0))</f>
        <v>0</v>
      </c>
      <c r="D137" s="153"/>
      <c r="E137" s="153"/>
      <c r="F137" s="153"/>
      <c r="G137" s="153"/>
      <c r="H137" s="153" t="s">
        <v>4455</v>
      </c>
      <c r="I137" s="153">
        <v>1</v>
      </c>
      <c r="J137" s="391">
        <f t="shared" si="74"/>
        <v>0</v>
      </c>
      <c r="K137" s="390">
        <f t="shared" si="97"/>
        <v>1</v>
      </c>
      <c r="L137" s="390">
        <f>IF(K137&gt;0,1+COUNTIF(L$123:L136,"&gt;0"),0)</f>
        <v>15</v>
      </c>
      <c r="M137" s="390" t="str">
        <f t="shared" si="98"/>
        <v/>
      </c>
      <c r="N137" s="390" t="str">
        <f t="shared" si="75"/>
        <v>n/a</v>
      </c>
      <c r="O137" s="391">
        <f t="shared" si="76"/>
        <v>0</v>
      </c>
      <c r="P137">
        <f t="shared" si="99"/>
        <v>1</v>
      </c>
      <c r="Q137" s="390">
        <f>IF(P137&gt;0,1+COUNTIF(Q$123:Q136,"&gt;0"),0)</f>
        <v>15</v>
      </c>
      <c r="R137" s="390" t="str">
        <f t="shared" si="100"/>
        <v/>
      </c>
      <c r="S137" s="390" t="str">
        <f t="shared" si="77"/>
        <v>n/a</v>
      </c>
      <c r="T137" s="391">
        <f t="shared" si="78"/>
        <v>0</v>
      </c>
      <c r="U137">
        <f t="shared" si="101"/>
        <v>1</v>
      </c>
      <c r="V137" s="390">
        <f>IF(U137&gt;0,1+COUNTIF(V$123:V136,"&gt;0"),0)</f>
        <v>15</v>
      </c>
      <c r="W137" s="390" t="str">
        <f t="shared" si="102"/>
        <v/>
      </c>
      <c r="X137" s="390" t="str">
        <f t="shared" si="79"/>
        <v>n/a</v>
      </c>
      <c r="Y137" s="391">
        <f t="shared" si="80"/>
        <v>0</v>
      </c>
      <c r="Z137">
        <f t="shared" si="103"/>
        <v>1</v>
      </c>
      <c r="AA137" s="390">
        <f>IF(Z137&gt;0,1+COUNTIF(AA$123:AA136,"&gt;0"),0)</f>
        <v>15</v>
      </c>
      <c r="AB137" s="390" t="str">
        <f t="shared" si="104"/>
        <v/>
      </c>
      <c r="AC137" s="390" t="str">
        <f t="shared" si="81"/>
        <v>n/a</v>
      </c>
      <c r="AD137" s="391">
        <f t="shared" si="82"/>
        <v>0</v>
      </c>
      <c r="AE137">
        <f t="shared" si="105"/>
        <v>1</v>
      </c>
      <c r="AF137" s="390">
        <f>IF(AE137&gt;0,1+COUNTIF(AF$123:AF136,"&gt;0"),0)</f>
        <v>15</v>
      </c>
      <c r="AG137" s="390" t="str">
        <f t="shared" si="106"/>
        <v/>
      </c>
      <c r="AH137" s="390" t="str">
        <f t="shared" si="83"/>
        <v>n/a</v>
      </c>
      <c r="AI137" s="391">
        <f t="shared" si="84"/>
        <v>0</v>
      </c>
      <c r="AJ137">
        <f t="shared" si="107"/>
        <v>1</v>
      </c>
      <c r="AK137" s="390">
        <f>IF(AJ137&gt;0,1+COUNTIF(AK$123:AK136,"&gt;0"),0)</f>
        <v>15</v>
      </c>
      <c r="AL137" s="390" t="str">
        <f t="shared" si="108"/>
        <v/>
      </c>
      <c r="AM137" s="390" t="str">
        <f t="shared" si="85"/>
        <v>n/a</v>
      </c>
      <c r="AN137" s="391">
        <f t="shared" si="86"/>
        <v>0</v>
      </c>
      <c r="AO137">
        <f t="shared" si="109"/>
        <v>1</v>
      </c>
      <c r="AP137" s="390">
        <f>IF(AO137&gt;0,1+COUNTIF(AP$123:AP136,"&gt;0"),0)</f>
        <v>15</v>
      </c>
      <c r="AQ137" s="390" t="str">
        <f t="shared" si="110"/>
        <v/>
      </c>
      <c r="AR137" s="390" t="str">
        <f t="shared" si="87"/>
        <v>n/a</v>
      </c>
      <c r="AS137" s="391">
        <f t="shared" si="88"/>
        <v>0</v>
      </c>
      <c r="AT137">
        <f t="shared" si="111"/>
        <v>1</v>
      </c>
      <c r="AU137" s="390">
        <f>IF(AT137&gt;0,1+COUNTIF(AU$123:AU136,"&gt;0"),0)</f>
        <v>15</v>
      </c>
      <c r="AV137" s="390" t="str">
        <f t="shared" si="112"/>
        <v/>
      </c>
      <c r="AW137" s="390" t="str">
        <f t="shared" si="89"/>
        <v>n/a</v>
      </c>
      <c r="AX137" s="391">
        <f t="shared" si="90"/>
        <v>0</v>
      </c>
      <c r="AY137">
        <f t="shared" si="113"/>
        <v>1</v>
      </c>
      <c r="AZ137" s="390">
        <f>IF(AY137&gt;0,1+COUNTIF(AZ$123:AZ136,"&gt;0"),0)</f>
        <v>15</v>
      </c>
      <c r="BA137" s="390" t="str">
        <f t="shared" si="114"/>
        <v/>
      </c>
      <c r="BB137" s="390" t="str">
        <f t="shared" si="91"/>
        <v>n/a</v>
      </c>
      <c r="BC137" s="391">
        <f t="shared" si="92"/>
        <v>0</v>
      </c>
      <c r="BD137">
        <f t="shared" si="115"/>
        <v>1</v>
      </c>
      <c r="BE137" s="390">
        <f>IF(BD137&gt;0,1+COUNTIF(BE$123:BE136,"&gt;0"),0)</f>
        <v>15</v>
      </c>
      <c r="BF137" s="390" t="str">
        <f t="shared" si="116"/>
        <v/>
      </c>
      <c r="BG137" s="390" t="str">
        <f t="shared" si="93"/>
        <v>n/a</v>
      </c>
      <c r="BH137" s="391">
        <f t="shared" si="94"/>
        <v>0</v>
      </c>
      <c r="BI137">
        <f t="shared" si="117"/>
        <v>1</v>
      </c>
      <c r="BJ137" s="390">
        <f>IF(BI137&gt;0,1+COUNTIF(BJ$123:BJ136,"&gt;0"),0)</f>
        <v>15</v>
      </c>
      <c r="BK137" s="390" t="str">
        <f t="shared" si="118"/>
        <v/>
      </c>
      <c r="BL137" s="390" t="str">
        <f t="shared" si="95"/>
        <v>n/a</v>
      </c>
      <c r="BM137" s="391">
        <f t="shared" si="96"/>
        <v>0</v>
      </c>
    </row>
    <row r="138" spans="1:65" ht="16.5" x14ac:dyDescent="0.3">
      <c r="A138" s="155">
        <f>IFERROR(IF(A137+1&lt;MAX(D041_ClassFeatures!$A$2:$A$2033),A137+1,""),"")</f>
        <v>135</v>
      </c>
      <c r="B138" s="153" t="str">
        <f>IFERROR(INDEX(D041_ClassFeatures!$B$2:$B$2033,MATCH(C_Variables!A138,D041_ClassFeatures!$A$2:$A$2033,0),1),"")</f>
        <v>Sneak Attack</v>
      </c>
      <c r="C138" s="153">
        <f>IF(B138="",0,IF(IFERROR(MATCH(B138,C_Input!$BC$160:$BC$239,0),0)&gt;0,1,0))</f>
        <v>0</v>
      </c>
      <c r="D138" s="153"/>
      <c r="E138" s="153"/>
      <c r="F138" s="153"/>
      <c r="G138" s="153"/>
      <c r="H138" s="153" t="s">
        <v>4456</v>
      </c>
      <c r="I138" s="153">
        <v>1</v>
      </c>
      <c r="J138" s="391">
        <f t="shared" si="74"/>
        <v>0</v>
      </c>
      <c r="K138" s="390">
        <f t="shared" si="97"/>
        <v>1</v>
      </c>
      <c r="L138" s="390">
        <f>IF(K138&gt;0,1+COUNTIF(L$123:L137,"&gt;0"),0)</f>
        <v>16</v>
      </c>
      <c r="M138" s="390" t="str">
        <f t="shared" si="98"/>
        <v/>
      </c>
      <c r="N138" s="390" t="str">
        <f t="shared" si="75"/>
        <v>n/a</v>
      </c>
      <c r="O138" s="391">
        <f t="shared" si="76"/>
        <v>0</v>
      </c>
      <c r="P138">
        <f t="shared" si="99"/>
        <v>1</v>
      </c>
      <c r="Q138" s="390">
        <f>IF(P138&gt;0,1+COUNTIF(Q$123:Q137,"&gt;0"),0)</f>
        <v>16</v>
      </c>
      <c r="R138" s="390" t="str">
        <f t="shared" si="100"/>
        <v/>
      </c>
      <c r="S138" s="390" t="str">
        <f t="shared" si="77"/>
        <v>n/a</v>
      </c>
      <c r="T138" s="391">
        <f t="shared" si="78"/>
        <v>0</v>
      </c>
      <c r="U138">
        <f t="shared" si="101"/>
        <v>1</v>
      </c>
      <c r="V138" s="390">
        <f>IF(U138&gt;0,1+COUNTIF(V$123:V137,"&gt;0"),0)</f>
        <v>16</v>
      </c>
      <c r="W138" s="390" t="str">
        <f t="shared" si="102"/>
        <v/>
      </c>
      <c r="X138" s="390" t="str">
        <f t="shared" si="79"/>
        <v>n/a</v>
      </c>
      <c r="Y138" s="391">
        <f t="shared" si="80"/>
        <v>0</v>
      </c>
      <c r="Z138">
        <f t="shared" si="103"/>
        <v>1</v>
      </c>
      <c r="AA138" s="390">
        <f>IF(Z138&gt;0,1+COUNTIF(AA$123:AA137,"&gt;0"),0)</f>
        <v>16</v>
      </c>
      <c r="AB138" s="390" t="str">
        <f t="shared" si="104"/>
        <v/>
      </c>
      <c r="AC138" s="390" t="str">
        <f t="shared" si="81"/>
        <v>n/a</v>
      </c>
      <c r="AD138" s="391">
        <f t="shared" si="82"/>
        <v>0</v>
      </c>
      <c r="AE138">
        <f t="shared" si="105"/>
        <v>1</v>
      </c>
      <c r="AF138" s="390">
        <f>IF(AE138&gt;0,1+COUNTIF(AF$123:AF137,"&gt;0"),0)</f>
        <v>16</v>
      </c>
      <c r="AG138" s="390" t="str">
        <f t="shared" si="106"/>
        <v/>
      </c>
      <c r="AH138" s="390" t="str">
        <f t="shared" si="83"/>
        <v>n/a</v>
      </c>
      <c r="AI138" s="391">
        <f t="shared" si="84"/>
        <v>0</v>
      </c>
      <c r="AJ138">
        <f t="shared" si="107"/>
        <v>1</v>
      </c>
      <c r="AK138" s="390">
        <f>IF(AJ138&gt;0,1+COUNTIF(AK$123:AK137,"&gt;0"),0)</f>
        <v>16</v>
      </c>
      <c r="AL138" s="390" t="str">
        <f t="shared" si="108"/>
        <v/>
      </c>
      <c r="AM138" s="390" t="str">
        <f t="shared" si="85"/>
        <v>n/a</v>
      </c>
      <c r="AN138" s="391">
        <f t="shared" si="86"/>
        <v>0</v>
      </c>
      <c r="AO138">
        <f t="shared" si="109"/>
        <v>1</v>
      </c>
      <c r="AP138" s="390">
        <f>IF(AO138&gt;0,1+COUNTIF(AP$123:AP137,"&gt;0"),0)</f>
        <v>16</v>
      </c>
      <c r="AQ138" s="390" t="str">
        <f t="shared" si="110"/>
        <v/>
      </c>
      <c r="AR138" s="390" t="str">
        <f t="shared" si="87"/>
        <v>n/a</v>
      </c>
      <c r="AS138" s="391">
        <f t="shared" si="88"/>
        <v>0</v>
      </c>
      <c r="AT138">
        <f t="shared" si="111"/>
        <v>1</v>
      </c>
      <c r="AU138" s="390">
        <f>IF(AT138&gt;0,1+COUNTIF(AU$123:AU137,"&gt;0"),0)</f>
        <v>16</v>
      </c>
      <c r="AV138" s="390" t="str">
        <f t="shared" si="112"/>
        <v/>
      </c>
      <c r="AW138" s="390" t="str">
        <f t="shared" si="89"/>
        <v>n/a</v>
      </c>
      <c r="AX138" s="391">
        <f t="shared" si="90"/>
        <v>0</v>
      </c>
      <c r="AY138">
        <f t="shared" si="113"/>
        <v>1</v>
      </c>
      <c r="AZ138" s="390">
        <f>IF(AY138&gt;0,1+COUNTIF(AZ$123:AZ137,"&gt;0"),0)</f>
        <v>16</v>
      </c>
      <c r="BA138" s="390" t="str">
        <f t="shared" si="114"/>
        <v/>
      </c>
      <c r="BB138" s="390" t="str">
        <f t="shared" si="91"/>
        <v>n/a</v>
      </c>
      <c r="BC138" s="391">
        <f t="shared" si="92"/>
        <v>0</v>
      </c>
      <c r="BD138">
        <f t="shared" si="115"/>
        <v>1</v>
      </c>
      <c r="BE138" s="390">
        <f>IF(BD138&gt;0,1+COUNTIF(BE$123:BE137,"&gt;0"),0)</f>
        <v>16</v>
      </c>
      <c r="BF138" s="390" t="str">
        <f t="shared" si="116"/>
        <v/>
      </c>
      <c r="BG138" s="390" t="str">
        <f t="shared" si="93"/>
        <v>n/a</v>
      </c>
      <c r="BH138" s="391">
        <f t="shared" si="94"/>
        <v>0</v>
      </c>
      <c r="BI138">
        <f t="shared" si="117"/>
        <v>1</v>
      </c>
      <c r="BJ138" s="390">
        <f>IF(BI138&gt;0,1+COUNTIF(BJ$123:BJ137,"&gt;0"),0)</f>
        <v>16</v>
      </c>
      <c r="BK138" s="390" t="str">
        <f t="shared" si="118"/>
        <v/>
      </c>
      <c r="BL138" s="390" t="str">
        <f t="shared" si="95"/>
        <v>n/a</v>
      </c>
      <c r="BM138" s="391">
        <f t="shared" si="96"/>
        <v>0</v>
      </c>
    </row>
    <row r="139" spans="1:65" ht="16.5" x14ac:dyDescent="0.3">
      <c r="A139" s="155">
        <f>IFERROR(IF(A138+1&lt;MAX(D041_ClassFeatures!$A$2:$A$2033),A138+1,""),"")</f>
        <v>136</v>
      </c>
      <c r="B139" s="153" t="str">
        <f>IFERROR(INDEX(D041_ClassFeatures!$B$2:$B$2033,MATCH(C_Variables!A139,D041_ClassFeatures!$A$2:$A$2033,0),1),"")</f>
        <v>Song of Rest</v>
      </c>
      <c r="C139" s="153">
        <f>IF(B139="",0,IF(IFERROR(MATCH(B139,C_Input!$BC$160:$BC$239,0),0)&gt;0,1,0))</f>
        <v>0</v>
      </c>
      <c r="D139" s="153"/>
      <c r="E139" s="153"/>
      <c r="F139" s="153"/>
      <c r="G139" s="153"/>
      <c r="H139" s="153"/>
      <c r="I139" s="153"/>
      <c r="J139" s="153"/>
    </row>
    <row r="140" spans="1:65" ht="16.5" x14ac:dyDescent="0.3">
      <c r="A140" s="155">
        <f>IFERROR(IF(A139+1&lt;MAX(D041_ClassFeatures!$A$2:$A$2033),A139+1,""),"")</f>
        <v>137</v>
      </c>
      <c r="B140" s="153" t="str">
        <f>IFERROR(INDEX(D041_ClassFeatures!$B$2:$B$2033,MATCH(C_Variables!A140,D041_ClassFeatures!$A$2:$A$2033,0),1),"")</f>
        <v>Sorcerous Origin</v>
      </c>
      <c r="C140" s="153">
        <f>IF(B140="",0,IF(IFERROR(MATCH(B140,C_Input!$BC$160:$BC$239,0),0)&gt;0,1,0))</f>
        <v>0</v>
      </c>
      <c r="D140" s="153"/>
      <c r="E140" s="153"/>
      <c r="F140" s="153"/>
      <c r="G140" s="153"/>
      <c r="H140" s="153"/>
      <c r="I140" s="153"/>
      <c r="J140" s="153"/>
    </row>
    <row r="141" spans="1:65" ht="16.5" x14ac:dyDescent="0.3">
      <c r="A141" s="155">
        <f>IFERROR(IF(A140+1&lt;MAX(D041_ClassFeatures!$A$2:$A$2033),A140+1,""),"")</f>
        <v>138</v>
      </c>
      <c r="B141" s="153" t="str">
        <f>IFERROR(INDEX(D041_ClassFeatures!$B$2:$B$2033,MATCH(C_Variables!A141,D041_ClassFeatures!$A$2:$A$2033,0),1),"")</f>
        <v>Sorcerous Origin Feature1-1</v>
      </c>
      <c r="C141" s="153">
        <f>IF(B141="",0,IF(IFERROR(MATCH(B141,C_Input!$BC$160:$BC$239,0),0)&gt;0,1,0))</f>
        <v>0</v>
      </c>
      <c r="D141" s="153"/>
      <c r="E141" s="153"/>
      <c r="F141" s="153"/>
      <c r="G141" s="153"/>
      <c r="I141" s="153"/>
      <c r="J141" s="153"/>
    </row>
    <row r="142" spans="1:65" ht="16.5" x14ac:dyDescent="0.3">
      <c r="A142" s="155">
        <f>IFERROR(IF(A141+1&lt;MAX(D041_ClassFeatures!$A$2:$A$2033),A141+1,""),"")</f>
        <v>139</v>
      </c>
      <c r="B142" s="153" t="str">
        <f>IFERROR(INDEX(D041_ClassFeatures!$B$2:$B$2033,MATCH(C_Variables!A142,D041_ClassFeatures!$A$2:$A$2033,0),1),"")</f>
        <v>Sorcerous Origin Feature1-2</v>
      </c>
      <c r="C142" s="153">
        <f>IF(B142="",0,IF(IFERROR(MATCH(B142,C_Input!$BC$160:$BC$239,0),0)&gt;0,1,0))</f>
        <v>0</v>
      </c>
      <c r="D142" s="153"/>
      <c r="E142" s="153"/>
      <c r="F142" s="153"/>
      <c r="G142" s="153"/>
      <c r="H142" s="390" t="s">
        <v>2277</v>
      </c>
      <c r="I142" s="391"/>
      <c r="J142" s="391"/>
      <c r="K142" s="390"/>
      <c r="L142" s="390"/>
      <c r="M142" s="390"/>
      <c r="N142" s="390"/>
      <c r="O142" s="390"/>
      <c r="P142" s="390"/>
      <c r="Q142" s="390"/>
      <c r="R142" s="390"/>
      <c r="S142" s="390"/>
      <c r="T142" s="390"/>
      <c r="X142" s="519" t="s">
        <v>4457</v>
      </c>
      <c r="Y142">
        <v>17</v>
      </c>
      <c r="Z142">
        <f>$AC$40*IF($V$9="Way of the Four Elements",1,0)</f>
        <v>0</v>
      </c>
      <c r="AA142">
        <f>IF(Z142&gt;=Y142,1,0)</f>
        <v>0</v>
      </c>
      <c r="AB142">
        <f>IF(AA142=1,1,0)</f>
        <v>0</v>
      </c>
      <c r="AC142">
        <v>1</v>
      </c>
      <c r="AD142" t="str">
        <f>IFERROR(INDEX($X$142:$X$157,MATCH(AC142,$AB$142:$AB$157,0),1),"")</f>
        <v/>
      </c>
      <c r="AF142" s="163" t="s">
        <v>7155</v>
      </c>
      <c r="AG142" s="163">
        <f>ElementalDiscipline1</f>
        <v>0</v>
      </c>
      <c r="AH142">
        <f>IF(AD142="",0,IF(IFERROR(MATCH(AD142,$AG$142:$AG$146,0),0)&gt;0,0,1))</f>
        <v>0</v>
      </c>
      <c r="AI142" t="str">
        <f>IF(AH142=1,AD142,"")</f>
        <v/>
      </c>
      <c r="AJ142">
        <f>IF(AI142&lt;&gt;"",1,0)</f>
        <v>0</v>
      </c>
      <c r="AK142">
        <f>IF(AJ142=1,1,0)</f>
        <v>0</v>
      </c>
      <c r="AL142">
        <v>1</v>
      </c>
      <c r="AM142" t="str">
        <f>IFERROR(INDEX($AD$142:$AD$157,MATCH(AL142,$AK$142:$AK$157,0),1),"")</f>
        <v/>
      </c>
    </row>
    <row r="143" spans="1:65" ht="16.5" x14ac:dyDescent="0.3">
      <c r="A143" s="155">
        <f>IFERROR(IF(A142+1&lt;MAX(D041_ClassFeatures!$A$2:$A$2033),A142+1,""),"")</f>
        <v>140</v>
      </c>
      <c r="B143" s="153" t="str">
        <f>IFERROR(INDEX(D041_ClassFeatures!$B$2:$B$2033,MATCH(C_Variables!A143,D041_ClassFeatures!$A$2:$A$2033,0),1),"")</f>
        <v>Sorcerous Origin Feature6</v>
      </c>
      <c r="C143" s="153">
        <f>IF(B143="",0,IF(IFERROR(MATCH(B143,C_Input!$BC$160:$BC$239,0),0)&gt;0,1,0))</f>
        <v>0</v>
      </c>
      <c r="D143" s="153"/>
      <c r="E143" s="153"/>
      <c r="F143" s="153"/>
      <c r="G143" s="153"/>
      <c r="H143" s="390"/>
      <c r="I143" s="1000" t="s">
        <v>5549</v>
      </c>
      <c r="J143" s="1000"/>
      <c r="K143" s="1001" t="s">
        <v>5550</v>
      </c>
      <c r="L143" s="1001"/>
      <c r="M143" s="1001"/>
      <c r="N143" s="1001"/>
      <c r="O143" s="1001"/>
      <c r="P143" s="1001" t="s">
        <v>5551</v>
      </c>
      <c r="Q143" s="1001"/>
      <c r="R143" s="1001"/>
      <c r="S143" s="1001"/>
      <c r="T143" s="1001"/>
      <c r="X143" s="519" t="s">
        <v>4458</v>
      </c>
      <c r="Y143">
        <v>6</v>
      </c>
      <c r="Z143">
        <f t="shared" ref="Z143:Z157" si="119">$AC$40*IF($V$9="Way of the Four Elements",1,0)</f>
        <v>0</v>
      </c>
      <c r="AA143">
        <f t="shared" ref="AA143:AA157" si="120">IF(Z143&gt;=Y143,1,0)</f>
        <v>0</v>
      </c>
      <c r="AB143">
        <f>IF(AA143=0,0,COUNTIF(AB142:$AB$142,"&gt;0")+1)</f>
        <v>0</v>
      </c>
      <c r="AC143" t="str">
        <f>IFERROR(IF(AC142&lt;MAX($AB$142:$AB$157),AC142+1,""),"")</f>
        <v/>
      </c>
      <c r="AD143" t="str">
        <f t="shared" ref="AD143:AD157" si="121">IFERROR(INDEX($X$142:$X$157,MATCH(AC143,$AB$142:$AB$157,0),1),"")</f>
        <v/>
      </c>
      <c r="AF143" s="163" t="s">
        <v>7156</v>
      </c>
      <c r="AG143" s="163">
        <f>ElementalDiscipline2</f>
        <v>0</v>
      </c>
      <c r="AH143">
        <f t="shared" ref="AH143:AH157" si="122">IF(AD143="",0,IF(IFERROR(MATCH(AD143,$AG$142:$AG$146,0),0)&gt;0,0,1))</f>
        <v>0</v>
      </c>
      <c r="AI143" t="str">
        <f t="shared" ref="AI143:AI157" si="123">IF(AH143=1,AD143,"")</f>
        <v/>
      </c>
      <c r="AJ143">
        <f t="shared" ref="AJ143:AJ157" si="124">IF(AI143&lt;&gt;"",1,0)</f>
        <v>0</v>
      </c>
      <c r="AK143">
        <f>IF(AJ143=0,0,COUNTIF($AK142:AK$142,"&gt;0")+1)</f>
        <v>0</v>
      </c>
      <c r="AL143" t="str">
        <f>IFERROR(IF(AL142&lt;MAX($AK$142:$AK$157),AL142+1,""),"")</f>
        <v/>
      </c>
      <c r="AM143" t="str">
        <f t="shared" ref="AM143:AM157" si="125">IFERROR(INDEX($AD$142:$AD$157,MATCH(AL143,$AK$142:$AK$157,0),1),"")</f>
        <v/>
      </c>
    </row>
    <row r="144" spans="1:65" ht="16.5" x14ac:dyDescent="0.3">
      <c r="A144" s="155">
        <f>IFERROR(IF(A143+1&lt;MAX(D041_ClassFeatures!$A$2:$A$2033),A143+1,""),"")</f>
        <v>141</v>
      </c>
      <c r="B144" s="153" t="str">
        <f>IFERROR(INDEX(D041_ClassFeatures!$B$2:$B$2033,MATCH(C_Variables!A144,D041_ClassFeatures!$A$2:$A$2033,0),1),"")</f>
        <v>Sorcerous Origin Feature14</v>
      </c>
      <c r="C144" s="153">
        <f>IF(B144="",0,IF(IFERROR(MATCH(B144,C_Input!$BC$160:$BC$239,0),0)&gt;0,1,0))</f>
        <v>0</v>
      </c>
      <c r="D144" s="153"/>
      <c r="E144" s="153"/>
      <c r="F144" s="153"/>
      <c r="G144" s="153"/>
      <c r="H144" s="390" t="s">
        <v>3996</v>
      </c>
      <c r="I144" s="391">
        <v>1</v>
      </c>
      <c r="J144" s="391">
        <f t="shared" ref="J144:J151" si="126">IF(NaturalExplorer1=H144,1,0)</f>
        <v>0</v>
      </c>
      <c r="K144" s="390">
        <f>$I144-J144</f>
        <v>1</v>
      </c>
      <c r="L144" s="390">
        <f>IF(K$144=0,0,1)</f>
        <v>1</v>
      </c>
      <c r="M144" s="390">
        <v>1</v>
      </c>
      <c r="N144" s="390" t="str">
        <f t="shared" ref="N144:N151" si="127">IF(RangerNaturalExplorer&lt;2,"n/a",IFERROR(INDEX($H$144:$H$151,MATCH(M144,L$144:L$151,0),1),""))</f>
        <v>n/a</v>
      </c>
      <c r="O144" s="391">
        <f t="shared" ref="O144:O151" si="128">IF(NaturalExplorer2=$H144,1,0)</f>
        <v>0</v>
      </c>
      <c r="P144" s="390">
        <f>$I144-O144-J144</f>
        <v>1</v>
      </c>
      <c r="Q144" s="390">
        <f>IF(P$144=0,0,1)</f>
        <v>1</v>
      </c>
      <c r="R144" s="390">
        <v>1</v>
      </c>
      <c r="S144" s="390" t="str">
        <f t="shared" ref="S144:S151" si="129">IF(RangerNaturalExplorer&lt;2,"n/a",IFERROR(INDEX($H$144:$H$151,MATCH(R144,Q$144:Q$151,0),1),""))</f>
        <v>n/a</v>
      </c>
      <c r="T144" s="391">
        <f t="shared" ref="T144:T151" si="130">IF(NaturalExplorer3=$H144,1,0)</f>
        <v>0</v>
      </c>
      <c r="X144" s="519" t="s">
        <v>4459</v>
      </c>
      <c r="Y144">
        <v>11</v>
      </c>
      <c r="Z144">
        <f t="shared" si="119"/>
        <v>0</v>
      </c>
      <c r="AA144">
        <f t="shared" si="120"/>
        <v>0</v>
      </c>
      <c r="AB144">
        <f>IF(AA144=0,0,COUNTIF(AB$142:$AB143,"&gt;0")+1)</f>
        <v>0</v>
      </c>
      <c r="AC144" t="str">
        <f t="shared" ref="AC144:AC157" si="131">IFERROR(IF(AC143&lt;MAX($AB$142:$AB$157),AC143+1,""),"")</f>
        <v/>
      </c>
      <c r="AD144" t="str">
        <f t="shared" si="121"/>
        <v/>
      </c>
      <c r="AF144" s="163" t="s">
        <v>7157</v>
      </c>
      <c r="AG144" s="163">
        <f>ElementalDiscipline3</f>
        <v>0</v>
      </c>
      <c r="AH144">
        <f t="shared" si="122"/>
        <v>0</v>
      </c>
      <c r="AI144" t="str">
        <f t="shared" si="123"/>
        <v/>
      </c>
      <c r="AJ144">
        <f t="shared" si="124"/>
        <v>0</v>
      </c>
      <c r="AK144">
        <f>IF(AJ144=0,0,COUNTIF($AK$142:AK143,"&gt;0")+1)</f>
        <v>0</v>
      </c>
      <c r="AL144" t="str">
        <f t="shared" ref="AL144:AL157" si="132">IFERROR(IF(AL143&lt;MAX($AK$142:$AK$157),AL143+1,""),"")</f>
        <v/>
      </c>
      <c r="AM144" t="str">
        <f t="shared" si="125"/>
        <v/>
      </c>
    </row>
    <row r="145" spans="1:39" ht="16.5" x14ac:dyDescent="0.3">
      <c r="A145" s="155">
        <f>IFERROR(IF(A144+1&lt;MAX(D041_ClassFeatures!$A$2:$A$2033),A144+1,""),"")</f>
        <v>142</v>
      </c>
      <c r="B145" s="153" t="str">
        <f>IFERROR(INDEX(D041_ClassFeatures!$B$2:$B$2033,MATCH(C_Variables!A145,D041_ClassFeatures!$A$2:$A$2033,0),1),"")</f>
        <v>Sorcerous Origin Feature18</v>
      </c>
      <c r="C145" s="153">
        <f>IF(B145="",0,IF(IFERROR(MATCH(B145,C_Input!$BC$160:$BC$239,0),0)&gt;0,1,0))</f>
        <v>0</v>
      </c>
      <c r="D145" s="153"/>
      <c r="E145" s="153"/>
      <c r="F145" s="153"/>
      <c r="G145" s="153"/>
      <c r="H145" s="390" t="s">
        <v>3997</v>
      </c>
      <c r="I145" s="391">
        <v>1</v>
      </c>
      <c r="J145" s="391">
        <f t="shared" si="126"/>
        <v>0</v>
      </c>
      <c r="K145" s="390">
        <f t="shared" ref="K145:K151" si="133">$I145-J145</f>
        <v>1</v>
      </c>
      <c r="L145" s="390">
        <f>IF(K145&gt;0,1+COUNTIF(L144:L$144,"&gt;0"),0)</f>
        <v>2</v>
      </c>
      <c r="M145" s="390" t="str">
        <f>IF(RangerNaturalExplorer&lt;2,"",IFERROR(IF(M144&lt;MAX(L$144:L$151),M144+1,""),""))</f>
        <v/>
      </c>
      <c r="N145" s="390" t="str">
        <f t="shared" si="127"/>
        <v>n/a</v>
      </c>
      <c r="O145" s="391">
        <f t="shared" si="128"/>
        <v>0</v>
      </c>
      <c r="P145" s="390">
        <f t="shared" ref="P145:P151" si="134">$I145-O145-J145</f>
        <v>1</v>
      </c>
      <c r="Q145" s="390">
        <f>IF(P145&gt;0,1+COUNTIF(Q144:Q$144,"&gt;0"),0)</f>
        <v>2</v>
      </c>
      <c r="R145" s="390" t="str">
        <f>IF(RangerNaturalExplorer&lt;2,"",IFERROR(IF(R144&lt;MAX(Q$172:Q$179),R144+1,""),""))</f>
        <v/>
      </c>
      <c r="S145" s="390" t="str">
        <f t="shared" si="129"/>
        <v>n/a</v>
      </c>
      <c r="T145" s="391">
        <f t="shared" si="130"/>
        <v>0</v>
      </c>
      <c r="X145" s="519" t="s">
        <v>4460</v>
      </c>
      <c r="Y145">
        <v>1</v>
      </c>
      <c r="Z145">
        <f t="shared" si="119"/>
        <v>0</v>
      </c>
      <c r="AA145">
        <f t="shared" si="120"/>
        <v>0</v>
      </c>
      <c r="AB145">
        <f>IF(AA145=0,0,COUNTIF(AB$142:$AB144,"&gt;0")+1)</f>
        <v>0</v>
      </c>
      <c r="AC145" t="str">
        <f t="shared" si="131"/>
        <v/>
      </c>
      <c r="AD145" t="str">
        <f t="shared" si="121"/>
        <v/>
      </c>
      <c r="AF145" s="163" t="s">
        <v>7158</v>
      </c>
      <c r="AG145" s="163">
        <f>ElementalDiscipline4</f>
        <v>0</v>
      </c>
      <c r="AH145">
        <f t="shared" si="122"/>
        <v>0</v>
      </c>
      <c r="AI145" t="str">
        <f t="shared" si="123"/>
        <v/>
      </c>
      <c r="AJ145">
        <f t="shared" si="124"/>
        <v>0</v>
      </c>
      <c r="AK145">
        <f>IF(AJ145=0,0,COUNTIF($AK$142:AK144,"&gt;0")+1)</f>
        <v>0</v>
      </c>
      <c r="AL145" t="str">
        <f t="shared" si="132"/>
        <v/>
      </c>
      <c r="AM145" t="str">
        <f t="shared" si="125"/>
        <v/>
      </c>
    </row>
    <row r="146" spans="1:39" ht="16.5" x14ac:dyDescent="0.3">
      <c r="A146" s="155">
        <f>IFERROR(IF(A145+1&lt;MAX(D041_ClassFeatures!$A$2:$A$2033),A145+1,""),"")</f>
        <v>143</v>
      </c>
      <c r="B146" s="153" t="str">
        <f>IFERROR(INDEX(D041_ClassFeatures!$B$2:$B$2033,MATCH(C_Variables!A146,D041_ClassFeatures!$A$2:$A$2033,0),1),"")</f>
        <v>Sorcerous Restoration</v>
      </c>
      <c r="C146" s="153">
        <f>IF(B146="",0,IF(IFERROR(MATCH(B146,C_Input!$BC$160:$BC$239,0),0)&gt;0,1,0))</f>
        <v>0</v>
      </c>
      <c r="D146" s="153"/>
      <c r="E146" s="153"/>
      <c r="F146" s="153"/>
      <c r="G146" s="153"/>
      <c r="H146" s="390" t="s">
        <v>3998</v>
      </c>
      <c r="I146" s="391">
        <v>1</v>
      </c>
      <c r="J146" s="391">
        <f t="shared" si="126"/>
        <v>0</v>
      </c>
      <c r="K146" s="390">
        <f t="shared" si="133"/>
        <v>1</v>
      </c>
      <c r="L146" s="390">
        <f>IF(K146&gt;0,1+COUNTIF(L$144:L145,"&gt;0"),0)</f>
        <v>3</v>
      </c>
      <c r="M146" s="390" t="str">
        <f t="shared" ref="M146:M151" si="135">IF(DruidLands&lt;2,"",IFERROR(IF(M145&lt;MAX(L$172:L$179),M145+1,""),""))</f>
        <v/>
      </c>
      <c r="N146" s="390" t="str">
        <f t="shared" si="127"/>
        <v>n/a</v>
      </c>
      <c r="O146" s="391">
        <f t="shared" si="128"/>
        <v>0</v>
      </c>
      <c r="P146" s="390">
        <f t="shared" si="134"/>
        <v>1</v>
      </c>
      <c r="Q146" s="390">
        <f>IF(P146&gt;0,1+COUNTIF(Q$144:Q145,"&gt;0"),0)</f>
        <v>3</v>
      </c>
      <c r="R146" s="390" t="str">
        <f t="shared" ref="R146:R151" si="136">IF(DruidLands&lt;2,"",IFERROR(IF(R145&lt;MAX(Q$172:Q$179),R145+1,""),""))</f>
        <v/>
      </c>
      <c r="S146" s="390" t="str">
        <f t="shared" si="129"/>
        <v>n/a</v>
      </c>
      <c r="T146" s="391">
        <f t="shared" si="130"/>
        <v>0</v>
      </c>
      <c r="X146" s="519" t="s">
        <v>4461</v>
      </c>
      <c r="Y146">
        <v>1</v>
      </c>
      <c r="Z146">
        <f t="shared" si="119"/>
        <v>0</v>
      </c>
      <c r="AA146">
        <f t="shared" si="120"/>
        <v>0</v>
      </c>
      <c r="AB146">
        <f>IF(AA146=0,0,COUNTIF(AB$142:$AB145,"&gt;0")+1)</f>
        <v>0</v>
      </c>
      <c r="AC146" t="str">
        <f t="shared" si="131"/>
        <v/>
      </c>
      <c r="AD146" t="str">
        <f t="shared" si="121"/>
        <v/>
      </c>
      <c r="AF146" s="163" t="s">
        <v>7159</v>
      </c>
      <c r="AG146" s="163">
        <f>ElementalDiscipline5</f>
        <v>0</v>
      </c>
      <c r="AH146">
        <f t="shared" si="122"/>
        <v>0</v>
      </c>
      <c r="AI146" t="str">
        <f t="shared" si="123"/>
        <v/>
      </c>
      <c r="AJ146">
        <f t="shared" si="124"/>
        <v>0</v>
      </c>
      <c r="AK146">
        <f>IF(AJ146=0,0,COUNTIF($AK$142:AK145,"&gt;0")+1)</f>
        <v>0</v>
      </c>
      <c r="AL146" t="str">
        <f t="shared" si="132"/>
        <v/>
      </c>
      <c r="AM146" t="str">
        <f t="shared" si="125"/>
        <v/>
      </c>
    </row>
    <row r="147" spans="1:39" ht="16.5" x14ac:dyDescent="0.3">
      <c r="A147" s="155">
        <f>IFERROR(IF(A146+1&lt;MAX(D041_ClassFeatures!$A$2:$A$2033),A146+1,""),"")</f>
        <v>144</v>
      </c>
      <c r="B147" s="153" t="str">
        <f>IFERROR(INDEX(D041_ClassFeatures!$B$2:$B$2033,MATCH(C_Variables!A147,D041_ClassFeatures!$A$2:$A$2033,0),1),"")</f>
        <v>Spell Mastery</v>
      </c>
      <c r="C147" s="153">
        <f>IF(B147="",0,IF(IFERROR(MATCH(B147,C_Input!$BC$160:$BC$239,0),0)&gt;0,1,0))</f>
        <v>0</v>
      </c>
      <c r="D147" s="153"/>
      <c r="E147" s="153"/>
      <c r="F147" s="153"/>
      <c r="G147" s="153"/>
      <c r="H147" s="390" t="s">
        <v>3999</v>
      </c>
      <c r="I147" s="391">
        <v>1</v>
      </c>
      <c r="J147" s="391">
        <f t="shared" si="126"/>
        <v>0</v>
      </c>
      <c r="K147" s="390">
        <f t="shared" si="133"/>
        <v>1</v>
      </c>
      <c r="L147" s="390">
        <f>IF(K147&gt;0,1+COUNTIF(L$144:L146,"&gt;0"),0)</f>
        <v>4</v>
      </c>
      <c r="M147" s="390" t="str">
        <f t="shared" si="135"/>
        <v/>
      </c>
      <c r="N147" s="390" t="str">
        <f t="shared" si="127"/>
        <v>n/a</v>
      </c>
      <c r="O147" s="391">
        <f t="shared" si="128"/>
        <v>0</v>
      </c>
      <c r="P147" s="390">
        <f t="shared" si="134"/>
        <v>1</v>
      </c>
      <c r="Q147" s="390">
        <f>IF(P147&gt;0,1+COUNTIF(Q$144:Q146,"&gt;0"),0)</f>
        <v>4</v>
      </c>
      <c r="R147" s="390" t="str">
        <f t="shared" si="136"/>
        <v/>
      </c>
      <c r="S147" s="390" t="str">
        <f t="shared" si="129"/>
        <v>n/a</v>
      </c>
      <c r="T147" s="391">
        <f t="shared" si="130"/>
        <v>0</v>
      </c>
      <c r="X147" s="519" t="s">
        <v>4462</v>
      </c>
      <c r="Y147">
        <v>1</v>
      </c>
      <c r="Z147">
        <f t="shared" si="119"/>
        <v>0</v>
      </c>
      <c r="AA147">
        <f t="shared" si="120"/>
        <v>0</v>
      </c>
      <c r="AB147">
        <f>IF(AA147=0,0,COUNTIF(AB$142:$AB146,"&gt;0")+1)</f>
        <v>0</v>
      </c>
      <c r="AC147" t="str">
        <f t="shared" si="131"/>
        <v/>
      </c>
      <c r="AD147" t="str">
        <f t="shared" si="121"/>
        <v/>
      </c>
      <c r="AH147">
        <f t="shared" si="122"/>
        <v>0</v>
      </c>
      <c r="AI147" t="str">
        <f t="shared" si="123"/>
        <v/>
      </c>
      <c r="AJ147">
        <f t="shared" si="124"/>
        <v>0</v>
      </c>
      <c r="AK147">
        <f>IF(AJ147=0,0,COUNTIF($AK$142:AK146,"&gt;0")+1)</f>
        <v>0</v>
      </c>
      <c r="AL147" t="str">
        <f t="shared" si="132"/>
        <v/>
      </c>
      <c r="AM147" t="str">
        <f t="shared" si="125"/>
        <v/>
      </c>
    </row>
    <row r="148" spans="1:39" ht="16.5" x14ac:dyDescent="0.3">
      <c r="A148" s="155">
        <f>IFERROR(IF(A147+1&lt;MAX(D041_ClassFeatures!$A$2:$A$2033),A147+1,""),"")</f>
        <v>145</v>
      </c>
      <c r="B148" s="153" t="str">
        <f>IFERROR(INDEX(D041_ClassFeatures!$B$2:$B$2033,MATCH(C_Variables!A148,D041_ClassFeatures!$A$2:$A$2033,0),1),"")</f>
        <v>Spellcasting</v>
      </c>
      <c r="C148" s="153">
        <f>IF(B148="",0,IF(IFERROR(MATCH(B148,C_Input!$BC$160:$BC$239,0),0)&gt;0,1,0))</f>
        <v>0</v>
      </c>
      <c r="D148" s="153"/>
      <c r="E148" s="153"/>
      <c r="F148" s="153"/>
      <c r="G148" s="153"/>
      <c r="H148" s="390" t="s">
        <v>4000</v>
      </c>
      <c r="I148" s="391">
        <v>1</v>
      </c>
      <c r="J148" s="391">
        <f t="shared" si="126"/>
        <v>0</v>
      </c>
      <c r="K148" s="390">
        <f t="shared" si="133"/>
        <v>1</v>
      </c>
      <c r="L148" s="390">
        <f>IF(K148&gt;0,1+COUNTIF(L$144:L147,"&gt;0"),0)</f>
        <v>5</v>
      </c>
      <c r="M148" s="390" t="str">
        <f t="shared" si="135"/>
        <v/>
      </c>
      <c r="N148" s="390" t="str">
        <f t="shared" si="127"/>
        <v>n/a</v>
      </c>
      <c r="O148" s="391">
        <f t="shared" si="128"/>
        <v>0</v>
      </c>
      <c r="P148" s="390">
        <f t="shared" si="134"/>
        <v>1</v>
      </c>
      <c r="Q148" s="390">
        <f>IF(P148&gt;0,1+COUNTIF(Q$144:Q147,"&gt;0"),0)</f>
        <v>5</v>
      </c>
      <c r="R148" s="390" t="str">
        <f t="shared" si="136"/>
        <v/>
      </c>
      <c r="S148" s="390" t="str">
        <f t="shared" si="129"/>
        <v>n/a</v>
      </c>
      <c r="T148" s="391">
        <f t="shared" si="130"/>
        <v>0</v>
      </c>
      <c r="X148" s="519" t="s">
        <v>4463</v>
      </c>
      <c r="Y148">
        <v>11</v>
      </c>
      <c r="Z148">
        <f t="shared" si="119"/>
        <v>0</v>
      </c>
      <c r="AA148">
        <f t="shared" si="120"/>
        <v>0</v>
      </c>
      <c r="AB148">
        <f>IF(AA148=0,0,COUNTIF(AB$142:$AB147,"&gt;0")+1)</f>
        <v>0</v>
      </c>
      <c r="AC148" t="str">
        <f t="shared" si="131"/>
        <v/>
      </c>
      <c r="AD148" t="str">
        <f t="shared" si="121"/>
        <v/>
      </c>
      <c r="AH148">
        <f t="shared" si="122"/>
        <v>0</v>
      </c>
      <c r="AI148" t="str">
        <f t="shared" si="123"/>
        <v/>
      </c>
      <c r="AJ148">
        <f t="shared" si="124"/>
        <v>0</v>
      </c>
      <c r="AK148">
        <f>IF(AJ148=0,0,COUNTIF($AK$142:AK147,"&gt;0")+1)</f>
        <v>0</v>
      </c>
      <c r="AL148" t="str">
        <f t="shared" si="132"/>
        <v/>
      </c>
      <c r="AM148" t="str">
        <f t="shared" si="125"/>
        <v/>
      </c>
    </row>
    <row r="149" spans="1:39" ht="16.5" x14ac:dyDescent="0.3">
      <c r="A149" s="155">
        <f>IFERROR(IF(A148+1&lt;MAX(D041_ClassFeatures!$A$2:$A$2033),A148+1,""),"")</f>
        <v>146</v>
      </c>
      <c r="B149" s="153" t="str">
        <f>IFERROR(INDEX(D041_ClassFeatures!$B$2:$B$2033,MATCH(C_Variables!A149,D041_ClassFeatures!$A$2:$A$2033,0),1),"")</f>
        <v>Stillness of Mind</v>
      </c>
      <c r="C149" s="153">
        <f>IF(B149="",0,IF(IFERROR(MATCH(B149,C_Input!$BC$160:$BC$239,0),0)&gt;0,1,0))</f>
        <v>0</v>
      </c>
      <c r="D149" s="153"/>
      <c r="E149" s="153"/>
      <c r="F149" s="153"/>
      <c r="G149" s="153"/>
      <c r="H149" s="390" t="s">
        <v>4001</v>
      </c>
      <c r="I149" s="391">
        <v>1</v>
      </c>
      <c r="J149" s="391">
        <f t="shared" si="126"/>
        <v>0</v>
      </c>
      <c r="K149" s="390">
        <f t="shared" si="133"/>
        <v>1</v>
      </c>
      <c r="L149" s="390">
        <f>IF(K149&gt;0,1+COUNTIF(L$144:L148,"&gt;0"),0)</f>
        <v>6</v>
      </c>
      <c r="M149" s="390" t="str">
        <f t="shared" si="135"/>
        <v/>
      </c>
      <c r="N149" s="390" t="str">
        <f t="shared" si="127"/>
        <v>n/a</v>
      </c>
      <c r="O149" s="391">
        <f t="shared" si="128"/>
        <v>0</v>
      </c>
      <c r="P149" s="390">
        <f t="shared" si="134"/>
        <v>1</v>
      </c>
      <c r="Q149" s="390">
        <f>IF(P149&gt;0,1+COUNTIF(Q$144:Q148,"&gt;0"),0)</f>
        <v>6</v>
      </c>
      <c r="R149" s="390" t="str">
        <f t="shared" si="136"/>
        <v/>
      </c>
      <c r="S149" s="390" t="str">
        <f t="shared" si="129"/>
        <v>n/a</v>
      </c>
      <c r="T149" s="391">
        <f t="shared" si="130"/>
        <v>0</v>
      </c>
      <c r="X149" s="519" t="s">
        <v>4464</v>
      </c>
      <c r="Y149">
        <v>6</v>
      </c>
      <c r="Z149">
        <f t="shared" si="119"/>
        <v>0</v>
      </c>
      <c r="AA149">
        <f t="shared" si="120"/>
        <v>0</v>
      </c>
      <c r="AB149">
        <f>IF(AA149=0,0,COUNTIF(AB$142:$AB148,"&gt;0")+1)</f>
        <v>0</v>
      </c>
      <c r="AC149" t="str">
        <f t="shared" si="131"/>
        <v/>
      </c>
      <c r="AD149" t="str">
        <f t="shared" si="121"/>
        <v/>
      </c>
      <c r="AH149">
        <f t="shared" si="122"/>
        <v>0</v>
      </c>
      <c r="AI149" t="str">
        <f t="shared" si="123"/>
        <v/>
      </c>
      <c r="AJ149">
        <f t="shared" si="124"/>
        <v>0</v>
      </c>
      <c r="AK149">
        <f>IF(AJ149=0,0,COUNTIF($AK$142:AK148,"&gt;0")+1)</f>
        <v>0</v>
      </c>
      <c r="AL149" t="str">
        <f t="shared" si="132"/>
        <v/>
      </c>
      <c r="AM149" t="str">
        <f t="shared" si="125"/>
        <v/>
      </c>
    </row>
    <row r="150" spans="1:39" ht="16.5" x14ac:dyDescent="0.3">
      <c r="A150" s="155">
        <f>IFERROR(IF(A149+1&lt;MAX(D041_ClassFeatures!$A$2:$A$2033),A149+1,""),"")</f>
        <v>147</v>
      </c>
      <c r="B150" s="153" t="str">
        <f>IFERROR(INDEX(D041_ClassFeatures!$B$2:$B$2033,MATCH(C_Variables!A150,D041_ClassFeatures!$A$2:$A$2033,0),1),"")</f>
        <v>Stroke of Luck</v>
      </c>
      <c r="C150" s="153">
        <f>IF(B150="",0,IF(IFERROR(MATCH(B150,C_Input!$BC$160:$BC$239,0),0)&gt;0,1,0))</f>
        <v>0</v>
      </c>
      <c r="D150" s="153"/>
      <c r="E150" s="153"/>
      <c r="F150" s="153"/>
      <c r="G150" s="153"/>
      <c r="H150" s="390" t="s">
        <v>4002</v>
      </c>
      <c r="I150" s="391">
        <v>1</v>
      </c>
      <c r="J150" s="391">
        <f t="shared" si="126"/>
        <v>0</v>
      </c>
      <c r="K150" s="390">
        <f t="shared" si="133"/>
        <v>1</v>
      </c>
      <c r="L150" s="390">
        <f>IF(K150&gt;0,1+COUNTIF(L$144:L149,"&gt;0"),0)</f>
        <v>7</v>
      </c>
      <c r="M150" s="390" t="str">
        <f t="shared" si="135"/>
        <v/>
      </c>
      <c r="N150" s="390" t="str">
        <f t="shared" si="127"/>
        <v>n/a</v>
      </c>
      <c r="O150" s="391">
        <f t="shared" si="128"/>
        <v>0</v>
      </c>
      <c r="P150" s="390">
        <f t="shared" si="134"/>
        <v>1</v>
      </c>
      <c r="Q150" s="390">
        <f>IF(P150&gt;0,1+COUNTIF(Q$144:Q149,"&gt;0"),0)</f>
        <v>7</v>
      </c>
      <c r="R150" s="390" t="str">
        <f t="shared" si="136"/>
        <v/>
      </c>
      <c r="S150" s="390" t="str">
        <f t="shared" si="129"/>
        <v>n/a</v>
      </c>
      <c r="T150" s="391">
        <f t="shared" si="130"/>
        <v>0</v>
      </c>
      <c r="X150" s="519" t="s">
        <v>4465</v>
      </c>
      <c r="Y150">
        <v>11</v>
      </c>
      <c r="Z150">
        <f t="shared" si="119"/>
        <v>0</v>
      </c>
      <c r="AA150">
        <f t="shared" si="120"/>
        <v>0</v>
      </c>
      <c r="AB150">
        <f>IF(AA150=0,0,COUNTIF(AB$142:$AB149,"&gt;0")+1)</f>
        <v>0</v>
      </c>
      <c r="AC150" t="str">
        <f t="shared" si="131"/>
        <v/>
      </c>
      <c r="AD150" t="str">
        <f t="shared" si="121"/>
        <v/>
      </c>
      <c r="AH150">
        <f t="shared" si="122"/>
        <v>0</v>
      </c>
      <c r="AI150" t="str">
        <f t="shared" si="123"/>
        <v/>
      </c>
      <c r="AJ150">
        <f t="shared" si="124"/>
        <v>0</v>
      </c>
      <c r="AK150">
        <f>IF(AJ150=0,0,COUNTIF($AK$142:AK149,"&gt;0")+1)</f>
        <v>0</v>
      </c>
      <c r="AL150" t="str">
        <f t="shared" si="132"/>
        <v/>
      </c>
      <c r="AM150" t="str">
        <f t="shared" si="125"/>
        <v/>
      </c>
    </row>
    <row r="151" spans="1:39" ht="16.5" x14ac:dyDescent="0.3">
      <c r="A151" s="155">
        <f>IFERROR(IF(A150+1&lt;MAX(D041_ClassFeatures!$A$2:$A$2033),A150+1,""),"")</f>
        <v>148</v>
      </c>
      <c r="B151" s="153" t="str">
        <f>IFERROR(INDEX(D041_ClassFeatures!$B$2:$B$2033,MATCH(C_Variables!A151,D041_ClassFeatures!$A$2:$A$2033,0),1),"")</f>
        <v>Stunning Strike</v>
      </c>
      <c r="C151" s="153">
        <f>IF(B151="",0,IF(IFERROR(MATCH(B151,C_Input!$BC$160:$BC$239,0),0)&gt;0,1,0))</f>
        <v>0</v>
      </c>
      <c r="D151" s="153"/>
      <c r="E151" s="153"/>
      <c r="F151" s="153"/>
      <c r="G151" s="153"/>
      <c r="H151" s="390" t="s">
        <v>4003</v>
      </c>
      <c r="I151" s="391">
        <v>1</v>
      </c>
      <c r="J151" s="391">
        <f t="shared" si="126"/>
        <v>0</v>
      </c>
      <c r="K151" s="390">
        <f t="shared" si="133"/>
        <v>1</v>
      </c>
      <c r="L151" s="390">
        <f>IF(K151&gt;0,1+COUNTIF(L$144:L150,"&gt;0"),0)</f>
        <v>8</v>
      </c>
      <c r="M151" s="390" t="str">
        <f t="shared" si="135"/>
        <v/>
      </c>
      <c r="N151" s="390" t="str">
        <f t="shared" si="127"/>
        <v>n/a</v>
      </c>
      <c r="O151" s="391">
        <f t="shared" si="128"/>
        <v>0</v>
      </c>
      <c r="P151" s="390">
        <f t="shared" si="134"/>
        <v>1</v>
      </c>
      <c r="Q151" s="390">
        <f>IF(P151&gt;0,1+COUNTIF(Q$144:Q150,"&gt;0"),0)</f>
        <v>8</v>
      </c>
      <c r="R151" s="390" t="str">
        <f t="shared" si="136"/>
        <v/>
      </c>
      <c r="S151" s="390" t="str">
        <f t="shared" si="129"/>
        <v>n/a</v>
      </c>
      <c r="T151" s="391">
        <f t="shared" si="130"/>
        <v>0</v>
      </c>
      <c r="X151" s="519" t="s">
        <v>4466</v>
      </c>
      <c r="Y151">
        <v>11</v>
      </c>
      <c r="Z151">
        <f t="shared" si="119"/>
        <v>0</v>
      </c>
      <c r="AA151">
        <f t="shared" si="120"/>
        <v>0</v>
      </c>
      <c r="AB151">
        <f>IF(AA151=0,0,COUNTIF(AB$142:$AB150,"&gt;0")+1)</f>
        <v>0</v>
      </c>
      <c r="AC151" t="str">
        <f t="shared" si="131"/>
        <v/>
      </c>
      <c r="AD151" t="str">
        <f t="shared" si="121"/>
        <v/>
      </c>
      <c r="AH151">
        <f t="shared" si="122"/>
        <v>0</v>
      </c>
      <c r="AI151" t="str">
        <f t="shared" si="123"/>
        <v/>
      </c>
      <c r="AJ151">
        <f t="shared" si="124"/>
        <v>0</v>
      </c>
      <c r="AK151">
        <f>IF(AJ151=0,0,COUNTIF($AK$142:AK150,"&gt;0")+1)</f>
        <v>0</v>
      </c>
      <c r="AL151" t="str">
        <f t="shared" si="132"/>
        <v/>
      </c>
      <c r="AM151" t="str">
        <f t="shared" si="125"/>
        <v/>
      </c>
    </row>
    <row r="152" spans="1:39" ht="16.5" x14ac:dyDescent="0.3">
      <c r="A152" s="155">
        <f>IFERROR(IF(A151+1&lt;MAX(D041_ClassFeatures!$A$2:$A$2033),A151+1,""),"")</f>
        <v>149</v>
      </c>
      <c r="B152" s="153" t="str">
        <f>IFERROR(INDEX(D041_ClassFeatures!$B$2:$B$2033,MATCH(C_Variables!A152,D041_ClassFeatures!$A$2:$A$2033,0),1),"")</f>
        <v>Superior Inspiration</v>
      </c>
      <c r="C152" s="153">
        <f>IF(B152="",0,IF(IFERROR(MATCH(B152,C_Input!$BC$160:$BC$239,0),0)&gt;0,1,0))</f>
        <v>0</v>
      </c>
      <c r="D152" s="153"/>
      <c r="E152" s="153"/>
      <c r="F152" s="153"/>
      <c r="G152" s="153"/>
      <c r="H152" s="153"/>
      <c r="I152" s="153"/>
      <c r="J152" s="153"/>
      <c r="X152" s="519" t="s">
        <v>4467</v>
      </c>
      <c r="Y152">
        <v>17</v>
      </c>
      <c r="Z152">
        <f t="shared" si="119"/>
        <v>0</v>
      </c>
      <c r="AA152">
        <f t="shared" si="120"/>
        <v>0</v>
      </c>
      <c r="AB152">
        <f>IF(AA152=0,0,COUNTIF(AB$142:$AB151,"&gt;0")+1)</f>
        <v>0</v>
      </c>
      <c r="AC152" t="str">
        <f t="shared" si="131"/>
        <v/>
      </c>
      <c r="AD152" t="str">
        <f t="shared" si="121"/>
        <v/>
      </c>
      <c r="AH152">
        <f t="shared" si="122"/>
        <v>0</v>
      </c>
      <c r="AI152" t="str">
        <f t="shared" si="123"/>
        <v/>
      </c>
      <c r="AJ152">
        <f t="shared" si="124"/>
        <v>0</v>
      </c>
      <c r="AK152">
        <f>IF(AJ152=0,0,COUNTIF($AK$142:AK151,"&gt;0")+1)</f>
        <v>0</v>
      </c>
      <c r="AL152" t="str">
        <f t="shared" si="132"/>
        <v/>
      </c>
      <c r="AM152" t="str">
        <f t="shared" si="125"/>
        <v/>
      </c>
    </row>
    <row r="153" spans="1:39" ht="16.5" x14ac:dyDescent="0.3">
      <c r="A153" s="155">
        <f>IFERROR(IF(A152+1&lt;MAX(D041_ClassFeatures!$A$2:$A$2033),A152+1,""),"")</f>
        <v>150</v>
      </c>
      <c r="B153" s="153" t="str">
        <f>IFERROR(INDEX(D041_ClassFeatures!$B$2:$B$2033,MATCH(C_Variables!A153,D041_ClassFeatures!$A$2:$A$2033,0),1),"")</f>
        <v>Thieves' Cant</v>
      </c>
      <c r="C153" s="153">
        <f>IF(B153="",0,IF(IFERROR(MATCH(B153,C_Input!$BC$160:$BC$239,0),0)&gt;0,1,0))</f>
        <v>0</v>
      </c>
      <c r="D153" s="153"/>
      <c r="E153" s="153"/>
      <c r="F153" s="153"/>
      <c r="G153" s="153"/>
      <c r="H153" s="153"/>
      <c r="I153" s="153"/>
      <c r="J153" s="153"/>
      <c r="X153" s="519" t="s">
        <v>4468</v>
      </c>
      <c r="Y153">
        <v>1</v>
      </c>
      <c r="Z153">
        <f t="shared" si="119"/>
        <v>0</v>
      </c>
      <c r="AA153">
        <f t="shared" si="120"/>
        <v>0</v>
      </c>
      <c r="AB153">
        <f>IF(AA153=0,0,COUNTIF(AB$142:$AB152,"&gt;0")+1)</f>
        <v>0</v>
      </c>
      <c r="AC153" t="str">
        <f t="shared" si="131"/>
        <v/>
      </c>
      <c r="AD153" t="str">
        <f t="shared" si="121"/>
        <v/>
      </c>
      <c r="AH153">
        <f t="shared" si="122"/>
        <v>0</v>
      </c>
      <c r="AI153" t="str">
        <f t="shared" si="123"/>
        <v/>
      </c>
      <c r="AJ153">
        <f t="shared" si="124"/>
        <v>0</v>
      </c>
      <c r="AK153">
        <f>IF(AJ153=0,0,COUNTIF($AK$142:AK152,"&gt;0")+1)</f>
        <v>0</v>
      </c>
      <c r="AL153" t="str">
        <f t="shared" si="132"/>
        <v/>
      </c>
      <c r="AM153" t="str">
        <f t="shared" si="125"/>
        <v/>
      </c>
    </row>
    <row r="154" spans="1:39" ht="16.5" x14ac:dyDescent="0.3">
      <c r="A154" s="155">
        <f>IFERROR(IF(A153+1&lt;MAX(D041_ClassFeatures!$A$2:$A$2033),A153+1,""),"")</f>
        <v>151</v>
      </c>
      <c r="B154" s="153" t="str">
        <f>IFERROR(INDEX(D041_ClassFeatures!$B$2:$B$2033,MATCH(C_Variables!A154,D041_ClassFeatures!$A$2:$A$2033,0),1),"")</f>
        <v>Timeless Body (monk)</v>
      </c>
      <c r="C154" s="153">
        <f>IF(B154="",0,IF(IFERROR(MATCH(B154,C_Input!$BC$160:$BC$239,0),0)&gt;0,1,0))</f>
        <v>0</v>
      </c>
      <c r="D154" s="153"/>
      <c r="E154" s="153"/>
      <c r="F154" s="153"/>
      <c r="G154" s="153"/>
      <c r="H154" s="153" t="s">
        <v>2278</v>
      </c>
      <c r="I154" s="153"/>
      <c r="J154" s="153"/>
      <c r="X154" s="519" t="s">
        <v>4469</v>
      </c>
      <c r="Y154">
        <v>1</v>
      </c>
      <c r="Z154">
        <f t="shared" si="119"/>
        <v>0</v>
      </c>
      <c r="AA154">
        <f t="shared" si="120"/>
        <v>0</v>
      </c>
      <c r="AB154">
        <f>IF(AA154=0,0,COUNTIF(AB$142:$AB153,"&gt;0")+1)</f>
        <v>0</v>
      </c>
      <c r="AC154" t="str">
        <f t="shared" si="131"/>
        <v/>
      </c>
      <c r="AD154" t="str">
        <f t="shared" si="121"/>
        <v/>
      </c>
      <c r="AH154">
        <f t="shared" si="122"/>
        <v>0</v>
      </c>
      <c r="AI154" t="str">
        <f t="shared" si="123"/>
        <v/>
      </c>
      <c r="AJ154">
        <f t="shared" si="124"/>
        <v>0</v>
      </c>
      <c r="AK154">
        <f>IF(AJ154=0,0,COUNTIF($AK$142:AK153,"&gt;0")+1)</f>
        <v>0</v>
      </c>
      <c r="AL154" t="str">
        <f t="shared" si="132"/>
        <v/>
      </c>
      <c r="AM154" t="str">
        <f t="shared" si="125"/>
        <v/>
      </c>
    </row>
    <row r="155" spans="1:39" ht="17.25" thickBot="1" x14ac:dyDescent="0.35">
      <c r="A155" s="155">
        <f>IFERROR(IF(A154+1&lt;MAX(D041_ClassFeatures!$A$2:$A$2033),A154+1,""),"")</f>
        <v>152</v>
      </c>
      <c r="B155" s="153" t="str">
        <f>IFERROR(INDEX(D041_ClassFeatures!$B$2:$B$2033,MATCH(C_Variables!A155,D041_ClassFeatures!$A$2:$A$2033,0),1),"")</f>
        <v>Timeless Body (druid)</v>
      </c>
      <c r="C155" s="153">
        <f>IF(B155="",0,IF(IFERROR(MATCH(B155,C_Input!$BC$160:$BC$239,0),0)&gt;0,1,0))</f>
        <v>0</v>
      </c>
      <c r="D155" s="153"/>
      <c r="E155" s="153"/>
      <c r="F155" s="153"/>
      <c r="G155" s="153"/>
      <c r="H155" s="153"/>
      <c r="I155" s="153"/>
      <c r="J155" s="153"/>
      <c r="X155" s="519" t="s">
        <v>4470</v>
      </c>
      <c r="Y155">
        <v>1</v>
      </c>
      <c r="Z155">
        <f t="shared" si="119"/>
        <v>0</v>
      </c>
      <c r="AA155">
        <f t="shared" si="120"/>
        <v>0</v>
      </c>
      <c r="AB155">
        <f>IF(AA155=0,0,COUNTIF(AB$142:$AB154,"&gt;0")+1)</f>
        <v>0</v>
      </c>
      <c r="AC155" t="str">
        <f t="shared" si="131"/>
        <v/>
      </c>
      <c r="AD155" t="str">
        <f t="shared" si="121"/>
        <v/>
      </c>
      <c r="AH155">
        <f t="shared" si="122"/>
        <v>0</v>
      </c>
      <c r="AI155" t="str">
        <f t="shared" si="123"/>
        <v/>
      </c>
      <c r="AJ155">
        <f t="shared" si="124"/>
        <v>0</v>
      </c>
      <c r="AK155">
        <f>IF(AJ155=0,0,COUNTIF($AK$142:AK154,"&gt;0")+1)</f>
        <v>0</v>
      </c>
      <c r="AL155" t="str">
        <f t="shared" si="132"/>
        <v/>
      </c>
      <c r="AM155" t="str">
        <f t="shared" si="125"/>
        <v/>
      </c>
    </row>
    <row r="156" spans="1:39" ht="16.5" x14ac:dyDescent="0.3">
      <c r="A156" s="155">
        <f>IFERROR(IF(A155+1&lt;MAX(D041_ClassFeatures!$A$2:$A$2033),A155+1,""),"")</f>
        <v>153</v>
      </c>
      <c r="B156" s="153" t="str">
        <f>IFERROR(INDEX(D041_ClassFeatures!$B$2:$B$2033,MATCH(C_Variables!A156,D041_ClassFeatures!$A$2:$A$2033,0),1),"")</f>
        <v>Tongue of the Sun and Moon</v>
      </c>
      <c r="C156" s="153">
        <f>IF(B156="",0,IF(IFERROR(MATCH(B156,C_Input!$BC$160:$BC$239,0),0)&gt;0,1,0))</f>
        <v>0</v>
      </c>
      <c r="D156" s="153"/>
      <c r="E156" s="153"/>
      <c r="F156" s="153"/>
      <c r="G156" s="153"/>
      <c r="H156" s="176" t="s">
        <v>4483</v>
      </c>
      <c r="I156" s="439">
        <v>1</v>
      </c>
      <c r="J156" s="439">
        <f t="shared" ref="J156:J168" si="137">IF(FavoredEnemy1=H156,1,0)</f>
        <v>0</v>
      </c>
      <c r="K156" s="440">
        <f>$I156-J156</f>
        <v>1</v>
      </c>
      <c r="X156" s="519" t="s">
        <v>4471</v>
      </c>
      <c r="Y156">
        <v>1</v>
      </c>
      <c r="Z156">
        <f t="shared" si="119"/>
        <v>0</v>
      </c>
      <c r="AA156">
        <f t="shared" si="120"/>
        <v>0</v>
      </c>
      <c r="AB156">
        <f>IF(AA156=0,0,COUNTIF(AB$142:$AB155,"&gt;0")+1)</f>
        <v>0</v>
      </c>
      <c r="AC156" t="str">
        <f t="shared" si="131"/>
        <v/>
      </c>
      <c r="AD156" t="str">
        <f t="shared" si="121"/>
        <v/>
      </c>
      <c r="AH156">
        <f t="shared" si="122"/>
        <v>0</v>
      </c>
      <c r="AI156" t="str">
        <f t="shared" si="123"/>
        <v/>
      </c>
      <c r="AJ156">
        <f t="shared" si="124"/>
        <v>0</v>
      </c>
      <c r="AK156">
        <f>IF(AJ156=0,0,COUNTIF($AK$142:AK155,"&gt;0")+1)</f>
        <v>0</v>
      </c>
      <c r="AL156" t="str">
        <f t="shared" si="132"/>
        <v/>
      </c>
      <c r="AM156" t="str">
        <f t="shared" si="125"/>
        <v/>
      </c>
    </row>
    <row r="157" spans="1:39" ht="16.5" x14ac:dyDescent="0.3">
      <c r="A157" s="155">
        <f>IFERROR(IF(A156+1&lt;MAX(D041_ClassFeatures!$A$2:$A$2033),A156+1,""),"")</f>
        <v>154</v>
      </c>
      <c r="B157" s="153" t="str">
        <f>IFERROR(INDEX(D041_ClassFeatures!$B$2:$B$2033,MATCH(C_Variables!A157,D041_ClassFeatures!$A$2:$A$2033,0),1),"")</f>
        <v>Unarmored Defense (con)</v>
      </c>
      <c r="C157" s="153">
        <f>IF(B157="",0,IF(IFERROR(MATCH(B157,C_Input!$BC$160:$BC$239,0),0)&gt;0,1,0))</f>
        <v>0</v>
      </c>
      <c r="D157" s="153"/>
      <c r="E157" s="153"/>
      <c r="F157" s="153"/>
      <c r="G157" s="153"/>
      <c r="H157" s="179" t="s">
        <v>4484</v>
      </c>
      <c r="I157" s="441">
        <v>1</v>
      </c>
      <c r="J157" s="441">
        <f t="shared" si="137"/>
        <v>0</v>
      </c>
      <c r="K157" s="392">
        <f t="shared" ref="K157:K168" si="138">$I157-J157</f>
        <v>1</v>
      </c>
      <c r="X157" s="519" t="s">
        <v>4472</v>
      </c>
      <c r="Y157">
        <v>17</v>
      </c>
      <c r="Z157">
        <f t="shared" si="119"/>
        <v>0</v>
      </c>
      <c r="AA157">
        <f t="shared" si="120"/>
        <v>0</v>
      </c>
      <c r="AB157">
        <f>IF(AA157=0,0,COUNTIF(AB$142:$AB156,"&gt;0")+1)</f>
        <v>0</v>
      </c>
      <c r="AC157" t="str">
        <f t="shared" si="131"/>
        <v/>
      </c>
      <c r="AD157" t="str">
        <f t="shared" si="121"/>
        <v/>
      </c>
      <c r="AH157">
        <f t="shared" si="122"/>
        <v>0</v>
      </c>
      <c r="AI157" t="str">
        <f t="shared" si="123"/>
        <v/>
      </c>
      <c r="AJ157">
        <f t="shared" si="124"/>
        <v>0</v>
      </c>
      <c r="AK157">
        <f>IF(AJ157=0,0,COUNTIF($AK$142:AK156,"&gt;0")+1)</f>
        <v>0</v>
      </c>
      <c r="AL157" t="str">
        <f t="shared" si="132"/>
        <v/>
      </c>
      <c r="AM157" t="str">
        <f t="shared" si="125"/>
        <v/>
      </c>
    </row>
    <row r="158" spans="1:39" ht="16.5" x14ac:dyDescent="0.3">
      <c r="A158" s="155">
        <f>IFERROR(IF(A157+1&lt;MAX(D041_ClassFeatures!$A$2:$A$2033),A157+1,""),"")</f>
        <v>155</v>
      </c>
      <c r="B158" s="153" t="str">
        <f>IFERROR(INDEX(D041_ClassFeatures!$B$2:$B$2033,MATCH(C_Variables!A158,D041_ClassFeatures!$A$2:$A$2033,0),1),"")</f>
        <v>Unarmored Movement</v>
      </c>
      <c r="C158" s="153">
        <f>IF(B158="",0,IF(IFERROR(MATCH(B158,C_Input!$BC$160:$BC$239,0),0)&gt;0,1,0))</f>
        <v>0</v>
      </c>
      <c r="D158" s="153"/>
      <c r="E158" s="153"/>
      <c r="F158" s="153"/>
      <c r="G158" s="153"/>
      <c r="H158" s="179" t="s">
        <v>4485</v>
      </c>
      <c r="I158" s="441">
        <v>1</v>
      </c>
      <c r="J158" s="441">
        <f t="shared" si="137"/>
        <v>0</v>
      </c>
      <c r="K158" s="392">
        <f t="shared" si="138"/>
        <v>1</v>
      </c>
    </row>
    <row r="159" spans="1:39" ht="16.5" x14ac:dyDescent="0.3">
      <c r="A159" s="155">
        <f>IFERROR(IF(A158+1&lt;MAX(D041_ClassFeatures!$A$2:$A$2033),A158+1,""),"")</f>
        <v>156</v>
      </c>
      <c r="B159" s="153" t="str">
        <f>IFERROR(INDEX(D041_ClassFeatures!$B$2:$B$2033,MATCH(C_Variables!A159,D041_ClassFeatures!$A$2:$A$2033,0),1),"")</f>
        <v>Unarmored Movement Improvement</v>
      </c>
      <c r="C159" s="153">
        <f>IF(B159="",0,IF(IFERROR(MATCH(B159,C_Input!$BC$160:$BC$239,0),0)&gt;0,1,0))</f>
        <v>0</v>
      </c>
      <c r="D159" s="153"/>
      <c r="E159" s="153"/>
      <c r="F159" s="153"/>
      <c r="G159" s="153"/>
      <c r="H159" s="179" t="s">
        <v>4486</v>
      </c>
      <c r="I159" s="441">
        <v>1</v>
      </c>
      <c r="J159" s="441">
        <f t="shared" si="137"/>
        <v>0</v>
      </c>
      <c r="K159" s="392">
        <f t="shared" si="138"/>
        <v>1</v>
      </c>
    </row>
    <row r="160" spans="1:39" ht="16.5" x14ac:dyDescent="0.3">
      <c r="A160" s="155">
        <f>IFERROR(IF(A159+1&lt;MAX(D041_ClassFeatures!$A$2:$A$2033),A159+1,""),"")</f>
        <v>157</v>
      </c>
      <c r="B160" s="153" t="str">
        <f>IFERROR(INDEX(D041_ClassFeatures!$B$2:$B$2033,MATCH(C_Variables!A160,D041_ClassFeatures!$A$2:$A$2033,0),1),"")</f>
        <v>Uncanny Dodge</v>
      </c>
      <c r="C160" s="153">
        <f>IF(B160="",0,IF(IFERROR(MATCH(B160,C_Input!$BC$160:$BC$239,0),0)&gt;0,1,0))</f>
        <v>0</v>
      </c>
      <c r="D160" s="153"/>
      <c r="E160" s="153"/>
      <c r="F160" s="153"/>
      <c r="G160" s="153"/>
      <c r="H160" s="179" t="s">
        <v>4487</v>
      </c>
      <c r="I160" s="441">
        <v>1</v>
      </c>
      <c r="J160" s="441">
        <f t="shared" si="137"/>
        <v>0</v>
      </c>
      <c r="K160" s="392">
        <f t="shared" si="138"/>
        <v>1</v>
      </c>
    </row>
    <row r="161" spans="1:25" ht="16.5" x14ac:dyDescent="0.3">
      <c r="A161" s="155">
        <f>IFERROR(IF(A160+1&lt;MAX(D041_ClassFeatures!$A$2:$A$2033),A160+1,""),"")</f>
        <v>158</v>
      </c>
      <c r="B161" s="153" t="str">
        <f>IFERROR(INDEX(D041_ClassFeatures!$B$2:$B$2033,MATCH(C_Variables!A161,D041_ClassFeatures!$A$2:$A$2033,0),1),"")</f>
        <v>Vanish</v>
      </c>
      <c r="C161" s="153">
        <f>IF(B161="",0,IF(IFERROR(MATCH(B161,C_Input!$BC$160:$BC$239,0),0)&gt;0,1,0))</f>
        <v>0</v>
      </c>
      <c r="D161" s="153"/>
      <c r="E161" s="153"/>
      <c r="F161" s="153"/>
      <c r="G161" s="153"/>
      <c r="H161" s="179" t="s">
        <v>4488</v>
      </c>
      <c r="I161" s="441">
        <v>1</v>
      </c>
      <c r="J161" s="441">
        <f t="shared" si="137"/>
        <v>0</v>
      </c>
      <c r="K161" s="392">
        <f t="shared" si="138"/>
        <v>1</v>
      </c>
    </row>
    <row r="162" spans="1:25" ht="16.5" x14ac:dyDescent="0.3">
      <c r="A162" s="155">
        <f>IFERROR(IF(A161+1&lt;MAX(D041_ClassFeatures!$A$2:$A$2033),A161+1,""),"")</f>
        <v>159</v>
      </c>
      <c r="B162" s="153" t="str">
        <f>IFERROR(INDEX(D041_ClassFeatures!$B$2:$B$2033,MATCH(C_Variables!A162,D041_ClassFeatures!$A$2:$A$2033,0),1),"")</f>
        <v>Wild Shape</v>
      </c>
      <c r="C162" s="153">
        <f>IF(B162="",0,IF(IFERROR(MATCH(B162,C_Input!$BC$160:$BC$239,0),0)&gt;0,1,0))</f>
        <v>0</v>
      </c>
      <c r="D162" s="153"/>
      <c r="E162" s="153"/>
      <c r="F162" s="153"/>
      <c r="G162" s="153"/>
      <c r="H162" s="179" t="s">
        <v>4489</v>
      </c>
      <c r="I162" s="441">
        <v>1</v>
      </c>
      <c r="J162" s="441">
        <f t="shared" si="137"/>
        <v>0</v>
      </c>
      <c r="K162" s="392">
        <f t="shared" si="138"/>
        <v>1</v>
      </c>
    </row>
    <row r="163" spans="1:25" ht="16.5" x14ac:dyDescent="0.3">
      <c r="A163" s="155">
        <f>IFERROR(IF(A162+1&lt;MAX(D041_ClassFeatures!$A$2:$A$2033),A162+1,""),"")</f>
        <v>160</v>
      </c>
      <c r="B163" s="153" t="str">
        <f>IFERROR(INDEX(D041_ClassFeatures!$B$2:$B$2033,MATCH(C_Variables!A163,D041_ClassFeatures!$A$2:$A$2033,0),1),"")</f>
        <v>Wild Shape Improvement</v>
      </c>
      <c r="C163" s="153">
        <f>IF(B163="",0,IF(IFERROR(MATCH(B163,C_Input!$BC$160:$BC$239,0),0)&gt;0,1,0))</f>
        <v>0</v>
      </c>
      <c r="D163" s="153"/>
      <c r="E163" s="153"/>
      <c r="F163" s="153"/>
      <c r="G163" s="153"/>
      <c r="H163" s="179" t="s">
        <v>4490</v>
      </c>
      <c r="I163" s="441">
        <v>1</v>
      </c>
      <c r="J163" s="441">
        <f t="shared" si="137"/>
        <v>0</v>
      </c>
      <c r="K163" s="392">
        <f t="shared" si="138"/>
        <v>1</v>
      </c>
    </row>
    <row r="164" spans="1:25" ht="16.5" x14ac:dyDescent="0.3">
      <c r="A164" s="155">
        <f>IFERROR(IF(A163+1&lt;MAX(D041_ClassFeatures!$A$2:$A$2033),A163+1,""),"")</f>
        <v>161</v>
      </c>
      <c r="B164" s="153" t="str">
        <f>IFERROR(INDEX(D041_ClassFeatures!$B$2:$B$2033,MATCH(C_Variables!A164,D041_ClassFeatures!$A$2:$A$2033,0),1),"")</f>
        <v>Frenzy</v>
      </c>
      <c r="C164" s="153">
        <f>IF(B164="",0,IF(IFERROR(MATCH(B164,C_Input!$BC$160:$BC$239,0),0)&gt;0,1,0))</f>
        <v>0</v>
      </c>
      <c r="D164" s="153"/>
      <c r="E164" s="153"/>
      <c r="F164" s="153"/>
      <c r="G164" s="153"/>
      <c r="H164" s="179" t="s">
        <v>4491</v>
      </c>
      <c r="I164" s="441">
        <v>1</v>
      </c>
      <c r="J164" s="441">
        <f t="shared" si="137"/>
        <v>0</v>
      </c>
      <c r="K164" s="392">
        <f t="shared" si="138"/>
        <v>1</v>
      </c>
    </row>
    <row r="165" spans="1:25" ht="16.5" x14ac:dyDescent="0.3">
      <c r="A165" s="155">
        <f>IFERROR(IF(A164+1&lt;MAX(D041_ClassFeatures!$A$2:$A$2033),A164+1,""),"")</f>
        <v>162</v>
      </c>
      <c r="B165" s="153" t="str">
        <f>IFERROR(INDEX(D041_ClassFeatures!$B$2:$B$2033,MATCH(C_Variables!A165,D041_ClassFeatures!$A$2:$A$2033,0),1),"")</f>
        <v>Mindless Rage</v>
      </c>
      <c r="C165" s="153">
        <f>IF(B165="",0,IF(IFERROR(MATCH(B165,C_Input!$BC$160:$BC$239,0),0)&gt;0,1,0))</f>
        <v>0</v>
      </c>
      <c r="D165" s="153"/>
      <c r="E165" s="153"/>
      <c r="F165" s="153"/>
      <c r="G165" s="153"/>
      <c r="H165" s="179" t="s">
        <v>4492</v>
      </c>
      <c r="I165" s="441">
        <v>1</v>
      </c>
      <c r="J165" s="441">
        <f t="shared" si="137"/>
        <v>0</v>
      </c>
      <c r="K165" s="392">
        <f t="shared" si="138"/>
        <v>1</v>
      </c>
    </row>
    <row r="166" spans="1:25" ht="16.5" x14ac:dyDescent="0.3">
      <c r="A166" s="155">
        <f>IFERROR(IF(A165+1&lt;MAX(D041_ClassFeatures!$A$2:$A$2033),A165+1,""),"")</f>
        <v>163</v>
      </c>
      <c r="B166" s="153" t="str">
        <f>IFERROR(INDEX(D041_ClassFeatures!$B$2:$B$2033,MATCH(C_Variables!A166,D041_ClassFeatures!$A$2:$A$2033,0),1),"")</f>
        <v>Intimidating Presence</v>
      </c>
      <c r="C166" s="153">
        <f>IF(B166="",0,IF(IFERROR(MATCH(B166,C_Input!$BC$160:$BC$239,0),0)&gt;0,1,0))</f>
        <v>0</v>
      </c>
      <c r="D166" s="153"/>
      <c r="E166" s="153"/>
      <c r="F166" s="153"/>
      <c r="G166" s="153"/>
      <c r="H166" s="179" t="s">
        <v>4493</v>
      </c>
      <c r="I166" s="441">
        <v>1</v>
      </c>
      <c r="J166" s="441">
        <f t="shared" si="137"/>
        <v>0</v>
      </c>
      <c r="K166" s="392">
        <f t="shared" si="138"/>
        <v>1</v>
      </c>
    </row>
    <row r="167" spans="1:25" ht="16.5" x14ac:dyDescent="0.3">
      <c r="A167" s="155">
        <f>IFERROR(IF(A166+1&lt;MAX(D041_ClassFeatures!$A$2:$A$2033),A166+1,""),"")</f>
        <v>164</v>
      </c>
      <c r="B167" s="153" t="str">
        <f>IFERROR(INDEX(D041_ClassFeatures!$B$2:$B$2033,MATCH(C_Variables!A167,D041_ClassFeatures!$A$2:$A$2033,0),1),"")</f>
        <v>Retaliation</v>
      </c>
      <c r="C167" s="153">
        <f>IF(B167="",0,IF(IFERROR(MATCH(B167,C_Input!$BC$160:$BC$239,0),0)&gt;0,1,0))</f>
        <v>0</v>
      </c>
      <c r="D167" s="153"/>
      <c r="E167" s="153"/>
      <c r="F167" s="153"/>
      <c r="G167" s="153"/>
      <c r="H167" s="179" t="s">
        <v>4494</v>
      </c>
      <c r="I167" s="441">
        <v>1</v>
      </c>
      <c r="J167" s="441">
        <f t="shared" si="137"/>
        <v>0</v>
      </c>
      <c r="K167" s="392">
        <f t="shared" si="138"/>
        <v>1</v>
      </c>
    </row>
    <row r="168" spans="1:25" ht="17.25" thickBot="1" x14ac:dyDescent="0.35">
      <c r="A168" s="155">
        <f>IFERROR(IF(A167+1&lt;MAX(D041_ClassFeatures!$A$2:$A$2033),A167+1,""),"")</f>
        <v>165</v>
      </c>
      <c r="B168" s="153" t="str">
        <f>IFERROR(INDEX(D041_ClassFeatures!$B$2:$B$2033,MATCH(C_Variables!A168,D041_ClassFeatures!$A$2:$A$2033,0),1),"")</f>
        <v>Spirit Seeker</v>
      </c>
      <c r="C168" s="153">
        <f>IF(B168="",0,IF(IFERROR(MATCH(B168,C_Input!$BC$160:$BC$239,0),0)&gt;0,1,0))</f>
        <v>0</v>
      </c>
      <c r="D168" s="153"/>
      <c r="E168" s="153"/>
      <c r="F168" s="153"/>
      <c r="G168" s="153"/>
      <c r="H168" s="181" t="s">
        <v>4495</v>
      </c>
      <c r="I168" s="442">
        <v>1</v>
      </c>
      <c r="J168" s="442">
        <f t="shared" si="137"/>
        <v>0</v>
      </c>
      <c r="K168" s="443">
        <f t="shared" si="138"/>
        <v>1</v>
      </c>
    </row>
    <row r="169" spans="1:25" ht="16.5" x14ac:dyDescent="0.3">
      <c r="A169" s="155">
        <f>IFERROR(IF(A168+1&lt;MAX(D041_ClassFeatures!$A$2:$A$2033),A168+1,""),"")</f>
        <v>166</v>
      </c>
      <c r="B169" s="153" t="str">
        <f>IFERROR(INDEX(D041_ClassFeatures!$B$2:$B$2033,MATCH(C_Variables!A169,D041_ClassFeatures!$A$2:$A$2033,0),1),"")</f>
        <v>Totem Spirit</v>
      </c>
      <c r="C169" s="153">
        <f>IF(B169="",0,IF(IFERROR(MATCH(B169,C_Input!$BC$160:$BC$239,0),0)&gt;0,1,0))</f>
        <v>0</v>
      </c>
      <c r="D169" s="153"/>
      <c r="E169" s="153"/>
      <c r="F169" s="153"/>
      <c r="G169" s="153"/>
      <c r="H169" s="153"/>
      <c r="I169" s="153"/>
      <c r="J169" s="153"/>
    </row>
    <row r="170" spans="1:25" ht="16.5" x14ac:dyDescent="0.3">
      <c r="A170" s="155">
        <f>IFERROR(IF(A169+1&lt;MAX(D041_ClassFeatures!$A$2:$A$2033),A169+1,""),"")</f>
        <v>167</v>
      </c>
      <c r="B170" s="153" t="str">
        <f>IFERROR(INDEX(D041_ClassFeatures!$B$2:$B$2033,MATCH(C_Variables!A170,D041_ClassFeatures!$A$2:$A$2033,0),1),"")</f>
        <v>Aspect of the Beast</v>
      </c>
      <c r="C170" s="153">
        <f>IF(B170="",0,IF(IFERROR(MATCH(B170,C_Input!$BC$160:$BC$239,0),0)&gt;0,1,0))</f>
        <v>0</v>
      </c>
      <c r="D170" s="153"/>
      <c r="E170" s="153"/>
      <c r="F170" s="153"/>
      <c r="G170" s="153"/>
      <c r="H170" s="284" t="s">
        <v>5546</v>
      </c>
      <c r="I170" s="267"/>
      <c r="J170" s="267"/>
      <c r="K170" s="284"/>
      <c r="L170" s="284"/>
      <c r="M170" s="284"/>
      <c r="N170" s="284"/>
      <c r="O170" s="284"/>
      <c r="P170" s="284"/>
      <c r="Q170" s="284"/>
      <c r="R170" s="284"/>
      <c r="S170" s="284"/>
      <c r="T170" s="284"/>
      <c r="U170" s="284"/>
      <c r="V170" s="284"/>
      <c r="W170" s="284"/>
      <c r="X170" s="284"/>
      <c r="Y170" s="284"/>
    </row>
    <row r="171" spans="1:25" ht="16.5" x14ac:dyDescent="0.3">
      <c r="A171" s="155">
        <f>IFERROR(IF(A170+1&lt;MAX(D041_ClassFeatures!$A$2:$A$2033),A170+1,""),"")</f>
        <v>168</v>
      </c>
      <c r="B171" s="153" t="str">
        <f>IFERROR(INDEX(D041_ClassFeatures!$B$2:$B$2033,MATCH(C_Variables!A171,D041_ClassFeatures!$A$2:$A$2033,0),1),"")</f>
        <v>Spirit Walker</v>
      </c>
      <c r="C171" s="153">
        <f>IF(B171="",0,IF(IFERROR(MATCH(B171,C_Input!$BC$160:$BC$239,0),0)&gt;0,1,0))</f>
        <v>0</v>
      </c>
      <c r="D171" s="153"/>
      <c r="E171" s="153"/>
      <c r="F171" s="153"/>
      <c r="G171" s="153"/>
      <c r="H171" s="284"/>
      <c r="I171" s="997" t="s">
        <v>5547</v>
      </c>
      <c r="J171" s="997"/>
      <c r="K171" s="998" t="s">
        <v>5548</v>
      </c>
      <c r="L171" s="998"/>
      <c r="M171" s="998"/>
      <c r="N171" s="998"/>
      <c r="O171" s="998"/>
      <c r="P171" s="998" t="s">
        <v>5548</v>
      </c>
      <c r="Q171" s="998"/>
      <c r="R171" s="998"/>
      <c r="S171" s="998"/>
      <c r="T171" s="998"/>
      <c r="U171" s="998" t="s">
        <v>5548</v>
      </c>
      <c r="V171" s="998"/>
      <c r="W171" s="998"/>
      <c r="X171" s="998"/>
      <c r="Y171" s="998"/>
    </row>
    <row r="172" spans="1:25" ht="16.5" x14ac:dyDescent="0.3">
      <c r="A172" s="155">
        <f>IFERROR(IF(A171+1&lt;MAX(D041_ClassFeatures!$A$2:$A$2033),A171+1,""),"")</f>
        <v>169</v>
      </c>
      <c r="B172" s="153" t="str">
        <f>IFERROR(INDEX(D041_ClassFeatures!$B$2:$B$2033,MATCH(C_Variables!A172,D041_ClassFeatures!$A$2:$A$2033,0),1),"")</f>
        <v>Totemic Attunement</v>
      </c>
      <c r="C172" s="153">
        <f>IF(B172="",0,IF(IFERROR(MATCH(B172,C_Input!$BC$160:$BC$239,0),0)&gt;0,1,0))</f>
        <v>0</v>
      </c>
      <c r="D172" s="153"/>
      <c r="E172" s="153"/>
      <c r="F172" s="153"/>
      <c r="G172" s="153"/>
      <c r="H172" s="284" t="s">
        <v>3996</v>
      </c>
      <c r="I172" s="267">
        <v>1</v>
      </c>
      <c r="J172" s="267">
        <f t="shared" ref="J172:J179" si="139">IF(DruidLand1=H172,1,0)</f>
        <v>0</v>
      </c>
      <c r="K172" s="284">
        <f>$I172-J172</f>
        <v>1</v>
      </c>
      <c r="L172" s="284">
        <f>IF(K$172=0,0,1)</f>
        <v>1</v>
      </c>
      <c r="M172" s="284">
        <v>1</v>
      </c>
      <c r="N172" s="284" t="str">
        <f t="shared" ref="N172:N179" si="140">IF(DruidLands&lt;1,"n/a",IFERROR(INDEX($H$172:$H$179,MATCH(M172,L$172:L$179,0),1),""))</f>
        <v>n/a</v>
      </c>
      <c r="O172" s="267">
        <f t="shared" ref="O172:O179" si="141">IF(DruidLand2=$H172,1,0)</f>
        <v>0</v>
      </c>
      <c r="P172" s="284">
        <f>$I172-O172-J172</f>
        <v>1</v>
      </c>
      <c r="Q172" s="284">
        <f>IF(P$172=0,0,1)</f>
        <v>1</v>
      </c>
      <c r="R172" s="284">
        <v>1</v>
      </c>
      <c r="S172" s="284" t="str">
        <f t="shared" ref="S172:S179" si="142">IF(DruidLands&lt;3,"n/a",IFERROR(INDEX($H$172:$H$179,MATCH(R172,Q$172:Q$179,0),1),""))</f>
        <v>n/a</v>
      </c>
      <c r="T172" s="267">
        <f t="shared" ref="T172:T179" si="143">IF(DruidLand3=$H172,1,0)</f>
        <v>0</v>
      </c>
      <c r="U172" s="284">
        <f>I172-J172-O172-T172</f>
        <v>1</v>
      </c>
      <c r="V172" s="284">
        <f>IF(U$172=0,0,1)</f>
        <v>1</v>
      </c>
      <c r="W172" s="284">
        <v>1</v>
      </c>
      <c r="X172" s="284" t="str">
        <f t="shared" ref="X172:X179" si="144">IF(DruidLands&lt;3,"n/a",IFERROR(INDEX($H$172:$H$179,MATCH(W172,V$172:V$179,0),1),""))</f>
        <v>n/a</v>
      </c>
      <c r="Y172" s="267">
        <f t="shared" ref="Y172:Y179" si="145">IF(DruidLand2=$H172,1,0)</f>
        <v>0</v>
      </c>
    </row>
    <row r="173" spans="1:25" ht="16.5" x14ac:dyDescent="0.3">
      <c r="A173" s="155">
        <f>IFERROR(IF(A172+1&lt;MAX(D041_ClassFeatures!$A$2:$A$2033),A172+1,""),"")</f>
        <v>170</v>
      </c>
      <c r="B173" s="153" t="str">
        <f>IFERROR(INDEX(D041_ClassFeatures!$B$2:$B$2033,MATCH(C_Variables!A173,D041_ClassFeatures!$A$2:$A$2033,0),1),"")</f>
        <v>College of Lore: Bonus Proficiencies</v>
      </c>
      <c r="C173" s="153">
        <f>IF(B173="",0,IF(IFERROR(MATCH(B173,C_Input!$BC$160:$BC$239,0),0)&gt;0,1,0))</f>
        <v>0</v>
      </c>
      <c r="D173" s="153"/>
      <c r="E173" s="153"/>
      <c r="F173" s="153"/>
      <c r="G173" s="153"/>
      <c r="H173" s="284" t="s">
        <v>3997</v>
      </c>
      <c r="I173" s="267">
        <v>1</v>
      </c>
      <c r="J173" s="267">
        <f t="shared" si="139"/>
        <v>0</v>
      </c>
      <c r="K173" s="284">
        <f t="shared" ref="K173:K179" si="146">$I173-J173</f>
        <v>1</v>
      </c>
      <c r="L173" s="284">
        <f>IF(K173&gt;0,1+COUNTIF(L172:L$172,"&gt;0"),0)</f>
        <v>2</v>
      </c>
      <c r="M173" s="284" t="str">
        <f t="shared" ref="M173:M179" si="147">IF(DruidLands&lt;2,"",IFERROR(IF(M172&lt;MAX(L$172:L$179),M172+1,""),""))</f>
        <v/>
      </c>
      <c r="N173" s="284" t="str">
        <f t="shared" si="140"/>
        <v>n/a</v>
      </c>
      <c r="O173" s="267">
        <f t="shared" si="141"/>
        <v>0</v>
      </c>
      <c r="P173" s="284">
        <f t="shared" ref="P173:P179" si="148">$I173-O173-J173</f>
        <v>1</v>
      </c>
      <c r="Q173" s="284">
        <f>IF(P173&gt;0,1+COUNTIF(Q172:Q$172,"&gt;0"),0)</f>
        <v>2</v>
      </c>
      <c r="R173" s="284" t="str">
        <f t="shared" ref="R173:R179" si="149">IF(DruidLands&lt;3,"",IFERROR(IF(R172&lt;MAX(Q$172:Q$179),R172+1,""),""))</f>
        <v/>
      </c>
      <c r="S173" s="284" t="str">
        <f t="shared" si="142"/>
        <v>n/a</v>
      </c>
      <c r="T173" s="267">
        <f t="shared" si="143"/>
        <v>0</v>
      </c>
      <c r="U173" s="284">
        <f t="shared" ref="U173:U179" si="150">I173-J173-O173-T173</f>
        <v>1</v>
      </c>
      <c r="V173" s="284">
        <f>IF(U173&gt;0,1+COUNTIF(V172:V$172,"&gt;0"),0)</f>
        <v>2</v>
      </c>
      <c r="W173" s="284" t="str">
        <f t="shared" ref="W173:W179" si="151">IF(DruidLands&lt;4,"",IFERROR(IF(W172&lt;MAX(V$172:V$179),W172+1,""),""))</f>
        <v/>
      </c>
      <c r="X173" s="284" t="str">
        <f t="shared" si="144"/>
        <v>n/a</v>
      </c>
      <c r="Y173" s="267">
        <f t="shared" si="145"/>
        <v>0</v>
      </c>
    </row>
    <row r="174" spans="1:25" ht="16.5" x14ac:dyDescent="0.3">
      <c r="A174" s="155">
        <f>IFERROR(IF(A173+1&lt;MAX(D041_ClassFeatures!$A$2:$A$2033),A173+1,""),"")</f>
        <v>171</v>
      </c>
      <c r="B174" s="153" t="str">
        <f>IFERROR(INDEX(D041_ClassFeatures!$B$2:$B$2033,MATCH(C_Variables!A174,D041_ClassFeatures!$A$2:$A$2033,0),1),"")</f>
        <v>Cutting Words</v>
      </c>
      <c r="C174" s="153">
        <f>IF(B174="",0,IF(IFERROR(MATCH(B174,C_Input!$BC$160:$BC$239,0),0)&gt;0,1,0))</f>
        <v>0</v>
      </c>
      <c r="D174" s="153"/>
      <c r="E174" s="153"/>
      <c r="F174" s="153"/>
      <c r="G174" s="153"/>
      <c r="H174" s="284" t="s">
        <v>3998</v>
      </c>
      <c r="I174" s="267">
        <v>1</v>
      </c>
      <c r="J174" s="267">
        <f t="shared" si="139"/>
        <v>0</v>
      </c>
      <c r="K174" s="284">
        <f t="shared" si="146"/>
        <v>1</v>
      </c>
      <c r="L174" s="284">
        <f>IF(K174&gt;0,1+COUNTIF(L$172:L173,"&gt;0"),0)</f>
        <v>3</v>
      </c>
      <c r="M174" s="284" t="str">
        <f t="shared" si="147"/>
        <v/>
      </c>
      <c r="N174" s="284" t="str">
        <f t="shared" si="140"/>
        <v>n/a</v>
      </c>
      <c r="O174" s="267">
        <f t="shared" si="141"/>
        <v>0</v>
      </c>
      <c r="P174" s="284">
        <f t="shared" si="148"/>
        <v>1</v>
      </c>
      <c r="Q174" s="284">
        <f>IF(P174&gt;0,1+COUNTIF(Q$172:Q173,"&gt;0"),0)</f>
        <v>3</v>
      </c>
      <c r="R174" s="284" t="str">
        <f t="shared" si="149"/>
        <v/>
      </c>
      <c r="S174" s="284" t="str">
        <f t="shared" si="142"/>
        <v>n/a</v>
      </c>
      <c r="T174" s="267">
        <f t="shared" si="143"/>
        <v>0</v>
      </c>
      <c r="U174" s="284">
        <f t="shared" si="150"/>
        <v>1</v>
      </c>
      <c r="V174" s="284">
        <f>IF(U174&gt;0,1+COUNTIF(V$172:V173,"&gt;0"),0)</f>
        <v>3</v>
      </c>
      <c r="W174" s="284" t="str">
        <f t="shared" si="151"/>
        <v/>
      </c>
      <c r="X174" s="284" t="str">
        <f t="shared" si="144"/>
        <v>n/a</v>
      </c>
      <c r="Y174" s="267">
        <f t="shared" si="145"/>
        <v>0</v>
      </c>
    </row>
    <row r="175" spans="1:25" ht="16.5" x14ac:dyDescent="0.3">
      <c r="A175" s="155">
        <f>IFERROR(IF(A174+1&lt;MAX(D041_ClassFeatures!$A$2:$A$2033),A174+1,""),"")</f>
        <v>172</v>
      </c>
      <c r="B175" s="153" t="str">
        <f>IFERROR(INDEX(D041_ClassFeatures!$B$2:$B$2033,MATCH(C_Variables!A175,D041_ClassFeatures!$A$2:$A$2033,0),1),"")</f>
        <v>Additional Magical Secrets</v>
      </c>
      <c r="C175" s="153">
        <f>IF(B175="",0,IF(IFERROR(MATCH(B175,C_Input!$BC$160:$BC$239,0),0)&gt;0,1,0))</f>
        <v>0</v>
      </c>
      <c r="D175" s="153"/>
      <c r="E175" s="153"/>
      <c r="F175" s="153"/>
      <c r="G175" s="153"/>
      <c r="H175" s="284" t="s">
        <v>3999</v>
      </c>
      <c r="I175" s="267">
        <v>1</v>
      </c>
      <c r="J175" s="267">
        <f t="shared" si="139"/>
        <v>0</v>
      </c>
      <c r="K175" s="284">
        <f t="shared" si="146"/>
        <v>1</v>
      </c>
      <c r="L175" s="284">
        <f>IF(K175&gt;0,1+COUNTIF(L$172:L174,"&gt;0"),0)</f>
        <v>4</v>
      </c>
      <c r="M175" s="284" t="str">
        <f t="shared" si="147"/>
        <v/>
      </c>
      <c r="N175" s="284" t="str">
        <f t="shared" si="140"/>
        <v>n/a</v>
      </c>
      <c r="O175" s="267">
        <f t="shared" si="141"/>
        <v>0</v>
      </c>
      <c r="P175" s="284">
        <f t="shared" si="148"/>
        <v>1</v>
      </c>
      <c r="Q175" s="284">
        <f>IF(P175&gt;0,1+COUNTIF(Q$172:Q174,"&gt;0"),0)</f>
        <v>4</v>
      </c>
      <c r="R175" s="284" t="str">
        <f t="shared" si="149"/>
        <v/>
      </c>
      <c r="S175" s="284" t="str">
        <f t="shared" si="142"/>
        <v>n/a</v>
      </c>
      <c r="T175" s="267">
        <f t="shared" si="143"/>
        <v>0</v>
      </c>
      <c r="U175" s="284">
        <f t="shared" si="150"/>
        <v>1</v>
      </c>
      <c r="V175" s="284">
        <f>IF(U175&gt;0,1+COUNTIF(V$172:V174,"&gt;0"),0)</f>
        <v>4</v>
      </c>
      <c r="W175" s="284" t="str">
        <f t="shared" si="151"/>
        <v/>
      </c>
      <c r="X175" s="284" t="str">
        <f t="shared" si="144"/>
        <v>n/a</v>
      </c>
      <c r="Y175" s="267">
        <f t="shared" si="145"/>
        <v>0</v>
      </c>
    </row>
    <row r="176" spans="1:25" ht="16.5" x14ac:dyDescent="0.3">
      <c r="A176" s="155">
        <f>IFERROR(IF(A175+1&lt;MAX(D041_ClassFeatures!$A$2:$A$2033),A175+1,""),"")</f>
        <v>173</v>
      </c>
      <c r="B176" s="153" t="str">
        <f>IFERROR(INDEX(D041_ClassFeatures!$B$2:$B$2033,MATCH(C_Variables!A176,D041_ClassFeatures!$A$2:$A$2033,0),1),"")</f>
        <v>Peerless Skill</v>
      </c>
      <c r="C176" s="153">
        <f>IF(B176="",0,IF(IFERROR(MATCH(B176,C_Input!$BC$160:$BC$239,0),0)&gt;0,1,0))</f>
        <v>0</v>
      </c>
      <c r="D176" s="153"/>
      <c r="E176" s="153"/>
      <c r="F176" s="153"/>
      <c r="G176" s="153"/>
      <c r="H176" s="284" t="s">
        <v>4000</v>
      </c>
      <c r="I176" s="267">
        <v>1</v>
      </c>
      <c r="J176" s="267">
        <f t="shared" si="139"/>
        <v>0</v>
      </c>
      <c r="K176" s="284">
        <f t="shared" si="146"/>
        <v>1</v>
      </c>
      <c r="L176" s="284">
        <f>IF(K176&gt;0,1+COUNTIF(L$172:L175,"&gt;0"),0)</f>
        <v>5</v>
      </c>
      <c r="M176" s="284" t="str">
        <f t="shared" si="147"/>
        <v/>
      </c>
      <c r="N176" s="284" t="str">
        <f t="shared" si="140"/>
        <v>n/a</v>
      </c>
      <c r="O176" s="267">
        <f t="shared" si="141"/>
        <v>0</v>
      </c>
      <c r="P176" s="284">
        <f t="shared" si="148"/>
        <v>1</v>
      </c>
      <c r="Q176" s="284">
        <f>IF(P176&gt;0,1+COUNTIF(Q$172:Q175,"&gt;0"),0)</f>
        <v>5</v>
      </c>
      <c r="R176" s="284" t="str">
        <f t="shared" si="149"/>
        <v/>
      </c>
      <c r="S176" s="284" t="str">
        <f t="shared" si="142"/>
        <v>n/a</v>
      </c>
      <c r="T176" s="267">
        <f t="shared" si="143"/>
        <v>0</v>
      </c>
      <c r="U176" s="284">
        <f t="shared" si="150"/>
        <v>1</v>
      </c>
      <c r="V176" s="284">
        <f>IF(U176&gt;0,1+COUNTIF(V$172:V175,"&gt;0"),0)</f>
        <v>5</v>
      </c>
      <c r="W176" s="284" t="str">
        <f t="shared" si="151"/>
        <v/>
      </c>
      <c r="X176" s="284" t="str">
        <f t="shared" si="144"/>
        <v>n/a</v>
      </c>
      <c r="Y176" s="267">
        <f t="shared" si="145"/>
        <v>0</v>
      </c>
    </row>
    <row r="177" spans="1:149" ht="16.5" x14ac:dyDescent="0.3">
      <c r="A177" s="155">
        <f>IFERROR(IF(A176+1&lt;MAX(D041_ClassFeatures!$A$2:$A$2033),A176+1,""),"")</f>
        <v>174</v>
      </c>
      <c r="B177" s="153" t="str">
        <f>IFERROR(INDEX(D041_ClassFeatures!$B$2:$B$2033,MATCH(C_Variables!A177,D041_ClassFeatures!$A$2:$A$2033,0),1),"")</f>
        <v>College of Valor: Bonus Proficiencies</v>
      </c>
      <c r="C177" s="153">
        <f>IF(B177="",0,IF(IFERROR(MATCH(B177,C_Input!$BC$160:$BC$239,0),0)&gt;0,1,0))</f>
        <v>0</v>
      </c>
      <c r="D177" s="153"/>
      <c r="E177" s="153"/>
      <c r="F177" s="153"/>
      <c r="G177" s="153"/>
      <c r="H177" s="284" t="s">
        <v>4001</v>
      </c>
      <c r="I177" s="267">
        <v>1</v>
      </c>
      <c r="J177" s="267">
        <f t="shared" si="139"/>
        <v>0</v>
      </c>
      <c r="K177" s="284">
        <f t="shared" si="146"/>
        <v>1</v>
      </c>
      <c r="L177" s="284">
        <f>IF(K177&gt;0,1+COUNTIF(L$172:L176,"&gt;0"),0)</f>
        <v>6</v>
      </c>
      <c r="M177" s="284" t="str">
        <f t="shared" si="147"/>
        <v/>
      </c>
      <c r="N177" s="284" t="str">
        <f t="shared" si="140"/>
        <v>n/a</v>
      </c>
      <c r="O177" s="267">
        <f t="shared" si="141"/>
        <v>0</v>
      </c>
      <c r="P177" s="284">
        <f t="shared" si="148"/>
        <v>1</v>
      </c>
      <c r="Q177" s="284">
        <f>IF(P177&gt;0,1+COUNTIF(Q$172:Q176,"&gt;0"),0)</f>
        <v>6</v>
      </c>
      <c r="R177" s="284" t="str">
        <f t="shared" si="149"/>
        <v/>
      </c>
      <c r="S177" s="284" t="str">
        <f t="shared" si="142"/>
        <v>n/a</v>
      </c>
      <c r="T177" s="267">
        <f t="shared" si="143"/>
        <v>0</v>
      </c>
      <c r="U177" s="284">
        <f t="shared" si="150"/>
        <v>1</v>
      </c>
      <c r="V177" s="284">
        <f>IF(U177&gt;0,1+COUNTIF(V$172:V176,"&gt;0"),0)</f>
        <v>6</v>
      </c>
      <c r="W177" s="284" t="str">
        <f t="shared" si="151"/>
        <v/>
      </c>
      <c r="X177" s="284" t="str">
        <f t="shared" si="144"/>
        <v>n/a</v>
      </c>
      <c r="Y177" s="267">
        <f t="shared" si="145"/>
        <v>0</v>
      </c>
    </row>
    <row r="178" spans="1:149" ht="16.5" x14ac:dyDescent="0.3">
      <c r="A178" s="155">
        <f>IFERROR(IF(A177+1&lt;MAX(D041_ClassFeatures!$A$2:$A$2033),A177+1,""),"")</f>
        <v>175</v>
      </c>
      <c r="B178" s="153" t="str">
        <f>IFERROR(INDEX(D041_ClassFeatures!$B$2:$B$2033,MATCH(C_Variables!A178,D041_ClassFeatures!$A$2:$A$2033,0),1),"")</f>
        <v>Combat Inspiration</v>
      </c>
      <c r="C178" s="153">
        <f>IF(B178="",0,IF(IFERROR(MATCH(B178,C_Input!$BC$160:$BC$239,0),0)&gt;0,1,0))</f>
        <v>0</v>
      </c>
      <c r="D178" s="153"/>
      <c r="E178" s="153"/>
      <c r="F178" s="153"/>
      <c r="G178" s="153"/>
      <c r="H178" s="284" t="s">
        <v>4002</v>
      </c>
      <c r="I178" s="267">
        <v>1</v>
      </c>
      <c r="J178" s="267">
        <f t="shared" si="139"/>
        <v>0</v>
      </c>
      <c r="K178" s="284">
        <f t="shared" si="146"/>
        <v>1</v>
      </c>
      <c r="L178" s="284">
        <f>IF(K178&gt;0,1+COUNTIF(L$172:L177,"&gt;0"),0)</f>
        <v>7</v>
      </c>
      <c r="M178" s="284" t="str">
        <f t="shared" si="147"/>
        <v/>
      </c>
      <c r="N178" s="284" t="str">
        <f t="shared" si="140"/>
        <v>n/a</v>
      </c>
      <c r="O178" s="267">
        <f t="shared" si="141"/>
        <v>0</v>
      </c>
      <c r="P178" s="284">
        <f t="shared" si="148"/>
        <v>1</v>
      </c>
      <c r="Q178" s="284">
        <f>IF(P178&gt;0,1+COUNTIF(Q$172:Q177,"&gt;0"),0)</f>
        <v>7</v>
      </c>
      <c r="R178" s="284" t="str">
        <f t="shared" si="149"/>
        <v/>
      </c>
      <c r="S178" s="284" t="str">
        <f t="shared" si="142"/>
        <v>n/a</v>
      </c>
      <c r="T178" s="267">
        <f t="shared" si="143"/>
        <v>0</v>
      </c>
      <c r="U178" s="284">
        <f t="shared" si="150"/>
        <v>1</v>
      </c>
      <c r="V178" s="284">
        <f>IF(U178&gt;0,1+COUNTIF(V$172:V177,"&gt;0"),0)</f>
        <v>7</v>
      </c>
      <c r="W178" s="284" t="str">
        <f t="shared" si="151"/>
        <v/>
      </c>
      <c r="X178" s="284" t="str">
        <f t="shared" si="144"/>
        <v>n/a</v>
      </c>
      <c r="Y178" s="267">
        <f t="shared" si="145"/>
        <v>0</v>
      </c>
    </row>
    <row r="179" spans="1:149" ht="16.5" x14ac:dyDescent="0.3">
      <c r="A179" s="155">
        <f>IFERROR(IF(A178+1&lt;MAX(D041_ClassFeatures!$A$2:$A$2033),A178+1,""),"")</f>
        <v>176</v>
      </c>
      <c r="B179" s="153" t="str">
        <f>IFERROR(INDEX(D041_ClassFeatures!$B$2:$B$2033,MATCH(C_Variables!A179,D041_ClassFeatures!$A$2:$A$2033,0),1),"")</f>
        <v>Extra Attack</v>
      </c>
      <c r="C179" s="153">
        <f>IF(B179="",0,IF(IFERROR(MATCH(B179,C_Input!$BC$160:$BC$239,0),0)&gt;0,1,0))</f>
        <v>0</v>
      </c>
      <c r="D179" s="153"/>
      <c r="E179" s="153"/>
      <c r="F179" s="153"/>
      <c r="G179" s="153"/>
      <c r="H179" s="284" t="s">
        <v>4003</v>
      </c>
      <c r="I179" s="267">
        <v>1</v>
      </c>
      <c r="J179" s="267">
        <f t="shared" si="139"/>
        <v>0</v>
      </c>
      <c r="K179" s="284">
        <f t="shared" si="146"/>
        <v>1</v>
      </c>
      <c r="L179" s="284">
        <f>IF(K179&gt;0,1+COUNTIF(L$172:L178,"&gt;0"),0)</f>
        <v>8</v>
      </c>
      <c r="M179" s="284" t="str">
        <f t="shared" si="147"/>
        <v/>
      </c>
      <c r="N179" s="284" t="str">
        <f t="shared" si="140"/>
        <v>n/a</v>
      </c>
      <c r="O179" s="267">
        <f t="shared" si="141"/>
        <v>0</v>
      </c>
      <c r="P179" s="284">
        <f t="shared" si="148"/>
        <v>1</v>
      </c>
      <c r="Q179" s="284">
        <f>IF(P179&gt;0,1+COUNTIF(Q$172:Q178,"&gt;0"),0)</f>
        <v>8</v>
      </c>
      <c r="R179" s="284" t="str">
        <f t="shared" si="149"/>
        <v/>
      </c>
      <c r="S179" s="284" t="str">
        <f t="shared" si="142"/>
        <v>n/a</v>
      </c>
      <c r="T179" s="267">
        <f t="shared" si="143"/>
        <v>0</v>
      </c>
      <c r="U179" s="284">
        <f t="shared" si="150"/>
        <v>1</v>
      </c>
      <c r="V179" s="284">
        <f>IF(U179&gt;0,1+COUNTIF(V$172:V178,"&gt;0"),0)</f>
        <v>8</v>
      </c>
      <c r="W179" s="284" t="str">
        <f t="shared" si="151"/>
        <v/>
      </c>
      <c r="X179" s="284" t="str">
        <f t="shared" si="144"/>
        <v>n/a</v>
      </c>
      <c r="Y179" s="267">
        <f t="shared" si="145"/>
        <v>0</v>
      </c>
    </row>
    <row r="180" spans="1:149" ht="16.5" x14ac:dyDescent="0.3">
      <c r="A180" s="155">
        <f>IFERROR(IF(A179+1&lt;MAX(D041_ClassFeatures!$A$2:$A$2033),A179+1,""),"")</f>
        <v>177</v>
      </c>
      <c r="B180" s="153" t="str">
        <f>IFERROR(INDEX(D041_ClassFeatures!$B$2:$B$2033,MATCH(C_Variables!A180,D041_ClassFeatures!$A$2:$A$2033,0),1),"")</f>
        <v>Battle Magic</v>
      </c>
      <c r="C180" s="153">
        <f>IF(B180="",0,IF(IFERROR(MATCH(B180,C_Input!$BC$160:$BC$239,0),0)&gt;0,1,0))</f>
        <v>0</v>
      </c>
      <c r="D180" s="153"/>
      <c r="E180" s="153"/>
      <c r="F180" s="153"/>
      <c r="G180" s="153"/>
      <c r="H180" s="153"/>
      <c r="I180" s="153"/>
      <c r="J180" s="153"/>
    </row>
    <row r="181" spans="1:149" ht="16.5" x14ac:dyDescent="0.3">
      <c r="A181" s="155">
        <f>IFERROR(IF(A180+1&lt;MAX(D041_ClassFeatures!$A$2:$A$2033),A180+1,""),"")</f>
        <v>178</v>
      </c>
      <c r="B181" s="153" t="str">
        <f>IFERROR(INDEX(D041_ClassFeatures!$B$2:$B$2033,MATCH(C_Variables!A181,D041_ClassFeatures!$A$2:$A$2033,0),1),"")</f>
        <v>Blessings of Knowledge</v>
      </c>
      <c r="C181" s="153">
        <f>IF(B181="",0,IF(IFERROR(MATCH(B181,C_Input!$BC$160:$BC$239,0),0)&gt;0,1,0))</f>
        <v>0</v>
      </c>
      <c r="D181" s="153"/>
      <c r="E181" s="153"/>
      <c r="F181" s="153"/>
      <c r="G181" s="153"/>
    </row>
    <row r="182" spans="1:149" ht="16.5" x14ac:dyDescent="0.3">
      <c r="A182" s="155">
        <f>IFERROR(IF(A181+1&lt;MAX(D041_ClassFeatures!$A$2:$A$2033),A181+1,""),"")</f>
        <v>179</v>
      </c>
      <c r="B182" s="153" t="str">
        <f>IFERROR(INDEX(D041_ClassFeatures!$B$2:$B$2033,MATCH(C_Variables!A182,D041_ClassFeatures!$A$2:$A$2033,0),1),"")</f>
        <v>Channel Divinity: Knowledge of the Ages</v>
      </c>
      <c r="C182" s="153">
        <f>IF(B182="",0,IF(IFERROR(MATCH(B182,C_Input!$BC$160:$BC$239,0),0)&gt;0,1,0))</f>
        <v>0</v>
      </c>
      <c r="D182" s="153"/>
      <c r="E182" s="153"/>
      <c r="F182" s="153"/>
      <c r="G182" s="153"/>
    </row>
    <row r="183" spans="1:149" ht="16.5" x14ac:dyDescent="0.3">
      <c r="A183" s="155">
        <f>IFERROR(IF(A182+1&lt;MAX(D041_ClassFeatures!$A$2:$A$2033),A182+1,""),"")</f>
        <v>180</v>
      </c>
      <c r="B183" s="153" t="str">
        <f>IFERROR(INDEX(D041_ClassFeatures!$B$2:$B$2033,MATCH(C_Variables!A183,D041_ClassFeatures!$A$2:$A$2033,0),1),"")</f>
        <v>Channel Divinity: Read Thoughts</v>
      </c>
      <c r="C183" s="153">
        <f>IF(B183="",0,IF(IFERROR(MATCH(B183,C_Input!$BC$160:$BC$239,0),0)&gt;0,1,0))</f>
        <v>0</v>
      </c>
      <c r="D183" s="153"/>
      <c r="E183" s="153"/>
      <c r="F183" s="153"/>
      <c r="G183" s="153"/>
    </row>
    <row r="184" spans="1:149" ht="16.5" x14ac:dyDescent="0.3">
      <c r="A184" s="155">
        <f>IFERROR(IF(A183+1&lt;MAX(D041_ClassFeatures!$A$2:$A$2033),A183+1,""),"")</f>
        <v>181</v>
      </c>
      <c r="B184" s="153" t="str">
        <f>IFERROR(INDEX(D041_ClassFeatures!$B$2:$B$2033,MATCH(C_Variables!A184,D041_ClassFeatures!$A$2:$A$2033,0),1),"")</f>
        <v>Potent Spellcasting (cleric)</v>
      </c>
      <c r="C184" s="153">
        <f>IF(B184="",0,IF(IFERROR(MATCH(B184,C_Input!$BC$160:$BC$239,0),0)&gt;0,1,0))</f>
        <v>0</v>
      </c>
      <c r="D184" s="153"/>
      <c r="E184" s="153"/>
      <c r="F184" s="153"/>
      <c r="G184" s="153"/>
    </row>
    <row r="185" spans="1:149" ht="16.5" x14ac:dyDescent="0.3">
      <c r="A185" s="155">
        <f>IFERROR(IF(A184+1&lt;MAX(D041_ClassFeatures!$A$2:$A$2033),A184+1,""),"")</f>
        <v>182</v>
      </c>
      <c r="B185" s="153" t="str">
        <f>IFERROR(INDEX(D041_ClassFeatures!$B$2:$B$2033,MATCH(C_Variables!A185,D041_ClassFeatures!$A$2:$A$2033,0),1),"")</f>
        <v>Visions of the Past</v>
      </c>
      <c r="C185" s="153">
        <f>IF(B185="",0,IF(IFERROR(MATCH(B185,C_Input!$BC$160:$BC$239,0),0)&gt;0,1,0))</f>
        <v>0</v>
      </c>
      <c r="D185" s="153"/>
      <c r="E185" s="153"/>
      <c r="F185" s="153"/>
      <c r="G185" s="153"/>
    </row>
    <row r="186" spans="1:149" ht="16.5" x14ac:dyDescent="0.3">
      <c r="A186" s="155">
        <f>IFERROR(IF(A185+1&lt;MAX(D041_ClassFeatures!$A$2:$A$2033),A185+1,""),"")</f>
        <v>183</v>
      </c>
      <c r="B186" s="153" t="str">
        <f>IFERROR(INDEX(D041_ClassFeatures!$B$2:$B$2033,MATCH(C_Variables!A186,D041_ClassFeatures!$A$2:$A$2033,0),1),"")</f>
        <v>Life Domain: Bonus Proficiency</v>
      </c>
      <c r="C186" s="153">
        <f>IF(B186="",0,IF(IFERROR(MATCH(B186,C_Input!$BC$160:$BC$239,0),0)&gt;0,1,0))</f>
        <v>0</v>
      </c>
      <c r="D186" s="153"/>
      <c r="E186" s="153"/>
      <c r="F186" s="153"/>
      <c r="G186" s="153"/>
    </row>
    <row r="187" spans="1:149" ht="16.5" x14ac:dyDescent="0.3">
      <c r="A187" s="155">
        <f>IFERROR(IF(A186+1&lt;MAX(D041_ClassFeatures!$A$2:$A$2033),A186+1,""),"")</f>
        <v>184</v>
      </c>
      <c r="B187" s="153" t="str">
        <f>IFERROR(INDEX(D041_ClassFeatures!$B$2:$B$2033,MATCH(C_Variables!A187,D041_ClassFeatures!$A$2:$A$2033,0),1),"")</f>
        <v>Disciple of Life</v>
      </c>
      <c r="C187" s="153">
        <f>IF(B187="",0,IF(IFERROR(MATCH(B187,C_Input!$BC$160:$BC$239,0),0)&gt;0,1,0))</f>
        <v>0</v>
      </c>
      <c r="D187" s="153"/>
      <c r="E187" s="153"/>
      <c r="F187" s="153"/>
      <c r="G187" s="153"/>
    </row>
    <row r="188" spans="1:149" ht="16.5" x14ac:dyDescent="0.3">
      <c r="A188" s="155">
        <f>IFERROR(IF(A187+1&lt;MAX(D041_ClassFeatures!$A$2:$A$2033),A187+1,""),"")</f>
        <v>185</v>
      </c>
      <c r="B188" s="153" t="str">
        <f>IFERROR(INDEX(D041_ClassFeatures!$B$2:$B$2033,MATCH(C_Variables!A188,D041_ClassFeatures!$A$2:$A$2033,0),1),"")</f>
        <v>Channel Divinity: Preserve Life</v>
      </c>
      <c r="C188" s="153">
        <f>IF(B188="",0,IF(IFERROR(MATCH(B188,C_Input!$BC$160:$BC$239,0),0)&gt;0,1,0))</f>
        <v>0</v>
      </c>
      <c r="D188" s="153"/>
      <c r="E188" s="153"/>
      <c r="F188" s="153"/>
      <c r="G188" s="153"/>
    </row>
    <row r="189" spans="1:149" ht="17.25" thickBot="1" x14ac:dyDescent="0.35">
      <c r="A189" s="155">
        <f>IFERROR(IF(A188+1&lt;MAX(D041_ClassFeatures!$A$2:$A$2033),A188+1,""),"")</f>
        <v>186</v>
      </c>
      <c r="B189" s="153" t="str">
        <f>IFERROR(INDEX(D041_ClassFeatures!$B$2:$B$2033,MATCH(C_Variables!A189,D041_ClassFeatures!$A$2:$A$2033,0),1),"")</f>
        <v>Blessed Healer</v>
      </c>
      <c r="C189" s="153">
        <f>IF(B189="",0,IF(IFERROR(MATCH(B189,C_Input!$BC$160:$BC$239,0),0)&gt;0,1,0))</f>
        <v>0</v>
      </c>
      <c r="D189" s="153"/>
      <c r="E189" s="153"/>
      <c r="F189" s="153"/>
      <c r="G189" s="153"/>
    </row>
    <row r="190" spans="1:149" ht="16.5" x14ac:dyDescent="0.3">
      <c r="A190" s="155">
        <f>IFERROR(IF(A189+1&lt;MAX(D041_ClassFeatures!$A$2:$A$2033),A189+1,""),"")</f>
        <v>187</v>
      </c>
      <c r="B190" s="153" t="str">
        <f>IFERROR(INDEX(D041_ClassFeatures!$B$2:$B$2033,MATCH(C_Variables!A190,D041_ClassFeatures!$A$2:$A$2033,0),1),"")</f>
        <v>Divine Strike (radiant)</v>
      </c>
      <c r="C190" s="153">
        <f>IF(B190="",0,IF(IFERROR(MATCH(B190,C_Input!$BC$160:$BC$239,0),0)&gt;0,1,0))</f>
        <v>0</v>
      </c>
      <c r="D190" s="153"/>
      <c r="E190" s="153"/>
      <c r="F190" s="153"/>
      <c r="G190" s="436"/>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c r="BK190" s="177"/>
      <c r="BL190" s="177"/>
      <c r="BM190" s="177"/>
      <c r="BN190" s="177"/>
      <c r="BO190" s="177"/>
      <c r="BP190" s="177"/>
      <c r="BQ190" s="177"/>
      <c r="BR190" s="177"/>
      <c r="BS190" s="177"/>
      <c r="BT190" s="177"/>
      <c r="BU190" s="177"/>
      <c r="BV190" s="177"/>
      <c r="BW190" s="177"/>
      <c r="BX190" s="177"/>
      <c r="BY190" s="177"/>
      <c r="BZ190" s="177"/>
      <c r="CA190" s="177"/>
      <c r="CB190" s="177"/>
      <c r="CC190" s="177"/>
      <c r="CD190" s="177"/>
      <c r="CE190" s="177"/>
      <c r="CF190" s="177"/>
      <c r="CG190" s="177"/>
      <c r="CH190" s="177"/>
      <c r="CI190" s="177"/>
      <c r="CJ190" s="177"/>
      <c r="CK190" s="177"/>
      <c r="CL190" s="177"/>
      <c r="CM190" s="177"/>
      <c r="CN190" s="177"/>
      <c r="CO190" s="177"/>
      <c r="CP190" s="177"/>
      <c r="CQ190" s="177"/>
      <c r="CR190" s="177"/>
      <c r="CS190" s="177"/>
      <c r="CT190" s="177"/>
      <c r="CU190" s="177"/>
      <c r="CV190" s="177"/>
      <c r="CW190" s="177"/>
      <c r="CX190" s="177"/>
      <c r="CY190" s="177"/>
      <c r="CZ190" s="177"/>
      <c r="DA190" s="177"/>
      <c r="DB190" s="177"/>
      <c r="DC190" s="177"/>
      <c r="DD190" s="177"/>
      <c r="DE190" s="177"/>
      <c r="DF190" s="177"/>
      <c r="DG190" s="177"/>
      <c r="DH190" s="177"/>
      <c r="DI190" s="177"/>
      <c r="DJ190" s="177"/>
      <c r="DK190" s="178"/>
    </row>
    <row r="191" spans="1:149" ht="17.25" thickBot="1" x14ac:dyDescent="0.35">
      <c r="A191" s="155">
        <f>IFERROR(IF(A190+1&lt;MAX(D041_ClassFeatures!$A$2:$A$2033),A190+1,""),"")</f>
        <v>188</v>
      </c>
      <c r="B191" s="153" t="str">
        <f>IFERROR(INDEX(D041_ClassFeatures!$B$2:$B$2033,MATCH(C_Variables!A191,D041_ClassFeatures!$A$2:$A$2033,0),1),"")</f>
        <v>Supreme Healing</v>
      </c>
      <c r="C191" s="153">
        <f>IF(B191="",0,IF(IFERROR(MATCH(B191,C_Input!$BC$160:$BC$239,0),0)&gt;0,1,0))</f>
        <v>0</v>
      </c>
      <c r="D191" s="153"/>
      <c r="E191" s="153"/>
      <c r="F191" s="153"/>
      <c r="G191" s="437"/>
      <c r="H191" s="438"/>
      <c r="I191" s="438"/>
      <c r="J191" s="438"/>
      <c r="K191" s="159"/>
      <c r="L191" s="159"/>
      <c r="M191" s="159"/>
      <c r="N191" s="159"/>
      <c r="O191" s="159" t="str">
        <f>IFERROR(INDEX(D04_Classes!N3:N102,SelectedClassID,1),"")</f>
        <v/>
      </c>
      <c r="P191" s="159"/>
      <c r="Q191" s="159"/>
      <c r="R191" s="159"/>
      <c r="S191" s="159"/>
      <c r="T191" s="159"/>
      <c r="U191" s="159"/>
      <c r="V191" s="159"/>
      <c r="W191" s="159"/>
      <c r="X191" s="159"/>
      <c r="Y191" s="159"/>
      <c r="Z191" s="159"/>
      <c r="AA191" s="159"/>
      <c r="AB191" s="159"/>
      <c r="AC191" s="159"/>
      <c r="AD191" s="159"/>
      <c r="AE191" s="159"/>
      <c r="AF191" s="159"/>
      <c r="AG191" s="159">
        <f>IFERROR(INDEX(D01_Races!$AR$2:$AR$101,SelectedRaceID,1),"")</f>
        <v>0</v>
      </c>
      <c r="AH191" s="159"/>
      <c r="AI191" s="159"/>
      <c r="AJ191" s="159"/>
      <c r="AK191" s="159"/>
      <c r="AL191" s="159"/>
      <c r="AM191" s="159"/>
      <c r="AN191" s="159"/>
      <c r="AO191" s="159"/>
      <c r="AP191" s="159"/>
      <c r="AQ191" s="159"/>
      <c r="AR191" s="159">
        <f>COUNTIF(Q214:Q225,"&gt;0")</f>
        <v>0</v>
      </c>
      <c r="AS191" s="159"/>
      <c r="AT191" s="159"/>
      <c r="AU191" s="159"/>
      <c r="AV191" s="159"/>
      <c r="AW191" s="159"/>
      <c r="AX191" s="159"/>
      <c r="AY191" s="159"/>
      <c r="AZ191" s="159"/>
      <c r="BA191" s="159"/>
      <c r="BB191" s="159"/>
      <c r="BC191" s="159"/>
      <c r="BD191" s="159"/>
      <c r="BE191" s="159"/>
      <c r="BF191" s="159"/>
      <c r="BG191" s="159"/>
      <c r="BH191" s="159"/>
      <c r="BI191" s="159"/>
      <c r="BJ191" s="159"/>
      <c r="BK191" s="159"/>
      <c r="BL191" s="159">
        <v>3</v>
      </c>
      <c r="BM191" s="159"/>
      <c r="BN191" s="159"/>
      <c r="BO191" s="159"/>
      <c r="BP191" s="159"/>
      <c r="BQ191" s="159"/>
      <c r="BR191" s="159">
        <v>4</v>
      </c>
      <c r="BS191" s="159"/>
      <c r="BT191" s="159"/>
      <c r="BU191" s="159"/>
      <c r="BV191" s="159"/>
      <c r="BW191" s="159"/>
      <c r="BX191" s="159">
        <v>5</v>
      </c>
      <c r="BY191" s="159"/>
      <c r="BZ191" s="159"/>
      <c r="CA191" s="159"/>
      <c r="CB191" s="159"/>
      <c r="CC191" s="159"/>
      <c r="CD191" s="159">
        <v>6</v>
      </c>
      <c r="CE191" s="159"/>
      <c r="CF191" s="159"/>
      <c r="CG191" s="159"/>
      <c r="CH191" s="159"/>
      <c r="CI191" s="159"/>
      <c r="CJ191" s="159">
        <v>7</v>
      </c>
      <c r="CK191" s="159"/>
      <c r="CL191" s="159"/>
      <c r="CM191" s="159"/>
      <c r="CN191" s="159"/>
      <c r="CO191" s="159"/>
      <c r="CP191" s="159">
        <v>8</v>
      </c>
      <c r="CQ191" s="159"/>
      <c r="CR191" s="159"/>
      <c r="CS191" s="159"/>
      <c r="CT191" s="159"/>
      <c r="CU191" s="159"/>
      <c r="CV191" s="159">
        <v>9</v>
      </c>
      <c r="CW191" s="159"/>
      <c r="CX191" s="159"/>
      <c r="CY191" s="159"/>
      <c r="CZ191" s="159"/>
      <c r="DA191" s="159"/>
      <c r="DB191" s="159">
        <v>10</v>
      </c>
      <c r="DC191" s="159"/>
      <c r="DD191" s="159"/>
      <c r="DE191" s="159"/>
      <c r="DF191" s="159"/>
      <c r="DG191" s="159"/>
      <c r="DH191" s="159">
        <v>11</v>
      </c>
      <c r="DI191" s="159"/>
      <c r="DJ191" s="159"/>
      <c r="DK191" s="180"/>
    </row>
    <row r="192" spans="1:149" ht="18" thickBot="1" x14ac:dyDescent="0.4">
      <c r="A192" s="155">
        <f>IFERROR(IF(A191+1&lt;MAX(D041_ClassFeatures!$A$2:$A$2033),A191+1,""),"")</f>
        <v>189</v>
      </c>
      <c r="B192" s="153" t="str">
        <f>IFERROR(INDEX(D041_ClassFeatures!$B$2:$B$2033,MATCH(C_Variables!A192,D041_ClassFeatures!$A$2:$A$2033,0),1),"")</f>
        <v>Light Domain: Bonus Cantrip</v>
      </c>
      <c r="C192" s="153">
        <f>IF(B192="",0,IF(IFERROR(MATCH(B192,C_Input!$BC$160:$BC$239,0),0)&gt;0,1,0))</f>
        <v>0</v>
      </c>
      <c r="D192" s="153"/>
      <c r="E192" s="153"/>
      <c r="F192" s="153"/>
      <c r="G192" s="437"/>
      <c r="H192" s="438"/>
      <c r="I192" s="1002" t="s">
        <v>2</v>
      </c>
      <c r="J192" s="1003"/>
      <c r="K192" s="422" t="s">
        <v>605</v>
      </c>
      <c r="L192" s="438" t="s">
        <v>6053</v>
      </c>
      <c r="M192" s="1005" t="s">
        <v>6054</v>
      </c>
      <c r="N192" s="1006"/>
      <c r="O192" s="1006"/>
      <c r="P192" s="1006"/>
      <c r="Q192" s="1006"/>
      <c r="R192" s="1005" t="s">
        <v>6055</v>
      </c>
      <c r="S192" s="1006"/>
      <c r="T192" s="1006"/>
      <c r="U192" s="1006"/>
      <c r="V192" s="1006"/>
      <c r="W192" s="1005" t="s">
        <v>6056</v>
      </c>
      <c r="X192" s="1006"/>
      <c r="Y192" s="1006"/>
      <c r="Z192" s="1006"/>
      <c r="AA192" s="1006"/>
      <c r="AB192" s="1005" t="s">
        <v>6057</v>
      </c>
      <c r="AC192" s="1006"/>
      <c r="AD192" s="1006"/>
      <c r="AE192" s="1006"/>
      <c r="AF192" s="1007"/>
      <c r="AG192" s="991" t="s">
        <v>6063</v>
      </c>
      <c r="AH192" s="992"/>
      <c r="AI192" s="992"/>
      <c r="AJ192" s="992"/>
      <c r="AK192" s="993"/>
      <c r="AL192" s="992" t="s">
        <v>6064</v>
      </c>
      <c r="AM192" s="992"/>
      <c r="AN192" s="992"/>
      <c r="AO192" s="992"/>
      <c r="AP192" s="993"/>
      <c r="AQ192" s="983" t="s">
        <v>4130</v>
      </c>
      <c r="AR192" s="984"/>
      <c r="AS192" s="984"/>
      <c r="AT192" s="984"/>
      <c r="AU192" s="984"/>
      <c r="AV192" s="985"/>
      <c r="AW192" s="984" t="s">
        <v>4131</v>
      </c>
      <c r="AX192" s="984"/>
      <c r="AY192" s="984"/>
      <c r="AZ192" s="984"/>
      <c r="BA192" s="984"/>
      <c r="BB192" s="985"/>
      <c r="BC192" s="984" t="s">
        <v>4132</v>
      </c>
      <c r="BD192" s="984"/>
      <c r="BE192" s="984"/>
      <c r="BF192" s="984"/>
      <c r="BG192" s="984"/>
      <c r="BH192" s="985"/>
      <c r="BI192" s="984" t="s">
        <v>4133</v>
      </c>
      <c r="BJ192" s="984"/>
      <c r="BK192" s="984"/>
      <c r="BL192" s="984"/>
      <c r="BM192" s="984"/>
      <c r="BN192" s="985"/>
      <c r="BO192" s="984" t="s">
        <v>6058</v>
      </c>
      <c r="BP192" s="984"/>
      <c r="BQ192" s="984"/>
      <c r="BR192" s="984"/>
      <c r="BS192" s="984"/>
      <c r="BT192" s="985"/>
      <c r="BU192" s="984" t="s">
        <v>6059</v>
      </c>
      <c r="BV192" s="984"/>
      <c r="BW192" s="984"/>
      <c r="BX192" s="984"/>
      <c r="BY192" s="984"/>
      <c r="BZ192" s="985"/>
      <c r="CA192" s="984" t="s">
        <v>6060</v>
      </c>
      <c r="CB192" s="984"/>
      <c r="CC192" s="984"/>
      <c r="CD192" s="984"/>
      <c r="CE192" s="984"/>
      <c r="CF192" s="985"/>
      <c r="CG192" s="984" t="s">
        <v>6061</v>
      </c>
      <c r="CH192" s="984"/>
      <c r="CI192" s="984"/>
      <c r="CJ192" s="984"/>
      <c r="CK192" s="984"/>
      <c r="CL192" s="985"/>
      <c r="CM192" s="984" t="s">
        <v>6062</v>
      </c>
      <c r="CN192" s="984"/>
      <c r="CO192" s="984"/>
      <c r="CP192" s="984"/>
      <c r="CQ192" s="984"/>
      <c r="CR192" s="985"/>
      <c r="CS192" s="984" t="s">
        <v>6146</v>
      </c>
      <c r="CT192" s="984"/>
      <c r="CU192" s="984"/>
      <c r="CV192" s="984"/>
      <c r="CW192" s="984"/>
      <c r="CX192" s="985"/>
      <c r="CY192" s="984" t="s">
        <v>6147</v>
      </c>
      <c r="CZ192" s="984"/>
      <c r="DA192" s="984"/>
      <c r="DB192" s="984"/>
      <c r="DC192" s="984"/>
      <c r="DD192" s="985"/>
      <c r="DE192" s="984" t="s">
        <v>6148</v>
      </c>
      <c r="DF192" s="984"/>
      <c r="DG192" s="984"/>
      <c r="DH192" s="984"/>
      <c r="DI192" s="984"/>
      <c r="DJ192" s="985"/>
      <c r="DK192" s="178"/>
      <c r="DP192" s="431"/>
      <c r="DQ192" s="431"/>
      <c r="DR192" s="431"/>
      <c r="DS192" s="431"/>
      <c r="DT192" s="431"/>
      <c r="DU192" s="431"/>
      <c r="DV192" s="431"/>
      <c r="DW192" s="431"/>
      <c r="DX192" s="431"/>
      <c r="DY192" s="431"/>
      <c r="DZ192" s="431"/>
      <c r="EA192" s="431"/>
      <c r="EB192" s="431"/>
      <c r="EC192" s="431"/>
      <c r="ED192" s="431"/>
      <c r="EE192" s="431"/>
      <c r="EF192" s="431"/>
      <c r="EG192" s="431"/>
      <c r="EH192" s="431"/>
      <c r="EI192" s="431"/>
      <c r="EJ192" s="431"/>
      <c r="EK192" s="431"/>
      <c r="EL192" s="431"/>
      <c r="EM192" s="431"/>
      <c r="EN192" s="431"/>
      <c r="EO192" s="431"/>
      <c r="EP192" s="431"/>
      <c r="EQ192" s="431"/>
      <c r="ER192" s="431"/>
      <c r="ES192" s="431"/>
    </row>
    <row r="193" spans="1:115" ht="16.5" x14ac:dyDescent="0.3">
      <c r="A193" s="155">
        <f>IFERROR(IF(A192+1&lt;MAX(D041_ClassFeatures!$A$2:$A$2033),A192+1,""),"")</f>
        <v>190</v>
      </c>
      <c r="B193" s="153" t="str">
        <f>IFERROR(INDEX(D041_ClassFeatures!$B$2:$B$2033,MATCH(C_Variables!A193,D041_ClassFeatures!$A$2:$A$2033,0),1),"")</f>
        <v>Warding Flare</v>
      </c>
      <c r="C193" s="153">
        <f>IF(B193="",0,IF(IFERROR(MATCH(B193,C_Input!$BC$160:$BC$239,0),0)&gt;0,1,0))</f>
        <v>0</v>
      </c>
      <c r="D193" s="153"/>
      <c r="E193" s="153"/>
      <c r="F193" s="153"/>
      <c r="G193" s="437"/>
      <c r="H193" s="438" t="s">
        <v>610</v>
      </c>
      <c r="I193" s="425">
        <f t="shared" ref="I193:I210" si="152">IF(SelectedSkill1=H193,1,0)</f>
        <v>0</v>
      </c>
      <c r="J193" s="426">
        <f t="shared" ref="J193:J210" si="153">IF(SelectedSkill2=H193,1,0)</f>
        <v>0</v>
      </c>
      <c r="K193" s="423">
        <f t="shared" ref="K193:K210" si="154">IF(SelectedSkill3=H193,1,0)</f>
        <v>0</v>
      </c>
      <c r="L193" s="194" t="e">
        <f>INDEX(D03_Skills!$D$2:$AP$19,MATCH(H193,D03_Skills!$B$2:$B$19,0),SelectedClassID)</f>
        <v>#N/A</v>
      </c>
      <c r="M193" s="179" t="e">
        <f>IF(L193-I193-J193-K193&gt;0,1,0)</f>
        <v>#N/A</v>
      </c>
      <c r="N193" s="159" t="e">
        <f>IF(M193=0,0,1)</f>
        <v>#N/A</v>
      </c>
      <c r="O193" s="159">
        <v>1</v>
      </c>
      <c r="P193" s="159" t="str">
        <f>IF($O$191&gt;0,IFERROR(INDEX($H$193:$H$210,MATCH(O193,N$193:N$210,0),1),""),"n/a")</f>
        <v/>
      </c>
      <c r="Q193" s="159">
        <f t="shared" ref="Q193:Q210" si="155">IF(SelectedSkill6=$H193,1,0)</f>
        <v>0</v>
      </c>
      <c r="R193" s="179" t="e">
        <f>IF(L193-I193-J193-K193-Q193&gt;0,1,0)</f>
        <v>#N/A</v>
      </c>
      <c r="S193" s="159" t="e">
        <f>IF(R193=0,0,1)</f>
        <v>#N/A</v>
      </c>
      <c r="T193" s="159">
        <v>1</v>
      </c>
      <c r="U193" s="159" t="str">
        <f>IF($O$191&gt;1,IFERROR(INDEX($H$193:$H$210,MATCH(T193,S$193:S$210,0),1),""),"n/a")</f>
        <v/>
      </c>
      <c r="V193" s="159">
        <f t="shared" ref="V193:V210" si="156">IF(SelectedSkill7=$H193,1,0)</f>
        <v>0</v>
      </c>
      <c r="W193" s="179" t="e">
        <f>IF(L193-I193-J193-K193-Q193-V193&gt;0,1,0)</f>
        <v>#N/A</v>
      </c>
      <c r="X193" s="159" t="e">
        <f>IF(W193=0,0,1)</f>
        <v>#N/A</v>
      </c>
      <c r="Y193" s="159">
        <v>1</v>
      </c>
      <c r="Z193" s="159" t="str">
        <f>IF($O$191&gt;2,IFERROR(INDEX($H$193:$H$210,MATCH(Y193,X$193:X$210,0),1),""),"n/a")</f>
        <v/>
      </c>
      <c r="AA193" s="159">
        <f t="shared" ref="AA193:AA210" si="157">IF(SelectedSkill8=$H193,1,0)</f>
        <v>0</v>
      </c>
      <c r="AB193" s="179" t="e">
        <f>IF(L193-I193-J193-K193-Q193-V193-AA193&gt;0,1,0)</f>
        <v>#N/A</v>
      </c>
      <c r="AC193" s="159" t="e">
        <f>IF(AB193=0,0,1)</f>
        <v>#N/A</v>
      </c>
      <c r="AD193" s="159">
        <v>1</v>
      </c>
      <c r="AE193" s="159" t="str">
        <f>IF($O$191&gt;3,IFERROR(INDEX($H$193:$H$210,MATCH(AD193,AC$193:AC$210,0),1),""),"n/a")</f>
        <v/>
      </c>
      <c r="AF193" s="180">
        <f t="shared" ref="AF193:AF210" si="158">IF(SelectedSkill9=$H193,1,0)</f>
        <v>0</v>
      </c>
      <c r="AG193" s="176">
        <f t="shared" ref="AG193:AG210" si="159">IF(1-I193-J193-K193-Q193-V193-AA193-AF193&gt;0,1,0)</f>
        <v>1</v>
      </c>
      <c r="AH193" s="177">
        <f>IF(AG193=0,0,1)</f>
        <v>1</v>
      </c>
      <c r="AI193" s="177">
        <v>1</v>
      </c>
      <c r="AJ193" s="177" t="str">
        <f t="shared" ref="AJ193:AJ210" si="160">IF($AG$191&gt;0,IFERROR(INDEX($H$193:$H$210,MATCH(AI193,AH$193:AH$210,0),1),""),"n/a")</f>
        <v>n/a</v>
      </c>
      <c r="AK193" s="178">
        <f t="shared" ref="AK193:AK210" si="161">IF(SelectedSkill4=$H193,1,0)</f>
        <v>0</v>
      </c>
      <c r="AL193" s="177">
        <f t="shared" ref="AL193:AL210" si="162">IF(1-I193-J193-K193-Q193-V193-AA193-AF193-AK193&gt;0,1,0)</f>
        <v>1</v>
      </c>
      <c r="AM193" s="177">
        <f>IF(AL193=0,0,1)</f>
        <v>1</v>
      </c>
      <c r="AN193" s="177">
        <v>1</v>
      </c>
      <c r="AO193" s="177" t="str">
        <f t="shared" ref="AO193:AO210" si="163">IF($AG$191&gt;0,IFERROR(INDEX($H$193:$H$210,MATCH(AN193,AM$193:AM$210,0),1),""),"n/a")</f>
        <v>n/a</v>
      </c>
      <c r="AP193" s="178">
        <f t="shared" ref="AP193:AP210" si="164">IF(SelectedSkill5=$H193,1,0)</f>
        <v>0</v>
      </c>
      <c r="AQ193" s="179">
        <f>Y214</f>
        <v>0</v>
      </c>
      <c r="AR193" s="159">
        <f>IF(AQ193-I193-J193-K193-Q193-V193-AA193-AF193-AK193-AP193&gt;0,1,0)</f>
        <v>0</v>
      </c>
      <c r="AS193" s="159">
        <f>IF(AR193=0,0,1)</f>
        <v>0</v>
      </c>
      <c r="AT193" s="159">
        <v>1</v>
      </c>
      <c r="AU193" s="159" t="str">
        <f>IF($AR$191&gt;0,IFERROR(INDEX($H$193:$H$210,MATCH(AT193,AS$193:AS$210,0),1),""),"n/a")</f>
        <v>n/a</v>
      </c>
      <c r="AV193" s="180">
        <f t="shared" ref="AV193:AV210" si="165">IF(SelectedSkill10=$H193,1,0)</f>
        <v>0</v>
      </c>
      <c r="AW193" s="159">
        <f>Z214</f>
        <v>0</v>
      </c>
      <c r="AX193" s="159">
        <f>IF(AW193-I193-J193-K193-Q193-V193-AA193-AF193-AK193-AP193-AV193&gt;0,1,0)</f>
        <v>0</v>
      </c>
      <c r="AY193" s="159">
        <f>IF(AX193=0,0,1)</f>
        <v>0</v>
      </c>
      <c r="AZ193" s="159">
        <v>1</v>
      </c>
      <c r="BA193" s="159" t="str">
        <f>IF($AR$191&gt;1,IFERROR(INDEX($H$193:$H$210,MATCH(AZ193,AY$193:AY$210,0),1),""),"n/a")</f>
        <v>n/a</v>
      </c>
      <c r="BB193" s="180">
        <f t="shared" ref="BB193:BB210" si="166">IF(SelectedSkill11=$H193,1,0)</f>
        <v>0</v>
      </c>
      <c r="BC193" s="159">
        <f>AA214</f>
        <v>0</v>
      </c>
      <c r="BD193" s="159">
        <f>IF(BC193-BB193-I193-J193-K193-Q193-V193-AA193-AF193-AK193-AP193-AV193&gt;0,1,0)</f>
        <v>0</v>
      </c>
      <c r="BE193" s="159">
        <f>IF(BD193=0,0,1)</f>
        <v>0</v>
      </c>
      <c r="BF193" s="159">
        <v>1</v>
      </c>
      <c r="BG193" s="159" t="str">
        <f>IF($AR$191&gt;2,IFERROR(INDEX($H$193:$H$210,MATCH(BF193,BE$193:BE$210,0),1),""),"n/a")</f>
        <v>n/a</v>
      </c>
      <c r="BH193" s="180">
        <f t="shared" ref="BH193:BH210" si="167">IF(SelectedSkill12=$H193,1,0)</f>
        <v>0</v>
      </c>
      <c r="BI193" s="159">
        <f>AB214</f>
        <v>0</v>
      </c>
      <c r="BJ193" s="159">
        <f>IF(BI193-BB193-I193-J193-K193-Q193-V193-AA193-AF193-AK193-AP193-AV193-BH193&gt;0,1,0)</f>
        <v>0</v>
      </c>
      <c r="BK193" s="159">
        <f>IF(BJ193=0,0,1)</f>
        <v>0</v>
      </c>
      <c r="BL193" s="159">
        <v>1</v>
      </c>
      <c r="BM193" s="159" t="str">
        <f>IF($AR$191&gt;BL$191,IFERROR(INDEX($H$193:$H$210,MATCH(BL193,BK$193:BK$210,0),1),""),"n/a")</f>
        <v>n/a</v>
      </c>
      <c r="BN193" s="180">
        <f t="shared" ref="BN193:BN210" si="168">IF(SelectedSkill13=$H193,1,0)</f>
        <v>0</v>
      </c>
      <c r="BO193" s="159">
        <f>AC214</f>
        <v>0</v>
      </c>
      <c r="BP193" s="159">
        <f>IF(BO193-BB193-I193-J193-K193-Q193-V193-AA193-AF193-AK193-AP193-AV193-BH193-BN193&gt;0,1,0)</f>
        <v>0</v>
      </c>
      <c r="BQ193" s="159">
        <f>IF(BP193=0,0,1)</f>
        <v>0</v>
      </c>
      <c r="BR193" s="159">
        <v>1</v>
      </c>
      <c r="BS193" s="159" t="str">
        <f>IF($AR$191&gt;BR$191,IFERROR(INDEX($H$193:$H$210,MATCH(BR193,BQ$193:BQ$210,0),1),""),"n/a")</f>
        <v>n/a</v>
      </c>
      <c r="BT193" s="180">
        <f t="shared" ref="BT193:BT210" si="169">IF(SelectedSkill14=$H193,1,0)</f>
        <v>0</v>
      </c>
      <c r="BU193" s="159">
        <f>AD214</f>
        <v>0</v>
      </c>
      <c r="BV193" s="159">
        <f>IF(BU193-BB193-I193-J193-K193-Q193-V193-AA193-AF193-AK193-AP193-AV193-BH193-BN193-BT193&gt;0,1,0)</f>
        <v>0</v>
      </c>
      <c r="BW193" s="159">
        <f>IF(BV193=0,0,1)</f>
        <v>0</v>
      </c>
      <c r="BX193" s="159">
        <v>1</v>
      </c>
      <c r="BY193" s="159" t="str">
        <f>IF($AR$191&gt;BX$191,IFERROR(INDEX($H$193:$H$210,MATCH(BX193,BW$193:BW$210,0),1),""),"n/a")</f>
        <v>n/a</v>
      </c>
      <c r="BZ193" s="180">
        <f t="shared" ref="BZ193:BZ210" si="170">IF(SelectedSkill15=$H193,1,0)</f>
        <v>0</v>
      </c>
      <c r="CA193" s="159">
        <f>AE214</f>
        <v>0</v>
      </c>
      <c r="CB193" s="159">
        <f>IF(CA193-BB193-I193-J193-K193-Q193-V193-AA193-AF193-AK193-AP193-AV193-BH193-BN193-BT193-BZ193&gt;0,1,0)</f>
        <v>0</v>
      </c>
      <c r="CC193" s="159">
        <f>IF(CB193=0,0,1)</f>
        <v>0</v>
      </c>
      <c r="CD193" s="159">
        <v>1</v>
      </c>
      <c r="CE193" s="159" t="str">
        <f>IF($AR$191&gt;CD$191,IFERROR(INDEX($H$193:$H$210,MATCH(CD193,CC$193:CC$210,0),1),""),"n/a")</f>
        <v>n/a</v>
      </c>
      <c r="CF193" s="180">
        <f t="shared" ref="CF193:CF210" si="171">IF(SelectedSkill16=$H193,1,0)</f>
        <v>0</v>
      </c>
      <c r="CG193" s="159">
        <f>AF214</f>
        <v>0</v>
      </c>
      <c r="CH193" s="159">
        <f>IF(CG193-BB193-I193-J193-K193-Q193-V193-AA193-AF193-AK193-AP193-AV193-BH193-BN193-BT193-BZ193-CF193&gt;0,1,0)</f>
        <v>0</v>
      </c>
      <c r="CI193" s="159">
        <f>IF(CH193=0,0,1)</f>
        <v>0</v>
      </c>
      <c r="CJ193" s="159">
        <v>1</v>
      </c>
      <c r="CK193" s="159" t="str">
        <f>IF($AR$191&gt;CJ$191,IFERROR(INDEX($H$193:$H$210,MATCH(CJ193,CI$193:CI$210,0),1),""),"n/a")</f>
        <v>n/a</v>
      </c>
      <c r="CL193" s="180">
        <f t="shared" ref="CL193:CL210" si="172">IF(SelectedSkill16=$H193,1,0)</f>
        <v>0</v>
      </c>
      <c r="CM193" s="159">
        <f>AG214</f>
        <v>0</v>
      </c>
      <c r="CN193" s="159">
        <f>IF(CM193-BB193-I193-J193-K193-Q193-V193-AA193-AF193-AK193-AP193-AV193-BH193-BN193-BT193-BZ193-CF193-CL193&gt;0,1,0)</f>
        <v>0</v>
      </c>
      <c r="CO193" s="159">
        <f>IF(CN193=0,0,1)</f>
        <v>0</v>
      </c>
      <c r="CP193" s="159">
        <v>1</v>
      </c>
      <c r="CQ193" s="159" t="str">
        <f>IF($AR$191&gt;CP$191,IFERROR(INDEX($H$193:$H$210,MATCH(CP193,CO$193:CO$210,0),1),""),"n/a")</f>
        <v>n/a</v>
      </c>
      <c r="CR193" s="180">
        <f t="shared" ref="CR193:CR210" si="173">IF(SelectedSkill16=$H193,1,0)</f>
        <v>0</v>
      </c>
      <c r="CS193" s="159">
        <f>AH214</f>
        <v>0</v>
      </c>
      <c r="CT193" s="159">
        <f>IF(CS193-BB193-I193-J193-K193-Q193-V193-AA193-AF193-AK193-AP193-AV193-BH193-BN193-BT193-BZ193-CF193-CL193-CR193&gt;0,1,0)</f>
        <v>0</v>
      </c>
      <c r="CU193" s="159">
        <f>AH214</f>
        <v>0</v>
      </c>
      <c r="CV193" s="159">
        <v>1</v>
      </c>
      <c r="CW193" s="159" t="str">
        <f>IF($AR$191&gt;CV$191,IFERROR(INDEX($H$193:$H$210,MATCH(CV193,CU$193:CU$210,0),1),""),"n/a")</f>
        <v>n/a</v>
      </c>
      <c r="CX193" s="180">
        <f t="shared" ref="CX193:CX210" si="174">IF(SelectedSkill16=$H193,1,0)</f>
        <v>0</v>
      </c>
      <c r="CY193" s="159">
        <f>AI214</f>
        <v>0</v>
      </c>
      <c r="CZ193" s="159">
        <f>IF(CY193-BB193-I193-J193-K193-Q193-V193-AA193-AF193-AK193-AP193-AV193-BH193-BN193-BT193-BZ193-CF193-CL193-CR193-CX193&gt;0,1,0)</f>
        <v>0</v>
      </c>
      <c r="DA193" s="159">
        <f>IF(CZ193=0,0,1)</f>
        <v>0</v>
      </c>
      <c r="DB193" s="159">
        <v>1</v>
      </c>
      <c r="DC193" s="159" t="str">
        <f>IF($AR$191&gt;DB$191,IFERROR(INDEX($H$193:$H$210,MATCH(DB193,DA$193:DA$210,0),1),""),"n/a")</f>
        <v>n/a</v>
      </c>
      <c r="DD193" s="180">
        <f t="shared" ref="DD193:DD210" si="175">IF(SelectedSkill16=$H193,1,0)</f>
        <v>0</v>
      </c>
      <c r="DE193" s="159">
        <f>AJ214</f>
        <v>0</v>
      </c>
      <c r="DF193" s="159">
        <f>IF(DE193-DD193-BB193-I193-J193-K193-Q193-V193-AA193-AF193-AK193-AP193-AV193-BH193-BN193-BT193-BZ193-CF193-CL193-CR193-CX193&gt;0,1,0)</f>
        <v>0</v>
      </c>
      <c r="DG193" s="159">
        <f>IF(DF193=0,0,1)</f>
        <v>0</v>
      </c>
      <c r="DH193" s="159">
        <v>1</v>
      </c>
      <c r="DI193" s="159" t="str">
        <f>IF($AR$191&gt;DH$191,IFERROR(INDEX($H$193:$H$210,MATCH(DH193,DG$193:DG$210,0),1),""),"n/a")</f>
        <v>n/a</v>
      </c>
      <c r="DJ193" s="180">
        <f t="shared" ref="DJ193:DJ210" si="176">IF(SelectedSkill16=$H193,1,0)</f>
        <v>0</v>
      </c>
      <c r="DK193" s="180"/>
    </row>
    <row r="194" spans="1:115" ht="16.5" x14ac:dyDescent="0.3">
      <c r="A194" s="155">
        <f>IFERROR(IF(A193+1&lt;MAX(D041_ClassFeatures!$A$2:$A$2033),A193+1,""),"")</f>
        <v>191</v>
      </c>
      <c r="B194" s="153" t="str">
        <f>IFERROR(INDEX(D041_ClassFeatures!$B$2:$B$2033,MATCH(C_Variables!A194,D041_ClassFeatures!$A$2:$A$2033,0),1),"")</f>
        <v>Channel Divinity: Radiance of the Dawn</v>
      </c>
      <c r="C194" s="153">
        <f>IF(B194="",0,IF(IFERROR(MATCH(B194,C_Input!$BC$160:$BC$239,0),0)&gt;0,1,0))</f>
        <v>0</v>
      </c>
      <c r="D194" s="153"/>
      <c r="E194" s="153"/>
      <c r="F194" s="153"/>
      <c r="G194" s="437"/>
      <c r="H194" s="438" t="s">
        <v>79</v>
      </c>
      <c r="I194" s="427">
        <f t="shared" si="152"/>
        <v>0</v>
      </c>
      <c r="J194" s="428">
        <f t="shared" si="153"/>
        <v>0</v>
      </c>
      <c r="K194" s="424">
        <f t="shared" si="154"/>
        <v>0</v>
      </c>
      <c r="L194" s="194" t="e">
        <f>INDEX(D03_Skills!$D$2:$AP$19,MATCH(H194,D03_Skills!$B$2:$B$19,0),SelectedClassID)</f>
        <v>#N/A</v>
      </c>
      <c r="M194" s="179" t="e">
        <f t="shared" ref="M194:M210" si="177">IF(L194-I194-J194-K194&gt;0,1,0)</f>
        <v>#N/A</v>
      </c>
      <c r="N194" s="159" t="e">
        <f>IF(M194=0,0,COUNTIF(N$193:N193,"&gt;0")+1)</f>
        <v>#N/A</v>
      </c>
      <c r="O194" s="159" t="str">
        <f>IFERROR(IF($O$191&gt;0,IF(O193&lt;MAX(N$193:N$210),1+COUNTIF(O$193:O193,"&gt;0"),""),""),"")</f>
        <v/>
      </c>
      <c r="P194" s="159" t="str">
        <f t="shared" ref="P194:P210" si="178">IF($O$191&gt;0,IFERROR(INDEX($H$193:$H$210,MATCH(O194,N$193:N$210,0),1),""),"n/a")</f>
        <v/>
      </c>
      <c r="Q194" s="159">
        <f t="shared" si="155"/>
        <v>0</v>
      </c>
      <c r="R194" s="179" t="e">
        <f t="shared" ref="R194:R210" si="179">IF(L194-I194-J194-K194-Q194&gt;0,1,0)</f>
        <v>#N/A</v>
      </c>
      <c r="S194" s="159" t="e">
        <f>IF(R194=0,0,COUNTIF(S$193:S193,"&gt;0")+1)</f>
        <v>#N/A</v>
      </c>
      <c r="T194" s="159" t="str">
        <f>IFERROR(IF($O$191&gt;1,IF(T193&lt;MAX(S$193:S$210),1+COUNTIF(T$193:T193,"&gt;0"),""),""),"")</f>
        <v/>
      </c>
      <c r="U194" s="159" t="str">
        <f t="shared" ref="U194:U210" si="180">IF($O$191&gt;1,IFERROR(INDEX($H$193:$H$210,MATCH(T194,S$193:S$210,0),1),""),"n/a")</f>
        <v/>
      </c>
      <c r="V194" s="159">
        <f t="shared" si="156"/>
        <v>0</v>
      </c>
      <c r="W194" s="179" t="e">
        <f t="shared" ref="W194:W210" si="181">IF(L194-I194-J194-K194-Q194-V194&gt;0,1,0)</f>
        <v>#N/A</v>
      </c>
      <c r="X194" s="159" t="e">
        <f>IF(W194=0,0,COUNTIF(X$193:X193,"&gt;0")+1)</f>
        <v>#N/A</v>
      </c>
      <c r="Y194" s="159" t="str">
        <f>IFERROR(IF($O$191&gt;2,IF(Y193&lt;MAX(X$193:X$210),1+COUNTIF(Y$193:Y193,"&gt;0"),""),""),"")</f>
        <v/>
      </c>
      <c r="Z194" s="159" t="str">
        <f>IF($O$191&gt;2,IFERROR(INDEX($H$193:$H$210,MATCH(Y194,X$193:X$210,0),1),""),"n/a")</f>
        <v/>
      </c>
      <c r="AA194" s="159">
        <f t="shared" si="157"/>
        <v>0</v>
      </c>
      <c r="AB194" s="179" t="e">
        <f t="shared" ref="AB194:AB210" si="182">IF(L194-I194-J194-K194-Q194-V194-AA194&gt;0,1,0)</f>
        <v>#N/A</v>
      </c>
      <c r="AC194" s="159" t="e">
        <f>IF(AB194=0,0,COUNTIF(AC$193:AC193,"&gt;0")+1)</f>
        <v>#N/A</v>
      </c>
      <c r="AD194" s="159" t="str">
        <f>IFERROR(IF($O$191&gt;3,IF(AD193&lt;MAX(AC$193:AC$210),1+COUNTIF(AD$193:AD193,"&gt;0"),""),""),"")</f>
        <v/>
      </c>
      <c r="AE194" s="159" t="str">
        <f t="shared" ref="AE194:AE210" si="183">IF($O$191&gt;3,IFERROR(INDEX($H$193:$H$210,MATCH(AD194,AC$193:AC$210,0),1),""),"n/a")</f>
        <v/>
      </c>
      <c r="AF194" s="180">
        <f t="shared" si="158"/>
        <v>0</v>
      </c>
      <c r="AG194" s="179">
        <f t="shared" si="159"/>
        <v>1</v>
      </c>
      <c r="AH194" s="159">
        <f>IF(AG194=0,0,COUNTIF(AH$193:AH193,"&gt;0")+1)</f>
        <v>2</v>
      </c>
      <c r="AI194" s="159" t="str">
        <f>IFERROR(IF($AG$191&gt;0,IF(AI193&lt;MAX(AH$193:AH$210),1+COUNTIF(AI$193:AI193,"&gt;0"),""),""),"")</f>
        <v/>
      </c>
      <c r="AJ194" s="159" t="str">
        <f t="shared" si="160"/>
        <v>n/a</v>
      </c>
      <c r="AK194" s="180">
        <f t="shared" si="161"/>
        <v>0</v>
      </c>
      <c r="AL194" s="159">
        <f t="shared" si="162"/>
        <v>1</v>
      </c>
      <c r="AM194" s="159">
        <f>IF(AL194=0,0,COUNTIF(AM$193:AM193,"&gt;0")+1)</f>
        <v>2</v>
      </c>
      <c r="AN194" s="159" t="str">
        <f>IFERROR(IF($AG$191&gt;0,IF(AN193&lt;MAX(AM$193:AM$210),1+COUNTIF(AN$193:AN193,"&gt;0"),""),""),"")</f>
        <v/>
      </c>
      <c r="AO194" s="159" t="str">
        <f t="shared" si="163"/>
        <v>n/a</v>
      </c>
      <c r="AP194" s="180">
        <f t="shared" si="164"/>
        <v>0</v>
      </c>
      <c r="AQ194" s="179">
        <f t="shared" ref="AQ194:AQ210" si="184">Y215</f>
        <v>1</v>
      </c>
      <c r="AR194" s="159">
        <f t="shared" ref="AR194:AR210" si="185">IF(AQ194-I194-J194-K194-Q194-V194-AA194-AF194-AK194-AP194&gt;0,1,0)</f>
        <v>1</v>
      </c>
      <c r="AS194" s="159">
        <f>IF(AR194=0,0,COUNTIF(AS$193:AS193,"&gt;0")+1)</f>
        <v>1</v>
      </c>
      <c r="AT194" s="159" t="str">
        <f>IFERROR(IF($AR$191&gt;0,IF(AT193&lt;MAX(AS$193:AS$210),1+COUNTIF(AT$193:AT193,"&gt;0"),""),""),"")</f>
        <v/>
      </c>
      <c r="AU194" s="159" t="str">
        <f t="shared" ref="AU194:AU210" si="186">IF($AR$191&gt;0,IFERROR(INDEX($H$193:$H$210,MATCH(AT194,AS$193:AS$210,0),1),""),"n/a")</f>
        <v>n/a</v>
      </c>
      <c r="AV194" s="180">
        <f t="shared" si="165"/>
        <v>0</v>
      </c>
      <c r="AW194" s="159">
        <f t="shared" ref="AW194:AW210" si="187">Z215</f>
        <v>0</v>
      </c>
      <c r="AX194" s="159">
        <f t="shared" ref="AX194:AX210" si="188">IF(AW194-I194-J194-K194-Q194-V194-AA194-AF194-AK194-AP194-AV194&gt;0,1,0)</f>
        <v>0</v>
      </c>
      <c r="AY194" s="159">
        <f>IF(AX194=0,0,COUNTIF(AY$193:AY193,"&gt;0")+1)</f>
        <v>0</v>
      </c>
      <c r="AZ194" s="159" t="str">
        <f>IFERROR(IF($AR$191&gt;1,IF(AZ193&lt;MAX(AY$193:AY$210),1+COUNTIF(AZ$193:AZ193,"&gt;0"),""),""),"")</f>
        <v/>
      </c>
      <c r="BA194" s="159" t="str">
        <f t="shared" ref="BA194:BA210" si="189">IF($AR$191&gt;1,IFERROR(INDEX($H$193:$H$210,MATCH(AZ194,AY$193:AY$210,0),1),""),"n/a")</f>
        <v>n/a</v>
      </c>
      <c r="BB194" s="180">
        <f t="shared" si="166"/>
        <v>0</v>
      </c>
      <c r="BC194" s="159">
        <f t="shared" ref="BC194:BC210" si="190">AA215</f>
        <v>0</v>
      </c>
      <c r="BD194" s="159">
        <f t="shared" ref="BD194:BD210" si="191">IF(BC194-BB194-I194-J194-K194-Q194-V194-AA194-AF194-AK194-AP194-AV194&gt;0,1,0)</f>
        <v>0</v>
      </c>
      <c r="BE194" s="159">
        <f>IF(BD194=0,0,COUNTIF(BE$193:BE193,"&gt;0")+1)</f>
        <v>0</v>
      </c>
      <c r="BF194" s="159" t="str">
        <f>IFERROR(IF($AR$191&gt;2,IF(BF193&lt;MAX(BE$193:BE$210),1+COUNTIF(BF$193:BF193,"&gt;0"),""),""),"")</f>
        <v/>
      </c>
      <c r="BG194" s="159" t="str">
        <f t="shared" ref="BG194:BG210" si="192">IF($AR$191&gt;2,IFERROR(INDEX($H$193:$H$210,MATCH(BF194,BE$193:BE$210,0),1),""),"n/a")</f>
        <v>n/a</v>
      </c>
      <c r="BH194" s="180">
        <f t="shared" si="167"/>
        <v>0</v>
      </c>
      <c r="BI194" s="159">
        <f t="shared" ref="BI194:BI210" si="193">AB215</f>
        <v>0</v>
      </c>
      <c r="BJ194" s="159">
        <f t="shared" ref="BJ194:BJ210" si="194">IF(BI194-BB194-I194-J194-K194-Q194-V194-AA194-AF194-AK194-AP194-AV194-BH194&gt;0,1,0)</f>
        <v>0</v>
      </c>
      <c r="BK194" s="159">
        <f>IF(BJ194=0,0,COUNTIF(BK$193:BK193,"&gt;0")+1)</f>
        <v>0</v>
      </c>
      <c r="BL194" s="159" t="str">
        <f>IFERROR(IF($AR$191&gt;BL$191,IF(BL193&lt;MAX(BK$193:BK$210),1+COUNTIF(BL$193:BL193,"&gt;0"),""),""),"")</f>
        <v/>
      </c>
      <c r="BM194" s="159" t="str">
        <f t="shared" ref="BM194:BM210" si="195">IF($AR$191&gt;BL$191,IFERROR(INDEX($H$193:$H$210,MATCH(BL194,BK$193:BK$210,0),1),""),"n/a")</f>
        <v>n/a</v>
      </c>
      <c r="BN194" s="180">
        <f t="shared" si="168"/>
        <v>0</v>
      </c>
      <c r="BO194" s="159">
        <f t="shared" ref="BO194:BO210" si="196">AC215</f>
        <v>0</v>
      </c>
      <c r="BP194" s="159">
        <f t="shared" ref="BP194:BP210" si="197">IF(BO194-BB194-I194-J194-K194-Q194-V194-AA194-AF194-AK194-AP194-AV194-BH194-BN194&gt;0,1,0)</f>
        <v>0</v>
      </c>
      <c r="BQ194" s="159">
        <f>IF(BP194=0,0,COUNTIF(BQ$193:BQ193,"&gt;0")+1)</f>
        <v>0</v>
      </c>
      <c r="BR194" s="159" t="str">
        <f>IFERROR(IF($AR$191&gt;BR$191,IF(BR193&lt;MAX(BQ$193:BQ$210),1+COUNTIF(BR$193:BR193,"&gt;0"),""),""),"")</f>
        <v/>
      </c>
      <c r="BS194" s="159" t="str">
        <f t="shared" ref="BS194:BS210" si="198">IF($AR$191&gt;BR$191,IFERROR(INDEX($H$193:$H$210,MATCH(BR194,BQ$193:BQ$210,0),1),""),"n/a")</f>
        <v>n/a</v>
      </c>
      <c r="BT194" s="180">
        <f t="shared" si="169"/>
        <v>0</v>
      </c>
      <c r="BU194" s="159">
        <f t="shared" ref="BU194:BU210" si="199">AD215</f>
        <v>0</v>
      </c>
      <c r="BV194" s="159">
        <f t="shared" ref="BV194:BV210" si="200">IF(BU194-BB194-I194-J194-K194-Q194-V194-AA194-AF194-AK194-AP194-AV194-BH194-BN194-BT194&gt;0,1,0)</f>
        <v>0</v>
      </c>
      <c r="BW194" s="159">
        <f>IF(BV194=0,0,COUNTIF(BW$193:BW193,"&gt;0")+1)</f>
        <v>0</v>
      </c>
      <c r="BX194" s="159" t="str">
        <f>IFERROR(IF($AR$191&gt;BX$191,IF(BX193&lt;MAX(BW$193:BW$210),1+COUNTIF(BX$193:BX193,"&gt;0"),""),""),"")</f>
        <v/>
      </c>
      <c r="BY194" s="159" t="str">
        <f t="shared" ref="BY194:BY210" si="201">IF($AR$191&gt;BX$191,IFERROR(INDEX($H$193:$H$210,MATCH(BX194,BW$193:BW$210,0),1),""),"n/a")</f>
        <v>n/a</v>
      </c>
      <c r="BZ194" s="180">
        <f t="shared" si="170"/>
        <v>0</v>
      </c>
      <c r="CA194" s="159">
        <f t="shared" ref="CA194:CA210" si="202">AE215</f>
        <v>0</v>
      </c>
      <c r="CB194" s="159">
        <f t="shared" ref="CB194:CB210" si="203">IF(CA194-BB194-I194-J194-K194-Q194-V194-AA194-AF194-AK194-AP194-AV194-BH194-BN194-BT194-BZ194&gt;0,1,0)</f>
        <v>0</v>
      </c>
      <c r="CC194" s="159">
        <f>IF(CB194=0,0,COUNTIF(CC$193:CC193,"&gt;0")+1)</f>
        <v>0</v>
      </c>
      <c r="CD194" s="159" t="str">
        <f>IFERROR(IF($AR$191&gt;CD$191,IF(CD193&lt;MAX(CC$193:CC$210),1+COUNTIF(CD$193:CD193,"&gt;0"),""),""),"")</f>
        <v/>
      </c>
      <c r="CE194" s="159" t="str">
        <f t="shared" ref="CE194:CE210" si="204">IF($AR$191&gt;CD$191,IFERROR(INDEX($H$193:$H$210,MATCH(CD194,CC$193:CC$210,0),1),""),"n/a")</f>
        <v>n/a</v>
      </c>
      <c r="CF194" s="180">
        <f t="shared" si="171"/>
        <v>0</v>
      </c>
      <c r="CG194" s="159">
        <f t="shared" ref="CG194:CG210" si="205">AF215</f>
        <v>0</v>
      </c>
      <c r="CH194" s="159">
        <f t="shared" ref="CH194:CH210" si="206">IF(CG194-BB194-I194-J194-K194-Q194-V194-AA194-AF194-AK194-AP194-AV194-BH194-BN194-BT194-BZ194-CF194&gt;0,1,0)</f>
        <v>0</v>
      </c>
      <c r="CI194" s="159">
        <f>IF(CH194=0,0,COUNTIF(CI$193:CI193,"&gt;0")+1)</f>
        <v>0</v>
      </c>
      <c r="CJ194" s="159" t="str">
        <f>IFERROR(IF($AR$191&gt;CJ$191,IF(CJ193&lt;MAX(CI$193:CI$210),1+COUNTIF(CJ$193:CJ193,"&gt;0"),""),""),"")</f>
        <v/>
      </c>
      <c r="CK194" s="159" t="str">
        <f t="shared" ref="CK194:CK210" si="207">IF($AR$191&gt;CJ$191,IFERROR(INDEX($H$193:$H$210,MATCH(CJ194,CI$193:CI$210,0),1),""),"n/a")</f>
        <v>n/a</v>
      </c>
      <c r="CL194" s="180">
        <f t="shared" si="172"/>
        <v>0</v>
      </c>
      <c r="CM194" s="159">
        <f t="shared" ref="CM194:CM210" si="208">AG215</f>
        <v>0</v>
      </c>
      <c r="CN194" s="159">
        <f t="shared" ref="CN194:CN210" si="209">IF(CM194-BB194-I194-J194-K194-Q194-V194-AA194-AF194-AK194-AP194-AV194-BH194-BN194-BT194-BZ194-CF194-CL194&gt;0,1,0)</f>
        <v>0</v>
      </c>
      <c r="CO194" s="159">
        <f>IF(CN194=0,0,COUNTIF(CO$193:CO193,"&gt;0")+1)</f>
        <v>0</v>
      </c>
      <c r="CP194" s="159" t="str">
        <f>IFERROR(IF($AR$191&gt;CP$191,IF(CP193&lt;MAX(CO$193:CO$210),1+COUNTIF(CP$193:CP193,"&gt;0"),""),""),"")</f>
        <v/>
      </c>
      <c r="CQ194" s="159" t="str">
        <f t="shared" ref="CQ194:CQ210" si="210">IF($AR$191&gt;CP$191,IFERROR(INDEX($H$193:$H$210,MATCH(CP194,CO$193:CO$210,0),1),""),"n/a")</f>
        <v>n/a</v>
      </c>
      <c r="CR194" s="180">
        <f t="shared" si="173"/>
        <v>0</v>
      </c>
      <c r="CS194" s="159">
        <f t="shared" ref="CS194:CS210" si="211">AH215</f>
        <v>0</v>
      </c>
      <c r="CT194" s="159">
        <f t="shared" ref="CT194:CT210" si="212">IF(CS194-BB194-I194-J194-K194-Q194-V194-AA194-AF194-AK194-AP194-AV194-BH194-BN194-BT194-BZ194-CF194-CL194-CR194&gt;0,1,0)</f>
        <v>0</v>
      </c>
      <c r="CU194" s="159">
        <f>IF(CT194=0,0,COUNTIF(CU$193:CU193,"&gt;0")+1)</f>
        <v>0</v>
      </c>
      <c r="CV194" s="159" t="str">
        <f>IFERROR(IF($AR$191&gt;CV$191,IF(CV193&lt;MAX(CU$193:CU$210),1+COUNTIF(CV$193:CV193,"&gt;0"),""),""),"")</f>
        <v/>
      </c>
      <c r="CW194" s="159" t="str">
        <f t="shared" ref="CW194:CW210" si="213">IF($AR$191&gt;CV$191,IFERROR(INDEX($H$193:$H$210,MATCH(CV194,CU$193:CU$210,0),1),""),"n/a")</f>
        <v>n/a</v>
      </c>
      <c r="CX194" s="180">
        <f t="shared" si="174"/>
        <v>0</v>
      </c>
      <c r="CY194" s="159">
        <f t="shared" ref="CY194:CY210" si="214">AI215</f>
        <v>0</v>
      </c>
      <c r="CZ194" s="159">
        <f t="shared" ref="CZ194:CZ210" si="215">IF(CY194-BB194-I194-J194-K194-Q194-V194-AA194-AF194-AK194-AP194-AV194-BH194-BN194-BT194-BZ194-CF194-CL194-CR194-CX194&gt;0,1,0)</f>
        <v>0</v>
      </c>
      <c r="DA194" s="159">
        <f>IF(CZ194=0,0,COUNTIF(DA$193:DA193,"&gt;0")+1)</f>
        <v>0</v>
      </c>
      <c r="DB194" s="159" t="str">
        <f>IFERROR(IF($AR$191&gt;DB$191,IF(DB193&lt;MAX(DA$193:DA$210),1+COUNTIF(DB$193:DB193,"&gt;0"),""),""),"")</f>
        <v/>
      </c>
      <c r="DC194" s="159" t="str">
        <f t="shared" ref="DC194:DC210" si="216">IF($AR$191&gt;DB$191,IFERROR(INDEX($H$193:$H$210,MATCH(DB194,DA$193:DA$210,0),1),""),"n/a")</f>
        <v>n/a</v>
      </c>
      <c r="DD194" s="180">
        <f t="shared" si="175"/>
        <v>0</v>
      </c>
      <c r="DE194" s="159">
        <f t="shared" ref="DE194:DE210" si="217">AJ215</f>
        <v>0</v>
      </c>
      <c r="DF194" s="159">
        <f t="shared" ref="DF194:DF210" si="218">IF(DE194-DD194-BB194-I194-J194-K194-Q194-V194-AA194-AF194-AK194-AP194-AV194-BH194-BN194-BT194-BZ194-CF194-CL194-CR194-CX194&gt;0,1,0)</f>
        <v>0</v>
      </c>
      <c r="DG194" s="159">
        <f>IF(DF194=0,0,COUNTIF(DG$193:DG193,"&gt;0")+1)</f>
        <v>0</v>
      </c>
      <c r="DH194" s="159" t="str">
        <f>IFERROR(IF($AR$191&gt;DH$191,IF(DH193&lt;MAX(DG$193:DG$210),1+COUNTIF(DH$193:DH193,"&gt;0"),""),""),"")</f>
        <v/>
      </c>
      <c r="DI194" s="159" t="str">
        <f t="shared" ref="DI194:DI210" si="219">IF($AR$191&gt;DH$191,IFERROR(INDEX($H$193:$H$210,MATCH(DH194,DG$193:DG$210,0),1),""),"n/a")</f>
        <v>n/a</v>
      </c>
      <c r="DJ194" s="180">
        <f t="shared" si="176"/>
        <v>0</v>
      </c>
      <c r="DK194" s="180"/>
    </row>
    <row r="195" spans="1:115" ht="16.5" x14ac:dyDescent="0.3">
      <c r="A195" s="155">
        <f>IFERROR(IF(A194+1&lt;MAX(D041_ClassFeatures!$A$2:$A$2033),A194+1,""),"")</f>
        <v>192</v>
      </c>
      <c r="B195" s="153" t="str">
        <f>IFERROR(INDEX(D041_ClassFeatures!$B$2:$B$2033,MATCH(C_Variables!A195,D041_ClassFeatures!$A$2:$A$2033,0),1),"")</f>
        <v>Improved Flare</v>
      </c>
      <c r="C195" s="153">
        <f>IF(B195="",0,IF(IFERROR(MATCH(B195,C_Input!$BC$160:$BC$239,0),0)&gt;0,1,0))</f>
        <v>0</v>
      </c>
      <c r="D195" s="153"/>
      <c r="E195" s="153"/>
      <c r="F195" s="153"/>
      <c r="G195" s="437"/>
      <c r="H195" s="438" t="s">
        <v>83</v>
      </c>
      <c r="I195" s="427">
        <f t="shared" si="152"/>
        <v>0</v>
      </c>
      <c r="J195" s="428">
        <f t="shared" si="153"/>
        <v>0</v>
      </c>
      <c r="K195" s="424">
        <f t="shared" si="154"/>
        <v>0</v>
      </c>
      <c r="L195" s="194" t="e">
        <f>INDEX(D03_Skills!$D$2:$AP$19,MATCH(H195,D03_Skills!$B$2:$B$19,0),SelectedClassID)</f>
        <v>#N/A</v>
      </c>
      <c r="M195" s="179" t="e">
        <f t="shared" si="177"/>
        <v>#N/A</v>
      </c>
      <c r="N195" s="159" t="e">
        <f>IF(M195=0,0,COUNTIF($N$193:N194,"&gt;0")+1)</f>
        <v>#N/A</v>
      </c>
      <c r="O195" s="159" t="str">
        <f>IFERROR(IF($O$191&gt;0,IF(O194&lt;MAX(N$193:N$210),1+COUNTIF(O$193:O194,"&gt;0"),""),""),"")</f>
        <v/>
      </c>
      <c r="P195" s="159" t="str">
        <f t="shared" si="178"/>
        <v/>
      </c>
      <c r="Q195" s="159">
        <f t="shared" si="155"/>
        <v>0</v>
      </c>
      <c r="R195" s="179" t="e">
        <f t="shared" si="179"/>
        <v>#N/A</v>
      </c>
      <c r="S195" s="159" t="e">
        <f>IF(R195=0,0,COUNTIF(S$193:S194,"&gt;0")+1)</f>
        <v>#N/A</v>
      </c>
      <c r="T195" s="159" t="str">
        <f>IFERROR(IF($O$191&gt;1,IF(T194&lt;MAX(S$193:S$210),1+COUNTIF(T$193:T194,"&gt;0"),""),""),"")</f>
        <v/>
      </c>
      <c r="U195" s="159" t="str">
        <f t="shared" si="180"/>
        <v/>
      </c>
      <c r="V195" s="159">
        <f t="shared" si="156"/>
        <v>0</v>
      </c>
      <c r="W195" s="179" t="e">
        <f t="shared" si="181"/>
        <v>#N/A</v>
      </c>
      <c r="X195" s="159" t="e">
        <f>IF(W195=0,0,COUNTIF(X$193:X194,"&gt;0")+1)</f>
        <v>#N/A</v>
      </c>
      <c r="Y195" s="159" t="str">
        <f>IFERROR(IF($O$191&gt;2,IF(Y194&lt;MAX(X$193:X$210),1+COUNTIF(Y$193:Y194,"&gt;0"),""),""),"")</f>
        <v/>
      </c>
      <c r="Z195" s="159" t="str">
        <f t="shared" ref="Z195:Z210" si="220">IF($O$191&gt;2,IFERROR(INDEX($H$193:$H$210,MATCH(Y195,X$193:X$210,0),1),""),"n/a")</f>
        <v/>
      </c>
      <c r="AA195" s="159">
        <f t="shared" si="157"/>
        <v>0</v>
      </c>
      <c r="AB195" s="179" t="e">
        <f t="shared" si="182"/>
        <v>#N/A</v>
      </c>
      <c r="AC195" s="159" t="e">
        <f>IF(AB195=0,0,COUNTIF(AC$193:AC194,"&gt;0")+1)</f>
        <v>#N/A</v>
      </c>
      <c r="AD195" s="159" t="str">
        <f>IFERROR(IF($O$191&gt;3,IF(AD194&lt;MAX(AC$193:AC$210),1+COUNTIF(AD$193:AD194,"&gt;0"),""),""),"")</f>
        <v/>
      </c>
      <c r="AE195" s="159" t="str">
        <f t="shared" si="183"/>
        <v/>
      </c>
      <c r="AF195" s="180">
        <f t="shared" si="158"/>
        <v>0</v>
      </c>
      <c r="AG195" s="179">
        <f t="shared" si="159"/>
        <v>1</v>
      </c>
      <c r="AH195" s="159">
        <f>IF(AG195=0,0,COUNTIF(AH$193:AH194,"&gt;0")+1)</f>
        <v>3</v>
      </c>
      <c r="AI195" s="159" t="str">
        <f>IFERROR(IF($AG$191&gt;0,IF(AI194&lt;MAX(AH$193:AH$210),1+COUNTIF(AI$193:AI194,"&gt;0"),""),""),"")</f>
        <v/>
      </c>
      <c r="AJ195" s="159" t="str">
        <f t="shared" si="160"/>
        <v>n/a</v>
      </c>
      <c r="AK195" s="180">
        <f t="shared" si="161"/>
        <v>0</v>
      </c>
      <c r="AL195" s="159">
        <f t="shared" si="162"/>
        <v>1</v>
      </c>
      <c r="AM195" s="159">
        <f>IF(AL195=0,0,COUNTIF(AM$193:AM194,"&gt;0")+1)</f>
        <v>3</v>
      </c>
      <c r="AN195" s="159" t="str">
        <f>IFERROR(IF($AG$191&gt;0,IF(AN194&lt;MAX(AM$193:AM$210),1+COUNTIF(AN$193:AN194,"&gt;0"),""),""),"")</f>
        <v/>
      </c>
      <c r="AO195" s="159" t="str">
        <f t="shared" si="163"/>
        <v>n/a</v>
      </c>
      <c r="AP195" s="180">
        <f t="shared" si="164"/>
        <v>0</v>
      </c>
      <c r="AQ195" s="179">
        <f t="shared" si="184"/>
        <v>0</v>
      </c>
      <c r="AR195" s="159">
        <f t="shared" si="185"/>
        <v>0</v>
      </c>
      <c r="AS195" s="159">
        <f>IF(AR195=0,0,COUNTIF(AS$193:AS194,"&gt;0")+1)</f>
        <v>0</v>
      </c>
      <c r="AT195" s="159" t="str">
        <f>IFERROR(IF($AR$191&gt;0,IF(AT194&lt;MAX(AS$193:AS$210),1+COUNTIF(AT$193:AT194,"&gt;0"),""),""),"")</f>
        <v/>
      </c>
      <c r="AU195" s="159" t="str">
        <f t="shared" si="186"/>
        <v>n/a</v>
      </c>
      <c r="AV195" s="180">
        <f t="shared" si="165"/>
        <v>0</v>
      </c>
      <c r="AW195" s="159">
        <f t="shared" si="187"/>
        <v>0</v>
      </c>
      <c r="AX195" s="159">
        <f t="shared" si="188"/>
        <v>0</v>
      </c>
      <c r="AY195" s="159">
        <f>IF(AX195=0,0,COUNTIF(AY$193:AY194,"&gt;0")+1)</f>
        <v>0</v>
      </c>
      <c r="AZ195" s="159" t="str">
        <f>IFERROR(IF($AR$191&gt;1,IF(AZ194&lt;MAX(AY$193:AY$210),1+COUNTIF(AZ$193:AZ194,"&gt;0"),""),""),"")</f>
        <v/>
      </c>
      <c r="BA195" s="159" t="str">
        <f t="shared" si="189"/>
        <v>n/a</v>
      </c>
      <c r="BB195" s="180">
        <f t="shared" si="166"/>
        <v>0</v>
      </c>
      <c r="BC195" s="159">
        <f t="shared" si="190"/>
        <v>0</v>
      </c>
      <c r="BD195" s="159">
        <f t="shared" si="191"/>
        <v>0</v>
      </c>
      <c r="BE195" s="159">
        <f>IF(BD195=0,0,COUNTIF(BE$193:BE194,"&gt;0")+1)</f>
        <v>0</v>
      </c>
      <c r="BF195" s="159" t="str">
        <f>IFERROR(IF($AR$191&gt;2,IF(BF194&lt;MAX(BE$193:BE$210),1+COUNTIF(BF$193:BF194,"&gt;0"),""),""),"")</f>
        <v/>
      </c>
      <c r="BG195" s="159" t="str">
        <f t="shared" si="192"/>
        <v>n/a</v>
      </c>
      <c r="BH195" s="180">
        <f t="shared" si="167"/>
        <v>0</v>
      </c>
      <c r="BI195" s="159">
        <f t="shared" si="193"/>
        <v>0</v>
      </c>
      <c r="BJ195" s="159">
        <f t="shared" si="194"/>
        <v>0</v>
      </c>
      <c r="BK195" s="159">
        <f>IF(BJ195=0,0,COUNTIF(BK$193:BK194,"&gt;0")+1)</f>
        <v>0</v>
      </c>
      <c r="BL195" s="159" t="str">
        <f>IFERROR(IF($AR$191&gt;BL$191,IF(BL194&lt;MAX(BK$193:BK$210),1+COUNTIF(BL$193:BL194,"&gt;0"),""),""),"")</f>
        <v/>
      </c>
      <c r="BM195" s="159" t="str">
        <f t="shared" si="195"/>
        <v>n/a</v>
      </c>
      <c r="BN195" s="180">
        <f t="shared" si="168"/>
        <v>0</v>
      </c>
      <c r="BO195" s="159">
        <f t="shared" si="196"/>
        <v>0</v>
      </c>
      <c r="BP195" s="159">
        <f t="shared" si="197"/>
        <v>0</v>
      </c>
      <c r="BQ195" s="159">
        <f>IF(BP195=0,0,COUNTIF(BQ$193:BQ194,"&gt;0")+1)</f>
        <v>0</v>
      </c>
      <c r="BR195" s="159" t="str">
        <f>IFERROR(IF($AR$191&gt;BR$191,IF(BR194&lt;MAX(BQ$193:BQ$210),1+COUNTIF(BR$193:BR194,"&gt;0"),""),""),"")</f>
        <v/>
      </c>
      <c r="BS195" s="159" t="str">
        <f t="shared" si="198"/>
        <v>n/a</v>
      </c>
      <c r="BT195" s="180">
        <f t="shared" si="169"/>
        <v>0</v>
      </c>
      <c r="BU195" s="159">
        <f t="shared" si="199"/>
        <v>0</v>
      </c>
      <c r="BV195" s="159">
        <f>IF(BU195-BB195-I195-J195-K195-Q195-V195-AA195-AF195-AK195-AP195-AV195-BH195-BN195-BT195&gt;0,1,0)</f>
        <v>0</v>
      </c>
      <c r="BW195" s="159">
        <f>IF(BV195=0,0,COUNTIF(BW$193:BW194,"&gt;0")+1)</f>
        <v>0</v>
      </c>
      <c r="BX195" s="159" t="str">
        <f>IFERROR(IF($AR$191&gt;BX$191,IF(BX194&lt;MAX(BW$193:BW$210),1+COUNTIF(BX$193:BX194,"&gt;0"),""),""),"")</f>
        <v/>
      </c>
      <c r="BY195" s="159" t="str">
        <f t="shared" si="201"/>
        <v>n/a</v>
      </c>
      <c r="BZ195" s="180">
        <f t="shared" si="170"/>
        <v>0</v>
      </c>
      <c r="CA195" s="159">
        <f t="shared" si="202"/>
        <v>0</v>
      </c>
      <c r="CB195" s="159">
        <f t="shared" si="203"/>
        <v>0</v>
      </c>
      <c r="CC195" s="159">
        <f>IF(CB195=0,0,COUNTIF(CC$193:CC194,"&gt;0")+1)</f>
        <v>0</v>
      </c>
      <c r="CD195" s="159" t="str">
        <f>IFERROR(IF($AR$191&gt;CD$191,IF(CD194&lt;MAX(CC$193:CC$210),1+COUNTIF(CD$193:CD194,"&gt;0"),""),""),"")</f>
        <v/>
      </c>
      <c r="CE195" s="159" t="str">
        <f t="shared" si="204"/>
        <v>n/a</v>
      </c>
      <c r="CF195" s="180">
        <f t="shared" si="171"/>
        <v>0</v>
      </c>
      <c r="CG195" s="159">
        <f t="shared" si="205"/>
        <v>0</v>
      </c>
      <c r="CH195" s="159">
        <f t="shared" si="206"/>
        <v>0</v>
      </c>
      <c r="CI195" s="159">
        <f>IF(CH195=0,0,COUNTIF(CI$193:CI194,"&gt;0")+1)</f>
        <v>0</v>
      </c>
      <c r="CJ195" s="159" t="str">
        <f>IFERROR(IF($AR$191&gt;CJ$191,IF(CJ194&lt;MAX(CI$193:CI$210),1+COUNTIF(CJ$193:CJ194,"&gt;0"),""),""),"")</f>
        <v/>
      </c>
      <c r="CK195" s="159" t="str">
        <f t="shared" si="207"/>
        <v>n/a</v>
      </c>
      <c r="CL195" s="180">
        <f t="shared" si="172"/>
        <v>0</v>
      </c>
      <c r="CM195" s="159">
        <f t="shared" si="208"/>
        <v>0</v>
      </c>
      <c r="CN195" s="159">
        <f t="shared" si="209"/>
        <v>0</v>
      </c>
      <c r="CO195" s="159">
        <f>IF(CN195=0,0,COUNTIF(CO$193:CO194,"&gt;0")+1)</f>
        <v>0</v>
      </c>
      <c r="CP195" s="159" t="str">
        <f>IFERROR(IF($AR$191&gt;CP$191,IF(CP194&lt;MAX(CO$193:CO$210),1+COUNTIF(CP$193:CP194,"&gt;0"),""),""),"")</f>
        <v/>
      </c>
      <c r="CQ195" s="159" t="str">
        <f t="shared" si="210"/>
        <v>n/a</v>
      </c>
      <c r="CR195" s="180">
        <f t="shared" si="173"/>
        <v>0</v>
      </c>
      <c r="CS195" s="159">
        <f t="shared" si="211"/>
        <v>0</v>
      </c>
      <c r="CT195" s="159">
        <f t="shared" si="212"/>
        <v>0</v>
      </c>
      <c r="CU195" s="159">
        <f>IF(CT195=0,0,COUNTIF(CU$193:CU194,"&gt;0")+1)</f>
        <v>0</v>
      </c>
      <c r="CV195" s="159" t="str">
        <f>IFERROR(IF($AR$191&gt;CV$191,IF(CV194&lt;MAX(CU$193:CU$210),1+COUNTIF(CV$193:CV194,"&gt;0"),""),""),"")</f>
        <v/>
      </c>
      <c r="CW195" s="159" t="str">
        <f t="shared" si="213"/>
        <v>n/a</v>
      </c>
      <c r="CX195" s="180">
        <f t="shared" si="174"/>
        <v>0</v>
      </c>
      <c r="CY195" s="159">
        <f t="shared" si="214"/>
        <v>0</v>
      </c>
      <c r="CZ195" s="159">
        <f t="shared" si="215"/>
        <v>0</v>
      </c>
      <c r="DA195" s="159">
        <f>IF(CZ195=0,0,COUNTIF(DA$193:DA194,"&gt;0")+1)</f>
        <v>0</v>
      </c>
      <c r="DB195" s="159" t="str">
        <f>IFERROR(IF($AR$191&gt;DB$191,IF(DB194&lt;MAX(DA$193:DA$210),1+COUNTIF(DB$193:DB194,"&gt;0"),""),""),"")</f>
        <v/>
      </c>
      <c r="DC195" s="159" t="str">
        <f t="shared" si="216"/>
        <v>n/a</v>
      </c>
      <c r="DD195" s="180">
        <f t="shared" si="175"/>
        <v>0</v>
      </c>
      <c r="DE195" s="159">
        <f t="shared" si="217"/>
        <v>0</v>
      </c>
      <c r="DF195" s="159">
        <f t="shared" si="218"/>
        <v>0</v>
      </c>
      <c r="DG195" s="159">
        <f>IF(DF195=0,0,COUNTIF(DG$193:DG194,"&gt;0")+1)</f>
        <v>0</v>
      </c>
      <c r="DH195" s="159" t="str">
        <f>IFERROR(IF($AR$191&gt;DH$191,IF(DH194&lt;MAX(DG$193:DG$210),1+COUNTIF(DH$193:DH194,"&gt;0"),""),""),"")</f>
        <v/>
      </c>
      <c r="DI195" s="159" t="str">
        <f t="shared" si="219"/>
        <v>n/a</v>
      </c>
      <c r="DJ195" s="180">
        <f t="shared" si="176"/>
        <v>0</v>
      </c>
      <c r="DK195" s="180"/>
    </row>
    <row r="196" spans="1:115" ht="16.5" x14ac:dyDescent="0.3">
      <c r="A196" s="155">
        <f>IFERROR(IF(A195+1&lt;MAX(D041_ClassFeatures!$A$2:$A$2033),A195+1,""),"")</f>
        <v>193</v>
      </c>
      <c r="B196" s="153" t="str">
        <f>IFERROR(INDEX(D041_ClassFeatures!$B$2:$B$2033,MATCH(C_Variables!A196,D041_ClassFeatures!$A$2:$A$2033,0),1),"")</f>
        <v>Potent Spellcasting</v>
      </c>
      <c r="C196" s="153">
        <f>IF(B196="",0,IF(IFERROR(MATCH(B196,C_Input!$BC$160:$BC$239,0),0)&gt;0,1,0))</f>
        <v>0</v>
      </c>
      <c r="D196" s="153"/>
      <c r="E196" s="153"/>
      <c r="F196" s="153"/>
      <c r="G196" s="437"/>
      <c r="H196" s="438" t="s">
        <v>86</v>
      </c>
      <c r="I196" s="427">
        <f t="shared" si="152"/>
        <v>0</v>
      </c>
      <c r="J196" s="428">
        <f t="shared" si="153"/>
        <v>0</v>
      </c>
      <c r="K196" s="424">
        <f t="shared" si="154"/>
        <v>0</v>
      </c>
      <c r="L196" s="194" t="e">
        <f>INDEX(D03_Skills!$D$2:$AP$19,MATCH(H196,D03_Skills!$B$2:$B$19,0),SelectedClassID)</f>
        <v>#N/A</v>
      </c>
      <c r="M196" s="179" t="e">
        <f t="shared" si="177"/>
        <v>#N/A</v>
      </c>
      <c r="N196" s="159" t="e">
        <f>IF(M196=0,0,COUNTIF($N$193:N195,"&gt;0")+1)</f>
        <v>#N/A</v>
      </c>
      <c r="O196" s="159" t="str">
        <f>IFERROR(IF($O$191&gt;0,IF(O195&lt;MAX(N$193:N$210),1+COUNTIF(O$193:O195,"&gt;0"),""),""),"")</f>
        <v/>
      </c>
      <c r="P196" s="159" t="str">
        <f t="shared" si="178"/>
        <v/>
      </c>
      <c r="Q196" s="159">
        <f t="shared" si="155"/>
        <v>0</v>
      </c>
      <c r="R196" s="179" t="e">
        <f t="shared" si="179"/>
        <v>#N/A</v>
      </c>
      <c r="S196" s="159" t="e">
        <f>IF(R196=0,0,COUNTIF(S$193:S195,"&gt;0")+1)</f>
        <v>#N/A</v>
      </c>
      <c r="T196" s="159" t="str">
        <f>IFERROR(IF($O$191&gt;1,IF(T195&lt;MAX(S$193:S$210),1+COUNTIF(T$193:T195,"&gt;0"),""),""),"")</f>
        <v/>
      </c>
      <c r="U196" s="159" t="str">
        <f t="shared" si="180"/>
        <v/>
      </c>
      <c r="V196" s="159">
        <f t="shared" si="156"/>
        <v>0</v>
      </c>
      <c r="W196" s="179" t="e">
        <f t="shared" si="181"/>
        <v>#N/A</v>
      </c>
      <c r="X196" s="159" t="e">
        <f>IF(W196=0,0,COUNTIF(X$193:X195,"&gt;0")+1)</f>
        <v>#N/A</v>
      </c>
      <c r="Y196" s="159" t="str">
        <f>IFERROR(IF($O$191&gt;2,IF(Y195&lt;MAX(X$193:X$210),1+COUNTIF(Y$193:Y195,"&gt;0"),""),""),"")</f>
        <v/>
      </c>
      <c r="Z196" s="159" t="str">
        <f t="shared" si="220"/>
        <v/>
      </c>
      <c r="AA196" s="159">
        <f t="shared" si="157"/>
        <v>0</v>
      </c>
      <c r="AB196" s="179" t="e">
        <f t="shared" si="182"/>
        <v>#N/A</v>
      </c>
      <c r="AC196" s="159" t="e">
        <f>IF(AB196=0,0,COUNTIF(AC$193:AC195,"&gt;0")+1)</f>
        <v>#N/A</v>
      </c>
      <c r="AD196" s="159" t="str">
        <f>IFERROR(IF($O$191&gt;3,IF(AD195&lt;MAX(AC$193:AC$210),1+COUNTIF(AD$193:AD195,"&gt;0"),""),""),"")</f>
        <v/>
      </c>
      <c r="AE196" s="159" t="str">
        <f t="shared" si="183"/>
        <v/>
      </c>
      <c r="AF196" s="180">
        <f t="shared" si="158"/>
        <v>0</v>
      </c>
      <c r="AG196" s="179">
        <f t="shared" si="159"/>
        <v>1</v>
      </c>
      <c r="AH196" s="159">
        <f>IF(AG196=0,0,COUNTIF(AH$193:AH195,"&gt;0")+1)</f>
        <v>4</v>
      </c>
      <c r="AI196" s="159" t="str">
        <f>IFERROR(IF($AG$191&gt;0,IF(AI195&lt;MAX(AH$193:AH$210),1+COUNTIF(AI$193:AI195,"&gt;0"),""),""),"")</f>
        <v/>
      </c>
      <c r="AJ196" s="159" t="str">
        <f t="shared" si="160"/>
        <v>n/a</v>
      </c>
      <c r="AK196" s="180">
        <f t="shared" si="161"/>
        <v>0</v>
      </c>
      <c r="AL196" s="159">
        <f t="shared" si="162"/>
        <v>1</v>
      </c>
      <c r="AM196" s="159">
        <f>IF(AL196=0,0,COUNTIF(AM$193:AM195,"&gt;0")+1)</f>
        <v>4</v>
      </c>
      <c r="AN196" s="159" t="str">
        <f>IFERROR(IF($AG$191&gt;0,IF(AN195&lt;MAX(AM$193:AM$210),1+COUNTIF(AN$193:AN195,"&gt;0"),""),""),"")</f>
        <v/>
      </c>
      <c r="AO196" s="159" t="str">
        <f t="shared" si="163"/>
        <v>n/a</v>
      </c>
      <c r="AP196" s="180">
        <f t="shared" si="164"/>
        <v>0</v>
      </c>
      <c r="AQ196" s="179">
        <f t="shared" si="184"/>
        <v>0</v>
      </c>
      <c r="AR196" s="159">
        <f t="shared" si="185"/>
        <v>0</v>
      </c>
      <c r="AS196" s="159">
        <f>IF(AR196=0,0,COUNTIF(AS$193:AS195,"&gt;0")+1)</f>
        <v>0</v>
      </c>
      <c r="AT196" s="159" t="str">
        <f>IFERROR(IF($AR$191&gt;0,IF(AT195&lt;MAX(AS$193:AS$210),1+COUNTIF(AT$193:AT195,"&gt;0"),""),""),"")</f>
        <v/>
      </c>
      <c r="AU196" s="159" t="str">
        <f t="shared" si="186"/>
        <v>n/a</v>
      </c>
      <c r="AV196" s="180">
        <f t="shared" si="165"/>
        <v>0</v>
      </c>
      <c r="AW196" s="159">
        <f t="shared" si="187"/>
        <v>0</v>
      </c>
      <c r="AX196" s="159">
        <f t="shared" si="188"/>
        <v>0</v>
      </c>
      <c r="AY196" s="159">
        <f>IF(AX196=0,0,COUNTIF(AY$193:AY195,"&gt;0")+1)</f>
        <v>0</v>
      </c>
      <c r="AZ196" s="159" t="str">
        <f>IFERROR(IF($AR$191&gt;1,IF(AZ195&lt;MAX(AY$193:AY$210),1+COUNTIF(AZ$193:AZ195,"&gt;0"),""),""),"")</f>
        <v/>
      </c>
      <c r="BA196" s="159" t="str">
        <f t="shared" si="189"/>
        <v>n/a</v>
      </c>
      <c r="BB196" s="180">
        <f t="shared" si="166"/>
        <v>0</v>
      </c>
      <c r="BC196" s="159">
        <f t="shared" si="190"/>
        <v>0</v>
      </c>
      <c r="BD196" s="159">
        <f t="shared" si="191"/>
        <v>0</v>
      </c>
      <c r="BE196" s="159">
        <f>IF(BD196=0,0,COUNTIF(BE$193:BE195,"&gt;0")+1)</f>
        <v>0</v>
      </c>
      <c r="BF196" s="159" t="str">
        <f>IFERROR(IF($AR$191&gt;2,IF(BF195&lt;MAX(BE$193:BE$210),1+COUNTIF(BF$193:BF195,"&gt;0"),""),""),"")</f>
        <v/>
      </c>
      <c r="BG196" s="159" t="str">
        <f t="shared" si="192"/>
        <v>n/a</v>
      </c>
      <c r="BH196" s="180">
        <f t="shared" si="167"/>
        <v>0</v>
      </c>
      <c r="BI196" s="159">
        <f t="shared" si="193"/>
        <v>0</v>
      </c>
      <c r="BJ196" s="159">
        <f t="shared" si="194"/>
        <v>0</v>
      </c>
      <c r="BK196" s="159">
        <f>IF(BJ196=0,0,COUNTIF(BK$193:BK195,"&gt;0")+1)</f>
        <v>0</v>
      </c>
      <c r="BL196" s="159" t="str">
        <f>IFERROR(IF($AR$191&gt;BL$191,IF(BL195&lt;MAX(BK$193:BK$210),1+COUNTIF(BL$193:BL195,"&gt;0"),""),""),"")</f>
        <v/>
      </c>
      <c r="BM196" s="159" t="str">
        <f t="shared" si="195"/>
        <v>n/a</v>
      </c>
      <c r="BN196" s="180">
        <f t="shared" si="168"/>
        <v>0</v>
      </c>
      <c r="BO196" s="159">
        <f t="shared" si="196"/>
        <v>0</v>
      </c>
      <c r="BP196" s="159">
        <f t="shared" si="197"/>
        <v>0</v>
      </c>
      <c r="BQ196" s="159">
        <f>IF(BP196=0,0,COUNTIF(BQ$193:BQ195,"&gt;0")+1)</f>
        <v>0</v>
      </c>
      <c r="BR196" s="159" t="str">
        <f>IFERROR(IF($AR$191&gt;BR$191,IF(BR195&lt;MAX(BQ$193:BQ$210),1+COUNTIF(BR$193:BR195,"&gt;0"),""),""),"")</f>
        <v/>
      </c>
      <c r="BS196" s="159" t="str">
        <f t="shared" si="198"/>
        <v>n/a</v>
      </c>
      <c r="BT196" s="180">
        <f t="shared" si="169"/>
        <v>0</v>
      </c>
      <c r="BU196" s="159">
        <f t="shared" si="199"/>
        <v>0</v>
      </c>
      <c r="BV196" s="159">
        <f t="shared" si="200"/>
        <v>0</v>
      </c>
      <c r="BW196" s="159">
        <f>IF(BV196=0,0,COUNTIF(BW$193:BW195,"&gt;0")+1)</f>
        <v>0</v>
      </c>
      <c r="BX196" s="159" t="str">
        <f>IFERROR(IF($AR$191&gt;BX$191,IF(BX195&lt;MAX(BW$193:BW$210),1+COUNTIF(BX$193:BX195,"&gt;0"),""),""),"")</f>
        <v/>
      </c>
      <c r="BY196" s="159" t="str">
        <f t="shared" si="201"/>
        <v>n/a</v>
      </c>
      <c r="BZ196" s="180">
        <f t="shared" si="170"/>
        <v>0</v>
      </c>
      <c r="CA196" s="159">
        <f t="shared" si="202"/>
        <v>0</v>
      </c>
      <c r="CB196" s="159">
        <f t="shared" si="203"/>
        <v>0</v>
      </c>
      <c r="CC196" s="159">
        <f>IF(CB196=0,0,COUNTIF(CC$193:CC195,"&gt;0")+1)</f>
        <v>0</v>
      </c>
      <c r="CD196" s="159" t="str">
        <f>IFERROR(IF($AR$191&gt;CD$191,IF(CD195&lt;MAX(CC$193:CC$210),1+COUNTIF(CD$193:CD195,"&gt;0"),""),""),"")</f>
        <v/>
      </c>
      <c r="CE196" s="159" t="str">
        <f t="shared" si="204"/>
        <v>n/a</v>
      </c>
      <c r="CF196" s="180">
        <f t="shared" si="171"/>
        <v>0</v>
      </c>
      <c r="CG196" s="159">
        <f t="shared" si="205"/>
        <v>0</v>
      </c>
      <c r="CH196" s="159">
        <f t="shared" si="206"/>
        <v>0</v>
      </c>
      <c r="CI196" s="159">
        <f>IF(CH196=0,0,COUNTIF(CI$193:CI195,"&gt;0")+1)</f>
        <v>0</v>
      </c>
      <c r="CJ196" s="159" t="str">
        <f>IFERROR(IF($AR$191&gt;CJ$191,IF(CJ195&lt;MAX(CI$193:CI$210),1+COUNTIF(CJ$193:CJ195,"&gt;0"),""),""),"")</f>
        <v/>
      </c>
      <c r="CK196" s="159" t="str">
        <f t="shared" si="207"/>
        <v>n/a</v>
      </c>
      <c r="CL196" s="180">
        <f t="shared" si="172"/>
        <v>0</v>
      </c>
      <c r="CM196" s="159">
        <f t="shared" si="208"/>
        <v>0</v>
      </c>
      <c r="CN196" s="159">
        <f t="shared" si="209"/>
        <v>0</v>
      </c>
      <c r="CO196" s="159">
        <f>IF(CN196=0,0,COUNTIF(CO$193:CO195,"&gt;0")+1)</f>
        <v>0</v>
      </c>
      <c r="CP196" s="159" t="str">
        <f>IFERROR(IF($AR$191&gt;CP$191,IF(CP195&lt;MAX(CO$193:CO$210),1+COUNTIF(CP$193:CP195,"&gt;0"),""),""),"")</f>
        <v/>
      </c>
      <c r="CQ196" s="159" t="str">
        <f t="shared" si="210"/>
        <v>n/a</v>
      </c>
      <c r="CR196" s="180">
        <f t="shared" si="173"/>
        <v>0</v>
      </c>
      <c r="CS196" s="159">
        <f t="shared" si="211"/>
        <v>0</v>
      </c>
      <c r="CT196" s="159">
        <f t="shared" si="212"/>
        <v>0</v>
      </c>
      <c r="CU196" s="159">
        <f>IF(CT196=0,0,COUNTIF(CU$193:CU195,"&gt;0")+1)</f>
        <v>0</v>
      </c>
      <c r="CV196" s="159" t="str">
        <f>IFERROR(IF($AR$191&gt;CV$191,IF(CV195&lt;MAX(CU$193:CU$210),1+COUNTIF(CV$193:CV195,"&gt;0"),""),""),"")</f>
        <v/>
      </c>
      <c r="CW196" s="159" t="str">
        <f t="shared" si="213"/>
        <v>n/a</v>
      </c>
      <c r="CX196" s="180">
        <f t="shared" si="174"/>
        <v>0</v>
      </c>
      <c r="CY196" s="159">
        <f t="shared" si="214"/>
        <v>0</v>
      </c>
      <c r="CZ196" s="159">
        <f t="shared" si="215"/>
        <v>0</v>
      </c>
      <c r="DA196" s="159">
        <f>IF(CZ196=0,0,COUNTIF(DA$193:DA195,"&gt;0")+1)</f>
        <v>0</v>
      </c>
      <c r="DB196" s="159" t="str">
        <f>IFERROR(IF($AR$191&gt;DB$191,IF(DB195&lt;MAX(DA$193:DA$210),1+COUNTIF(DB$193:DB195,"&gt;0"),""),""),"")</f>
        <v/>
      </c>
      <c r="DC196" s="159" t="str">
        <f t="shared" si="216"/>
        <v>n/a</v>
      </c>
      <c r="DD196" s="180">
        <f t="shared" si="175"/>
        <v>0</v>
      </c>
      <c r="DE196" s="159">
        <f t="shared" si="217"/>
        <v>0</v>
      </c>
      <c r="DF196" s="159">
        <f t="shared" si="218"/>
        <v>0</v>
      </c>
      <c r="DG196" s="159">
        <f>IF(DF196=0,0,COUNTIF(DG$193:DG195,"&gt;0")+1)</f>
        <v>0</v>
      </c>
      <c r="DH196" s="159" t="str">
        <f>IFERROR(IF($AR$191&gt;DH$191,IF(DH195&lt;MAX(DG$193:DG$210),1+COUNTIF(DH$193:DH195,"&gt;0"),""),""),"")</f>
        <v/>
      </c>
      <c r="DI196" s="159" t="str">
        <f t="shared" si="219"/>
        <v>n/a</v>
      </c>
      <c r="DJ196" s="180">
        <f t="shared" si="176"/>
        <v>0</v>
      </c>
      <c r="DK196" s="180"/>
    </row>
    <row r="197" spans="1:115" ht="16.5" x14ac:dyDescent="0.3">
      <c r="A197" s="155">
        <f>IFERROR(IF(A196+1&lt;MAX(D041_ClassFeatures!$A$2:$A$2033),A196+1,""),"")</f>
        <v>194</v>
      </c>
      <c r="B197" s="153" t="str">
        <f>IFERROR(INDEX(D041_ClassFeatures!$B$2:$B$2033,MATCH(C_Variables!A197,D041_ClassFeatures!$A$2:$A$2033,0),1),"")</f>
        <v>Corona of Light</v>
      </c>
      <c r="C197" s="153">
        <f>IF(B197="",0,IF(IFERROR(MATCH(B197,C_Input!$BC$160:$BC$239,0),0)&gt;0,1,0))</f>
        <v>0</v>
      </c>
      <c r="D197" s="153"/>
      <c r="E197" s="153"/>
      <c r="F197" s="153"/>
      <c r="G197" s="437"/>
      <c r="H197" s="438" t="s">
        <v>74</v>
      </c>
      <c r="I197" s="427">
        <f t="shared" si="152"/>
        <v>1</v>
      </c>
      <c r="J197" s="428">
        <f t="shared" si="153"/>
        <v>0</v>
      </c>
      <c r="K197" s="424">
        <f t="shared" si="154"/>
        <v>0</v>
      </c>
      <c r="L197" s="194" t="e">
        <f>INDEX(D03_Skills!$D$2:$AP$19,MATCH(H197,D03_Skills!$B$2:$B$19,0),SelectedClassID)</f>
        <v>#N/A</v>
      </c>
      <c r="M197" s="179" t="e">
        <f t="shared" si="177"/>
        <v>#N/A</v>
      </c>
      <c r="N197" s="159" t="e">
        <f>IF(M197=0,0,COUNTIF($N$193:N196,"&gt;0")+1)</f>
        <v>#N/A</v>
      </c>
      <c r="O197" s="159" t="str">
        <f>IFERROR(IF($O$191&gt;0,IF(O196&lt;MAX(N$193:N$210),1+COUNTIF(O$193:O196,"&gt;0"),""),""),"")</f>
        <v/>
      </c>
      <c r="P197" s="159" t="str">
        <f t="shared" si="178"/>
        <v/>
      </c>
      <c r="Q197" s="159">
        <f t="shared" si="155"/>
        <v>0</v>
      </c>
      <c r="R197" s="179" t="e">
        <f t="shared" si="179"/>
        <v>#N/A</v>
      </c>
      <c r="S197" s="159" t="e">
        <f>IF(R197=0,0,COUNTIF(S$193:S196,"&gt;0")+1)</f>
        <v>#N/A</v>
      </c>
      <c r="T197" s="159" t="str">
        <f>IFERROR(IF($O$191&gt;1,IF(T196&lt;MAX(S$193:S$210),1+COUNTIF(T$193:T196,"&gt;0"),""),""),"")</f>
        <v/>
      </c>
      <c r="U197" s="159" t="str">
        <f t="shared" si="180"/>
        <v/>
      </c>
      <c r="V197" s="159">
        <f t="shared" si="156"/>
        <v>0</v>
      </c>
      <c r="W197" s="179" t="e">
        <f t="shared" si="181"/>
        <v>#N/A</v>
      </c>
      <c r="X197" s="159" t="e">
        <f>IF(W197=0,0,COUNTIF(X$193:X196,"&gt;0")+1)</f>
        <v>#N/A</v>
      </c>
      <c r="Y197" s="159" t="str">
        <f>IFERROR(IF($O$191&gt;2,IF(Y196&lt;MAX(X$193:X$210),1+COUNTIF(Y$193:Y196,"&gt;0"),""),""),"")</f>
        <v/>
      </c>
      <c r="Z197" s="159" t="str">
        <f t="shared" si="220"/>
        <v/>
      </c>
      <c r="AA197" s="159">
        <f t="shared" si="157"/>
        <v>0</v>
      </c>
      <c r="AB197" s="179" t="e">
        <f t="shared" si="182"/>
        <v>#N/A</v>
      </c>
      <c r="AC197" s="159" t="e">
        <f>IF(AB197=0,0,COUNTIF(AC$193:AC196,"&gt;0")+1)</f>
        <v>#N/A</v>
      </c>
      <c r="AD197" s="159" t="str">
        <f>IFERROR(IF($O$191&gt;3,IF(AD196&lt;MAX(AC$193:AC$210),1+COUNTIF(AD$193:AD196,"&gt;0"),""),""),"")</f>
        <v/>
      </c>
      <c r="AE197" s="159" t="str">
        <f t="shared" si="183"/>
        <v/>
      </c>
      <c r="AF197" s="180">
        <f t="shared" si="158"/>
        <v>0</v>
      </c>
      <c r="AG197" s="179">
        <f t="shared" si="159"/>
        <v>0</v>
      </c>
      <c r="AH197" s="159">
        <f>IF(AG197=0,0,COUNTIF(AH$193:AH196,"&gt;0")+1)</f>
        <v>0</v>
      </c>
      <c r="AI197" s="159" t="str">
        <f>IFERROR(IF($AG$191&gt;0,IF(AI196&lt;MAX(AH$193:AH$210),1+COUNTIF(AI$193:AI196,"&gt;0"),""),""),"")</f>
        <v/>
      </c>
      <c r="AJ197" s="159" t="str">
        <f t="shared" si="160"/>
        <v>n/a</v>
      </c>
      <c r="AK197" s="180">
        <f t="shared" si="161"/>
        <v>0</v>
      </c>
      <c r="AL197" s="159">
        <f t="shared" si="162"/>
        <v>0</v>
      </c>
      <c r="AM197" s="159">
        <f>IF(AL197=0,0,COUNTIF(AM$193:AM196,"&gt;0")+1)</f>
        <v>0</v>
      </c>
      <c r="AN197" s="159" t="str">
        <f>IFERROR(IF($AG$191&gt;0,IF(AN196&lt;MAX(AM$193:AM$210),1+COUNTIF(AN$193:AN196,"&gt;0"),""),""),"")</f>
        <v/>
      </c>
      <c r="AO197" s="159" t="str">
        <f t="shared" si="163"/>
        <v>n/a</v>
      </c>
      <c r="AP197" s="180">
        <f t="shared" si="164"/>
        <v>0</v>
      </c>
      <c r="AQ197" s="179">
        <f t="shared" si="184"/>
        <v>0</v>
      </c>
      <c r="AR197" s="159">
        <f t="shared" si="185"/>
        <v>0</v>
      </c>
      <c r="AS197" s="159">
        <f>IF(AR197=0,0,COUNTIF(AS$193:AS196,"&gt;0")+1)</f>
        <v>0</v>
      </c>
      <c r="AT197" s="159" t="str">
        <f>IFERROR(IF($AR$191&gt;0,IF(AT196&lt;MAX(AS$193:AS$210),1+COUNTIF(AT$193:AT196,"&gt;0"),""),""),"")</f>
        <v/>
      </c>
      <c r="AU197" s="159" t="str">
        <f t="shared" si="186"/>
        <v>n/a</v>
      </c>
      <c r="AV197" s="180">
        <f t="shared" si="165"/>
        <v>0</v>
      </c>
      <c r="AW197" s="159">
        <f t="shared" si="187"/>
        <v>0</v>
      </c>
      <c r="AX197" s="159">
        <f t="shared" si="188"/>
        <v>0</v>
      </c>
      <c r="AY197" s="159">
        <f>IF(AX197=0,0,COUNTIF(AY$193:AY196,"&gt;0")+1)</f>
        <v>0</v>
      </c>
      <c r="AZ197" s="159" t="str">
        <f>IFERROR(IF($AR$191&gt;1,IF(AZ196&lt;MAX(AY$193:AY$210),1+COUNTIF(AZ$193:AZ196,"&gt;0"),""),""),"")</f>
        <v/>
      </c>
      <c r="BA197" s="159" t="str">
        <f t="shared" si="189"/>
        <v>n/a</v>
      </c>
      <c r="BB197" s="180">
        <f t="shared" si="166"/>
        <v>0</v>
      </c>
      <c r="BC197" s="159">
        <f t="shared" si="190"/>
        <v>0</v>
      </c>
      <c r="BD197" s="159">
        <f t="shared" si="191"/>
        <v>0</v>
      </c>
      <c r="BE197" s="159">
        <f>IF(BD197=0,0,COUNTIF(BE$193:BE196,"&gt;0")+1)</f>
        <v>0</v>
      </c>
      <c r="BF197" s="159" t="str">
        <f>IFERROR(IF($AR$191&gt;2,IF(BF196&lt;MAX(BE$193:BE$210),1+COUNTIF(BF$193:BF196,"&gt;0"),""),""),"")</f>
        <v/>
      </c>
      <c r="BG197" s="159" t="str">
        <f t="shared" si="192"/>
        <v>n/a</v>
      </c>
      <c r="BH197" s="180">
        <f t="shared" si="167"/>
        <v>0</v>
      </c>
      <c r="BI197" s="159">
        <f t="shared" si="193"/>
        <v>0</v>
      </c>
      <c r="BJ197" s="159">
        <f t="shared" si="194"/>
        <v>0</v>
      </c>
      <c r="BK197" s="159">
        <f>IF(BJ197=0,0,COUNTIF(BK$193:BK196,"&gt;0")+1)</f>
        <v>0</v>
      </c>
      <c r="BL197" s="159" t="str">
        <f>IFERROR(IF($AR$191&gt;BL$191,IF(BL196&lt;MAX(BK$193:BK$210),1+COUNTIF(BL$193:BL196,"&gt;0"),""),""),"")</f>
        <v/>
      </c>
      <c r="BM197" s="159" t="str">
        <f t="shared" si="195"/>
        <v>n/a</v>
      </c>
      <c r="BN197" s="180">
        <f t="shared" si="168"/>
        <v>0</v>
      </c>
      <c r="BO197" s="159">
        <f t="shared" si="196"/>
        <v>0</v>
      </c>
      <c r="BP197" s="159">
        <f t="shared" si="197"/>
        <v>0</v>
      </c>
      <c r="BQ197" s="159">
        <f>IF(BP197=0,0,COUNTIF(BQ$193:BQ196,"&gt;0")+1)</f>
        <v>0</v>
      </c>
      <c r="BR197" s="159" t="str">
        <f>IFERROR(IF($AR$191&gt;BR$191,IF(BR196&lt;MAX(BQ$193:BQ$210),1+COUNTIF(BR$193:BR196,"&gt;0"),""),""),"")</f>
        <v/>
      </c>
      <c r="BS197" s="159" t="str">
        <f t="shared" si="198"/>
        <v>n/a</v>
      </c>
      <c r="BT197" s="180">
        <f t="shared" si="169"/>
        <v>0</v>
      </c>
      <c r="BU197" s="159">
        <f t="shared" si="199"/>
        <v>0</v>
      </c>
      <c r="BV197" s="159">
        <f t="shared" si="200"/>
        <v>0</v>
      </c>
      <c r="BW197" s="159">
        <f>IF(BV197=0,0,COUNTIF(BW$193:BW196,"&gt;0")+1)</f>
        <v>0</v>
      </c>
      <c r="BX197" s="159" t="str">
        <f>IFERROR(IF($AR$191&gt;BX$191,IF(BX196&lt;MAX(BW$193:BW$210),1+COUNTIF(BX$193:BX196,"&gt;0"),""),""),"")</f>
        <v/>
      </c>
      <c r="BY197" s="159" t="str">
        <f t="shared" si="201"/>
        <v>n/a</v>
      </c>
      <c r="BZ197" s="180">
        <f t="shared" si="170"/>
        <v>0</v>
      </c>
      <c r="CA197" s="159">
        <f t="shared" si="202"/>
        <v>0</v>
      </c>
      <c r="CB197" s="159">
        <f t="shared" si="203"/>
        <v>0</v>
      </c>
      <c r="CC197" s="159">
        <f>IF(CB197=0,0,COUNTIF(CC$193:CC196,"&gt;0")+1)</f>
        <v>0</v>
      </c>
      <c r="CD197" s="159" t="str">
        <f>IFERROR(IF($AR$191&gt;CD$191,IF(CD196&lt;MAX(CC$193:CC$210),1+COUNTIF(CD$193:CD196,"&gt;0"),""),""),"")</f>
        <v/>
      </c>
      <c r="CE197" s="159" t="str">
        <f t="shared" si="204"/>
        <v>n/a</v>
      </c>
      <c r="CF197" s="180">
        <f t="shared" si="171"/>
        <v>0</v>
      </c>
      <c r="CG197" s="159">
        <f t="shared" si="205"/>
        <v>0</v>
      </c>
      <c r="CH197" s="159">
        <f t="shared" si="206"/>
        <v>0</v>
      </c>
      <c r="CI197" s="159">
        <f>IF(CH197=0,0,COUNTIF(CI$193:CI196,"&gt;0")+1)</f>
        <v>0</v>
      </c>
      <c r="CJ197" s="159" t="str">
        <f>IFERROR(IF($AR$191&gt;CJ$191,IF(CJ196&lt;MAX(CI$193:CI$210),1+COUNTIF(CJ$193:CJ196,"&gt;0"),""),""),"")</f>
        <v/>
      </c>
      <c r="CK197" s="159" t="str">
        <f t="shared" si="207"/>
        <v>n/a</v>
      </c>
      <c r="CL197" s="180">
        <f t="shared" si="172"/>
        <v>0</v>
      </c>
      <c r="CM197" s="159">
        <f t="shared" si="208"/>
        <v>0</v>
      </c>
      <c r="CN197" s="159">
        <f t="shared" si="209"/>
        <v>0</v>
      </c>
      <c r="CO197" s="159">
        <f>IF(CN197=0,0,COUNTIF(CO$193:CO196,"&gt;0")+1)</f>
        <v>0</v>
      </c>
      <c r="CP197" s="159" t="str">
        <f>IFERROR(IF($AR$191&gt;CP$191,IF(CP196&lt;MAX(CO$193:CO$210),1+COUNTIF(CP$193:CP196,"&gt;0"),""),""),"")</f>
        <v/>
      </c>
      <c r="CQ197" s="159" t="str">
        <f t="shared" si="210"/>
        <v>n/a</v>
      </c>
      <c r="CR197" s="180">
        <f t="shared" si="173"/>
        <v>0</v>
      </c>
      <c r="CS197" s="159">
        <f t="shared" si="211"/>
        <v>0</v>
      </c>
      <c r="CT197" s="159">
        <f t="shared" si="212"/>
        <v>0</v>
      </c>
      <c r="CU197" s="159">
        <f>IF(CT197=0,0,COUNTIF(CU$193:CU196,"&gt;0")+1)</f>
        <v>0</v>
      </c>
      <c r="CV197" s="159" t="str">
        <f>IFERROR(IF($AR$191&gt;CV$191,IF(CV196&lt;MAX(CU$193:CU$210),1+COUNTIF(CV$193:CV196,"&gt;0"),""),""),"")</f>
        <v/>
      </c>
      <c r="CW197" s="159" t="str">
        <f t="shared" si="213"/>
        <v>n/a</v>
      </c>
      <c r="CX197" s="180">
        <f t="shared" si="174"/>
        <v>0</v>
      </c>
      <c r="CY197" s="159">
        <f t="shared" si="214"/>
        <v>0</v>
      </c>
      <c r="CZ197" s="159">
        <f t="shared" si="215"/>
        <v>0</v>
      </c>
      <c r="DA197" s="159">
        <f>IF(CZ197=0,0,COUNTIF(DA$193:DA196,"&gt;0")+1)</f>
        <v>0</v>
      </c>
      <c r="DB197" s="159" t="str">
        <f>IFERROR(IF($AR$191&gt;DB$191,IF(DB196&lt;MAX(DA$193:DA$210),1+COUNTIF(DB$193:DB196,"&gt;0"),""),""),"")</f>
        <v/>
      </c>
      <c r="DC197" s="159" t="str">
        <f t="shared" si="216"/>
        <v>n/a</v>
      </c>
      <c r="DD197" s="180">
        <f t="shared" si="175"/>
        <v>0</v>
      </c>
      <c r="DE197" s="159">
        <f t="shared" si="217"/>
        <v>0</v>
      </c>
      <c r="DF197" s="159">
        <f t="shared" si="218"/>
        <v>0</v>
      </c>
      <c r="DG197" s="159">
        <f>IF(DF197=0,0,COUNTIF(DG$193:DG196,"&gt;0")+1)</f>
        <v>0</v>
      </c>
      <c r="DH197" s="159" t="str">
        <f>IFERROR(IF($AR$191&gt;DH$191,IF(DH196&lt;MAX(DG$193:DG$210),1+COUNTIF(DH$193:DH196,"&gt;0"),""),""),"")</f>
        <v/>
      </c>
      <c r="DI197" s="159" t="str">
        <f t="shared" si="219"/>
        <v>n/a</v>
      </c>
      <c r="DJ197" s="180">
        <f t="shared" si="176"/>
        <v>0</v>
      </c>
      <c r="DK197" s="180"/>
    </row>
    <row r="198" spans="1:115" ht="16.5" x14ac:dyDescent="0.3">
      <c r="A198" s="155">
        <f>IFERROR(IF(A197+1&lt;MAX(D041_ClassFeatures!$A$2:$A$2033),A197+1,""),"")</f>
        <v>195</v>
      </c>
      <c r="B198" s="153" t="str">
        <f>IFERROR(INDEX(D041_ClassFeatures!$B$2:$B$2033,MATCH(C_Variables!A198,D041_ClassFeatures!$A$2:$A$2033,0),1),"")</f>
        <v>Nature Domain: Bonus Proficiencies</v>
      </c>
      <c r="C198" s="153">
        <f>IF(B198="",0,IF(IFERROR(MATCH(B198,C_Input!$BC$160:$BC$239,0),0)&gt;0,1,0))</f>
        <v>0</v>
      </c>
      <c r="D198" s="153"/>
      <c r="E198" s="153"/>
      <c r="F198" s="153"/>
      <c r="G198" s="437"/>
      <c r="H198" s="438" t="s">
        <v>84</v>
      </c>
      <c r="I198" s="427">
        <f t="shared" si="152"/>
        <v>0</v>
      </c>
      <c r="J198" s="428">
        <f t="shared" si="153"/>
        <v>0</v>
      </c>
      <c r="K198" s="424">
        <f t="shared" si="154"/>
        <v>0</v>
      </c>
      <c r="L198" s="194" t="e">
        <f>INDEX(D03_Skills!$D$2:$AP$19,MATCH(H198,D03_Skills!$B$2:$B$19,0),SelectedClassID)</f>
        <v>#N/A</v>
      </c>
      <c r="M198" s="179" t="e">
        <f t="shared" si="177"/>
        <v>#N/A</v>
      </c>
      <c r="N198" s="159" t="e">
        <f>IF(M198=0,0,COUNTIF($N$193:N197,"&gt;0")+1)</f>
        <v>#N/A</v>
      </c>
      <c r="O198" s="159" t="str">
        <f>IFERROR(IF($O$191&gt;0,IF(O197&lt;MAX(N$193:N$210),1+COUNTIF(O$193:O197,"&gt;0"),""),""),"")</f>
        <v/>
      </c>
      <c r="P198" s="159" t="str">
        <f t="shared" si="178"/>
        <v/>
      </c>
      <c r="Q198" s="159">
        <f t="shared" si="155"/>
        <v>0</v>
      </c>
      <c r="R198" s="179" t="e">
        <f t="shared" si="179"/>
        <v>#N/A</v>
      </c>
      <c r="S198" s="159" t="e">
        <f>IF(R198=0,0,COUNTIF(S$193:S197,"&gt;0")+1)</f>
        <v>#N/A</v>
      </c>
      <c r="T198" s="159" t="str">
        <f>IFERROR(IF($O$191&gt;1,IF(T197&lt;MAX(S$193:S$210),1+COUNTIF(T$193:T197,"&gt;0"),""),""),"")</f>
        <v/>
      </c>
      <c r="U198" s="159" t="str">
        <f t="shared" si="180"/>
        <v/>
      </c>
      <c r="V198" s="159">
        <f t="shared" si="156"/>
        <v>0</v>
      </c>
      <c r="W198" s="179" t="e">
        <f t="shared" si="181"/>
        <v>#N/A</v>
      </c>
      <c r="X198" s="159" t="e">
        <f>IF(W198=0,0,COUNTIF(X$193:X197,"&gt;0")+1)</f>
        <v>#N/A</v>
      </c>
      <c r="Y198" s="159" t="str">
        <f>IFERROR(IF($O$191&gt;2,IF(Y197&lt;MAX(X$193:X$210),1+COUNTIF(Y$193:Y197,"&gt;0"),""),""),"")</f>
        <v/>
      </c>
      <c r="Z198" s="159" t="str">
        <f t="shared" si="220"/>
        <v/>
      </c>
      <c r="AA198" s="159">
        <f t="shared" si="157"/>
        <v>0</v>
      </c>
      <c r="AB198" s="179" t="e">
        <f t="shared" si="182"/>
        <v>#N/A</v>
      </c>
      <c r="AC198" s="159" t="e">
        <f>IF(AB198=0,0,COUNTIF(AC$193:AC197,"&gt;0")+1)</f>
        <v>#N/A</v>
      </c>
      <c r="AD198" s="159" t="str">
        <f>IFERROR(IF($O$191&gt;3,IF(AD197&lt;MAX(AC$193:AC$210),1+COUNTIF(AD$193:AD197,"&gt;0"),""),""),"")</f>
        <v/>
      </c>
      <c r="AE198" s="159" t="str">
        <f t="shared" si="183"/>
        <v/>
      </c>
      <c r="AF198" s="180">
        <f t="shared" si="158"/>
        <v>0</v>
      </c>
      <c r="AG198" s="179">
        <f t="shared" si="159"/>
        <v>1</v>
      </c>
      <c r="AH198" s="159">
        <f>IF(AG198=0,0,COUNTIF(AH$193:AH197,"&gt;0")+1)</f>
        <v>5</v>
      </c>
      <c r="AI198" s="159" t="str">
        <f>IFERROR(IF($AG$191&gt;0,IF(AI197&lt;MAX(AH$193:AH$210),1+COUNTIF(AI$193:AI197,"&gt;0"),""),""),"")</f>
        <v/>
      </c>
      <c r="AJ198" s="159" t="str">
        <f t="shared" si="160"/>
        <v>n/a</v>
      </c>
      <c r="AK198" s="180">
        <f t="shared" si="161"/>
        <v>0</v>
      </c>
      <c r="AL198" s="159">
        <f t="shared" si="162"/>
        <v>1</v>
      </c>
      <c r="AM198" s="159">
        <f>IF(AL198=0,0,COUNTIF(AM$193:AM197,"&gt;0")+1)</f>
        <v>5</v>
      </c>
      <c r="AN198" s="159" t="str">
        <f>IFERROR(IF($AG$191&gt;0,IF(AN197&lt;MAX(AM$193:AM$210),1+COUNTIF(AN$193:AN197,"&gt;0"),""),""),"")</f>
        <v/>
      </c>
      <c r="AO198" s="159" t="str">
        <f t="shared" si="163"/>
        <v>n/a</v>
      </c>
      <c r="AP198" s="180">
        <f t="shared" si="164"/>
        <v>0</v>
      </c>
      <c r="AQ198" s="179">
        <f t="shared" si="184"/>
        <v>0</v>
      </c>
      <c r="AR198" s="159">
        <f t="shared" si="185"/>
        <v>0</v>
      </c>
      <c r="AS198" s="159">
        <f>IF(AR198=0,0,COUNTIF(AS$193:AS197,"&gt;0")+1)</f>
        <v>0</v>
      </c>
      <c r="AT198" s="159" t="str">
        <f>IFERROR(IF($AR$191&gt;0,IF(AT197&lt;MAX(AS$193:AS$210),1+COUNTIF(AT$193:AT197,"&gt;0"),""),""),"")</f>
        <v/>
      </c>
      <c r="AU198" s="159" t="str">
        <f t="shared" si="186"/>
        <v>n/a</v>
      </c>
      <c r="AV198" s="180">
        <f t="shared" si="165"/>
        <v>0</v>
      </c>
      <c r="AW198" s="159">
        <f t="shared" si="187"/>
        <v>0</v>
      </c>
      <c r="AX198" s="159">
        <f t="shared" si="188"/>
        <v>0</v>
      </c>
      <c r="AY198" s="159">
        <f>IF(AX198=0,0,COUNTIF(AY$193:AY197,"&gt;0")+1)</f>
        <v>0</v>
      </c>
      <c r="AZ198" s="159" t="str">
        <f>IFERROR(IF($AR$191&gt;1,IF(AZ197&lt;MAX(AY$193:AY$210),1+COUNTIF(AZ$193:AZ197,"&gt;0"),""),""),"")</f>
        <v/>
      </c>
      <c r="BA198" s="159" t="str">
        <f t="shared" si="189"/>
        <v>n/a</v>
      </c>
      <c r="BB198" s="180">
        <f t="shared" si="166"/>
        <v>0</v>
      </c>
      <c r="BC198" s="159">
        <f t="shared" si="190"/>
        <v>0</v>
      </c>
      <c r="BD198" s="159">
        <f t="shared" si="191"/>
        <v>0</v>
      </c>
      <c r="BE198" s="159">
        <f>IF(BD198=0,0,COUNTIF(BE$193:BE197,"&gt;0")+1)</f>
        <v>0</v>
      </c>
      <c r="BF198" s="159" t="str">
        <f>IFERROR(IF($AR$191&gt;2,IF(BF197&lt;MAX(BE$193:BE$210),1+COUNTIF(BF$193:BF197,"&gt;0"),""),""),"")</f>
        <v/>
      </c>
      <c r="BG198" s="159" t="str">
        <f t="shared" si="192"/>
        <v>n/a</v>
      </c>
      <c r="BH198" s="180">
        <f t="shared" si="167"/>
        <v>0</v>
      </c>
      <c r="BI198" s="159">
        <f t="shared" si="193"/>
        <v>0</v>
      </c>
      <c r="BJ198" s="159">
        <f t="shared" si="194"/>
        <v>0</v>
      </c>
      <c r="BK198" s="159">
        <f>IF(BJ198=0,0,COUNTIF(BK$193:BK197,"&gt;0")+1)</f>
        <v>0</v>
      </c>
      <c r="BL198" s="159" t="str">
        <f>IFERROR(IF($AR$191&gt;BL$191,IF(BL197&lt;MAX(BK$193:BK$210),1+COUNTIF(BL$193:BL197,"&gt;0"),""),""),"")</f>
        <v/>
      </c>
      <c r="BM198" s="159" t="str">
        <f t="shared" si="195"/>
        <v>n/a</v>
      </c>
      <c r="BN198" s="180">
        <f t="shared" si="168"/>
        <v>0</v>
      </c>
      <c r="BO198" s="159">
        <f t="shared" si="196"/>
        <v>0</v>
      </c>
      <c r="BP198" s="159">
        <f t="shared" si="197"/>
        <v>0</v>
      </c>
      <c r="BQ198" s="159">
        <f>IF(BP198=0,0,COUNTIF(BQ$193:BQ197,"&gt;0")+1)</f>
        <v>0</v>
      </c>
      <c r="BR198" s="159" t="str">
        <f>IFERROR(IF($AR$191&gt;BR$191,IF(BR197&lt;MAX(BQ$193:BQ$210),1+COUNTIF(BR$193:BR197,"&gt;0"),""),""),"")</f>
        <v/>
      </c>
      <c r="BS198" s="159" t="str">
        <f t="shared" si="198"/>
        <v>n/a</v>
      </c>
      <c r="BT198" s="180">
        <f t="shared" si="169"/>
        <v>0</v>
      </c>
      <c r="BU198" s="159">
        <f t="shared" si="199"/>
        <v>0</v>
      </c>
      <c r="BV198" s="159">
        <f t="shared" si="200"/>
        <v>0</v>
      </c>
      <c r="BW198" s="159">
        <f>IF(BV198=0,0,COUNTIF(BW$193:BW197,"&gt;0")+1)</f>
        <v>0</v>
      </c>
      <c r="BX198" s="159" t="str">
        <f>IFERROR(IF($AR$191&gt;BX$191,IF(BX197&lt;MAX(BW$193:BW$210),1+COUNTIF(BX$193:BX197,"&gt;0"),""),""),"")</f>
        <v/>
      </c>
      <c r="BY198" s="159" t="str">
        <f t="shared" si="201"/>
        <v>n/a</v>
      </c>
      <c r="BZ198" s="180">
        <f t="shared" si="170"/>
        <v>0</v>
      </c>
      <c r="CA198" s="159">
        <f t="shared" si="202"/>
        <v>0</v>
      </c>
      <c r="CB198" s="159">
        <f t="shared" si="203"/>
        <v>0</v>
      </c>
      <c r="CC198" s="159">
        <f>IF(CB198=0,0,COUNTIF(CC$193:CC197,"&gt;0")+1)</f>
        <v>0</v>
      </c>
      <c r="CD198" s="159" t="str">
        <f>IFERROR(IF($AR$191&gt;CD$191,IF(CD197&lt;MAX(CC$193:CC$210),1+COUNTIF(CD$193:CD197,"&gt;0"),""),""),"")</f>
        <v/>
      </c>
      <c r="CE198" s="159" t="str">
        <f t="shared" si="204"/>
        <v>n/a</v>
      </c>
      <c r="CF198" s="180">
        <f t="shared" si="171"/>
        <v>0</v>
      </c>
      <c r="CG198" s="159">
        <f t="shared" si="205"/>
        <v>0</v>
      </c>
      <c r="CH198" s="159">
        <f t="shared" si="206"/>
        <v>0</v>
      </c>
      <c r="CI198" s="159">
        <f>IF(CH198=0,0,COUNTIF(CI$193:CI197,"&gt;0")+1)</f>
        <v>0</v>
      </c>
      <c r="CJ198" s="159" t="str">
        <f>IFERROR(IF($AR$191&gt;CJ$191,IF(CJ197&lt;MAX(CI$193:CI$210),1+COUNTIF(CJ$193:CJ197,"&gt;0"),""),""),"")</f>
        <v/>
      </c>
      <c r="CK198" s="159" t="str">
        <f t="shared" si="207"/>
        <v>n/a</v>
      </c>
      <c r="CL198" s="180">
        <f t="shared" si="172"/>
        <v>0</v>
      </c>
      <c r="CM198" s="159">
        <f t="shared" si="208"/>
        <v>0</v>
      </c>
      <c r="CN198" s="159">
        <f t="shared" si="209"/>
        <v>0</v>
      </c>
      <c r="CO198" s="159">
        <f>IF(CN198=0,0,COUNTIF(CO$193:CO197,"&gt;0")+1)</f>
        <v>0</v>
      </c>
      <c r="CP198" s="159" t="str">
        <f>IFERROR(IF($AR$191&gt;CP$191,IF(CP197&lt;MAX(CO$193:CO$210),1+COUNTIF(CP$193:CP197,"&gt;0"),""),""),"")</f>
        <v/>
      </c>
      <c r="CQ198" s="159" t="str">
        <f t="shared" si="210"/>
        <v>n/a</v>
      </c>
      <c r="CR198" s="180">
        <f t="shared" si="173"/>
        <v>0</v>
      </c>
      <c r="CS198" s="159">
        <f t="shared" si="211"/>
        <v>0</v>
      </c>
      <c r="CT198" s="159">
        <f t="shared" si="212"/>
        <v>0</v>
      </c>
      <c r="CU198" s="159">
        <f>IF(CT198=0,0,COUNTIF(CU$193:CU197,"&gt;0")+1)</f>
        <v>0</v>
      </c>
      <c r="CV198" s="159" t="str">
        <f>IFERROR(IF($AR$191&gt;CV$191,IF(CV197&lt;MAX(CU$193:CU$210),1+COUNTIF(CV$193:CV197,"&gt;0"),""),""),"")</f>
        <v/>
      </c>
      <c r="CW198" s="159" t="str">
        <f t="shared" si="213"/>
        <v>n/a</v>
      </c>
      <c r="CX198" s="180">
        <f t="shared" si="174"/>
        <v>0</v>
      </c>
      <c r="CY198" s="159">
        <f t="shared" si="214"/>
        <v>0</v>
      </c>
      <c r="CZ198" s="159">
        <f t="shared" si="215"/>
        <v>0</v>
      </c>
      <c r="DA198" s="159">
        <f>IF(CZ198=0,0,COUNTIF(DA$193:DA197,"&gt;0")+1)</f>
        <v>0</v>
      </c>
      <c r="DB198" s="159" t="str">
        <f>IFERROR(IF($AR$191&gt;DB$191,IF(DB197&lt;MAX(DA$193:DA$210),1+COUNTIF(DB$193:DB197,"&gt;0"),""),""),"")</f>
        <v/>
      </c>
      <c r="DC198" s="159" t="str">
        <f t="shared" si="216"/>
        <v>n/a</v>
      </c>
      <c r="DD198" s="180">
        <f t="shared" si="175"/>
        <v>0</v>
      </c>
      <c r="DE198" s="159">
        <f t="shared" si="217"/>
        <v>0</v>
      </c>
      <c r="DF198" s="159">
        <f t="shared" si="218"/>
        <v>0</v>
      </c>
      <c r="DG198" s="159">
        <f>IF(DF198=0,0,COUNTIF(DG$193:DG197,"&gt;0")+1)</f>
        <v>0</v>
      </c>
      <c r="DH198" s="159" t="str">
        <f>IFERROR(IF($AR$191&gt;DH$191,IF(DH197&lt;MAX(DG$193:DG$210),1+COUNTIF(DH$193:DH197,"&gt;0"),""),""),"")</f>
        <v/>
      </c>
      <c r="DI198" s="159" t="str">
        <f t="shared" si="219"/>
        <v>n/a</v>
      </c>
      <c r="DJ198" s="180">
        <f t="shared" si="176"/>
        <v>0</v>
      </c>
      <c r="DK198" s="180"/>
    </row>
    <row r="199" spans="1:115" ht="16.5" x14ac:dyDescent="0.3">
      <c r="A199" s="155">
        <f>IFERROR(IF(A198+1&lt;MAX(D041_ClassFeatures!$A$2:$A$2033),A198+1,""),"")</f>
        <v>196</v>
      </c>
      <c r="B199" s="153" t="str">
        <f>IFERROR(INDEX(D041_ClassFeatures!$B$2:$B$2033,MATCH(C_Variables!A199,D041_ClassFeatures!$A$2:$A$2033,0),1),"")</f>
        <v>Channel Divinity: Charm Animals and Plants</v>
      </c>
      <c r="C199" s="153">
        <f>IF(B199="",0,IF(IFERROR(MATCH(B199,C_Input!$BC$160:$BC$239,0),0)&gt;0,1,0))</f>
        <v>0</v>
      </c>
      <c r="D199" s="153"/>
      <c r="E199" s="153"/>
      <c r="F199" s="153"/>
      <c r="G199" s="437"/>
      <c r="H199" s="438" t="s">
        <v>71</v>
      </c>
      <c r="I199" s="427">
        <f t="shared" si="152"/>
        <v>0</v>
      </c>
      <c r="J199" s="428">
        <f t="shared" si="153"/>
        <v>0</v>
      </c>
      <c r="K199" s="424">
        <f t="shared" si="154"/>
        <v>0</v>
      </c>
      <c r="L199" s="194" t="e">
        <f>INDEX(D03_Skills!$D$2:$AP$19,MATCH(H199,D03_Skills!$B$2:$B$19,0),SelectedClassID)</f>
        <v>#N/A</v>
      </c>
      <c r="M199" s="179" t="e">
        <f t="shared" si="177"/>
        <v>#N/A</v>
      </c>
      <c r="N199" s="159" t="e">
        <f>IF(M199=0,0,COUNTIF($N$193:N198,"&gt;0")+1)</f>
        <v>#N/A</v>
      </c>
      <c r="O199" s="159" t="str">
        <f>IFERROR(IF($O$191&gt;0,IF(O198&lt;MAX(N$193:N$210),1+COUNTIF(O$193:O198,"&gt;0"),""),""),"")</f>
        <v/>
      </c>
      <c r="P199" s="159" t="str">
        <f t="shared" si="178"/>
        <v/>
      </c>
      <c r="Q199" s="159">
        <f t="shared" si="155"/>
        <v>0</v>
      </c>
      <c r="R199" s="179" t="e">
        <f t="shared" si="179"/>
        <v>#N/A</v>
      </c>
      <c r="S199" s="159" t="e">
        <f>IF(R199=0,0,COUNTIF(S$193:S198,"&gt;0")+1)</f>
        <v>#N/A</v>
      </c>
      <c r="T199" s="159" t="str">
        <f>IFERROR(IF($O$191&gt;1,IF(T198&lt;MAX(S$193:S$210),1+COUNTIF(T$193:T198,"&gt;0"),""),""),"")</f>
        <v/>
      </c>
      <c r="U199" s="159" t="str">
        <f t="shared" si="180"/>
        <v/>
      </c>
      <c r="V199" s="159">
        <f t="shared" si="156"/>
        <v>0</v>
      </c>
      <c r="W199" s="179" t="e">
        <f t="shared" si="181"/>
        <v>#N/A</v>
      </c>
      <c r="X199" s="159" t="e">
        <f>IF(W199=0,0,COUNTIF(X$193:X198,"&gt;0")+1)</f>
        <v>#N/A</v>
      </c>
      <c r="Y199" s="159" t="str">
        <f>IFERROR(IF($O$191&gt;2,IF(Y198&lt;MAX(X$193:X$210),1+COUNTIF(Y$193:Y198,"&gt;0"),""),""),"")</f>
        <v/>
      </c>
      <c r="Z199" s="159" t="str">
        <f t="shared" si="220"/>
        <v/>
      </c>
      <c r="AA199" s="159">
        <f t="shared" si="157"/>
        <v>0</v>
      </c>
      <c r="AB199" s="179" t="e">
        <f t="shared" si="182"/>
        <v>#N/A</v>
      </c>
      <c r="AC199" s="159" t="e">
        <f>IF(AB199=0,0,COUNTIF(AC$193:AC198,"&gt;0")+1)</f>
        <v>#N/A</v>
      </c>
      <c r="AD199" s="159" t="str">
        <f>IFERROR(IF($O$191&gt;3,IF(AD198&lt;MAX(AC$193:AC$210),1+COUNTIF(AD$193:AD198,"&gt;0"),""),""),"")</f>
        <v/>
      </c>
      <c r="AE199" s="159" t="str">
        <f t="shared" si="183"/>
        <v/>
      </c>
      <c r="AF199" s="180">
        <f t="shared" si="158"/>
        <v>0</v>
      </c>
      <c r="AG199" s="179">
        <f t="shared" si="159"/>
        <v>1</v>
      </c>
      <c r="AH199" s="159">
        <f>IF(AG199=0,0,COUNTIF(AH$193:AH198,"&gt;0")+1)</f>
        <v>6</v>
      </c>
      <c r="AI199" s="159" t="str">
        <f>IFERROR(IF($AG$191&gt;0,IF(AI198&lt;MAX(AH$193:AH$210),1+COUNTIF(AI$193:AI198,"&gt;0"),""),""),"")</f>
        <v/>
      </c>
      <c r="AJ199" s="159" t="str">
        <f t="shared" si="160"/>
        <v>n/a</v>
      </c>
      <c r="AK199" s="180">
        <f t="shared" si="161"/>
        <v>0</v>
      </c>
      <c r="AL199" s="159">
        <f t="shared" si="162"/>
        <v>1</v>
      </c>
      <c r="AM199" s="159">
        <f>IF(AL199=0,0,COUNTIF(AM$193:AM198,"&gt;0")+1)</f>
        <v>6</v>
      </c>
      <c r="AN199" s="159" t="str">
        <f>IFERROR(IF($AG$191&gt;0,IF(AN198&lt;MAX(AM$193:AM$210),1+COUNTIF(AN$193:AN198,"&gt;0"),""),""),"")</f>
        <v/>
      </c>
      <c r="AO199" s="159" t="str">
        <f t="shared" si="163"/>
        <v>n/a</v>
      </c>
      <c r="AP199" s="180">
        <f t="shared" si="164"/>
        <v>0</v>
      </c>
      <c r="AQ199" s="179">
        <f t="shared" si="184"/>
        <v>0</v>
      </c>
      <c r="AR199" s="159">
        <f t="shared" si="185"/>
        <v>0</v>
      </c>
      <c r="AS199" s="159">
        <f>IF(AR199=0,0,COUNTIF(AS$193:AS198,"&gt;0")+1)</f>
        <v>0</v>
      </c>
      <c r="AT199" s="159" t="str">
        <f>IFERROR(IF($AR$191&gt;0,IF(AT198&lt;MAX(AS$193:AS$210),1+COUNTIF(AT$193:AT198,"&gt;0"),""),""),"")</f>
        <v/>
      </c>
      <c r="AU199" s="159" t="str">
        <f t="shared" si="186"/>
        <v>n/a</v>
      </c>
      <c r="AV199" s="180">
        <f t="shared" si="165"/>
        <v>0</v>
      </c>
      <c r="AW199" s="159">
        <f t="shared" si="187"/>
        <v>0</v>
      </c>
      <c r="AX199" s="159">
        <f t="shared" si="188"/>
        <v>0</v>
      </c>
      <c r="AY199" s="159">
        <f>IF(AX199=0,0,COUNTIF(AY$193:AY198,"&gt;0")+1)</f>
        <v>0</v>
      </c>
      <c r="AZ199" s="159" t="str">
        <f>IFERROR(IF($AR$191&gt;1,IF(AZ198&lt;MAX(AY$193:AY$210),1+COUNTIF(AZ$193:AZ198,"&gt;0"),""),""),"")</f>
        <v/>
      </c>
      <c r="BA199" s="159" t="str">
        <f t="shared" si="189"/>
        <v>n/a</v>
      </c>
      <c r="BB199" s="180">
        <f t="shared" si="166"/>
        <v>0</v>
      </c>
      <c r="BC199" s="159">
        <f t="shared" si="190"/>
        <v>0</v>
      </c>
      <c r="BD199" s="159">
        <f t="shared" si="191"/>
        <v>0</v>
      </c>
      <c r="BE199" s="159">
        <f>IF(BD199=0,0,COUNTIF(BE$193:BE198,"&gt;0")+1)</f>
        <v>0</v>
      </c>
      <c r="BF199" s="159" t="str">
        <f>IFERROR(IF($AR$191&gt;2,IF(BF198&lt;MAX(BE$193:BE$210),1+COUNTIF(BF$193:BF198,"&gt;0"),""),""),"")</f>
        <v/>
      </c>
      <c r="BG199" s="159" t="str">
        <f t="shared" si="192"/>
        <v>n/a</v>
      </c>
      <c r="BH199" s="180">
        <f t="shared" si="167"/>
        <v>0</v>
      </c>
      <c r="BI199" s="159">
        <f t="shared" si="193"/>
        <v>0</v>
      </c>
      <c r="BJ199" s="159">
        <f t="shared" si="194"/>
        <v>0</v>
      </c>
      <c r="BK199" s="159">
        <f>IF(BJ199=0,0,COUNTIF(BK$193:BK198,"&gt;0")+1)</f>
        <v>0</v>
      </c>
      <c r="BL199" s="159" t="str">
        <f>IFERROR(IF($AR$191&gt;BL$191,IF(BL198&lt;MAX(BK$193:BK$210),1+COUNTIF(BL$193:BL198,"&gt;0"),""),""),"")</f>
        <v/>
      </c>
      <c r="BM199" s="159" t="str">
        <f t="shared" si="195"/>
        <v>n/a</v>
      </c>
      <c r="BN199" s="180">
        <f t="shared" si="168"/>
        <v>0</v>
      </c>
      <c r="BO199" s="159">
        <f t="shared" si="196"/>
        <v>0</v>
      </c>
      <c r="BP199" s="159">
        <f t="shared" si="197"/>
        <v>0</v>
      </c>
      <c r="BQ199" s="159">
        <f>IF(BP199=0,0,COUNTIF(BQ$193:BQ198,"&gt;0")+1)</f>
        <v>0</v>
      </c>
      <c r="BR199" s="159" t="str">
        <f>IFERROR(IF($AR$191&gt;BR$191,IF(BR198&lt;MAX(BQ$193:BQ$210),1+COUNTIF(BR$193:BR198,"&gt;0"),""),""),"")</f>
        <v/>
      </c>
      <c r="BS199" s="159" t="str">
        <f t="shared" si="198"/>
        <v>n/a</v>
      </c>
      <c r="BT199" s="180">
        <f t="shared" si="169"/>
        <v>0</v>
      </c>
      <c r="BU199" s="159">
        <f t="shared" si="199"/>
        <v>0</v>
      </c>
      <c r="BV199" s="159">
        <f t="shared" si="200"/>
        <v>0</v>
      </c>
      <c r="BW199" s="159">
        <f>IF(BV199=0,0,COUNTIF(BW$193:BW198,"&gt;0")+1)</f>
        <v>0</v>
      </c>
      <c r="BX199" s="159" t="str">
        <f>IFERROR(IF($AR$191&gt;BX$191,IF(BX198&lt;MAX(BW$193:BW$210),1+COUNTIF(BX$193:BX198,"&gt;0"),""),""),"")</f>
        <v/>
      </c>
      <c r="BY199" s="159" t="str">
        <f t="shared" si="201"/>
        <v>n/a</v>
      </c>
      <c r="BZ199" s="180">
        <f t="shared" si="170"/>
        <v>0</v>
      </c>
      <c r="CA199" s="159">
        <f t="shared" si="202"/>
        <v>0</v>
      </c>
      <c r="CB199" s="159">
        <f t="shared" si="203"/>
        <v>0</v>
      </c>
      <c r="CC199" s="159">
        <f>IF(CB199=0,0,COUNTIF(CC$193:CC198,"&gt;0")+1)</f>
        <v>0</v>
      </c>
      <c r="CD199" s="159" t="str">
        <f>IFERROR(IF($AR$191&gt;CD$191,IF(CD198&lt;MAX(CC$193:CC$210),1+COUNTIF(CD$193:CD198,"&gt;0"),""),""),"")</f>
        <v/>
      </c>
      <c r="CE199" s="159" t="str">
        <f t="shared" si="204"/>
        <v>n/a</v>
      </c>
      <c r="CF199" s="180">
        <f t="shared" si="171"/>
        <v>0</v>
      </c>
      <c r="CG199" s="159">
        <f t="shared" si="205"/>
        <v>0</v>
      </c>
      <c r="CH199" s="159">
        <f t="shared" si="206"/>
        <v>0</v>
      </c>
      <c r="CI199" s="159">
        <f>IF(CH199=0,0,COUNTIF(CI$193:CI198,"&gt;0")+1)</f>
        <v>0</v>
      </c>
      <c r="CJ199" s="159" t="str">
        <f>IFERROR(IF($AR$191&gt;CJ$191,IF(CJ198&lt;MAX(CI$193:CI$210),1+COUNTIF(CJ$193:CJ198,"&gt;0"),""),""),"")</f>
        <v/>
      </c>
      <c r="CK199" s="159" t="str">
        <f t="shared" si="207"/>
        <v>n/a</v>
      </c>
      <c r="CL199" s="180">
        <f t="shared" si="172"/>
        <v>0</v>
      </c>
      <c r="CM199" s="159">
        <f t="shared" si="208"/>
        <v>0</v>
      </c>
      <c r="CN199" s="159">
        <f t="shared" si="209"/>
        <v>0</v>
      </c>
      <c r="CO199" s="159">
        <f>IF(CN199=0,0,COUNTIF(CO$193:CO198,"&gt;0")+1)</f>
        <v>0</v>
      </c>
      <c r="CP199" s="159" t="str">
        <f>IFERROR(IF($AR$191&gt;CP$191,IF(CP198&lt;MAX(CO$193:CO$210),1+COUNTIF(CP$193:CP198,"&gt;0"),""),""),"")</f>
        <v/>
      </c>
      <c r="CQ199" s="159" t="str">
        <f t="shared" si="210"/>
        <v>n/a</v>
      </c>
      <c r="CR199" s="180">
        <f t="shared" si="173"/>
        <v>0</v>
      </c>
      <c r="CS199" s="159">
        <f t="shared" si="211"/>
        <v>0</v>
      </c>
      <c r="CT199" s="159">
        <f t="shared" si="212"/>
        <v>0</v>
      </c>
      <c r="CU199" s="159">
        <f>IF(CT199=0,0,COUNTIF(CU$193:CU198,"&gt;0")+1)</f>
        <v>0</v>
      </c>
      <c r="CV199" s="159" t="str">
        <f>IFERROR(IF($AR$191&gt;CV$191,IF(CV198&lt;MAX(CU$193:CU$210),1+COUNTIF(CV$193:CV198,"&gt;0"),""),""),"")</f>
        <v/>
      </c>
      <c r="CW199" s="159" t="str">
        <f t="shared" si="213"/>
        <v>n/a</v>
      </c>
      <c r="CX199" s="180">
        <f t="shared" si="174"/>
        <v>0</v>
      </c>
      <c r="CY199" s="159">
        <f t="shared" si="214"/>
        <v>0</v>
      </c>
      <c r="CZ199" s="159">
        <f t="shared" si="215"/>
        <v>0</v>
      </c>
      <c r="DA199" s="159">
        <f>IF(CZ199=0,0,COUNTIF(DA$193:DA198,"&gt;0")+1)</f>
        <v>0</v>
      </c>
      <c r="DB199" s="159" t="str">
        <f>IFERROR(IF($AR$191&gt;DB$191,IF(DB198&lt;MAX(DA$193:DA$210),1+COUNTIF(DB$193:DB198,"&gt;0"),""),""),"")</f>
        <v/>
      </c>
      <c r="DC199" s="159" t="str">
        <f t="shared" si="216"/>
        <v>n/a</v>
      </c>
      <c r="DD199" s="180">
        <f t="shared" si="175"/>
        <v>0</v>
      </c>
      <c r="DE199" s="159">
        <f t="shared" si="217"/>
        <v>0</v>
      </c>
      <c r="DF199" s="159">
        <f t="shared" si="218"/>
        <v>0</v>
      </c>
      <c r="DG199" s="159">
        <f>IF(DF199=0,0,COUNTIF(DG$193:DG198,"&gt;0")+1)</f>
        <v>0</v>
      </c>
      <c r="DH199" s="159" t="str">
        <f>IFERROR(IF($AR$191&gt;DH$191,IF(DH198&lt;MAX(DG$193:DG$210),1+COUNTIF(DH$193:DH198,"&gt;0"),""),""),"")</f>
        <v/>
      </c>
      <c r="DI199" s="159" t="str">
        <f t="shared" si="219"/>
        <v>n/a</v>
      </c>
      <c r="DJ199" s="180">
        <f t="shared" si="176"/>
        <v>0</v>
      </c>
      <c r="DK199" s="180"/>
    </row>
    <row r="200" spans="1:115" ht="16.5" x14ac:dyDescent="0.3">
      <c r="A200" s="155">
        <f>IFERROR(IF(A199+1&lt;MAX(D041_ClassFeatures!$A$2:$A$2033),A199+1,""),"")</f>
        <v>197</v>
      </c>
      <c r="B200" s="153" t="str">
        <f>IFERROR(INDEX(D041_ClassFeatures!$B$2:$B$2033,MATCH(C_Variables!A200,D041_ClassFeatures!$A$2:$A$2033,0),1),"")</f>
        <v>Dampen Elements</v>
      </c>
      <c r="C200" s="153">
        <f>IF(B200="",0,IF(IFERROR(MATCH(B200,C_Input!$BC$160:$BC$239,0),0)&gt;0,1,0))</f>
        <v>0</v>
      </c>
      <c r="D200" s="153"/>
      <c r="E200" s="153"/>
      <c r="F200" s="153"/>
      <c r="G200" s="437"/>
      <c r="H200" s="438" t="s">
        <v>87</v>
      </c>
      <c r="I200" s="427">
        <f t="shared" si="152"/>
        <v>0</v>
      </c>
      <c r="J200" s="428">
        <f t="shared" si="153"/>
        <v>0</v>
      </c>
      <c r="K200" s="424">
        <f t="shared" si="154"/>
        <v>0</v>
      </c>
      <c r="L200" s="194" t="e">
        <f>INDEX(D03_Skills!$D$2:$AP$19,MATCH(H200,D03_Skills!$B$2:$B$19,0),SelectedClassID)</f>
        <v>#N/A</v>
      </c>
      <c r="M200" s="179" t="e">
        <f t="shared" si="177"/>
        <v>#N/A</v>
      </c>
      <c r="N200" s="159" t="e">
        <f>IF(M200=0,0,COUNTIF($N$193:N199,"&gt;0")+1)</f>
        <v>#N/A</v>
      </c>
      <c r="O200" s="159" t="str">
        <f>IFERROR(IF($O$191&gt;0,IF(O199&lt;MAX(N$193:N$210),1+COUNTIF(O$193:O199,"&gt;0"),""),""),"")</f>
        <v/>
      </c>
      <c r="P200" s="159" t="str">
        <f t="shared" si="178"/>
        <v/>
      </c>
      <c r="Q200" s="159">
        <f t="shared" si="155"/>
        <v>0</v>
      </c>
      <c r="R200" s="179" t="e">
        <f t="shared" si="179"/>
        <v>#N/A</v>
      </c>
      <c r="S200" s="159" t="e">
        <f>IF(R200=0,0,COUNTIF(S$193:S199,"&gt;0")+1)</f>
        <v>#N/A</v>
      </c>
      <c r="T200" s="159" t="str">
        <f>IFERROR(IF($O$191&gt;1,IF(T199&lt;MAX(S$193:S$210),1+COUNTIF(T$193:T199,"&gt;0"),""),""),"")</f>
        <v/>
      </c>
      <c r="U200" s="159" t="str">
        <f t="shared" si="180"/>
        <v/>
      </c>
      <c r="V200" s="159">
        <f t="shared" si="156"/>
        <v>0</v>
      </c>
      <c r="W200" s="179" t="e">
        <f t="shared" si="181"/>
        <v>#N/A</v>
      </c>
      <c r="X200" s="159" t="e">
        <f>IF(W200=0,0,COUNTIF(X$193:X199,"&gt;0")+1)</f>
        <v>#N/A</v>
      </c>
      <c r="Y200" s="159" t="str">
        <f>IFERROR(IF($O$191&gt;2,IF(Y199&lt;MAX(X$193:X$210),1+COUNTIF(Y$193:Y199,"&gt;0"),""),""),"")</f>
        <v/>
      </c>
      <c r="Z200" s="159" t="str">
        <f t="shared" si="220"/>
        <v/>
      </c>
      <c r="AA200" s="159">
        <f t="shared" si="157"/>
        <v>0</v>
      </c>
      <c r="AB200" s="179" t="e">
        <f t="shared" si="182"/>
        <v>#N/A</v>
      </c>
      <c r="AC200" s="159" t="e">
        <f>IF(AB200=0,0,COUNTIF(AC$193:AC199,"&gt;0")+1)</f>
        <v>#N/A</v>
      </c>
      <c r="AD200" s="159" t="str">
        <f>IFERROR(IF($O$191&gt;3,IF(AD199&lt;MAX(AC$193:AC$210),1+COUNTIF(AD$193:AD199,"&gt;0"),""),""),"")</f>
        <v/>
      </c>
      <c r="AE200" s="159" t="str">
        <f t="shared" si="183"/>
        <v/>
      </c>
      <c r="AF200" s="180">
        <f t="shared" si="158"/>
        <v>0</v>
      </c>
      <c r="AG200" s="179">
        <f t="shared" si="159"/>
        <v>1</v>
      </c>
      <c r="AH200" s="159">
        <f>IF(AG200=0,0,COUNTIF(AH$193:AH199,"&gt;0")+1)</f>
        <v>7</v>
      </c>
      <c r="AI200" s="159" t="str">
        <f>IFERROR(IF($AG$191&gt;0,IF(AI199&lt;MAX(AH$193:AH$210),1+COUNTIF(AI$193:AI199,"&gt;0"),""),""),"")</f>
        <v/>
      </c>
      <c r="AJ200" s="159" t="str">
        <f t="shared" si="160"/>
        <v>n/a</v>
      </c>
      <c r="AK200" s="180">
        <f t="shared" si="161"/>
        <v>0</v>
      </c>
      <c r="AL200" s="159">
        <f t="shared" si="162"/>
        <v>1</v>
      </c>
      <c r="AM200" s="159">
        <f>IF(AL200=0,0,COUNTIF(AM$193:AM199,"&gt;0")+1)</f>
        <v>7</v>
      </c>
      <c r="AN200" s="159" t="str">
        <f>IFERROR(IF($AG$191&gt;0,IF(AN199&lt;MAX(AM$193:AM$210),1+COUNTIF(AN$193:AN199,"&gt;0"),""),""),"")</f>
        <v/>
      </c>
      <c r="AO200" s="159" t="str">
        <f t="shared" si="163"/>
        <v>n/a</v>
      </c>
      <c r="AP200" s="180">
        <f t="shared" si="164"/>
        <v>0</v>
      </c>
      <c r="AQ200" s="179">
        <f t="shared" si="184"/>
        <v>0</v>
      </c>
      <c r="AR200" s="159">
        <f t="shared" si="185"/>
        <v>0</v>
      </c>
      <c r="AS200" s="159">
        <f>IF(AR200=0,0,COUNTIF(AS$193:AS199,"&gt;0")+1)</f>
        <v>0</v>
      </c>
      <c r="AT200" s="159" t="str">
        <f>IFERROR(IF($AR$191&gt;0,IF(AT199&lt;MAX(AS$193:AS$210),1+COUNTIF(AT$193:AT199,"&gt;0"),""),""),"")</f>
        <v/>
      </c>
      <c r="AU200" s="159" t="str">
        <f t="shared" si="186"/>
        <v>n/a</v>
      </c>
      <c r="AV200" s="180">
        <f t="shared" si="165"/>
        <v>0</v>
      </c>
      <c r="AW200" s="159">
        <f t="shared" si="187"/>
        <v>0</v>
      </c>
      <c r="AX200" s="159">
        <f t="shared" si="188"/>
        <v>0</v>
      </c>
      <c r="AY200" s="159">
        <f>IF(AX200=0,0,COUNTIF(AY$193:AY199,"&gt;0")+1)</f>
        <v>0</v>
      </c>
      <c r="AZ200" s="159" t="str">
        <f>IFERROR(IF($AR$191&gt;1,IF(AZ199&lt;MAX(AY$193:AY$210),1+COUNTIF(AZ$193:AZ199,"&gt;0"),""),""),"")</f>
        <v/>
      </c>
      <c r="BA200" s="159" t="str">
        <f t="shared" si="189"/>
        <v>n/a</v>
      </c>
      <c r="BB200" s="180">
        <f t="shared" si="166"/>
        <v>0</v>
      </c>
      <c r="BC200" s="159">
        <f t="shared" si="190"/>
        <v>0</v>
      </c>
      <c r="BD200" s="159">
        <f t="shared" si="191"/>
        <v>0</v>
      </c>
      <c r="BE200" s="159">
        <f>IF(BD200=0,0,COUNTIF(BE$193:BE199,"&gt;0")+1)</f>
        <v>0</v>
      </c>
      <c r="BF200" s="159" t="str">
        <f>IFERROR(IF($AR$191&gt;2,IF(BF199&lt;MAX(BE$193:BE$210),1+COUNTIF(BF$193:BF199,"&gt;0"),""),""),"")</f>
        <v/>
      </c>
      <c r="BG200" s="159" t="str">
        <f t="shared" si="192"/>
        <v>n/a</v>
      </c>
      <c r="BH200" s="180">
        <f t="shared" si="167"/>
        <v>0</v>
      </c>
      <c r="BI200" s="159">
        <f t="shared" si="193"/>
        <v>0</v>
      </c>
      <c r="BJ200" s="159">
        <f t="shared" si="194"/>
        <v>0</v>
      </c>
      <c r="BK200" s="159">
        <f>IF(BJ200=0,0,COUNTIF(BK$193:BK199,"&gt;0")+1)</f>
        <v>0</v>
      </c>
      <c r="BL200" s="159" t="str">
        <f>IFERROR(IF($AR$191&gt;BL$191,IF(BL199&lt;MAX(BK$193:BK$210),1+COUNTIF(BL$193:BL199,"&gt;0"),""),""),"")</f>
        <v/>
      </c>
      <c r="BM200" s="159" t="str">
        <f t="shared" si="195"/>
        <v>n/a</v>
      </c>
      <c r="BN200" s="180">
        <f t="shared" si="168"/>
        <v>0</v>
      </c>
      <c r="BO200" s="159">
        <f t="shared" si="196"/>
        <v>0</v>
      </c>
      <c r="BP200" s="159">
        <f t="shared" si="197"/>
        <v>0</v>
      </c>
      <c r="BQ200" s="159">
        <f>IF(BP200=0,0,COUNTIF(BQ$193:BQ199,"&gt;0")+1)</f>
        <v>0</v>
      </c>
      <c r="BR200" s="159" t="str">
        <f>IFERROR(IF($AR$191&gt;BR$191,IF(BR199&lt;MAX(BQ$193:BQ$210),1+COUNTIF(BR$193:BR199,"&gt;0"),""),""),"")</f>
        <v/>
      </c>
      <c r="BS200" s="159" t="str">
        <f t="shared" si="198"/>
        <v>n/a</v>
      </c>
      <c r="BT200" s="180">
        <f t="shared" si="169"/>
        <v>0</v>
      </c>
      <c r="BU200" s="159">
        <f t="shared" si="199"/>
        <v>0</v>
      </c>
      <c r="BV200" s="159">
        <f t="shared" si="200"/>
        <v>0</v>
      </c>
      <c r="BW200" s="159">
        <f>IF(BV200=0,0,COUNTIF(BW$193:BW199,"&gt;0")+1)</f>
        <v>0</v>
      </c>
      <c r="BX200" s="159" t="str">
        <f>IFERROR(IF($AR$191&gt;BX$191,IF(BX199&lt;MAX(BW$193:BW$210),1+COUNTIF(BX$193:BX199,"&gt;0"),""),""),"")</f>
        <v/>
      </c>
      <c r="BY200" s="159" t="str">
        <f t="shared" si="201"/>
        <v>n/a</v>
      </c>
      <c r="BZ200" s="180">
        <f t="shared" si="170"/>
        <v>0</v>
      </c>
      <c r="CA200" s="159">
        <f t="shared" si="202"/>
        <v>0</v>
      </c>
      <c r="CB200" s="159">
        <f t="shared" si="203"/>
        <v>0</v>
      </c>
      <c r="CC200" s="159">
        <f>IF(CB200=0,0,COUNTIF(CC$193:CC199,"&gt;0")+1)</f>
        <v>0</v>
      </c>
      <c r="CD200" s="159" t="str">
        <f>IFERROR(IF($AR$191&gt;CD$191,IF(CD199&lt;MAX(CC$193:CC$210),1+COUNTIF(CD$193:CD199,"&gt;0"),""),""),"")</f>
        <v/>
      </c>
      <c r="CE200" s="159" t="str">
        <f t="shared" si="204"/>
        <v>n/a</v>
      </c>
      <c r="CF200" s="180">
        <f t="shared" si="171"/>
        <v>0</v>
      </c>
      <c r="CG200" s="159">
        <f t="shared" si="205"/>
        <v>0</v>
      </c>
      <c r="CH200" s="159">
        <f t="shared" si="206"/>
        <v>0</v>
      </c>
      <c r="CI200" s="159">
        <f>IF(CH200=0,0,COUNTIF(CI$193:CI199,"&gt;0")+1)</f>
        <v>0</v>
      </c>
      <c r="CJ200" s="159" t="str">
        <f>IFERROR(IF($AR$191&gt;CJ$191,IF(CJ199&lt;MAX(CI$193:CI$210),1+COUNTIF(CJ$193:CJ199,"&gt;0"),""),""),"")</f>
        <v/>
      </c>
      <c r="CK200" s="159" t="str">
        <f t="shared" si="207"/>
        <v>n/a</v>
      </c>
      <c r="CL200" s="180">
        <f t="shared" si="172"/>
        <v>0</v>
      </c>
      <c r="CM200" s="159">
        <f t="shared" si="208"/>
        <v>0</v>
      </c>
      <c r="CN200" s="159">
        <f t="shared" si="209"/>
        <v>0</v>
      </c>
      <c r="CO200" s="159">
        <f>IF(CN200=0,0,COUNTIF(CO$193:CO199,"&gt;0")+1)</f>
        <v>0</v>
      </c>
      <c r="CP200" s="159" t="str">
        <f>IFERROR(IF($AR$191&gt;CP$191,IF(CP199&lt;MAX(CO$193:CO$210),1+COUNTIF(CP$193:CP199,"&gt;0"),""),""),"")</f>
        <v/>
      </c>
      <c r="CQ200" s="159" t="str">
        <f t="shared" si="210"/>
        <v>n/a</v>
      </c>
      <c r="CR200" s="180">
        <f t="shared" si="173"/>
        <v>0</v>
      </c>
      <c r="CS200" s="159">
        <f t="shared" si="211"/>
        <v>0</v>
      </c>
      <c r="CT200" s="159">
        <f t="shared" si="212"/>
        <v>0</v>
      </c>
      <c r="CU200" s="159">
        <f>IF(CT200=0,0,COUNTIF(CU$193:CU199,"&gt;0")+1)</f>
        <v>0</v>
      </c>
      <c r="CV200" s="159" t="str">
        <f>IFERROR(IF($AR$191&gt;CV$191,IF(CV199&lt;MAX(CU$193:CU$210),1+COUNTIF(CV$193:CV199,"&gt;0"),""),""),"")</f>
        <v/>
      </c>
      <c r="CW200" s="159" t="str">
        <f t="shared" si="213"/>
        <v>n/a</v>
      </c>
      <c r="CX200" s="180">
        <f t="shared" si="174"/>
        <v>0</v>
      </c>
      <c r="CY200" s="159">
        <f t="shared" si="214"/>
        <v>0</v>
      </c>
      <c r="CZ200" s="159">
        <f t="shared" si="215"/>
        <v>0</v>
      </c>
      <c r="DA200" s="159">
        <f>IF(CZ200=0,0,COUNTIF(DA$193:DA199,"&gt;0")+1)</f>
        <v>0</v>
      </c>
      <c r="DB200" s="159" t="str">
        <f>IFERROR(IF($AR$191&gt;DB$191,IF(DB199&lt;MAX(DA$193:DA$210),1+COUNTIF(DB$193:DB199,"&gt;0"),""),""),"")</f>
        <v/>
      </c>
      <c r="DC200" s="159" t="str">
        <f t="shared" si="216"/>
        <v>n/a</v>
      </c>
      <c r="DD200" s="180">
        <f t="shared" si="175"/>
        <v>0</v>
      </c>
      <c r="DE200" s="159">
        <f t="shared" si="217"/>
        <v>0</v>
      </c>
      <c r="DF200" s="159">
        <f t="shared" si="218"/>
        <v>0</v>
      </c>
      <c r="DG200" s="159">
        <f>IF(DF200=0,0,COUNTIF(DG$193:DG199,"&gt;0")+1)</f>
        <v>0</v>
      </c>
      <c r="DH200" s="159" t="str">
        <f>IFERROR(IF($AR$191&gt;DH$191,IF(DH199&lt;MAX(DG$193:DG$210),1+COUNTIF(DH$193:DH199,"&gt;0"),""),""),"")</f>
        <v/>
      </c>
      <c r="DI200" s="159" t="str">
        <f t="shared" si="219"/>
        <v>n/a</v>
      </c>
      <c r="DJ200" s="180">
        <f t="shared" si="176"/>
        <v>0</v>
      </c>
      <c r="DK200" s="180"/>
    </row>
    <row r="201" spans="1:115" ht="16.5" x14ac:dyDescent="0.3">
      <c r="A201" s="155">
        <f>IFERROR(IF(A200+1&lt;MAX(D041_ClassFeatures!$A$2:$A$2033),A200+1,""),"")</f>
        <v>198</v>
      </c>
      <c r="B201" s="153" t="str">
        <f>IFERROR(INDEX(D041_ClassFeatures!$B$2:$B$2033,MATCH(C_Variables!A201,D041_ClassFeatures!$A$2:$A$2033,0),1),"")</f>
        <v>Master of Nature</v>
      </c>
      <c r="C201" s="153">
        <f>IF(B201="",0,IF(IFERROR(MATCH(B201,C_Input!$BC$160:$BC$239,0),0)&gt;0,1,0))</f>
        <v>0</v>
      </c>
      <c r="D201" s="153"/>
      <c r="E201" s="153"/>
      <c r="F201" s="153"/>
      <c r="G201" s="437"/>
      <c r="H201" s="438" t="s">
        <v>612</v>
      </c>
      <c r="I201" s="427">
        <f t="shared" si="152"/>
        <v>0</v>
      </c>
      <c r="J201" s="428">
        <f t="shared" si="153"/>
        <v>0</v>
      </c>
      <c r="K201" s="424">
        <f t="shared" si="154"/>
        <v>0</v>
      </c>
      <c r="L201" s="194" t="e">
        <f>INDEX(D03_Skills!$D$2:$AP$19,MATCH(H201,D03_Skills!$B$2:$B$19,0),SelectedClassID)</f>
        <v>#N/A</v>
      </c>
      <c r="M201" s="179" t="e">
        <f t="shared" si="177"/>
        <v>#N/A</v>
      </c>
      <c r="N201" s="159" t="e">
        <f>IF(M201=0,0,COUNTIF($N$193:N200,"&gt;0")+1)</f>
        <v>#N/A</v>
      </c>
      <c r="O201" s="159" t="str">
        <f>IFERROR(IF($O$191&gt;0,IF(O200&lt;MAX(N$193:N$210),1+COUNTIF(O$193:O200,"&gt;0"),""),""),"")</f>
        <v/>
      </c>
      <c r="P201" s="159" t="str">
        <f t="shared" si="178"/>
        <v/>
      </c>
      <c r="Q201" s="159">
        <f t="shared" si="155"/>
        <v>0</v>
      </c>
      <c r="R201" s="179" t="e">
        <f t="shared" si="179"/>
        <v>#N/A</v>
      </c>
      <c r="S201" s="159" t="e">
        <f>IF(R201=0,0,COUNTIF(S$193:S200,"&gt;0")+1)</f>
        <v>#N/A</v>
      </c>
      <c r="T201" s="159" t="str">
        <f>IFERROR(IF($O$191&gt;1,IF(T200&lt;MAX(S$193:S$210),1+COUNTIF(T$193:T200,"&gt;0"),""),""),"")</f>
        <v/>
      </c>
      <c r="U201" s="159" t="str">
        <f t="shared" si="180"/>
        <v/>
      </c>
      <c r="V201" s="159">
        <f t="shared" si="156"/>
        <v>0</v>
      </c>
      <c r="W201" s="179" t="e">
        <f t="shared" si="181"/>
        <v>#N/A</v>
      </c>
      <c r="X201" s="159" t="e">
        <f>IF(W201=0,0,COUNTIF(X$193:X200,"&gt;0")+1)</f>
        <v>#N/A</v>
      </c>
      <c r="Y201" s="159" t="str">
        <f>IFERROR(IF($O$191&gt;2,IF(Y200&lt;MAX(X$193:X$210),1+COUNTIF(Y$193:Y200,"&gt;0"),""),""),"")</f>
        <v/>
      </c>
      <c r="Z201" s="159" t="str">
        <f t="shared" si="220"/>
        <v/>
      </c>
      <c r="AA201" s="159">
        <f t="shared" si="157"/>
        <v>0</v>
      </c>
      <c r="AB201" s="179" t="e">
        <f t="shared" si="182"/>
        <v>#N/A</v>
      </c>
      <c r="AC201" s="159" t="e">
        <f>IF(AB201=0,0,COUNTIF(AC$193:AC200,"&gt;0")+1)</f>
        <v>#N/A</v>
      </c>
      <c r="AD201" s="159" t="str">
        <f>IFERROR(IF($O$191&gt;3,IF(AD200&lt;MAX(AC$193:AC$210),1+COUNTIF(AD$193:AD200,"&gt;0"),""),""),"")</f>
        <v/>
      </c>
      <c r="AE201" s="159" t="str">
        <f t="shared" si="183"/>
        <v/>
      </c>
      <c r="AF201" s="180">
        <f t="shared" si="158"/>
        <v>0</v>
      </c>
      <c r="AG201" s="179">
        <f t="shared" si="159"/>
        <v>1</v>
      </c>
      <c r="AH201" s="159">
        <f>IF(AG201=0,0,COUNTIF(AH$193:AH200,"&gt;0")+1)</f>
        <v>8</v>
      </c>
      <c r="AI201" s="159" t="str">
        <f>IFERROR(IF($AG$191&gt;0,IF(AI200&lt;MAX(AH$193:AH$210),1+COUNTIF(AI$193:AI200,"&gt;0"),""),""),"")</f>
        <v/>
      </c>
      <c r="AJ201" s="159" t="str">
        <f t="shared" si="160"/>
        <v>n/a</v>
      </c>
      <c r="AK201" s="180">
        <f t="shared" si="161"/>
        <v>0</v>
      </c>
      <c r="AL201" s="159">
        <f t="shared" si="162"/>
        <v>1</v>
      </c>
      <c r="AM201" s="159">
        <f>IF(AL201=0,0,COUNTIF(AM$193:AM200,"&gt;0")+1)</f>
        <v>8</v>
      </c>
      <c r="AN201" s="159" t="str">
        <f>IFERROR(IF($AG$191&gt;0,IF(AN200&lt;MAX(AM$193:AM$210),1+COUNTIF(AN$193:AN200,"&gt;0"),""),""),"")</f>
        <v/>
      </c>
      <c r="AO201" s="159" t="str">
        <f t="shared" si="163"/>
        <v>n/a</v>
      </c>
      <c r="AP201" s="180">
        <f t="shared" si="164"/>
        <v>0</v>
      </c>
      <c r="AQ201" s="179">
        <f t="shared" si="184"/>
        <v>0</v>
      </c>
      <c r="AR201" s="159">
        <f t="shared" si="185"/>
        <v>0</v>
      </c>
      <c r="AS201" s="159">
        <f>IF(AR201=0,0,COUNTIF(AS$193:AS200,"&gt;0")+1)</f>
        <v>0</v>
      </c>
      <c r="AT201" s="159" t="str">
        <f>IFERROR(IF($AR$191&gt;0,IF(AT200&lt;MAX(AS$193:AS$210),1+COUNTIF(AT$193:AT200,"&gt;0"),""),""),"")</f>
        <v/>
      </c>
      <c r="AU201" s="159" t="str">
        <f t="shared" si="186"/>
        <v>n/a</v>
      </c>
      <c r="AV201" s="180">
        <f t="shared" si="165"/>
        <v>0</v>
      </c>
      <c r="AW201" s="159">
        <f t="shared" si="187"/>
        <v>0</v>
      </c>
      <c r="AX201" s="159">
        <f t="shared" si="188"/>
        <v>0</v>
      </c>
      <c r="AY201" s="159">
        <f>IF(AX201=0,0,COUNTIF(AY$193:AY200,"&gt;0")+1)</f>
        <v>0</v>
      </c>
      <c r="AZ201" s="159" t="str">
        <f>IFERROR(IF($AR$191&gt;1,IF(AZ200&lt;MAX(AY$193:AY$210),1+COUNTIF(AZ$193:AZ200,"&gt;0"),""),""),"")</f>
        <v/>
      </c>
      <c r="BA201" s="159" t="str">
        <f t="shared" si="189"/>
        <v>n/a</v>
      </c>
      <c r="BB201" s="180">
        <f t="shared" si="166"/>
        <v>0</v>
      </c>
      <c r="BC201" s="159">
        <f t="shared" si="190"/>
        <v>0</v>
      </c>
      <c r="BD201" s="159">
        <f t="shared" si="191"/>
        <v>0</v>
      </c>
      <c r="BE201" s="159">
        <f>IF(BD201=0,0,COUNTIF(BE$193:BE200,"&gt;0")+1)</f>
        <v>0</v>
      </c>
      <c r="BF201" s="159" t="str">
        <f>IFERROR(IF($AR$191&gt;2,IF(BF200&lt;MAX(BE$193:BE$210),1+COUNTIF(BF$193:BF200,"&gt;0"),""),""),"")</f>
        <v/>
      </c>
      <c r="BG201" s="159" t="str">
        <f t="shared" si="192"/>
        <v>n/a</v>
      </c>
      <c r="BH201" s="180">
        <f t="shared" si="167"/>
        <v>0</v>
      </c>
      <c r="BI201" s="159">
        <f t="shared" si="193"/>
        <v>0</v>
      </c>
      <c r="BJ201" s="159">
        <f t="shared" si="194"/>
        <v>0</v>
      </c>
      <c r="BK201" s="159">
        <f>IF(BJ201=0,0,COUNTIF(BK$193:BK200,"&gt;0")+1)</f>
        <v>0</v>
      </c>
      <c r="BL201" s="159" t="str">
        <f>IFERROR(IF($AR$191&gt;BL$191,IF(BL200&lt;MAX(BK$193:BK$210),1+COUNTIF(BL$193:BL200,"&gt;0"),""),""),"")</f>
        <v/>
      </c>
      <c r="BM201" s="159" t="str">
        <f t="shared" si="195"/>
        <v>n/a</v>
      </c>
      <c r="BN201" s="180">
        <f t="shared" si="168"/>
        <v>0</v>
      </c>
      <c r="BO201" s="159">
        <f t="shared" si="196"/>
        <v>0</v>
      </c>
      <c r="BP201" s="159">
        <f t="shared" si="197"/>
        <v>0</v>
      </c>
      <c r="BQ201" s="159">
        <f>IF(BP201=0,0,COUNTIF(BQ$193:BQ200,"&gt;0")+1)</f>
        <v>0</v>
      </c>
      <c r="BR201" s="159" t="str">
        <f>IFERROR(IF($AR$191&gt;BR$191,IF(BR200&lt;MAX(BQ$193:BQ$210),1+COUNTIF(BR$193:BR200,"&gt;0"),""),""),"")</f>
        <v/>
      </c>
      <c r="BS201" s="159" t="str">
        <f t="shared" si="198"/>
        <v>n/a</v>
      </c>
      <c r="BT201" s="180">
        <f t="shared" si="169"/>
        <v>0</v>
      </c>
      <c r="BU201" s="159">
        <f t="shared" si="199"/>
        <v>0</v>
      </c>
      <c r="BV201" s="159">
        <f t="shared" si="200"/>
        <v>0</v>
      </c>
      <c r="BW201" s="159">
        <f>IF(BV201=0,0,COUNTIF(BW$193:BW200,"&gt;0")+1)</f>
        <v>0</v>
      </c>
      <c r="BX201" s="159" t="str">
        <f>IFERROR(IF($AR$191&gt;BX$191,IF(BX200&lt;MAX(BW$193:BW$210),1+COUNTIF(BX$193:BX200,"&gt;0"),""),""),"")</f>
        <v/>
      </c>
      <c r="BY201" s="159" t="str">
        <f t="shared" si="201"/>
        <v>n/a</v>
      </c>
      <c r="BZ201" s="180">
        <f t="shared" si="170"/>
        <v>0</v>
      </c>
      <c r="CA201" s="159">
        <f t="shared" si="202"/>
        <v>0</v>
      </c>
      <c r="CB201" s="159">
        <f t="shared" si="203"/>
        <v>0</v>
      </c>
      <c r="CC201" s="159">
        <f>IF(CB201=0,0,COUNTIF(CC$193:CC200,"&gt;0")+1)</f>
        <v>0</v>
      </c>
      <c r="CD201" s="159" t="str">
        <f>IFERROR(IF($AR$191&gt;CD$191,IF(CD200&lt;MAX(CC$193:CC$210),1+COUNTIF(CD$193:CD200,"&gt;0"),""),""),"")</f>
        <v/>
      </c>
      <c r="CE201" s="159" t="str">
        <f t="shared" si="204"/>
        <v>n/a</v>
      </c>
      <c r="CF201" s="180">
        <f t="shared" si="171"/>
        <v>0</v>
      </c>
      <c r="CG201" s="159">
        <f t="shared" si="205"/>
        <v>0</v>
      </c>
      <c r="CH201" s="159">
        <f t="shared" si="206"/>
        <v>0</v>
      </c>
      <c r="CI201" s="159">
        <f>IF(CH201=0,0,COUNTIF(CI$193:CI200,"&gt;0")+1)</f>
        <v>0</v>
      </c>
      <c r="CJ201" s="159" t="str">
        <f>IFERROR(IF($AR$191&gt;CJ$191,IF(CJ200&lt;MAX(CI$193:CI$210),1+COUNTIF(CJ$193:CJ200,"&gt;0"),""),""),"")</f>
        <v/>
      </c>
      <c r="CK201" s="159" t="str">
        <f t="shared" si="207"/>
        <v>n/a</v>
      </c>
      <c r="CL201" s="180">
        <f t="shared" si="172"/>
        <v>0</v>
      </c>
      <c r="CM201" s="159">
        <f t="shared" si="208"/>
        <v>0</v>
      </c>
      <c r="CN201" s="159">
        <f t="shared" si="209"/>
        <v>0</v>
      </c>
      <c r="CO201" s="159">
        <f>IF(CN201=0,0,COUNTIF(CO$193:CO200,"&gt;0")+1)</f>
        <v>0</v>
      </c>
      <c r="CP201" s="159" t="str">
        <f>IFERROR(IF($AR$191&gt;CP$191,IF(CP200&lt;MAX(CO$193:CO$210),1+COUNTIF(CP$193:CP200,"&gt;0"),""),""),"")</f>
        <v/>
      </c>
      <c r="CQ201" s="159" t="str">
        <f t="shared" si="210"/>
        <v>n/a</v>
      </c>
      <c r="CR201" s="180">
        <f t="shared" si="173"/>
        <v>0</v>
      </c>
      <c r="CS201" s="159">
        <f t="shared" si="211"/>
        <v>0</v>
      </c>
      <c r="CT201" s="159">
        <f t="shared" si="212"/>
        <v>0</v>
      </c>
      <c r="CU201" s="159">
        <f>IF(CT201=0,0,COUNTIF(CU$193:CU200,"&gt;0")+1)</f>
        <v>0</v>
      </c>
      <c r="CV201" s="159" t="str">
        <f>IFERROR(IF($AR$191&gt;CV$191,IF(CV200&lt;MAX(CU$193:CU$210),1+COUNTIF(CV$193:CV200,"&gt;0"),""),""),"")</f>
        <v/>
      </c>
      <c r="CW201" s="159" t="str">
        <f t="shared" si="213"/>
        <v>n/a</v>
      </c>
      <c r="CX201" s="180">
        <f t="shared" si="174"/>
        <v>0</v>
      </c>
      <c r="CY201" s="159">
        <f t="shared" si="214"/>
        <v>0</v>
      </c>
      <c r="CZ201" s="159">
        <f t="shared" si="215"/>
        <v>0</v>
      </c>
      <c r="DA201" s="159">
        <f>IF(CZ201=0,0,COUNTIF(DA$193:DA200,"&gt;0")+1)</f>
        <v>0</v>
      </c>
      <c r="DB201" s="159" t="str">
        <f>IFERROR(IF($AR$191&gt;DB$191,IF(DB200&lt;MAX(DA$193:DA$210),1+COUNTIF(DB$193:DB200,"&gt;0"),""),""),"")</f>
        <v/>
      </c>
      <c r="DC201" s="159" t="str">
        <f t="shared" si="216"/>
        <v>n/a</v>
      </c>
      <c r="DD201" s="180">
        <f t="shared" si="175"/>
        <v>0</v>
      </c>
      <c r="DE201" s="159">
        <f t="shared" si="217"/>
        <v>0</v>
      </c>
      <c r="DF201" s="159">
        <f t="shared" si="218"/>
        <v>0</v>
      </c>
      <c r="DG201" s="159">
        <f>IF(DF201=0,0,COUNTIF(DG$193:DG200,"&gt;0")+1)</f>
        <v>0</v>
      </c>
      <c r="DH201" s="159" t="str">
        <f>IFERROR(IF($AR$191&gt;DH$191,IF(DH200&lt;MAX(DG$193:DG$210),1+COUNTIF(DH$193:DH200,"&gt;0"),""),""),"")</f>
        <v/>
      </c>
      <c r="DI201" s="159" t="str">
        <f t="shared" si="219"/>
        <v>n/a</v>
      </c>
      <c r="DJ201" s="180">
        <f t="shared" si="176"/>
        <v>0</v>
      </c>
      <c r="DK201" s="180"/>
    </row>
    <row r="202" spans="1:115" ht="16.5" x14ac:dyDescent="0.3">
      <c r="A202" s="155">
        <f>IFERROR(IF(A201+1&lt;MAX(D041_ClassFeatures!$A$2:$A$2033),A201+1,""),"")</f>
        <v>199</v>
      </c>
      <c r="B202" s="153" t="str">
        <f>IFERROR(INDEX(D041_ClassFeatures!$B$2:$B$2033,MATCH(C_Variables!A202,D041_ClassFeatures!$A$2:$A$2033,0),1),"")</f>
        <v>Divine Strike (nature)</v>
      </c>
      <c r="C202" s="153">
        <f>IF(B202="",0,IF(IFERROR(MATCH(B202,C_Input!$BC$160:$BC$239,0),0)&gt;0,1,0))</f>
        <v>0</v>
      </c>
      <c r="D202" s="153"/>
      <c r="E202" s="153"/>
      <c r="F202" s="153"/>
      <c r="G202" s="437"/>
      <c r="H202" s="438" t="s">
        <v>613</v>
      </c>
      <c r="I202" s="427">
        <f t="shared" si="152"/>
        <v>0</v>
      </c>
      <c r="J202" s="428">
        <f t="shared" si="153"/>
        <v>0</v>
      </c>
      <c r="K202" s="424">
        <f t="shared" si="154"/>
        <v>0</v>
      </c>
      <c r="L202" s="194" t="e">
        <f>INDEX(D03_Skills!$D$2:$AP$19,MATCH(H202,D03_Skills!$B$2:$B$19,0),SelectedClassID)</f>
        <v>#N/A</v>
      </c>
      <c r="M202" s="179" t="e">
        <f t="shared" si="177"/>
        <v>#N/A</v>
      </c>
      <c r="N202" s="159" t="e">
        <f>IF(M202=0,0,COUNTIF($N$193:N201,"&gt;0")+1)</f>
        <v>#N/A</v>
      </c>
      <c r="O202" s="159" t="str">
        <f>IFERROR(IF($O$191&gt;0,IF(O201&lt;MAX(N$193:N$210),1+COUNTIF(O$193:O201,"&gt;0"),""),""),"")</f>
        <v/>
      </c>
      <c r="P202" s="159" t="str">
        <f t="shared" si="178"/>
        <v/>
      </c>
      <c r="Q202" s="159">
        <f t="shared" si="155"/>
        <v>0</v>
      </c>
      <c r="R202" s="179" t="e">
        <f t="shared" si="179"/>
        <v>#N/A</v>
      </c>
      <c r="S202" s="159" t="e">
        <f>IF(R202=0,0,COUNTIF(S$193:S201,"&gt;0")+1)</f>
        <v>#N/A</v>
      </c>
      <c r="T202" s="159" t="str">
        <f>IFERROR(IF($O$191&gt;1,IF(T201&lt;MAX(S$193:S$210),1+COUNTIF(T$193:T201,"&gt;0"),""),""),"")</f>
        <v/>
      </c>
      <c r="U202" s="159" t="str">
        <f t="shared" si="180"/>
        <v/>
      </c>
      <c r="V202" s="159">
        <f t="shared" si="156"/>
        <v>0</v>
      </c>
      <c r="W202" s="179" t="e">
        <f t="shared" si="181"/>
        <v>#N/A</v>
      </c>
      <c r="X202" s="159" t="e">
        <f>IF(W202=0,0,COUNTIF(X$193:X201,"&gt;0")+1)</f>
        <v>#N/A</v>
      </c>
      <c r="Y202" s="159" t="str">
        <f>IFERROR(IF($O$191&gt;2,IF(Y201&lt;MAX(X$193:X$210),1+COUNTIF(Y$193:Y201,"&gt;0"),""),""),"")</f>
        <v/>
      </c>
      <c r="Z202" s="159" t="str">
        <f t="shared" si="220"/>
        <v/>
      </c>
      <c r="AA202" s="159">
        <f t="shared" si="157"/>
        <v>0</v>
      </c>
      <c r="AB202" s="179" t="e">
        <f t="shared" si="182"/>
        <v>#N/A</v>
      </c>
      <c r="AC202" s="159" t="e">
        <f>IF(AB202=0,0,COUNTIF(AC$193:AC201,"&gt;0")+1)</f>
        <v>#N/A</v>
      </c>
      <c r="AD202" s="159" t="str">
        <f>IFERROR(IF($O$191&gt;3,IF(AD201&lt;MAX(AC$193:AC$210),1+COUNTIF(AD$193:AD201,"&gt;0"),""),""),"")</f>
        <v/>
      </c>
      <c r="AE202" s="159" t="str">
        <f t="shared" si="183"/>
        <v/>
      </c>
      <c r="AF202" s="180">
        <f t="shared" si="158"/>
        <v>0</v>
      </c>
      <c r="AG202" s="179">
        <f t="shared" si="159"/>
        <v>1</v>
      </c>
      <c r="AH202" s="159">
        <f>IF(AG202=0,0,COUNTIF(AH$193:AH201,"&gt;0")+1)</f>
        <v>9</v>
      </c>
      <c r="AI202" s="159" t="str">
        <f>IFERROR(IF($AG$191&gt;0,IF(AI201&lt;MAX(AH$193:AH$210),1+COUNTIF(AI$193:AI201,"&gt;0"),""),""),"")</f>
        <v/>
      </c>
      <c r="AJ202" s="159" t="str">
        <f t="shared" si="160"/>
        <v>n/a</v>
      </c>
      <c r="AK202" s="180">
        <f t="shared" si="161"/>
        <v>0</v>
      </c>
      <c r="AL202" s="159">
        <f t="shared" si="162"/>
        <v>1</v>
      </c>
      <c r="AM202" s="159">
        <f>IF(AL202=0,0,COUNTIF(AM$193:AM201,"&gt;0")+1)</f>
        <v>9</v>
      </c>
      <c r="AN202" s="159" t="str">
        <f>IFERROR(IF($AG$191&gt;0,IF(AN201&lt;MAX(AM$193:AM$210),1+COUNTIF(AN$193:AN201,"&gt;0"),""),""),"")</f>
        <v/>
      </c>
      <c r="AO202" s="159" t="str">
        <f t="shared" si="163"/>
        <v>n/a</v>
      </c>
      <c r="AP202" s="180">
        <f t="shared" si="164"/>
        <v>0</v>
      </c>
      <c r="AQ202" s="179">
        <f t="shared" si="184"/>
        <v>0</v>
      </c>
      <c r="AR202" s="159">
        <f t="shared" si="185"/>
        <v>0</v>
      </c>
      <c r="AS202" s="159">
        <f>IF(AR202=0,0,COUNTIF(AS$193:AS201,"&gt;0")+1)</f>
        <v>0</v>
      </c>
      <c r="AT202" s="159" t="str">
        <f>IFERROR(IF($AR$191&gt;0,IF(AT201&lt;MAX(AS$193:AS$210),1+COUNTIF(AT$193:AT201,"&gt;0"),""),""),"")</f>
        <v/>
      </c>
      <c r="AU202" s="159" t="str">
        <f t="shared" si="186"/>
        <v>n/a</v>
      </c>
      <c r="AV202" s="180">
        <f t="shared" si="165"/>
        <v>0</v>
      </c>
      <c r="AW202" s="159">
        <f t="shared" si="187"/>
        <v>0</v>
      </c>
      <c r="AX202" s="159">
        <f t="shared" si="188"/>
        <v>0</v>
      </c>
      <c r="AY202" s="159">
        <f>IF(AX202=0,0,COUNTIF(AY$193:AY201,"&gt;0")+1)</f>
        <v>0</v>
      </c>
      <c r="AZ202" s="159" t="str">
        <f>IFERROR(IF($AR$191&gt;1,IF(AZ201&lt;MAX(AY$193:AY$210),1+COUNTIF(AZ$193:AZ201,"&gt;0"),""),""),"")</f>
        <v/>
      </c>
      <c r="BA202" s="159" t="str">
        <f t="shared" si="189"/>
        <v>n/a</v>
      </c>
      <c r="BB202" s="180">
        <f t="shared" si="166"/>
        <v>0</v>
      </c>
      <c r="BC202" s="159">
        <f t="shared" si="190"/>
        <v>0</v>
      </c>
      <c r="BD202" s="159">
        <f t="shared" si="191"/>
        <v>0</v>
      </c>
      <c r="BE202" s="159">
        <f>IF(BD202=0,0,COUNTIF(BE$193:BE201,"&gt;0")+1)</f>
        <v>0</v>
      </c>
      <c r="BF202" s="159" t="str">
        <f>IFERROR(IF($AR$191&gt;2,IF(BF201&lt;MAX(BE$193:BE$210),1+COUNTIF(BF$193:BF201,"&gt;0"),""),""),"")</f>
        <v/>
      </c>
      <c r="BG202" s="159" t="str">
        <f t="shared" si="192"/>
        <v>n/a</v>
      </c>
      <c r="BH202" s="180">
        <f t="shared" si="167"/>
        <v>0</v>
      </c>
      <c r="BI202" s="159">
        <f t="shared" si="193"/>
        <v>0</v>
      </c>
      <c r="BJ202" s="159">
        <f t="shared" si="194"/>
        <v>0</v>
      </c>
      <c r="BK202" s="159">
        <f>IF(BJ202=0,0,COUNTIF(BK$193:BK201,"&gt;0")+1)</f>
        <v>0</v>
      </c>
      <c r="BL202" s="159" t="str">
        <f>IFERROR(IF($AR$191&gt;BL$191,IF(BL201&lt;MAX(BK$193:BK$210),1+COUNTIF(BL$193:BL201,"&gt;0"),""),""),"")</f>
        <v/>
      </c>
      <c r="BM202" s="159" t="str">
        <f t="shared" si="195"/>
        <v>n/a</v>
      </c>
      <c r="BN202" s="180">
        <f t="shared" si="168"/>
        <v>0</v>
      </c>
      <c r="BO202" s="159">
        <f t="shared" si="196"/>
        <v>0</v>
      </c>
      <c r="BP202" s="159">
        <f t="shared" si="197"/>
        <v>0</v>
      </c>
      <c r="BQ202" s="159">
        <f>IF(BP202=0,0,COUNTIF(BQ$193:BQ201,"&gt;0")+1)</f>
        <v>0</v>
      </c>
      <c r="BR202" s="159" t="str">
        <f>IFERROR(IF($AR$191&gt;BR$191,IF(BR201&lt;MAX(BQ$193:BQ$210),1+COUNTIF(BR$193:BR201,"&gt;0"),""),""),"")</f>
        <v/>
      </c>
      <c r="BS202" s="159" t="str">
        <f t="shared" si="198"/>
        <v>n/a</v>
      </c>
      <c r="BT202" s="180">
        <f t="shared" si="169"/>
        <v>0</v>
      </c>
      <c r="BU202" s="159">
        <f t="shared" si="199"/>
        <v>0</v>
      </c>
      <c r="BV202" s="159">
        <f t="shared" si="200"/>
        <v>0</v>
      </c>
      <c r="BW202" s="159">
        <f>IF(BV202=0,0,COUNTIF(BW$193:BW201,"&gt;0")+1)</f>
        <v>0</v>
      </c>
      <c r="BX202" s="159" t="str">
        <f>IFERROR(IF($AR$191&gt;BX$191,IF(BX201&lt;MAX(BW$193:BW$210),1+COUNTIF(BX$193:BX201,"&gt;0"),""),""),"")</f>
        <v/>
      </c>
      <c r="BY202" s="159" t="str">
        <f t="shared" si="201"/>
        <v>n/a</v>
      </c>
      <c r="BZ202" s="180">
        <f t="shared" si="170"/>
        <v>0</v>
      </c>
      <c r="CA202" s="159">
        <f t="shared" si="202"/>
        <v>0</v>
      </c>
      <c r="CB202" s="159">
        <f t="shared" si="203"/>
        <v>0</v>
      </c>
      <c r="CC202" s="159">
        <f>IF(CB202=0,0,COUNTIF(CC$193:CC201,"&gt;0")+1)</f>
        <v>0</v>
      </c>
      <c r="CD202" s="159" t="str">
        <f>IFERROR(IF($AR$191&gt;CD$191,IF(CD201&lt;MAX(CC$193:CC$210),1+COUNTIF(CD$193:CD201,"&gt;0"),""),""),"")</f>
        <v/>
      </c>
      <c r="CE202" s="159" t="str">
        <f t="shared" si="204"/>
        <v>n/a</v>
      </c>
      <c r="CF202" s="180">
        <f t="shared" si="171"/>
        <v>0</v>
      </c>
      <c r="CG202" s="159">
        <f t="shared" si="205"/>
        <v>0</v>
      </c>
      <c r="CH202" s="159">
        <f t="shared" si="206"/>
        <v>0</v>
      </c>
      <c r="CI202" s="159">
        <f>IF(CH202=0,0,COUNTIF(CI$193:CI201,"&gt;0")+1)</f>
        <v>0</v>
      </c>
      <c r="CJ202" s="159" t="str">
        <f>IFERROR(IF($AR$191&gt;CJ$191,IF(CJ201&lt;MAX(CI$193:CI$210),1+COUNTIF(CJ$193:CJ201,"&gt;0"),""),""),"")</f>
        <v/>
      </c>
      <c r="CK202" s="159" t="str">
        <f t="shared" si="207"/>
        <v>n/a</v>
      </c>
      <c r="CL202" s="180">
        <f t="shared" si="172"/>
        <v>0</v>
      </c>
      <c r="CM202" s="159">
        <f t="shared" si="208"/>
        <v>0</v>
      </c>
      <c r="CN202" s="159">
        <f t="shared" si="209"/>
        <v>0</v>
      </c>
      <c r="CO202" s="159">
        <f>IF(CN202=0,0,COUNTIF(CO$193:CO201,"&gt;0")+1)</f>
        <v>0</v>
      </c>
      <c r="CP202" s="159" t="str">
        <f>IFERROR(IF($AR$191&gt;CP$191,IF(CP201&lt;MAX(CO$193:CO$210),1+COUNTIF(CP$193:CP201,"&gt;0"),""),""),"")</f>
        <v/>
      </c>
      <c r="CQ202" s="159" t="str">
        <f t="shared" si="210"/>
        <v>n/a</v>
      </c>
      <c r="CR202" s="180">
        <f t="shared" si="173"/>
        <v>0</v>
      </c>
      <c r="CS202" s="159">
        <f t="shared" si="211"/>
        <v>0</v>
      </c>
      <c r="CT202" s="159">
        <f t="shared" si="212"/>
        <v>0</v>
      </c>
      <c r="CU202" s="159">
        <f>IF(CT202=0,0,COUNTIF(CU$193:CU201,"&gt;0")+1)</f>
        <v>0</v>
      </c>
      <c r="CV202" s="159" t="str">
        <f>IFERROR(IF($AR$191&gt;CV$191,IF(CV201&lt;MAX(CU$193:CU$210),1+COUNTIF(CV$193:CV201,"&gt;0"),""),""),"")</f>
        <v/>
      </c>
      <c r="CW202" s="159" t="str">
        <f t="shared" si="213"/>
        <v>n/a</v>
      </c>
      <c r="CX202" s="180">
        <f t="shared" si="174"/>
        <v>0</v>
      </c>
      <c r="CY202" s="159">
        <f t="shared" si="214"/>
        <v>0</v>
      </c>
      <c r="CZ202" s="159">
        <f t="shared" si="215"/>
        <v>0</v>
      </c>
      <c r="DA202" s="159">
        <f>IF(CZ202=0,0,COUNTIF(DA$193:DA201,"&gt;0")+1)</f>
        <v>0</v>
      </c>
      <c r="DB202" s="159" t="str">
        <f>IFERROR(IF($AR$191&gt;DB$191,IF(DB201&lt;MAX(DA$193:DA$210),1+COUNTIF(DB$193:DB201,"&gt;0"),""),""),"")</f>
        <v/>
      </c>
      <c r="DC202" s="159" t="str">
        <f t="shared" si="216"/>
        <v>n/a</v>
      </c>
      <c r="DD202" s="180">
        <f t="shared" si="175"/>
        <v>0</v>
      </c>
      <c r="DE202" s="159">
        <f t="shared" si="217"/>
        <v>0</v>
      </c>
      <c r="DF202" s="159">
        <f t="shared" si="218"/>
        <v>0</v>
      </c>
      <c r="DG202" s="159">
        <f>IF(DF202=0,0,COUNTIF(DG$193:DG201,"&gt;0")+1)</f>
        <v>0</v>
      </c>
      <c r="DH202" s="159" t="str">
        <f>IFERROR(IF($AR$191&gt;DH$191,IF(DH201&lt;MAX(DG$193:DG$210),1+COUNTIF(DH$193:DH201,"&gt;0"),""),""),"")</f>
        <v/>
      </c>
      <c r="DI202" s="159" t="str">
        <f t="shared" si="219"/>
        <v>n/a</v>
      </c>
      <c r="DJ202" s="180">
        <f t="shared" si="176"/>
        <v>0</v>
      </c>
      <c r="DK202" s="180"/>
    </row>
    <row r="203" spans="1:115" ht="16.5" x14ac:dyDescent="0.3">
      <c r="A203" s="155">
        <f>IFERROR(IF(A202+1&lt;MAX(D041_ClassFeatures!$A$2:$A$2033),A202+1,""),"")</f>
        <v>200</v>
      </c>
      <c r="B203" s="153" t="str">
        <f>IFERROR(INDEX(D041_ClassFeatures!$B$2:$B$2033,MATCH(C_Variables!A203,D041_ClassFeatures!$A$2:$A$2033,0),1),"")</f>
        <v>Acolyte of Nature</v>
      </c>
      <c r="C203" s="153">
        <f>IF(B203="",0,IF(IFERROR(MATCH(B203,C_Input!$BC$160:$BC$239,0),0)&gt;0,1,0))</f>
        <v>0</v>
      </c>
      <c r="D203" s="153"/>
      <c r="E203" s="153"/>
      <c r="F203" s="153"/>
      <c r="G203" s="437"/>
      <c r="H203" s="438" t="s">
        <v>614</v>
      </c>
      <c r="I203" s="427">
        <f t="shared" si="152"/>
        <v>0</v>
      </c>
      <c r="J203" s="428">
        <f t="shared" si="153"/>
        <v>0</v>
      </c>
      <c r="K203" s="424">
        <f t="shared" si="154"/>
        <v>0</v>
      </c>
      <c r="L203" s="194" t="e">
        <f>INDEX(D03_Skills!$D$2:$AP$19,MATCH(H203,D03_Skills!$B$2:$B$19,0),SelectedClassID)</f>
        <v>#N/A</v>
      </c>
      <c r="M203" s="179" t="e">
        <f t="shared" si="177"/>
        <v>#N/A</v>
      </c>
      <c r="N203" s="159" t="e">
        <f>IF(M203=0,0,COUNTIF($N$193:N202,"&gt;0")+1)</f>
        <v>#N/A</v>
      </c>
      <c r="O203" s="159" t="str">
        <f>IFERROR(IF($O$191&gt;0,IF(O202&lt;MAX(N$193:N$210),1+COUNTIF(O$193:O202,"&gt;0"),""),""),"")</f>
        <v/>
      </c>
      <c r="P203" s="159" t="str">
        <f t="shared" si="178"/>
        <v/>
      </c>
      <c r="Q203" s="159">
        <f t="shared" si="155"/>
        <v>0</v>
      </c>
      <c r="R203" s="179" t="e">
        <f t="shared" si="179"/>
        <v>#N/A</v>
      </c>
      <c r="S203" s="159" t="e">
        <f>IF(R203=0,0,COUNTIF(S$193:S202,"&gt;0")+1)</f>
        <v>#N/A</v>
      </c>
      <c r="T203" s="159" t="str">
        <f>IFERROR(IF($O$191&gt;1,IF(T202&lt;MAX(S$193:S$210),1+COUNTIF(T$193:T202,"&gt;0"),""),""),"")</f>
        <v/>
      </c>
      <c r="U203" s="159" t="str">
        <f t="shared" si="180"/>
        <v/>
      </c>
      <c r="V203" s="159">
        <f t="shared" si="156"/>
        <v>0</v>
      </c>
      <c r="W203" s="179" t="e">
        <f t="shared" si="181"/>
        <v>#N/A</v>
      </c>
      <c r="X203" s="159" t="e">
        <f>IF(W203=0,0,COUNTIF(X$193:X202,"&gt;0")+1)</f>
        <v>#N/A</v>
      </c>
      <c r="Y203" s="159" t="str">
        <f>IFERROR(IF($O$191&gt;2,IF(Y202&lt;MAX(X$193:X$210),1+COUNTIF(Y$193:Y202,"&gt;0"),""),""),"")</f>
        <v/>
      </c>
      <c r="Z203" s="159" t="str">
        <f t="shared" si="220"/>
        <v/>
      </c>
      <c r="AA203" s="159">
        <f t="shared" si="157"/>
        <v>0</v>
      </c>
      <c r="AB203" s="179" t="e">
        <f t="shared" si="182"/>
        <v>#N/A</v>
      </c>
      <c r="AC203" s="159" t="e">
        <f>IF(AB203=0,0,COUNTIF(AC$193:AC202,"&gt;0")+1)</f>
        <v>#N/A</v>
      </c>
      <c r="AD203" s="159" t="str">
        <f>IFERROR(IF($O$191&gt;3,IF(AD202&lt;MAX(AC$193:AC$210),1+COUNTIF(AD$193:AD202,"&gt;0"),""),""),"")</f>
        <v/>
      </c>
      <c r="AE203" s="159" t="str">
        <f t="shared" si="183"/>
        <v/>
      </c>
      <c r="AF203" s="180">
        <f t="shared" si="158"/>
        <v>0</v>
      </c>
      <c r="AG203" s="179">
        <f t="shared" si="159"/>
        <v>1</v>
      </c>
      <c r="AH203" s="159">
        <f>IF(AG203=0,0,COUNTIF(AH$193:AH202,"&gt;0")+1)</f>
        <v>10</v>
      </c>
      <c r="AI203" s="159" t="str">
        <f>IFERROR(IF($AG$191&gt;0,IF(AI202&lt;MAX(AH$193:AH$210),1+COUNTIF(AI$193:AI202,"&gt;0"),""),""),"")</f>
        <v/>
      </c>
      <c r="AJ203" s="159" t="str">
        <f t="shared" si="160"/>
        <v>n/a</v>
      </c>
      <c r="AK203" s="180">
        <f t="shared" si="161"/>
        <v>0</v>
      </c>
      <c r="AL203" s="159">
        <f t="shared" si="162"/>
        <v>1</v>
      </c>
      <c r="AM203" s="159">
        <f>IF(AL203=0,0,COUNTIF(AM$193:AM202,"&gt;0")+1)</f>
        <v>10</v>
      </c>
      <c r="AN203" s="159" t="str">
        <f>IFERROR(IF($AG$191&gt;0,IF(AN202&lt;MAX(AM$193:AM$210),1+COUNTIF(AN$193:AN202,"&gt;0"),""),""),"")</f>
        <v/>
      </c>
      <c r="AO203" s="159" t="str">
        <f t="shared" si="163"/>
        <v>n/a</v>
      </c>
      <c r="AP203" s="180">
        <f t="shared" si="164"/>
        <v>0</v>
      </c>
      <c r="AQ203" s="179">
        <f t="shared" si="184"/>
        <v>1</v>
      </c>
      <c r="AR203" s="159">
        <f t="shared" si="185"/>
        <v>1</v>
      </c>
      <c r="AS203" s="159">
        <f>IF(AR203=0,0,COUNTIF(AS$193:AS202,"&gt;0")+1)</f>
        <v>2</v>
      </c>
      <c r="AT203" s="159" t="str">
        <f>IFERROR(IF($AR$191&gt;0,IF(AT202&lt;MAX(AS$193:AS$210),1+COUNTIF(AT$193:AT202,"&gt;0"),""),""),"")</f>
        <v/>
      </c>
      <c r="AU203" s="159" t="str">
        <f t="shared" si="186"/>
        <v>n/a</v>
      </c>
      <c r="AV203" s="180">
        <f t="shared" si="165"/>
        <v>0</v>
      </c>
      <c r="AW203" s="159">
        <f t="shared" si="187"/>
        <v>0</v>
      </c>
      <c r="AX203" s="159">
        <f t="shared" si="188"/>
        <v>0</v>
      </c>
      <c r="AY203" s="159">
        <f>IF(AX203=0,0,COUNTIF(AY$193:AY202,"&gt;0")+1)</f>
        <v>0</v>
      </c>
      <c r="AZ203" s="159" t="str">
        <f>IFERROR(IF($AR$191&gt;1,IF(AZ202&lt;MAX(AY$193:AY$210),1+COUNTIF(AZ$193:AZ202,"&gt;0"),""),""),"")</f>
        <v/>
      </c>
      <c r="BA203" s="159" t="str">
        <f t="shared" si="189"/>
        <v>n/a</v>
      </c>
      <c r="BB203" s="180">
        <f t="shared" si="166"/>
        <v>0</v>
      </c>
      <c r="BC203" s="159">
        <f t="shared" si="190"/>
        <v>0</v>
      </c>
      <c r="BD203" s="159">
        <f t="shared" si="191"/>
        <v>0</v>
      </c>
      <c r="BE203" s="159">
        <f>IF(BD203=0,0,COUNTIF(BE$193:BE202,"&gt;0")+1)</f>
        <v>0</v>
      </c>
      <c r="BF203" s="159" t="str">
        <f>IFERROR(IF($AR$191&gt;2,IF(BF202&lt;MAX(BE$193:BE$210),1+COUNTIF(BF$193:BF202,"&gt;0"),""),""),"")</f>
        <v/>
      </c>
      <c r="BG203" s="159" t="str">
        <f t="shared" si="192"/>
        <v>n/a</v>
      </c>
      <c r="BH203" s="180">
        <f t="shared" si="167"/>
        <v>0</v>
      </c>
      <c r="BI203" s="159">
        <f t="shared" si="193"/>
        <v>0</v>
      </c>
      <c r="BJ203" s="159">
        <f t="shared" si="194"/>
        <v>0</v>
      </c>
      <c r="BK203" s="159">
        <f>IF(BJ203=0,0,COUNTIF(BK$193:BK202,"&gt;0")+1)</f>
        <v>0</v>
      </c>
      <c r="BL203" s="159" t="str">
        <f>IFERROR(IF($AR$191&gt;BL$191,IF(BL202&lt;MAX(BK$193:BK$210),1+COUNTIF(BL$193:BL202,"&gt;0"),""),""),"")</f>
        <v/>
      </c>
      <c r="BM203" s="159" t="str">
        <f t="shared" si="195"/>
        <v>n/a</v>
      </c>
      <c r="BN203" s="180">
        <f t="shared" si="168"/>
        <v>0</v>
      </c>
      <c r="BO203" s="159">
        <f t="shared" si="196"/>
        <v>0</v>
      </c>
      <c r="BP203" s="159">
        <f t="shared" si="197"/>
        <v>0</v>
      </c>
      <c r="BQ203" s="159">
        <f>IF(BP203=0,0,COUNTIF(BQ$193:BQ202,"&gt;0")+1)</f>
        <v>0</v>
      </c>
      <c r="BR203" s="159" t="str">
        <f>IFERROR(IF($AR$191&gt;BR$191,IF(BR202&lt;MAX(BQ$193:BQ$210),1+COUNTIF(BR$193:BR202,"&gt;0"),""),""),"")</f>
        <v/>
      </c>
      <c r="BS203" s="159" t="str">
        <f t="shared" si="198"/>
        <v>n/a</v>
      </c>
      <c r="BT203" s="180">
        <f t="shared" si="169"/>
        <v>0</v>
      </c>
      <c r="BU203" s="159">
        <f t="shared" si="199"/>
        <v>0</v>
      </c>
      <c r="BV203" s="159">
        <f t="shared" si="200"/>
        <v>0</v>
      </c>
      <c r="BW203" s="159">
        <f>IF(BV203=0,0,COUNTIF(BW$193:BW202,"&gt;0")+1)</f>
        <v>0</v>
      </c>
      <c r="BX203" s="159" t="str">
        <f>IFERROR(IF($AR$191&gt;BX$191,IF(BX202&lt;MAX(BW$193:BW$210),1+COUNTIF(BX$193:BX202,"&gt;0"),""),""),"")</f>
        <v/>
      </c>
      <c r="BY203" s="159" t="str">
        <f t="shared" si="201"/>
        <v>n/a</v>
      </c>
      <c r="BZ203" s="180">
        <f t="shared" si="170"/>
        <v>0</v>
      </c>
      <c r="CA203" s="159">
        <f t="shared" si="202"/>
        <v>0</v>
      </c>
      <c r="CB203" s="159">
        <f t="shared" si="203"/>
        <v>0</v>
      </c>
      <c r="CC203" s="159">
        <f>IF(CB203=0,0,COUNTIF(CC$193:CC202,"&gt;0")+1)</f>
        <v>0</v>
      </c>
      <c r="CD203" s="159" t="str">
        <f>IFERROR(IF($AR$191&gt;CD$191,IF(CD202&lt;MAX(CC$193:CC$210),1+COUNTIF(CD$193:CD202,"&gt;0"),""),""),"")</f>
        <v/>
      </c>
      <c r="CE203" s="159" t="str">
        <f t="shared" si="204"/>
        <v>n/a</v>
      </c>
      <c r="CF203" s="180">
        <f t="shared" si="171"/>
        <v>0</v>
      </c>
      <c r="CG203" s="159">
        <f t="shared" si="205"/>
        <v>0</v>
      </c>
      <c r="CH203" s="159">
        <f t="shared" si="206"/>
        <v>0</v>
      </c>
      <c r="CI203" s="159">
        <f>IF(CH203=0,0,COUNTIF(CI$193:CI202,"&gt;0")+1)</f>
        <v>0</v>
      </c>
      <c r="CJ203" s="159" t="str">
        <f>IFERROR(IF($AR$191&gt;CJ$191,IF(CJ202&lt;MAX(CI$193:CI$210),1+COUNTIF(CJ$193:CJ202,"&gt;0"),""),""),"")</f>
        <v/>
      </c>
      <c r="CK203" s="159" t="str">
        <f t="shared" si="207"/>
        <v>n/a</v>
      </c>
      <c r="CL203" s="180">
        <f t="shared" si="172"/>
        <v>0</v>
      </c>
      <c r="CM203" s="159">
        <f t="shared" si="208"/>
        <v>0</v>
      </c>
      <c r="CN203" s="159">
        <f t="shared" si="209"/>
        <v>0</v>
      </c>
      <c r="CO203" s="159">
        <f>IF(CN203=0,0,COUNTIF(CO$193:CO202,"&gt;0")+1)</f>
        <v>0</v>
      </c>
      <c r="CP203" s="159" t="str">
        <f>IFERROR(IF($AR$191&gt;CP$191,IF(CP202&lt;MAX(CO$193:CO$210),1+COUNTIF(CP$193:CP202,"&gt;0"),""),""),"")</f>
        <v/>
      </c>
      <c r="CQ203" s="159" t="str">
        <f t="shared" si="210"/>
        <v>n/a</v>
      </c>
      <c r="CR203" s="180">
        <f t="shared" si="173"/>
        <v>0</v>
      </c>
      <c r="CS203" s="159">
        <f t="shared" si="211"/>
        <v>0</v>
      </c>
      <c r="CT203" s="159">
        <f t="shared" si="212"/>
        <v>0</v>
      </c>
      <c r="CU203" s="159">
        <f>IF(CT203=0,0,COUNTIF(CU$193:CU202,"&gt;0")+1)</f>
        <v>0</v>
      </c>
      <c r="CV203" s="159" t="str">
        <f>IFERROR(IF($AR$191&gt;CV$191,IF(CV202&lt;MAX(CU$193:CU$210),1+COUNTIF(CV$193:CV202,"&gt;0"),""),""),"")</f>
        <v/>
      </c>
      <c r="CW203" s="159" t="str">
        <f t="shared" si="213"/>
        <v>n/a</v>
      </c>
      <c r="CX203" s="180">
        <f t="shared" si="174"/>
        <v>0</v>
      </c>
      <c r="CY203" s="159">
        <f t="shared" si="214"/>
        <v>0</v>
      </c>
      <c r="CZ203" s="159">
        <f t="shared" si="215"/>
        <v>0</v>
      </c>
      <c r="DA203" s="159">
        <f>IF(CZ203=0,0,COUNTIF(DA$193:DA202,"&gt;0")+1)</f>
        <v>0</v>
      </c>
      <c r="DB203" s="159" t="str">
        <f>IFERROR(IF($AR$191&gt;DB$191,IF(DB202&lt;MAX(DA$193:DA$210),1+COUNTIF(DB$193:DB202,"&gt;0"),""),""),"")</f>
        <v/>
      </c>
      <c r="DC203" s="159" t="str">
        <f t="shared" si="216"/>
        <v>n/a</v>
      </c>
      <c r="DD203" s="180">
        <f t="shared" si="175"/>
        <v>0</v>
      </c>
      <c r="DE203" s="159">
        <f t="shared" si="217"/>
        <v>0</v>
      </c>
      <c r="DF203" s="159">
        <f t="shared" si="218"/>
        <v>0</v>
      </c>
      <c r="DG203" s="159">
        <f>IF(DF203=0,0,COUNTIF(DG$193:DG202,"&gt;0")+1)</f>
        <v>0</v>
      </c>
      <c r="DH203" s="159" t="str">
        <f>IFERROR(IF($AR$191&gt;DH$191,IF(DH202&lt;MAX(DG$193:DG$210),1+COUNTIF(DH$193:DH202,"&gt;0"),""),""),"")</f>
        <v/>
      </c>
      <c r="DI203" s="159" t="str">
        <f t="shared" si="219"/>
        <v>n/a</v>
      </c>
      <c r="DJ203" s="180">
        <f t="shared" si="176"/>
        <v>0</v>
      </c>
      <c r="DK203" s="180"/>
    </row>
    <row r="204" spans="1:115" ht="16.5" x14ac:dyDescent="0.3">
      <c r="A204" s="155">
        <f>IFERROR(IF(A203+1&lt;MAX(D041_ClassFeatures!$A$2:$A$2033),A203+1,""),"")</f>
        <v>201</v>
      </c>
      <c r="B204" s="153" t="str">
        <f>IFERROR(INDEX(D041_ClassFeatures!$B$2:$B$2033,MATCH(C_Variables!A204,D041_ClassFeatures!$A$2:$A$2033,0),1),"")</f>
        <v>Tempest Domain: Bonus Proficiencies</v>
      </c>
      <c r="C204" s="153">
        <f>IF(B204="",0,IF(IFERROR(MATCH(B204,C_Input!$BC$160:$BC$239,0),0)&gt;0,1,0))</f>
        <v>0</v>
      </c>
      <c r="D204" s="153"/>
      <c r="E204" s="153"/>
      <c r="F204" s="153"/>
      <c r="G204" s="437"/>
      <c r="H204" s="438" t="s">
        <v>49</v>
      </c>
      <c r="I204" s="427">
        <f t="shared" si="152"/>
        <v>0</v>
      </c>
      <c r="J204" s="428">
        <f t="shared" si="153"/>
        <v>0</v>
      </c>
      <c r="K204" s="424">
        <f t="shared" si="154"/>
        <v>1</v>
      </c>
      <c r="L204" s="194" t="e">
        <f>INDEX(D03_Skills!$D$2:$AP$19,MATCH(H204,D03_Skills!$B$2:$B$19,0),SelectedClassID)</f>
        <v>#N/A</v>
      </c>
      <c r="M204" s="179" t="e">
        <f t="shared" si="177"/>
        <v>#N/A</v>
      </c>
      <c r="N204" s="159" t="e">
        <f>IF(M204=0,0,COUNTIF($N$193:N203,"&gt;0")+1)</f>
        <v>#N/A</v>
      </c>
      <c r="O204" s="159" t="str">
        <f>IFERROR(IF($O$191&gt;0,IF(O203&lt;MAX(N$193:N$210),1+COUNTIF(O$193:O203,"&gt;0"),""),""),"")</f>
        <v/>
      </c>
      <c r="P204" s="159" t="str">
        <f t="shared" si="178"/>
        <v/>
      </c>
      <c r="Q204" s="159">
        <f t="shared" si="155"/>
        <v>0</v>
      </c>
      <c r="R204" s="179" t="e">
        <f t="shared" si="179"/>
        <v>#N/A</v>
      </c>
      <c r="S204" s="159" t="e">
        <f>IF(R204=0,0,COUNTIF(S$193:S203,"&gt;0")+1)</f>
        <v>#N/A</v>
      </c>
      <c r="T204" s="159" t="str">
        <f>IFERROR(IF($O$191&gt;1,IF(T203&lt;MAX(S$193:S$210),1+COUNTIF(T$193:T203,"&gt;0"),""),""),"")</f>
        <v/>
      </c>
      <c r="U204" s="159" t="str">
        <f t="shared" si="180"/>
        <v/>
      </c>
      <c r="V204" s="159">
        <f t="shared" si="156"/>
        <v>0</v>
      </c>
      <c r="W204" s="179" t="e">
        <f t="shared" si="181"/>
        <v>#N/A</v>
      </c>
      <c r="X204" s="159" t="e">
        <f>IF(W204=0,0,COUNTIF(X$193:X203,"&gt;0")+1)</f>
        <v>#N/A</v>
      </c>
      <c r="Y204" s="159" t="str">
        <f>IFERROR(IF($O$191&gt;2,IF(Y203&lt;MAX(X$193:X$210),1+COUNTIF(Y$193:Y203,"&gt;0"),""),""),"")</f>
        <v/>
      </c>
      <c r="Z204" s="159" t="str">
        <f t="shared" si="220"/>
        <v/>
      </c>
      <c r="AA204" s="159">
        <f t="shared" si="157"/>
        <v>0</v>
      </c>
      <c r="AB204" s="179" t="e">
        <f t="shared" si="182"/>
        <v>#N/A</v>
      </c>
      <c r="AC204" s="159" t="e">
        <f>IF(AB204=0,0,COUNTIF(AC$193:AC203,"&gt;0")+1)</f>
        <v>#N/A</v>
      </c>
      <c r="AD204" s="159" t="str">
        <f>IFERROR(IF($O$191&gt;3,IF(AD203&lt;MAX(AC$193:AC$210),1+COUNTIF(AD$193:AD203,"&gt;0"),""),""),"")</f>
        <v/>
      </c>
      <c r="AE204" s="159" t="str">
        <f t="shared" si="183"/>
        <v/>
      </c>
      <c r="AF204" s="180">
        <f t="shared" si="158"/>
        <v>0</v>
      </c>
      <c r="AG204" s="179">
        <f t="shared" si="159"/>
        <v>0</v>
      </c>
      <c r="AH204" s="159">
        <f>IF(AG204=0,0,COUNTIF(AH$193:AH203,"&gt;0")+1)</f>
        <v>0</v>
      </c>
      <c r="AI204" s="159" t="str">
        <f>IFERROR(IF($AG$191&gt;0,IF(AI203&lt;MAX(AH$193:AH$210),1+COUNTIF(AI$193:AI203,"&gt;0"),""),""),"")</f>
        <v/>
      </c>
      <c r="AJ204" s="159" t="str">
        <f t="shared" si="160"/>
        <v>n/a</v>
      </c>
      <c r="AK204" s="180">
        <f t="shared" si="161"/>
        <v>0</v>
      </c>
      <c r="AL204" s="159">
        <f t="shared" si="162"/>
        <v>0</v>
      </c>
      <c r="AM204" s="159">
        <f>IF(AL204=0,0,COUNTIF(AM$193:AM203,"&gt;0")+1)</f>
        <v>0</v>
      </c>
      <c r="AN204" s="159" t="str">
        <f>IFERROR(IF($AG$191&gt;0,IF(AN203&lt;MAX(AM$193:AM$210),1+COUNTIF(AN$193:AN203,"&gt;0"),""),""),"")</f>
        <v/>
      </c>
      <c r="AO204" s="159" t="str">
        <f t="shared" si="163"/>
        <v>n/a</v>
      </c>
      <c r="AP204" s="180">
        <f t="shared" si="164"/>
        <v>0</v>
      </c>
      <c r="AQ204" s="179">
        <f t="shared" si="184"/>
        <v>0</v>
      </c>
      <c r="AR204" s="159">
        <f t="shared" si="185"/>
        <v>0</v>
      </c>
      <c r="AS204" s="159">
        <f>IF(AR204=0,0,COUNTIF(AS$193:AS203,"&gt;0")+1)</f>
        <v>0</v>
      </c>
      <c r="AT204" s="159" t="str">
        <f>IFERROR(IF($AR$191&gt;0,IF(AT203&lt;MAX(AS$193:AS$210),1+COUNTIF(AT$193:AT203,"&gt;0"),""),""),"")</f>
        <v/>
      </c>
      <c r="AU204" s="159" t="str">
        <f t="shared" si="186"/>
        <v>n/a</v>
      </c>
      <c r="AV204" s="180">
        <f t="shared" si="165"/>
        <v>0</v>
      </c>
      <c r="AW204" s="159">
        <f t="shared" si="187"/>
        <v>0</v>
      </c>
      <c r="AX204" s="159">
        <f t="shared" si="188"/>
        <v>0</v>
      </c>
      <c r="AY204" s="159">
        <f>IF(AX204=0,0,COUNTIF(AY$193:AY203,"&gt;0")+1)</f>
        <v>0</v>
      </c>
      <c r="AZ204" s="159" t="str">
        <f>IFERROR(IF($AR$191&gt;1,IF(AZ203&lt;MAX(AY$193:AY$210),1+COUNTIF(AZ$193:AZ203,"&gt;0"),""),""),"")</f>
        <v/>
      </c>
      <c r="BA204" s="159" t="str">
        <f t="shared" si="189"/>
        <v>n/a</v>
      </c>
      <c r="BB204" s="180">
        <f t="shared" si="166"/>
        <v>0</v>
      </c>
      <c r="BC204" s="159">
        <f t="shared" si="190"/>
        <v>0</v>
      </c>
      <c r="BD204" s="159">
        <f t="shared" si="191"/>
        <v>0</v>
      </c>
      <c r="BE204" s="159">
        <f>IF(BD204=0,0,COUNTIF(BE$193:BE203,"&gt;0")+1)</f>
        <v>0</v>
      </c>
      <c r="BF204" s="159" t="str">
        <f>IFERROR(IF($AR$191&gt;2,IF(BF203&lt;MAX(BE$193:BE$210),1+COUNTIF(BF$193:BF203,"&gt;0"),""),""),"")</f>
        <v/>
      </c>
      <c r="BG204" s="159" t="str">
        <f t="shared" si="192"/>
        <v>n/a</v>
      </c>
      <c r="BH204" s="180">
        <f t="shared" si="167"/>
        <v>0</v>
      </c>
      <c r="BI204" s="159">
        <f t="shared" si="193"/>
        <v>0</v>
      </c>
      <c r="BJ204" s="159">
        <f t="shared" si="194"/>
        <v>0</v>
      </c>
      <c r="BK204" s="159">
        <f>IF(BJ204=0,0,COUNTIF(BK$193:BK203,"&gt;0")+1)</f>
        <v>0</v>
      </c>
      <c r="BL204" s="159" t="str">
        <f>IFERROR(IF($AR$191&gt;BL$191,IF(BL203&lt;MAX(BK$193:BK$210),1+COUNTIF(BL$193:BL203,"&gt;0"),""),""),"")</f>
        <v/>
      </c>
      <c r="BM204" s="159" t="str">
        <f t="shared" si="195"/>
        <v>n/a</v>
      </c>
      <c r="BN204" s="180">
        <f t="shared" si="168"/>
        <v>0</v>
      </c>
      <c r="BO204" s="159">
        <f t="shared" si="196"/>
        <v>0</v>
      </c>
      <c r="BP204" s="159">
        <f t="shared" si="197"/>
        <v>0</v>
      </c>
      <c r="BQ204" s="159">
        <f>IF(BP204=0,0,COUNTIF(BQ$193:BQ203,"&gt;0")+1)</f>
        <v>0</v>
      </c>
      <c r="BR204" s="159" t="str">
        <f>IFERROR(IF($AR$191&gt;BR$191,IF(BR203&lt;MAX(BQ$193:BQ$210),1+COUNTIF(BR$193:BR203,"&gt;0"),""),""),"")</f>
        <v/>
      </c>
      <c r="BS204" s="159" t="str">
        <f t="shared" si="198"/>
        <v>n/a</v>
      </c>
      <c r="BT204" s="180">
        <f t="shared" si="169"/>
        <v>0</v>
      </c>
      <c r="BU204" s="159">
        <f t="shared" si="199"/>
        <v>0</v>
      </c>
      <c r="BV204" s="159">
        <f t="shared" si="200"/>
        <v>0</v>
      </c>
      <c r="BW204" s="159">
        <f>IF(BV204=0,0,COUNTIF(BW$193:BW203,"&gt;0")+1)</f>
        <v>0</v>
      </c>
      <c r="BX204" s="159" t="str">
        <f>IFERROR(IF($AR$191&gt;BX$191,IF(BX203&lt;MAX(BW$193:BW$210),1+COUNTIF(BX$193:BX203,"&gt;0"),""),""),"")</f>
        <v/>
      </c>
      <c r="BY204" s="159" t="str">
        <f t="shared" si="201"/>
        <v>n/a</v>
      </c>
      <c r="BZ204" s="180">
        <f t="shared" si="170"/>
        <v>0</v>
      </c>
      <c r="CA204" s="159">
        <f t="shared" si="202"/>
        <v>0</v>
      </c>
      <c r="CB204" s="159">
        <f t="shared" si="203"/>
        <v>0</v>
      </c>
      <c r="CC204" s="159">
        <f>IF(CB204=0,0,COUNTIF(CC$193:CC203,"&gt;0")+1)</f>
        <v>0</v>
      </c>
      <c r="CD204" s="159" t="str">
        <f>IFERROR(IF($AR$191&gt;CD$191,IF(CD203&lt;MAX(CC$193:CC$210),1+COUNTIF(CD$193:CD203,"&gt;0"),""),""),"")</f>
        <v/>
      </c>
      <c r="CE204" s="159" t="str">
        <f t="shared" si="204"/>
        <v>n/a</v>
      </c>
      <c r="CF204" s="180">
        <f t="shared" si="171"/>
        <v>0</v>
      </c>
      <c r="CG204" s="159">
        <f t="shared" si="205"/>
        <v>0</v>
      </c>
      <c r="CH204" s="159">
        <f t="shared" si="206"/>
        <v>0</v>
      </c>
      <c r="CI204" s="159">
        <f>IF(CH204=0,0,COUNTIF(CI$193:CI203,"&gt;0")+1)</f>
        <v>0</v>
      </c>
      <c r="CJ204" s="159" t="str">
        <f>IFERROR(IF($AR$191&gt;CJ$191,IF(CJ203&lt;MAX(CI$193:CI$210),1+COUNTIF(CJ$193:CJ203,"&gt;0"),""),""),"")</f>
        <v/>
      </c>
      <c r="CK204" s="159" t="str">
        <f t="shared" si="207"/>
        <v>n/a</v>
      </c>
      <c r="CL204" s="180">
        <f t="shared" si="172"/>
        <v>0</v>
      </c>
      <c r="CM204" s="159">
        <f t="shared" si="208"/>
        <v>0</v>
      </c>
      <c r="CN204" s="159">
        <f t="shared" si="209"/>
        <v>0</v>
      </c>
      <c r="CO204" s="159">
        <f>IF(CN204=0,0,COUNTIF(CO$193:CO203,"&gt;0")+1)</f>
        <v>0</v>
      </c>
      <c r="CP204" s="159" t="str">
        <f>IFERROR(IF($AR$191&gt;CP$191,IF(CP203&lt;MAX(CO$193:CO$210),1+COUNTIF(CP$193:CP203,"&gt;0"),""),""),"")</f>
        <v/>
      </c>
      <c r="CQ204" s="159" t="str">
        <f t="shared" si="210"/>
        <v>n/a</v>
      </c>
      <c r="CR204" s="180">
        <f t="shared" si="173"/>
        <v>0</v>
      </c>
      <c r="CS204" s="159">
        <f t="shared" si="211"/>
        <v>0</v>
      </c>
      <c r="CT204" s="159">
        <f t="shared" si="212"/>
        <v>0</v>
      </c>
      <c r="CU204" s="159">
        <f>IF(CT204=0,0,COUNTIF(CU$193:CU203,"&gt;0")+1)</f>
        <v>0</v>
      </c>
      <c r="CV204" s="159" t="str">
        <f>IFERROR(IF($AR$191&gt;CV$191,IF(CV203&lt;MAX(CU$193:CU$210),1+COUNTIF(CV$193:CV203,"&gt;0"),""),""),"")</f>
        <v/>
      </c>
      <c r="CW204" s="159" t="str">
        <f t="shared" si="213"/>
        <v>n/a</v>
      </c>
      <c r="CX204" s="180">
        <f t="shared" si="174"/>
        <v>0</v>
      </c>
      <c r="CY204" s="159">
        <f t="shared" si="214"/>
        <v>0</v>
      </c>
      <c r="CZ204" s="159">
        <f t="shared" si="215"/>
        <v>0</v>
      </c>
      <c r="DA204" s="159">
        <f>IF(CZ204=0,0,COUNTIF(DA$193:DA203,"&gt;0")+1)</f>
        <v>0</v>
      </c>
      <c r="DB204" s="159" t="str">
        <f>IFERROR(IF($AR$191&gt;DB$191,IF(DB203&lt;MAX(DA$193:DA$210),1+COUNTIF(DB$193:DB203,"&gt;0"),""),""),"")</f>
        <v/>
      </c>
      <c r="DC204" s="159" t="str">
        <f t="shared" si="216"/>
        <v>n/a</v>
      </c>
      <c r="DD204" s="180">
        <f t="shared" si="175"/>
        <v>0</v>
      </c>
      <c r="DE204" s="159">
        <f t="shared" si="217"/>
        <v>0</v>
      </c>
      <c r="DF204" s="159">
        <f t="shared" si="218"/>
        <v>0</v>
      </c>
      <c r="DG204" s="159">
        <f>IF(DF204=0,0,COUNTIF(DG$193:DG203,"&gt;0")+1)</f>
        <v>0</v>
      </c>
      <c r="DH204" s="159" t="str">
        <f>IFERROR(IF($AR$191&gt;DH$191,IF(DH203&lt;MAX(DG$193:DG$210),1+COUNTIF(DH$193:DH203,"&gt;0"),""),""),"")</f>
        <v/>
      </c>
      <c r="DI204" s="159" t="str">
        <f t="shared" si="219"/>
        <v>n/a</v>
      </c>
      <c r="DJ204" s="180">
        <f t="shared" si="176"/>
        <v>0</v>
      </c>
      <c r="DK204" s="180"/>
    </row>
    <row r="205" spans="1:115" ht="16.5" x14ac:dyDescent="0.3">
      <c r="A205" s="155">
        <f>IFERROR(IF(A204+1&lt;MAX(D041_ClassFeatures!$A$2:$A$2033),A204+1,""),"")</f>
        <v>202</v>
      </c>
      <c r="B205" s="153" t="str">
        <f>IFERROR(INDEX(D041_ClassFeatures!$B$2:$B$2033,MATCH(C_Variables!A205,D041_ClassFeatures!$A$2:$A$2033,0),1),"")</f>
        <v>Wrath of the Storm</v>
      </c>
      <c r="C205" s="153">
        <f>IF(B205="",0,IF(IFERROR(MATCH(B205,C_Input!$BC$160:$BC$239,0),0)&gt;0,1,0))</f>
        <v>0</v>
      </c>
      <c r="D205" s="153"/>
      <c r="E205" s="153"/>
      <c r="F205" s="153"/>
      <c r="G205" s="437"/>
      <c r="H205" s="438" t="s">
        <v>615</v>
      </c>
      <c r="I205" s="427">
        <f t="shared" si="152"/>
        <v>0</v>
      </c>
      <c r="J205" s="428">
        <f t="shared" si="153"/>
        <v>0</v>
      </c>
      <c r="K205" s="424">
        <f t="shared" si="154"/>
        <v>0</v>
      </c>
      <c r="L205" s="194" t="e">
        <f>INDEX(D03_Skills!$D$2:$AP$19,MATCH(H205,D03_Skills!$B$2:$B$19,0),SelectedClassID)</f>
        <v>#N/A</v>
      </c>
      <c r="M205" s="179" t="e">
        <f t="shared" si="177"/>
        <v>#N/A</v>
      </c>
      <c r="N205" s="159" t="e">
        <f>IF(M205=0,0,COUNTIF($N$193:N204,"&gt;0")+1)</f>
        <v>#N/A</v>
      </c>
      <c r="O205" s="159" t="str">
        <f>IFERROR(IF($O$191&gt;0,IF(O204&lt;MAX(N$193:N$210),1+COUNTIF(O$193:O204,"&gt;0"),""),""),"")</f>
        <v/>
      </c>
      <c r="P205" s="159" t="str">
        <f t="shared" si="178"/>
        <v/>
      </c>
      <c r="Q205" s="159">
        <f t="shared" si="155"/>
        <v>0</v>
      </c>
      <c r="R205" s="179" t="e">
        <f t="shared" si="179"/>
        <v>#N/A</v>
      </c>
      <c r="S205" s="159" t="e">
        <f>IF(R205=0,0,COUNTIF(S$193:S204,"&gt;0")+1)</f>
        <v>#N/A</v>
      </c>
      <c r="T205" s="159" t="str">
        <f>IFERROR(IF($O$191&gt;1,IF(T204&lt;MAX(S$193:S$210),1+COUNTIF(T$193:T204,"&gt;0"),""),""),"")</f>
        <v/>
      </c>
      <c r="U205" s="159" t="str">
        <f t="shared" si="180"/>
        <v/>
      </c>
      <c r="V205" s="159">
        <f t="shared" si="156"/>
        <v>0</v>
      </c>
      <c r="W205" s="179" t="e">
        <f t="shared" si="181"/>
        <v>#N/A</v>
      </c>
      <c r="X205" s="159" t="e">
        <f>IF(W205=0,0,COUNTIF(X$193:X204,"&gt;0")+1)</f>
        <v>#N/A</v>
      </c>
      <c r="Y205" s="159" t="str">
        <f>IFERROR(IF($O$191&gt;2,IF(Y204&lt;MAX(X$193:X$210),1+COUNTIF(Y$193:Y204,"&gt;0"),""),""),"")</f>
        <v/>
      </c>
      <c r="Z205" s="159" t="str">
        <f t="shared" si="220"/>
        <v/>
      </c>
      <c r="AA205" s="159">
        <f t="shared" si="157"/>
        <v>0</v>
      </c>
      <c r="AB205" s="179" t="e">
        <f t="shared" si="182"/>
        <v>#N/A</v>
      </c>
      <c r="AC205" s="159" t="e">
        <f>IF(AB205=0,0,COUNTIF(AC$193:AC204,"&gt;0")+1)</f>
        <v>#N/A</v>
      </c>
      <c r="AD205" s="159" t="str">
        <f>IFERROR(IF($O$191&gt;3,IF(AD204&lt;MAX(AC$193:AC$210),1+COUNTIF(AD$193:AD204,"&gt;0"),""),""),"")</f>
        <v/>
      </c>
      <c r="AE205" s="159" t="str">
        <f t="shared" si="183"/>
        <v/>
      </c>
      <c r="AF205" s="180">
        <f t="shared" si="158"/>
        <v>0</v>
      </c>
      <c r="AG205" s="179">
        <f t="shared" si="159"/>
        <v>1</v>
      </c>
      <c r="AH205" s="159">
        <f>IF(AG205=0,0,COUNTIF(AH$193:AH204,"&gt;0")+1)</f>
        <v>11</v>
      </c>
      <c r="AI205" s="159" t="str">
        <f>IFERROR(IF($AG$191&gt;0,IF(AI204&lt;MAX(AH$193:AH$210),1+COUNTIF(AI$193:AI204,"&gt;0"),""),""),"")</f>
        <v/>
      </c>
      <c r="AJ205" s="159" t="str">
        <f t="shared" si="160"/>
        <v>n/a</v>
      </c>
      <c r="AK205" s="180">
        <f t="shared" si="161"/>
        <v>0</v>
      </c>
      <c r="AL205" s="159">
        <f t="shared" si="162"/>
        <v>1</v>
      </c>
      <c r="AM205" s="159">
        <f>IF(AL205=0,0,COUNTIF(AM$193:AM204,"&gt;0")+1)</f>
        <v>11</v>
      </c>
      <c r="AN205" s="159" t="str">
        <f>IFERROR(IF($AG$191&gt;0,IF(AN204&lt;MAX(AM$193:AM$210),1+COUNTIF(AN$193:AN204,"&gt;0"),""),""),"")</f>
        <v/>
      </c>
      <c r="AO205" s="159" t="str">
        <f t="shared" si="163"/>
        <v>n/a</v>
      </c>
      <c r="AP205" s="180">
        <f t="shared" si="164"/>
        <v>0</v>
      </c>
      <c r="AQ205" s="179">
        <f t="shared" si="184"/>
        <v>0</v>
      </c>
      <c r="AR205" s="159">
        <f t="shared" si="185"/>
        <v>0</v>
      </c>
      <c r="AS205" s="159">
        <f>IF(AR205=0,0,COUNTIF(AS$193:AS204,"&gt;0")+1)</f>
        <v>0</v>
      </c>
      <c r="AT205" s="159" t="str">
        <f>IFERROR(IF($AR$191&gt;0,IF(AT204&lt;MAX(AS$193:AS$210),1+COUNTIF(AT$193:AT204,"&gt;0"),""),""),"")</f>
        <v/>
      </c>
      <c r="AU205" s="159" t="str">
        <f t="shared" si="186"/>
        <v>n/a</v>
      </c>
      <c r="AV205" s="180">
        <f t="shared" si="165"/>
        <v>0</v>
      </c>
      <c r="AW205" s="159">
        <f t="shared" si="187"/>
        <v>0</v>
      </c>
      <c r="AX205" s="159">
        <f t="shared" si="188"/>
        <v>0</v>
      </c>
      <c r="AY205" s="159">
        <f>IF(AX205=0,0,COUNTIF(AY$193:AY204,"&gt;0")+1)</f>
        <v>0</v>
      </c>
      <c r="AZ205" s="159" t="str">
        <f>IFERROR(IF($AR$191&gt;1,IF(AZ204&lt;MAX(AY$193:AY$210),1+COUNTIF(AZ$193:AZ204,"&gt;0"),""),""),"")</f>
        <v/>
      </c>
      <c r="BA205" s="159" t="str">
        <f t="shared" si="189"/>
        <v>n/a</v>
      </c>
      <c r="BB205" s="180">
        <f t="shared" si="166"/>
        <v>0</v>
      </c>
      <c r="BC205" s="159">
        <f t="shared" si="190"/>
        <v>0</v>
      </c>
      <c r="BD205" s="159">
        <f t="shared" si="191"/>
        <v>0</v>
      </c>
      <c r="BE205" s="159">
        <f>IF(BD205=0,0,COUNTIF(BE$193:BE204,"&gt;0")+1)</f>
        <v>0</v>
      </c>
      <c r="BF205" s="159" t="str">
        <f>IFERROR(IF($AR$191&gt;2,IF(BF204&lt;MAX(BE$193:BE$210),1+COUNTIF(BF$193:BF204,"&gt;0"),""),""),"")</f>
        <v/>
      </c>
      <c r="BG205" s="159" t="str">
        <f t="shared" si="192"/>
        <v>n/a</v>
      </c>
      <c r="BH205" s="180">
        <f t="shared" si="167"/>
        <v>0</v>
      </c>
      <c r="BI205" s="159">
        <f t="shared" si="193"/>
        <v>0</v>
      </c>
      <c r="BJ205" s="159">
        <f t="shared" si="194"/>
        <v>0</v>
      </c>
      <c r="BK205" s="159">
        <f>IF(BJ205=0,0,COUNTIF(BK$193:BK204,"&gt;0")+1)</f>
        <v>0</v>
      </c>
      <c r="BL205" s="159" t="str">
        <f>IFERROR(IF($AR$191&gt;BL$191,IF(BL204&lt;MAX(BK$193:BK$210),1+COUNTIF(BL$193:BL204,"&gt;0"),""),""),"")</f>
        <v/>
      </c>
      <c r="BM205" s="159" t="str">
        <f t="shared" si="195"/>
        <v>n/a</v>
      </c>
      <c r="BN205" s="180">
        <f t="shared" si="168"/>
        <v>0</v>
      </c>
      <c r="BO205" s="159">
        <f t="shared" si="196"/>
        <v>0</v>
      </c>
      <c r="BP205" s="159">
        <f t="shared" si="197"/>
        <v>0</v>
      </c>
      <c r="BQ205" s="159">
        <f>IF(BP205=0,0,COUNTIF(BQ$193:BQ204,"&gt;0")+1)</f>
        <v>0</v>
      </c>
      <c r="BR205" s="159" t="str">
        <f>IFERROR(IF($AR$191&gt;BR$191,IF(BR204&lt;MAX(BQ$193:BQ$210),1+COUNTIF(BR$193:BR204,"&gt;0"),""),""),"")</f>
        <v/>
      </c>
      <c r="BS205" s="159" t="str">
        <f t="shared" si="198"/>
        <v>n/a</v>
      </c>
      <c r="BT205" s="180">
        <f t="shared" si="169"/>
        <v>0</v>
      </c>
      <c r="BU205" s="159">
        <f t="shared" si="199"/>
        <v>0</v>
      </c>
      <c r="BV205" s="159">
        <f t="shared" si="200"/>
        <v>0</v>
      </c>
      <c r="BW205" s="159">
        <f>IF(BV205=0,0,COUNTIF(BW$193:BW204,"&gt;0")+1)</f>
        <v>0</v>
      </c>
      <c r="BX205" s="159" t="str">
        <f>IFERROR(IF($AR$191&gt;BX$191,IF(BX204&lt;MAX(BW$193:BW$210),1+COUNTIF(BX$193:BX204,"&gt;0"),""),""),"")</f>
        <v/>
      </c>
      <c r="BY205" s="159" t="str">
        <f t="shared" si="201"/>
        <v>n/a</v>
      </c>
      <c r="BZ205" s="180">
        <f t="shared" si="170"/>
        <v>0</v>
      </c>
      <c r="CA205" s="159">
        <f t="shared" si="202"/>
        <v>0</v>
      </c>
      <c r="CB205" s="159">
        <f t="shared" si="203"/>
        <v>0</v>
      </c>
      <c r="CC205" s="159">
        <f>IF(CB205=0,0,COUNTIF(CC$193:CC204,"&gt;0")+1)</f>
        <v>0</v>
      </c>
      <c r="CD205" s="159" t="str">
        <f>IFERROR(IF($AR$191&gt;CD$191,IF(CD204&lt;MAX(CC$193:CC$210),1+COUNTIF(CD$193:CD204,"&gt;0"),""),""),"")</f>
        <v/>
      </c>
      <c r="CE205" s="159" t="str">
        <f t="shared" si="204"/>
        <v>n/a</v>
      </c>
      <c r="CF205" s="180">
        <f t="shared" si="171"/>
        <v>0</v>
      </c>
      <c r="CG205" s="159">
        <f t="shared" si="205"/>
        <v>0</v>
      </c>
      <c r="CH205" s="159">
        <f t="shared" si="206"/>
        <v>0</v>
      </c>
      <c r="CI205" s="159">
        <f>IF(CH205=0,0,COUNTIF(CI$193:CI204,"&gt;0")+1)</f>
        <v>0</v>
      </c>
      <c r="CJ205" s="159" t="str">
        <f>IFERROR(IF($AR$191&gt;CJ$191,IF(CJ204&lt;MAX(CI$193:CI$210),1+COUNTIF(CJ$193:CJ204,"&gt;0"),""),""),"")</f>
        <v/>
      </c>
      <c r="CK205" s="159" t="str">
        <f t="shared" si="207"/>
        <v>n/a</v>
      </c>
      <c r="CL205" s="180">
        <f t="shared" si="172"/>
        <v>0</v>
      </c>
      <c r="CM205" s="159">
        <f t="shared" si="208"/>
        <v>0</v>
      </c>
      <c r="CN205" s="159">
        <f t="shared" si="209"/>
        <v>0</v>
      </c>
      <c r="CO205" s="159">
        <f>IF(CN205=0,0,COUNTIF(CO$193:CO204,"&gt;0")+1)</f>
        <v>0</v>
      </c>
      <c r="CP205" s="159" t="str">
        <f>IFERROR(IF($AR$191&gt;CP$191,IF(CP204&lt;MAX(CO$193:CO$210),1+COUNTIF(CP$193:CP204,"&gt;0"),""),""),"")</f>
        <v/>
      </c>
      <c r="CQ205" s="159" t="str">
        <f t="shared" si="210"/>
        <v>n/a</v>
      </c>
      <c r="CR205" s="180">
        <f t="shared" si="173"/>
        <v>0</v>
      </c>
      <c r="CS205" s="159">
        <f t="shared" si="211"/>
        <v>0</v>
      </c>
      <c r="CT205" s="159">
        <f t="shared" si="212"/>
        <v>0</v>
      </c>
      <c r="CU205" s="159">
        <f>IF(CT205=0,0,COUNTIF(CU$193:CU204,"&gt;0")+1)</f>
        <v>0</v>
      </c>
      <c r="CV205" s="159" t="str">
        <f>IFERROR(IF($AR$191&gt;CV$191,IF(CV204&lt;MAX(CU$193:CU$210),1+COUNTIF(CV$193:CV204,"&gt;0"),""),""),"")</f>
        <v/>
      </c>
      <c r="CW205" s="159" t="str">
        <f t="shared" si="213"/>
        <v>n/a</v>
      </c>
      <c r="CX205" s="180">
        <f t="shared" si="174"/>
        <v>0</v>
      </c>
      <c r="CY205" s="159">
        <f t="shared" si="214"/>
        <v>0</v>
      </c>
      <c r="CZ205" s="159">
        <f t="shared" si="215"/>
        <v>0</v>
      </c>
      <c r="DA205" s="159">
        <f>IF(CZ205=0,0,COUNTIF(DA$193:DA204,"&gt;0")+1)</f>
        <v>0</v>
      </c>
      <c r="DB205" s="159" t="str">
        <f>IFERROR(IF($AR$191&gt;DB$191,IF(DB204&lt;MAX(DA$193:DA$210),1+COUNTIF(DB$193:DB204,"&gt;0"),""),""),"")</f>
        <v/>
      </c>
      <c r="DC205" s="159" t="str">
        <f t="shared" si="216"/>
        <v>n/a</v>
      </c>
      <c r="DD205" s="180">
        <f t="shared" si="175"/>
        <v>0</v>
      </c>
      <c r="DE205" s="159">
        <f t="shared" si="217"/>
        <v>0</v>
      </c>
      <c r="DF205" s="159">
        <f t="shared" si="218"/>
        <v>0</v>
      </c>
      <c r="DG205" s="159">
        <f>IF(DF205=0,0,COUNTIF(DG$193:DG204,"&gt;0")+1)</f>
        <v>0</v>
      </c>
      <c r="DH205" s="159" t="str">
        <f>IFERROR(IF($AR$191&gt;DH$191,IF(DH204&lt;MAX(DG$193:DG$210),1+COUNTIF(DH$193:DH204,"&gt;0"),""),""),"")</f>
        <v/>
      </c>
      <c r="DI205" s="159" t="str">
        <f t="shared" si="219"/>
        <v>n/a</v>
      </c>
      <c r="DJ205" s="180">
        <f t="shared" si="176"/>
        <v>0</v>
      </c>
      <c r="DK205" s="180"/>
    </row>
    <row r="206" spans="1:115" ht="16.5" x14ac:dyDescent="0.3">
      <c r="A206" s="155">
        <f>IFERROR(IF(A205+1&lt;MAX(D041_ClassFeatures!$A$2:$A$2033),A205+1,""),"")</f>
        <v>203</v>
      </c>
      <c r="B206" s="153" t="str">
        <f>IFERROR(INDEX(D041_ClassFeatures!$B$2:$B$2033,MATCH(C_Variables!A206,D041_ClassFeatures!$A$2:$A$2033,0),1),"")</f>
        <v>Channel Divinity: Destructive Wrath</v>
      </c>
      <c r="C206" s="153">
        <f>IF(B206="",0,IF(IFERROR(MATCH(B206,C_Input!$BC$160:$BC$239,0),0)&gt;0,1,0))</f>
        <v>0</v>
      </c>
      <c r="D206" s="153"/>
      <c r="E206" s="153"/>
      <c r="F206" s="153"/>
      <c r="G206" s="437"/>
      <c r="H206" s="438" t="s">
        <v>616</v>
      </c>
      <c r="I206" s="427">
        <f t="shared" si="152"/>
        <v>0</v>
      </c>
      <c r="J206" s="428">
        <f t="shared" si="153"/>
        <v>0</v>
      </c>
      <c r="K206" s="424">
        <f t="shared" si="154"/>
        <v>0</v>
      </c>
      <c r="L206" s="194" t="e">
        <f>INDEX(D03_Skills!$D$2:$AP$19,MATCH(H206,D03_Skills!$B$2:$B$19,0),SelectedClassID)</f>
        <v>#N/A</v>
      </c>
      <c r="M206" s="179" t="e">
        <f t="shared" si="177"/>
        <v>#N/A</v>
      </c>
      <c r="N206" s="159" t="e">
        <f>IF(M206=0,0,COUNTIF($N$193:N205,"&gt;0")+1)</f>
        <v>#N/A</v>
      </c>
      <c r="O206" s="159" t="str">
        <f>IFERROR(IF($O$191&gt;0,IF(O205&lt;MAX(N$193:N$210),1+COUNTIF(O$193:O205,"&gt;0"),""),""),"")</f>
        <v/>
      </c>
      <c r="P206" s="159" t="str">
        <f t="shared" si="178"/>
        <v/>
      </c>
      <c r="Q206" s="159">
        <f t="shared" si="155"/>
        <v>0</v>
      </c>
      <c r="R206" s="179" t="e">
        <f t="shared" si="179"/>
        <v>#N/A</v>
      </c>
      <c r="S206" s="159" t="e">
        <f>IF(R206=0,0,COUNTIF(S$193:S205,"&gt;0")+1)</f>
        <v>#N/A</v>
      </c>
      <c r="T206" s="159" t="str">
        <f>IFERROR(IF($O$191&gt;1,IF(T205&lt;MAX(S$193:S$210),1+COUNTIF(T$193:T205,"&gt;0"),""),""),"")</f>
        <v/>
      </c>
      <c r="U206" s="159" t="str">
        <f t="shared" si="180"/>
        <v/>
      </c>
      <c r="V206" s="159">
        <f t="shared" si="156"/>
        <v>0</v>
      </c>
      <c r="W206" s="179" t="e">
        <f t="shared" si="181"/>
        <v>#N/A</v>
      </c>
      <c r="X206" s="159" t="e">
        <f>IF(W206=0,0,COUNTIF(X$193:X205,"&gt;0")+1)</f>
        <v>#N/A</v>
      </c>
      <c r="Y206" s="159" t="str">
        <f>IFERROR(IF($O$191&gt;2,IF(Y205&lt;MAX(X$193:X$210),1+COUNTIF(Y$193:Y205,"&gt;0"),""),""),"")</f>
        <v/>
      </c>
      <c r="Z206" s="159" t="str">
        <f t="shared" si="220"/>
        <v/>
      </c>
      <c r="AA206" s="159">
        <f t="shared" si="157"/>
        <v>0</v>
      </c>
      <c r="AB206" s="179" t="e">
        <f t="shared" si="182"/>
        <v>#N/A</v>
      </c>
      <c r="AC206" s="159" t="e">
        <f>IF(AB206=0,0,COUNTIF(AC$193:AC205,"&gt;0")+1)</f>
        <v>#N/A</v>
      </c>
      <c r="AD206" s="159" t="str">
        <f>IFERROR(IF($O$191&gt;3,IF(AD205&lt;MAX(AC$193:AC$210),1+COUNTIF(AD$193:AD205,"&gt;0"),""),""),"")</f>
        <v/>
      </c>
      <c r="AE206" s="159" t="str">
        <f t="shared" si="183"/>
        <v/>
      </c>
      <c r="AF206" s="180">
        <f t="shared" si="158"/>
        <v>0</v>
      </c>
      <c r="AG206" s="179">
        <f t="shared" si="159"/>
        <v>1</v>
      </c>
      <c r="AH206" s="159">
        <f>IF(AG206=0,0,COUNTIF(AH$193:AH205,"&gt;0")+1)</f>
        <v>12</v>
      </c>
      <c r="AI206" s="159" t="str">
        <f>IFERROR(IF($AG$191&gt;0,IF(AI205&lt;MAX(AH$193:AH$210),1+COUNTIF(AI$193:AI205,"&gt;0"),""),""),"")</f>
        <v/>
      </c>
      <c r="AJ206" s="159" t="str">
        <f t="shared" si="160"/>
        <v>n/a</v>
      </c>
      <c r="AK206" s="180">
        <f t="shared" si="161"/>
        <v>0</v>
      </c>
      <c r="AL206" s="159">
        <f t="shared" si="162"/>
        <v>1</v>
      </c>
      <c r="AM206" s="159">
        <f>IF(AL206=0,0,COUNTIF(AM$193:AM205,"&gt;0")+1)</f>
        <v>12</v>
      </c>
      <c r="AN206" s="159" t="str">
        <f>IFERROR(IF($AG$191&gt;0,IF(AN205&lt;MAX(AM$193:AM$210),1+COUNTIF(AN$193:AN205,"&gt;0"),""),""),"")</f>
        <v/>
      </c>
      <c r="AO206" s="159" t="str">
        <f t="shared" si="163"/>
        <v>n/a</v>
      </c>
      <c r="AP206" s="180">
        <f t="shared" si="164"/>
        <v>0</v>
      </c>
      <c r="AQ206" s="179">
        <f t="shared" si="184"/>
        <v>0</v>
      </c>
      <c r="AR206" s="159">
        <f t="shared" si="185"/>
        <v>0</v>
      </c>
      <c r="AS206" s="159">
        <f>IF(AR206=0,0,COUNTIF(AS$193:AS205,"&gt;0")+1)</f>
        <v>0</v>
      </c>
      <c r="AT206" s="159" t="str">
        <f>IFERROR(IF($AR$191&gt;0,IF(AT205&lt;MAX(AS$193:AS$210),1+COUNTIF(AT$193:AT205,"&gt;0"),""),""),"")</f>
        <v/>
      </c>
      <c r="AU206" s="159" t="str">
        <f t="shared" si="186"/>
        <v>n/a</v>
      </c>
      <c r="AV206" s="180">
        <f t="shared" si="165"/>
        <v>0</v>
      </c>
      <c r="AW206" s="159">
        <f t="shared" si="187"/>
        <v>0</v>
      </c>
      <c r="AX206" s="159">
        <f t="shared" si="188"/>
        <v>0</v>
      </c>
      <c r="AY206" s="159">
        <f>IF(AX206=0,0,COUNTIF(AY$193:AY205,"&gt;0")+1)</f>
        <v>0</v>
      </c>
      <c r="AZ206" s="159" t="str">
        <f>IFERROR(IF($AR$191&gt;1,IF(AZ205&lt;MAX(AY$193:AY$210),1+COUNTIF(AZ$193:AZ205,"&gt;0"),""),""),"")</f>
        <v/>
      </c>
      <c r="BA206" s="159" t="str">
        <f t="shared" si="189"/>
        <v>n/a</v>
      </c>
      <c r="BB206" s="180">
        <f t="shared" si="166"/>
        <v>0</v>
      </c>
      <c r="BC206" s="159">
        <f t="shared" si="190"/>
        <v>0</v>
      </c>
      <c r="BD206" s="159">
        <f t="shared" si="191"/>
        <v>0</v>
      </c>
      <c r="BE206" s="159">
        <f>IF(BD206=0,0,COUNTIF(BE$193:BE205,"&gt;0")+1)</f>
        <v>0</v>
      </c>
      <c r="BF206" s="159" t="str">
        <f>IFERROR(IF($AR$191&gt;2,IF(BF205&lt;MAX(BE$193:BE$210),1+COUNTIF(BF$193:BF205,"&gt;0"),""),""),"")</f>
        <v/>
      </c>
      <c r="BG206" s="159" t="str">
        <f t="shared" si="192"/>
        <v>n/a</v>
      </c>
      <c r="BH206" s="180">
        <f t="shared" si="167"/>
        <v>0</v>
      </c>
      <c r="BI206" s="159">
        <f t="shared" si="193"/>
        <v>0</v>
      </c>
      <c r="BJ206" s="159">
        <f t="shared" si="194"/>
        <v>0</v>
      </c>
      <c r="BK206" s="159">
        <f>IF(BJ206=0,0,COUNTIF(BK$193:BK205,"&gt;0")+1)</f>
        <v>0</v>
      </c>
      <c r="BL206" s="159" t="str">
        <f>IFERROR(IF($AR$191&gt;BL$191,IF(BL205&lt;MAX(BK$193:BK$210),1+COUNTIF(BL$193:BL205,"&gt;0"),""),""),"")</f>
        <v/>
      </c>
      <c r="BM206" s="159" t="str">
        <f t="shared" si="195"/>
        <v>n/a</v>
      </c>
      <c r="BN206" s="180">
        <f t="shared" si="168"/>
        <v>0</v>
      </c>
      <c r="BO206" s="159">
        <f t="shared" si="196"/>
        <v>0</v>
      </c>
      <c r="BP206" s="159">
        <f t="shared" si="197"/>
        <v>0</v>
      </c>
      <c r="BQ206" s="159">
        <f>IF(BP206=0,0,COUNTIF(BQ$193:BQ205,"&gt;0")+1)</f>
        <v>0</v>
      </c>
      <c r="BR206" s="159" t="str">
        <f>IFERROR(IF($AR$191&gt;BR$191,IF(BR205&lt;MAX(BQ$193:BQ$210),1+COUNTIF(BR$193:BR205,"&gt;0"),""),""),"")</f>
        <v/>
      </c>
      <c r="BS206" s="159" t="str">
        <f t="shared" si="198"/>
        <v>n/a</v>
      </c>
      <c r="BT206" s="180">
        <f t="shared" si="169"/>
        <v>0</v>
      </c>
      <c r="BU206" s="159">
        <f t="shared" si="199"/>
        <v>0</v>
      </c>
      <c r="BV206" s="159">
        <f t="shared" si="200"/>
        <v>0</v>
      </c>
      <c r="BW206" s="159">
        <f>IF(BV206=0,0,COUNTIF(BW$193:BW205,"&gt;0")+1)</f>
        <v>0</v>
      </c>
      <c r="BX206" s="159" t="str">
        <f>IFERROR(IF($AR$191&gt;BX$191,IF(BX205&lt;MAX(BW$193:BW$210),1+COUNTIF(BX$193:BX205,"&gt;0"),""),""),"")</f>
        <v/>
      </c>
      <c r="BY206" s="159" t="str">
        <f t="shared" si="201"/>
        <v>n/a</v>
      </c>
      <c r="BZ206" s="180">
        <f t="shared" si="170"/>
        <v>0</v>
      </c>
      <c r="CA206" s="159">
        <f t="shared" si="202"/>
        <v>0</v>
      </c>
      <c r="CB206" s="159">
        <f t="shared" si="203"/>
        <v>0</v>
      </c>
      <c r="CC206" s="159">
        <f>IF(CB206=0,0,COUNTIF(CC$193:CC205,"&gt;0")+1)</f>
        <v>0</v>
      </c>
      <c r="CD206" s="159" t="str">
        <f>IFERROR(IF($AR$191&gt;CD$191,IF(CD205&lt;MAX(CC$193:CC$210),1+COUNTIF(CD$193:CD205,"&gt;0"),""),""),"")</f>
        <v/>
      </c>
      <c r="CE206" s="159" t="str">
        <f t="shared" si="204"/>
        <v>n/a</v>
      </c>
      <c r="CF206" s="180">
        <f t="shared" si="171"/>
        <v>0</v>
      </c>
      <c r="CG206" s="159">
        <f t="shared" si="205"/>
        <v>0</v>
      </c>
      <c r="CH206" s="159">
        <f t="shared" si="206"/>
        <v>0</v>
      </c>
      <c r="CI206" s="159">
        <f>IF(CH206=0,0,COUNTIF(CI$193:CI205,"&gt;0")+1)</f>
        <v>0</v>
      </c>
      <c r="CJ206" s="159" t="str">
        <f>IFERROR(IF($AR$191&gt;CJ$191,IF(CJ205&lt;MAX(CI$193:CI$210),1+COUNTIF(CJ$193:CJ205,"&gt;0"),""),""),"")</f>
        <v/>
      </c>
      <c r="CK206" s="159" t="str">
        <f t="shared" si="207"/>
        <v>n/a</v>
      </c>
      <c r="CL206" s="180">
        <f t="shared" si="172"/>
        <v>0</v>
      </c>
      <c r="CM206" s="159">
        <f t="shared" si="208"/>
        <v>0</v>
      </c>
      <c r="CN206" s="159">
        <f t="shared" si="209"/>
        <v>0</v>
      </c>
      <c r="CO206" s="159">
        <f>IF(CN206=0,0,COUNTIF(CO$193:CO205,"&gt;0")+1)</f>
        <v>0</v>
      </c>
      <c r="CP206" s="159" t="str">
        <f>IFERROR(IF($AR$191&gt;CP$191,IF(CP205&lt;MAX(CO$193:CO$210),1+COUNTIF(CP$193:CP205,"&gt;0"),""),""),"")</f>
        <v/>
      </c>
      <c r="CQ206" s="159" t="str">
        <f t="shared" si="210"/>
        <v>n/a</v>
      </c>
      <c r="CR206" s="180">
        <f t="shared" si="173"/>
        <v>0</v>
      </c>
      <c r="CS206" s="159">
        <f t="shared" si="211"/>
        <v>0</v>
      </c>
      <c r="CT206" s="159">
        <f t="shared" si="212"/>
        <v>0</v>
      </c>
      <c r="CU206" s="159">
        <f>IF(CT206=0,0,COUNTIF(CU$193:CU205,"&gt;0")+1)</f>
        <v>0</v>
      </c>
      <c r="CV206" s="159" t="str">
        <f>IFERROR(IF($AR$191&gt;CV$191,IF(CV205&lt;MAX(CU$193:CU$210),1+COUNTIF(CV$193:CV205,"&gt;0"),""),""),"")</f>
        <v/>
      </c>
      <c r="CW206" s="159" t="str">
        <f t="shared" si="213"/>
        <v>n/a</v>
      </c>
      <c r="CX206" s="180">
        <f t="shared" si="174"/>
        <v>0</v>
      </c>
      <c r="CY206" s="159">
        <f t="shared" si="214"/>
        <v>0</v>
      </c>
      <c r="CZ206" s="159">
        <f t="shared" si="215"/>
        <v>0</v>
      </c>
      <c r="DA206" s="159">
        <f>IF(CZ206=0,0,COUNTIF(DA$193:DA205,"&gt;0")+1)</f>
        <v>0</v>
      </c>
      <c r="DB206" s="159" t="str">
        <f>IFERROR(IF($AR$191&gt;DB$191,IF(DB205&lt;MAX(DA$193:DA$210),1+COUNTIF(DB$193:DB205,"&gt;0"),""),""),"")</f>
        <v/>
      </c>
      <c r="DC206" s="159" t="str">
        <f t="shared" si="216"/>
        <v>n/a</v>
      </c>
      <c r="DD206" s="180">
        <f t="shared" si="175"/>
        <v>0</v>
      </c>
      <c r="DE206" s="159">
        <f t="shared" si="217"/>
        <v>0</v>
      </c>
      <c r="DF206" s="159">
        <f t="shared" si="218"/>
        <v>0</v>
      </c>
      <c r="DG206" s="159">
        <f>IF(DF206=0,0,COUNTIF(DG$193:DG205,"&gt;0")+1)</f>
        <v>0</v>
      </c>
      <c r="DH206" s="159" t="str">
        <f>IFERROR(IF($AR$191&gt;DH$191,IF(DH205&lt;MAX(DG$193:DG$210),1+COUNTIF(DH$193:DH205,"&gt;0"),""),""),"")</f>
        <v/>
      </c>
      <c r="DI206" s="159" t="str">
        <f t="shared" si="219"/>
        <v>n/a</v>
      </c>
      <c r="DJ206" s="180">
        <f t="shared" si="176"/>
        <v>0</v>
      </c>
      <c r="DK206" s="180"/>
    </row>
    <row r="207" spans="1:115" ht="16.5" x14ac:dyDescent="0.3">
      <c r="A207" s="155">
        <f>IFERROR(IF(A206+1&lt;MAX(D041_ClassFeatures!$A$2:$A$2033),A206+1,""),"")</f>
        <v>204</v>
      </c>
      <c r="B207" s="153" t="str">
        <f>IFERROR(INDEX(D041_ClassFeatures!$B$2:$B$2033,MATCH(C_Variables!A207,D041_ClassFeatures!$A$2:$A$2033,0),1),"")</f>
        <v>Thunderbolt Strike</v>
      </c>
      <c r="C207" s="153">
        <f>IF(B207="",0,IF(IFERROR(MATCH(B207,C_Input!$BC$160:$BC$239,0),0)&gt;0,1,0))</f>
        <v>0</v>
      </c>
      <c r="G207" s="179"/>
      <c r="H207" s="159" t="s">
        <v>72</v>
      </c>
      <c r="I207" s="427">
        <f t="shared" si="152"/>
        <v>0</v>
      </c>
      <c r="J207" s="428">
        <f t="shared" si="153"/>
        <v>0</v>
      </c>
      <c r="K207" s="424">
        <f t="shared" si="154"/>
        <v>0</v>
      </c>
      <c r="L207" s="194" t="e">
        <f>INDEX(D03_Skills!$D$2:$AP$19,MATCH(H207,D03_Skills!$B$2:$B$19,0),SelectedClassID)</f>
        <v>#N/A</v>
      </c>
      <c r="M207" s="179" t="e">
        <f t="shared" si="177"/>
        <v>#N/A</v>
      </c>
      <c r="N207" s="159" t="e">
        <f>IF(M207=0,0,COUNTIF($N$193:N206,"&gt;0")+1)</f>
        <v>#N/A</v>
      </c>
      <c r="O207" s="159" t="str">
        <f>IFERROR(IF($O$191&gt;0,IF(O206&lt;MAX(N$193:N$210),1+COUNTIF(O$193:O206,"&gt;0"),""),""),"")</f>
        <v/>
      </c>
      <c r="P207" s="159" t="str">
        <f t="shared" si="178"/>
        <v/>
      </c>
      <c r="Q207" s="159">
        <f t="shared" si="155"/>
        <v>0</v>
      </c>
      <c r="R207" s="179" t="e">
        <f t="shared" si="179"/>
        <v>#N/A</v>
      </c>
      <c r="S207" s="159" t="e">
        <f>IF(R207=0,0,COUNTIF(S$193:S206,"&gt;0")+1)</f>
        <v>#N/A</v>
      </c>
      <c r="T207" s="159" t="str">
        <f>IFERROR(IF($O$191&gt;1,IF(T206&lt;MAX(S$193:S$210),1+COUNTIF(T$193:T206,"&gt;0"),""),""),"")</f>
        <v/>
      </c>
      <c r="U207" s="159" t="str">
        <f t="shared" si="180"/>
        <v/>
      </c>
      <c r="V207" s="159">
        <f t="shared" si="156"/>
        <v>0</v>
      </c>
      <c r="W207" s="179" t="e">
        <f t="shared" si="181"/>
        <v>#N/A</v>
      </c>
      <c r="X207" s="159" t="e">
        <f>IF(W207=0,0,COUNTIF(X$193:X206,"&gt;0")+1)</f>
        <v>#N/A</v>
      </c>
      <c r="Y207" s="159" t="str">
        <f>IFERROR(IF($O$191&gt;2,IF(Y206&lt;MAX(X$193:X$210),1+COUNTIF(Y$193:Y206,"&gt;0"),""),""),"")</f>
        <v/>
      </c>
      <c r="Z207" s="159" t="str">
        <f t="shared" si="220"/>
        <v/>
      </c>
      <c r="AA207" s="159">
        <f t="shared" si="157"/>
        <v>0</v>
      </c>
      <c r="AB207" s="179" t="e">
        <f t="shared" si="182"/>
        <v>#N/A</v>
      </c>
      <c r="AC207" s="159" t="e">
        <f>IF(AB207=0,0,COUNTIF(AC$193:AC206,"&gt;0")+1)</f>
        <v>#N/A</v>
      </c>
      <c r="AD207" s="159" t="str">
        <f>IFERROR(IF($O$191&gt;3,IF(AD206&lt;MAX(AC$193:AC$210),1+COUNTIF(AD$193:AD206,"&gt;0"),""),""),"")</f>
        <v/>
      </c>
      <c r="AE207" s="159" t="str">
        <f t="shared" si="183"/>
        <v/>
      </c>
      <c r="AF207" s="180">
        <f t="shared" si="158"/>
        <v>0</v>
      </c>
      <c r="AG207" s="179">
        <f t="shared" si="159"/>
        <v>1</v>
      </c>
      <c r="AH207" s="159">
        <f>IF(AG207=0,0,COUNTIF(AH$193:AH206,"&gt;0")+1)</f>
        <v>13</v>
      </c>
      <c r="AI207" s="159" t="str">
        <f>IFERROR(IF($AG$191&gt;0,IF(AI206&lt;MAX(AH$193:AH$210),1+COUNTIF(AI$193:AI206,"&gt;0"),""),""),"")</f>
        <v/>
      </c>
      <c r="AJ207" s="159" t="str">
        <f t="shared" si="160"/>
        <v>n/a</v>
      </c>
      <c r="AK207" s="180">
        <f t="shared" si="161"/>
        <v>0</v>
      </c>
      <c r="AL207" s="159">
        <f t="shared" si="162"/>
        <v>1</v>
      </c>
      <c r="AM207" s="159">
        <f>IF(AL207=0,0,COUNTIF(AM$193:AM206,"&gt;0")+1)</f>
        <v>13</v>
      </c>
      <c r="AN207" s="159" t="str">
        <f>IFERROR(IF($AG$191&gt;0,IF(AN206&lt;MAX(AM$193:AM$210),1+COUNTIF(AN$193:AN206,"&gt;0"),""),""),"")</f>
        <v/>
      </c>
      <c r="AO207" s="159" t="str">
        <f t="shared" si="163"/>
        <v>n/a</v>
      </c>
      <c r="AP207" s="180">
        <f t="shared" si="164"/>
        <v>0</v>
      </c>
      <c r="AQ207" s="179">
        <f t="shared" si="184"/>
        <v>0</v>
      </c>
      <c r="AR207" s="159">
        <f t="shared" si="185"/>
        <v>0</v>
      </c>
      <c r="AS207" s="159">
        <f>IF(AR207=0,0,COUNTIF(AS$193:AS206,"&gt;0")+1)</f>
        <v>0</v>
      </c>
      <c r="AT207" s="159" t="str">
        <f>IFERROR(IF($AR$191&gt;0,IF(AT206&lt;MAX(AS$193:AS$210),1+COUNTIF(AT$193:AT206,"&gt;0"),""),""),"")</f>
        <v/>
      </c>
      <c r="AU207" s="159" t="str">
        <f t="shared" si="186"/>
        <v>n/a</v>
      </c>
      <c r="AV207" s="180">
        <f t="shared" si="165"/>
        <v>0</v>
      </c>
      <c r="AW207" s="159">
        <f t="shared" si="187"/>
        <v>0</v>
      </c>
      <c r="AX207" s="159">
        <f t="shared" si="188"/>
        <v>0</v>
      </c>
      <c r="AY207" s="159">
        <f>IF(AX207=0,0,COUNTIF(AY$193:AY206,"&gt;0")+1)</f>
        <v>0</v>
      </c>
      <c r="AZ207" s="159" t="str">
        <f>IFERROR(IF($AR$191&gt;1,IF(AZ206&lt;MAX(AY$193:AY$210),1+COUNTIF(AZ$193:AZ206,"&gt;0"),""),""),"")</f>
        <v/>
      </c>
      <c r="BA207" s="159" t="str">
        <f t="shared" si="189"/>
        <v>n/a</v>
      </c>
      <c r="BB207" s="180">
        <f t="shared" si="166"/>
        <v>0</v>
      </c>
      <c r="BC207" s="159">
        <f t="shared" si="190"/>
        <v>0</v>
      </c>
      <c r="BD207" s="159">
        <f t="shared" si="191"/>
        <v>0</v>
      </c>
      <c r="BE207" s="159">
        <f>IF(BD207=0,0,COUNTIF(BE$193:BE206,"&gt;0")+1)</f>
        <v>0</v>
      </c>
      <c r="BF207" s="159" t="str">
        <f>IFERROR(IF($AR$191&gt;2,IF(BF206&lt;MAX(BE$193:BE$210),1+COUNTIF(BF$193:BF206,"&gt;0"),""),""),"")</f>
        <v/>
      </c>
      <c r="BG207" s="159" t="str">
        <f t="shared" si="192"/>
        <v>n/a</v>
      </c>
      <c r="BH207" s="180">
        <f t="shared" si="167"/>
        <v>0</v>
      </c>
      <c r="BI207" s="159">
        <f t="shared" si="193"/>
        <v>0</v>
      </c>
      <c r="BJ207" s="159">
        <f t="shared" si="194"/>
        <v>0</v>
      </c>
      <c r="BK207" s="159">
        <f>IF(BJ207=0,0,COUNTIF(BK$193:BK206,"&gt;0")+1)</f>
        <v>0</v>
      </c>
      <c r="BL207" s="159" t="str">
        <f>IFERROR(IF($AR$191&gt;BL$191,IF(BL206&lt;MAX(BK$193:BK$210),1+COUNTIF(BL$193:BL206,"&gt;0"),""),""),"")</f>
        <v/>
      </c>
      <c r="BM207" s="159" t="str">
        <f t="shared" si="195"/>
        <v>n/a</v>
      </c>
      <c r="BN207" s="180">
        <f t="shared" si="168"/>
        <v>0</v>
      </c>
      <c r="BO207" s="159">
        <f t="shared" si="196"/>
        <v>0</v>
      </c>
      <c r="BP207" s="159">
        <f t="shared" si="197"/>
        <v>0</v>
      </c>
      <c r="BQ207" s="159">
        <f>IF(BP207=0,0,COUNTIF(BQ$193:BQ206,"&gt;0")+1)</f>
        <v>0</v>
      </c>
      <c r="BR207" s="159" t="str">
        <f>IFERROR(IF($AR$191&gt;BR$191,IF(BR206&lt;MAX(BQ$193:BQ$210),1+COUNTIF(BR$193:BR206,"&gt;0"),""),""),"")</f>
        <v/>
      </c>
      <c r="BS207" s="159" t="str">
        <f t="shared" si="198"/>
        <v>n/a</v>
      </c>
      <c r="BT207" s="180">
        <f t="shared" si="169"/>
        <v>0</v>
      </c>
      <c r="BU207" s="159">
        <f t="shared" si="199"/>
        <v>0</v>
      </c>
      <c r="BV207" s="159">
        <f t="shared" si="200"/>
        <v>0</v>
      </c>
      <c r="BW207" s="159">
        <f>IF(BV207=0,0,COUNTIF(BW$193:BW206,"&gt;0")+1)</f>
        <v>0</v>
      </c>
      <c r="BX207" s="159" t="str">
        <f>IFERROR(IF($AR$191&gt;BX$191,IF(BX206&lt;MAX(BW$193:BW$210),1+COUNTIF(BX$193:BX206,"&gt;0"),""),""),"")</f>
        <v/>
      </c>
      <c r="BY207" s="159" t="str">
        <f t="shared" si="201"/>
        <v>n/a</v>
      </c>
      <c r="BZ207" s="180">
        <f t="shared" si="170"/>
        <v>0</v>
      </c>
      <c r="CA207" s="159">
        <f t="shared" si="202"/>
        <v>0</v>
      </c>
      <c r="CB207" s="159">
        <f t="shared" si="203"/>
        <v>0</v>
      </c>
      <c r="CC207" s="159">
        <f>IF(CB207=0,0,COUNTIF(CC$193:CC206,"&gt;0")+1)</f>
        <v>0</v>
      </c>
      <c r="CD207" s="159" t="str">
        <f>IFERROR(IF($AR$191&gt;CD$191,IF(CD206&lt;MAX(CC$193:CC$210),1+COUNTIF(CD$193:CD206,"&gt;0"),""),""),"")</f>
        <v/>
      </c>
      <c r="CE207" s="159" t="str">
        <f t="shared" si="204"/>
        <v>n/a</v>
      </c>
      <c r="CF207" s="180">
        <f t="shared" si="171"/>
        <v>0</v>
      </c>
      <c r="CG207" s="159">
        <f t="shared" si="205"/>
        <v>0</v>
      </c>
      <c r="CH207" s="159">
        <f t="shared" si="206"/>
        <v>0</v>
      </c>
      <c r="CI207" s="159">
        <f>IF(CH207=0,0,COUNTIF(CI$193:CI206,"&gt;0")+1)</f>
        <v>0</v>
      </c>
      <c r="CJ207" s="159" t="str">
        <f>IFERROR(IF($AR$191&gt;CJ$191,IF(CJ206&lt;MAX(CI$193:CI$210),1+COUNTIF(CJ$193:CJ206,"&gt;0"),""),""),"")</f>
        <v/>
      </c>
      <c r="CK207" s="159" t="str">
        <f t="shared" si="207"/>
        <v>n/a</v>
      </c>
      <c r="CL207" s="180">
        <f t="shared" si="172"/>
        <v>0</v>
      </c>
      <c r="CM207" s="159">
        <f t="shared" si="208"/>
        <v>0</v>
      </c>
      <c r="CN207" s="159">
        <f t="shared" si="209"/>
        <v>0</v>
      </c>
      <c r="CO207" s="159">
        <f>IF(CN207=0,0,COUNTIF(CO$193:CO206,"&gt;0")+1)</f>
        <v>0</v>
      </c>
      <c r="CP207" s="159" t="str">
        <f>IFERROR(IF($AR$191&gt;CP$191,IF(CP206&lt;MAX(CO$193:CO$210),1+COUNTIF(CP$193:CP206,"&gt;0"),""),""),"")</f>
        <v/>
      </c>
      <c r="CQ207" s="159" t="str">
        <f t="shared" si="210"/>
        <v>n/a</v>
      </c>
      <c r="CR207" s="180">
        <f t="shared" si="173"/>
        <v>0</v>
      </c>
      <c r="CS207" s="159">
        <f t="shared" si="211"/>
        <v>0</v>
      </c>
      <c r="CT207" s="159">
        <f t="shared" si="212"/>
        <v>0</v>
      </c>
      <c r="CU207" s="159">
        <f>IF(CT207=0,0,COUNTIF(CU$193:CU206,"&gt;0")+1)</f>
        <v>0</v>
      </c>
      <c r="CV207" s="159" t="str">
        <f>IFERROR(IF($AR$191&gt;CV$191,IF(CV206&lt;MAX(CU$193:CU$210),1+COUNTIF(CV$193:CV206,"&gt;0"),""),""),"")</f>
        <v/>
      </c>
      <c r="CW207" s="159" t="str">
        <f t="shared" si="213"/>
        <v>n/a</v>
      </c>
      <c r="CX207" s="180">
        <f t="shared" si="174"/>
        <v>0</v>
      </c>
      <c r="CY207" s="159">
        <f t="shared" si="214"/>
        <v>0</v>
      </c>
      <c r="CZ207" s="159">
        <f t="shared" si="215"/>
        <v>0</v>
      </c>
      <c r="DA207" s="159">
        <f>IF(CZ207=0,0,COUNTIF(DA$193:DA206,"&gt;0")+1)</f>
        <v>0</v>
      </c>
      <c r="DB207" s="159" t="str">
        <f>IFERROR(IF($AR$191&gt;DB$191,IF(DB206&lt;MAX(DA$193:DA$210),1+COUNTIF(DB$193:DB206,"&gt;0"),""),""),"")</f>
        <v/>
      </c>
      <c r="DC207" s="159" t="str">
        <f t="shared" si="216"/>
        <v>n/a</v>
      </c>
      <c r="DD207" s="180">
        <f t="shared" si="175"/>
        <v>0</v>
      </c>
      <c r="DE207" s="159">
        <f t="shared" si="217"/>
        <v>0</v>
      </c>
      <c r="DF207" s="159">
        <f t="shared" si="218"/>
        <v>0</v>
      </c>
      <c r="DG207" s="159">
        <f>IF(DF207=0,0,COUNTIF(DG$193:DG206,"&gt;0")+1)</f>
        <v>0</v>
      </c>
      <c r="DH207" s="159" t="str">
        <f>IFERROR(IF($AR$191&gt;DH$191,IF(DH206&lt;MAX(DG$193:DG$210),1+COUNTIF(DH$193:DH206,"&gt;0"),""),""),"")</f>
        <v/>
      </c>
      <c r="DI207" s="159" t="str">
        <f t="shared" si="219"/>
        <v>n/a</v>
      </c>
      <c r="DJ207" s="180">
        <f t="shared" si="176"/>
        <v>0</v>
      </c>
      <c r="DK207" s="180"/>
    </row>
    <row r="208" spans="1:115" ht="16.5" x14ac:dyDescent="0.3">
      <c r="A208" s="155">
        <f>IFERROR(IF(A207+1&lt;MAX(D041_ClassFeatures!$A$2:$A$2033),A207+1,""),"")</f>
        <v>205</v>
      </c>
      <c r="B208" s="153" t="str">
        <f>IFERROR(INDEX(D041_ClassFeatures!$B$2:$B$2033,MATCH(C_Variables!A208,D041_ClassFeatures!$A$2:$A$2033,0),1),"")</f>
        <v>Divine Strike (thunder)</v>
      </c>
      <c r="C208" s="153">
        <f>IF(B208="",0,IF(IFERROR(MATCH(B208,C_Input!$BC$160:$BC$239,0),0)&gt;0,1,0))</f>
        <v>0</v>
      </c>
      <c r="G208" s="179"/>
      <c r="H208" s="159" t="s">
        <v>617</v>
      </c>
      <c r="I208" s="427">
        <f t="shared" si="152"/>
        <v>0</v>
      </c>
      <c r="J208" s="428">
        <f t="shared" si="153"/>
        <v>0</v>
      </c>
      <c r="K208" s="424">
        <f t="shared" si="154"/>
        <v>0</v>
      </c>
      <c r="L208" s="194" t="e">
        <f>INDEX(D03_Skills!$D$2:$AP$19,MATCH(H208,D03_Skills!$B$2:$B$19,0),SelectedClassID)</f>
        <v>#N/A</v>
      </c>
      <c r="M208" s="179" t="e">
        <f t="shared" si="177"/>
        <v>#N/A</v>
      </c>
      <c r="N208" s="159" t="e">
        <f>IF(M208=0,0,COUNTIF($N$193:N207,"&gt;0")+1)</f>
        <v>#N/A</v>
      </c>
      <c r="O208" s="159" t="str">
        <f>IFERROR(IF($O$191&gt;0,IF(O207&lt;MAX(N$193:N$210),1+COUNTIF(O$193:O207,"&gt;0"),""),""),"")</f>
        <v/>
      </c>
      <c r="P208" s="159" t="str">
        <f t="shared" si="178"/>
        <v/>
      </c>
      <c r="Q208" s="159">
        <f t="shared" si="155"/>
        <v>0</v>
      </c>
      <c r="R208" s="179" t="e">
        <f t="shared" si="179"/>
        <v>#N/A</v>
      </c>
      <c r="S208" s="159" t="e">
        <f>IF(R208=0,0,COUNTIF(S$193:S207,"&gt;0")+1)</f>
        <v>#N/A</v>
      </c>
      <c r="T208" s="159" t="str">
        <f>IFERROR(IF($O$191&gt;1,IF(T207&lt;MAX(S$193:S$210),1+COUNTIF(T$193:T207,"&gt;0"),""),""),"")</f>
        <v/>
      </c>
      <c r="U208" s="159" t="str">
        <f t="shared" si="180"/>
        <v/>
      </c>
      <c r="V208" s="159">
        <f t="shared" si="156"/>
        <v>0</v>
      </c>
      <c r="W208" s="179" t="e">
        <f t="shared" si="181"/>
        <v>#N/A</v>
      </c>
      <c r="X208" s="159" t="e">
        <f>IF(W208=0,0,COUNTIF(X$193:X207,"&gt;0")+1)</f>
        <v>#N/A</v>
      </c>
      <c r="Y208" s="159" t="str">
        <f>IFERROR(IF($O$191&gt;2,IF(Y207&lt;MAX(X$193:X$210),1+COUNTIF(Y$193:Y207,"&gt;0"),""),""),"")</f>
        <v/>
      </c>
      <c r="Z208" s="159" t="str">
        <f t="shared" si="220"/>
        <v/>
      </c>
      <c r="AA208" s="159">
        <f t="shared" si="157"/>
        <v>0</v>
      </c>
      <c r="AB208" s="179" t="e">
        <f t="shared" si="182"/>
        <v>#N/A</v>
      </c>
      <c r="AC208" s="159" t="e">
        <f>IF(AB208=0,0,COUNTIF(AC$193:AC207,"&gt;0")+1)</f>
        <v>#N/A</v>
      </c>
      <c r="AD208" s="159" t="str">
        <f>IFERROR(IF($O$191&gt;3,IF(AD207&lt;MAX(AC$193:AC$210),1+COUNTIF(AD$193:AD207,"&gt;0"),""),""),"")</f>
        <v/>
      </c>
      <c r="AE208" s="159" t="str">
        <f t="shared" si="183"/>
        <v/>
      </c>
      <c r="AF208" s="180">
        <f t="shared" si="158"/>
        <v>0</v>
      </c>
      <c r="AG208" s="179">
        <f t="shared" si="159"/>
        <v>1</v>
      </c>
      <c r="AH208" s="159">
        <f>IF(AG208=0,0,COUNTIF(AH$193:AH207,"&gt;0")+1)</f>
        <v>14</v>
      </c>
      <c r="AI208" s="159" t="str">
        <f>IFERROR(IF($AG$191&gt;0,IF(AI207&lt;MAX(AH$193:AH$210),1+COUNTIF(AI$193:AI207,"&gt;0"),""),""),"")</f>
        <v/>
      </c>
      <c r="AJ208" s="159" t="str">
        <f t="shared" si="160"/>
        <v>n/a</v>
      </c>
      <c r="AK208" s="180">
        <f t="shared" si="161"/>
        <v>0</v>
      </c>
      <c r="AL208" s="159">
        <f t="shared" si="162"/>
        <v>1</v>
      </c>
      <c r="AM208" s="159">
        <f>IF(AL208=0,0,COUNTIF(AM$193:AM207,"&gt;0")+1)</f>
        <v>14</v>
      </c>
      <c r="AN208" s="159" t="str">
        <f>IFERROR(IF($AG$191&gt;0,IF(AN207&lt;MAX(AM$193:AM$210),1+COUNTIF(AN$193:AN207,"&gt;0"),""),""),"")</f>
        <v/>
      </c>
      <c r="AO208" s="159" t="str">
        <f t="shared" si="163"/>
        <v>n/a</v>
      </c>
      <c r="AP208" s="180">
        <f t="shared" si="164"/>
        <v>0</v>
      </c>
      <c r="AQ208" s="179">
        <f t="shared" si="184"/>
        <v>0</v>
      </c>
      <c r="AR208" s="159">
        <f t="shared" si="185"/>
        <v>0</v>
      </c>
      <c r="AS208" s="159">
        <f>IF(AR208=0,0,COUNTIF(AS$193:AS207,"&gt;0")+1)</f>
        <v>0</v>
      </c>
      <c r="AT208" s="159" t="str">
        <f>IFERROR(IF($AR$191&gt;0,IF(AT207&lt;MAX(AS$193:AS$210),1+COUNTIF(AT$193:AT207,"&gt;0"),""),""),"")</f>
        <v/>
      </c>
      <c r="AU208" s="159" t="str">
        <f t="shared" si="186"/>
        <v>n/a</v>
      </c>
      <c r="AV208" s="180">
        <f t="shared" si="165"/>
        <v>0</v>
      </c>
      <c r="AW208" s="159">
        <f t="shared" si="187"/>
        <v>0</v>
      </c>
      <c r="AX208" s="159">
        <f t="shared" si="188"/>
        <v>0</v>
      </c>
      <c r="AY208" s="159">
        <f>IF(AX208=0,0,COUNTIF(AY$193:AY207,"&gt;0")+1)</f>
        <v>0</v>
      </c>
      <c r="AZ208" s="159" t="str">
        <f>IFERROR(IF($AR$191&gt;1,IF(AZ207&lt;MAX(AY$193:AY$210),1+COUNTIF(AZ$193:AZ207,"&gt;0"),""),""),"")</f>
        <v/>
      </c>
      <c r="BA208" s="159" t="str">
        <f t="shared" si="189"/>
        <v>n/a</v>
      </c>
      <c r="BB208" s="180">
        <f t="shared" si="166"/>
        <v>0</v>
      </c>
      <c r="BC208" s="159">
        <f t="shared" si="190"/>
        <v>0</v>
      </c>
      <c r="BD208" s="159">
        <f t="shared" si="191"/>
        <v>0</v>
      </c>
      <c r="BE208" s="159">
        <f>IF(BD208=0,0,COUNTIF(BE$193:BE207,"&gt;0")+1)</f>
        <v>0</v>
      </c>
      <c r="BF208" s="159" t="str">
        <f>IFERROR(IF($AR$191&gt;2,IF(BF207&lt;MAX(BE$193:BE$210),1+COUNTIF(BF$193:BF207,"&gt;0"),""),""),"")</f>
        <v/>
      </c>
      <c r="BG208" s="159" t="str">
        <f t="shared" si="192"/>
        <v>n/a</v>
      </c>
      <c r="BH208" s="180">
        <f t="shared" si="167"/>
        <v>0</v>
      </c>
      <c r="BI208" s="159">
        <f t="shared" si="193"/>
        <v>0</v>
      </c>
      <c r="BJ208" s="159">
        <f t="shared" si="194"/>
        <v>0</v>
      </c>
      <c r="BK208" s="159">
        <f>IF(BJ208=0,0,COUNTIF(BK$193:BK207,"&gt;0")+1)</f>
        <v>0</v>
      </c>
      <c r="BL208" s="159" t="str">
        <f>IFERROR(IF($AR$191&gt;BL$191,IF(BL207&lt;MAX(BK$193:BK$210),1+COUNTIF(BL$193:BL207,"&gt;0"),""),""),"")</f>
        <v/>
      </c>
      <c r="BM208" s="159" t="str">
        <f t="shared" si="195"/>
        <v>n/a</v>
      </c>
      <c r="BN208" s="180">
        <f t="shared" si="168"/>
        <v>0</v>
      </c>
      <c r="BO208" s="159">
        <f t="shared" si="196"/>
        <v>0</v>
      </c>
      <c r="BP208" s="159">
        <f t="shared" si="197"/>
        <v>0</v>
      </c>
      <c r="BQ208" s="159">
        <f>IF(BP208=0,0,COUNTIF(BQ$193:BQ207,"&gt;0")+1)</f>
        <v>0</v>
      </c>
      <c r="BR208" s="159" t="str">
        <f>IFERROR(IF($AR$191&gt;BR$191,IF(BR207&lt;MAX(BQ$193:BQ$210),1+COUNTIF(BR$193:BR207,"&gt;0"),""),""),"")</f>
        <v/>
      </c>
      <c r="BS208" s="159" t="str">
        <f t="shared" si="198"/>
        <v>n/a</v>
      </c>
      <c r="BT208" s="180">
        <f t="shared" si="169"/>
        <v>0</v>
      </c>
      <c r="BU208" s="159">
        <f t="shared" si="199"/>
        <v>0</v>
      </c>
      <c r="BV208" s="159">
        <f t="shared" si="200"/>
        <v>0</v>
      </c>
      <c r="BW208" s="159">
        <f>IF(BV208=0,0,COUNTIF(BW$193:BW207,"&gt;0")+1)</f>
        <v>0</v>
      </c>
      <c r="BX208" s="159" t="str">
        <f>IFERROR(IF($AR$191&gt;BX$191,IF(BX207&lt;MAX(BW$193:BW$210),1+COUNTIF(BX$193:BX207,"&gt;0"),""),""),"")</f>
        <v/>
      </c>
      <c r="BY208" s="159" t="str">
        <f t="shared" si="201"/>
        <v>n/a</v>
      </c>
      <c r="BZ208" s="180">
        <f t="shared" si="170"/>
        <v>0</v>
      </c>
      <c r="CA208" s="159">
        <f t="shared" si="202"/>
        <v>0</v>
      </c>
      <c r="CB208" s="159">
        <f t="shared" si="203"/>
        <v>0</v>
      </c>
      <c r="CC208" s="159">
        <f>IF(CB208=0,0,COUNTIF(CC$193:CC207,"&gt;0")+1)</f>
        <v>0</v>
      </c>
      <c r="CD208" s="159" t="str">
        <f>IFERROR(IF($AR$191&gt;CD$191,IF(CD207&lt;MAX(CC$193:CC$210),1+COUNTIF(CD$193:CD207,"&gt;0"),""),""),"")</f>
        <v/>
      </c>
      <c r="CE208" s="159" t="str">
        <f t="shared" si="204"/>
        <v>n/a</v>
      </c>
      <c r="CF208" s="180">
        <f t="shared" si="171"/>
        <v>0</v>
      </c>
      <c r="CG208" s="159">
        <f t="shared" si="205"/>
        <v>0</v>
      </c>
      <c r="CH208" s="159">
        <f t="shared" si="206"/>
        <v>0</v>
      </c>
      <c r="CI208" s="159">
        <f>IF(CH208=0,0,COUNTIF(CI$193:CI207,"&gt;0")+1)</f>
        <v>0</v>
      </c>
      <c r="CJ208" s="159" t="str">
        <f>IFERROR(IF($AR$191&gt;CJ$191,IF(CJ207&lt;MAX(CI$193:CI$210),1+COUNTIF(CJ$193:CJ207,"&gt;0"),""),""),"")</f>
        <v/>
      </c>
      <c r="CK208" s="159" t="str">
        <f t="shared" si="207"/>
        <v>n/a</v>
      </c>
      <c r="CL208" s="180">
        <f t="shared" si="172"/>
        <v>0</v>
      </c>
      <c r="CM208" s="159">
        <f t="shared" si="208"/>
        <v>0</v>
      </c>
      <c r="CN208" s="159">
        <f t="shared" si="209"/>
        <v>0</v>
      </c>
      <c r="CO208" s="159">
        <f>IF(CN208=0,0,COUNTIF(CO$193:CO207,"&gt;0")+1)</f>
        <v>0</v>
      </c>
      <c r="CP208" s="159" t="str">
        <f>IFERROR(IF($AR$191&gt;CP$191,IF(CP207&lt;MAX(CO$193:CO$210),1+COUNTIF(CP$193:CP207,"&gt;0"),""),""),"")</f>
        <v/>
      </c>
      <c r="CQ208" s="159" t="str">
        <f t="shared" si="210"/>
        <v>n/a</v>
      </c>
      <c r="CR208" s="180">
        <f t="shared" si="173"/>
        <v>0</v>
      </c>
      <c r="CS208" s="159">
        <f t="shared" si="211"/>
        <v>0</v>
      </c>
      <c r="CT208" s="159">
        <f t="shared" si="212"/>
        <v>0</v>
      </c>
      <c r="CU208" s="159">
        <f>IF(CT208=0,0,COUNTIF(CU$193:CU207,"&gt;0")+1)</f>
        <v>0</v>
      </c>
      <c r="CV208" s="159" t="str">
        <f>IFERROR(IF($AR$191&gt;CV$191,IF(CV207&lt;MAX(CU$193:CU$210),1+COUNTIF(CV$193:CV207,"&gt;0"),""),""),"")</f>
        <v/>
      </c>
      <c r="CW208" s="159" t="str">
        <f t="shared" si="213"/>
        <v>n/a</v>
      </c>
      <c r="CX208" s="180">
        <f t="shared" si="174"/>
        <v>0</v>
      </c>
      <c r="CY208" s="159">
        <f t="shared" si="214"/>
        <v>0</v>
      </c>
      <c r="CZ208" s="159">
        <f t="shared" si="215"/>
        <v>0</v>
      </c>
      <c r="DA208" s="159">
        <f>IF(CZ208=0,0,COUNTIF(DA$193:DA207,"&gt;0")+1)</f>
        <v>0</v>
      </c>
      <c r="DB208" s="159" t="str">
        <f>IFERROR(IF($AR$191&gt;DB$191,IF(DB207&lt;MAX(DA$193:DA$210),1+COUNTIF(DB$193:DB207,"&gt;0"),""),""),"")</f>
        <v/>
      </c>
      <c r="DC208" s="159" t="str">
        <f t="shared" si="216"/>
        <v>n/a</v>
      </c>
      <c r="DD208" s="180">
        <f t="shared" si="175"/>
        <v>0</v>
      </c>
      <c r="DE208" s="159">
        <f t="shared" si="217"/>
        <v>0</v>
      </c>
      <c r="DF208" s="159">
        <f t="shared" si="218"/>
        <v>0</v>
      </c>
      <c r="DG208" s="159">
        <f>IF(DF208=0,0,COUNTIF(DG$193:DG207,"&gt;0")+1)</f>
        <v>0</v>
      </c>
      <c r="DH208" s="159" t="str">
        <f>IFERROR(IF($AR$191&gt;DH$191,IF(DH207&lt;MAX(DG$193:DG$210),1+COUNTIF(DH$193:DH207,"&gt;0"),""),""),"")</f>
        <v/>
      </c>
      <c r="DI208" s="159" t="str">
        <f t="shared" si="219"/>
        <v>n/a</v>
      </c>
      <c r="DJ208" s="180">
        <f t="shared" si="176"/>
        <v>0</v>
      </c>
      <c r="DK208" s="180"/>
    </row>
    <row r="209" spans="1:115" ht="16.5" x14ac:dyDescent="0.3">
      <c r="A209" s="155">
        <f>IFERROR(IF(A208+1&lt;MAX(D041_ClassFeatures!$A$2:$A$2033),A208+1,""),"")</f>
        <v>206</v>
      </c>
      <c r="B209" s="153" t="str">
        <f>IFERROR(INDEX(D041_ClassFeatures!$B$2:$B$2033,MATCH(C_Variables!A209,D041_ClassFeatures!$A$2:$A$2033,0),1),"")</f>
        <v>Stormborn</v>
      </c>
      <c r="C209" s="153">
        <f>IF(B209="",0,IF(IFERROR(MATCH(B209,C_Input!$BC$160:$BC$239,0),0)&gt;0,1,0))</f>
        <v>0</v>
      </c>
      <c r="G209" s="179"/>
      <c r="H209" s="159" t="s">
        <v>75</v>
      </c>
      <c r="I209" s="427">
        <f t="shared" si="152"/>
        <v>0</v>
      </c>
      <c r="J209" s="428">
        <f t="shared" si="153"/>
        <v>1</v>
      </c>
      <c r="K209" s="424">
        <f t="shared" si="154"/>
        <v>0</v>
      </c>
      <c r="L209" s="194" t="e">
        <f>INDEX(D03_Skills!$D$2:$AP$19,MATCH(H209,D03_Skills!$B$2:$B$19,0),SelectedClassID)</f>
        <v>#N/A</v>
      </c>
      <c r="M209" s="179" t="e">
        <f t="shared" si="177"/>
        <v>#N/A</v>
      </c>
      <c r="N209" s="159" t="e">
        <f>IF(M209=0,0,COUNTIF($N$193:N208,"&gt;0")+1)</f>
        <v>#N/A</v>
      </c>
      <c r="O209" s="159" t="str">
        <f>IFERROR(IF($O$191&gt;0,IF(O208&lt;MAX(N$193:N$210),1+COUNTIF(O$193:O208,"&gt;0"),""),""),"")</f>
        <v/>
      </c>
      <c r="P209" s="159" t="str">
        <f t="shared" si="178"/>
        <v/>
      </c>
      <c r="Q209" s="159">
        <f t="shared" si="155"/>
        <v>0</v>
      </c>
      <c r="R209" s="179" t="e">
        <f t="shared" si="179"/>
        <v>#N/A</v>
      </c>
      <c r="S209" s="159" t="e">
        <f>IF(R209=0,0,COUNTIF(S$193:S208,"&gt;0")+1)</f>
        <v>#N/A</v>
      </c>
      <c r="T209" s="159" t="str">
        <f>IFERROR(IF($O$191&gt;1,IF(T208&lt;MAX(S$193:S$210),1+COUNTIF(T$193:T208,"&gt;0"),""),""),"")</f>
        <v/>
      </c>
      <c r="U209" s="159" t="str">
        <f t="shared" si="180"/>
        <v/>
      </c>
      <c r="V209" s="159">
        <f t="shared" si="156"/>
        <v>0</v>
      </c>
      <c r="W209" s="179" t="e">
        <f t="shared" si="181"/>
        <v>#N/A</v>
      </c>
      <c r="X209" s="159" t="e">
        <f>IF(W209=0,0,COUNTIF(X$193:X208,"&gt;0")+1)</f>
        <v>#N/A</v>
      </c>
      <c r="Y209" s="159" t="str">
        <f>IFERROR(IF($O$191&gt;2,IF(Y208&lt;MAX(X$193:X$210),1+COUNTIF(Y$193:Y208,"&gt;0"),""),""),"")</f>
        <v/>
      </c>
      <c r="Z209" s="159" t="str">
        <f t="shared" si="220"/>
        <v/>
      </c>
      <c r="AA209" s="159">
        <f t="shared" si="157"/>
        <v>0</v>
      </c>
      <c r="AB209" s="179" t="e">
        <f t="shared" si="182"/>
        <v>#N/A</v>
      </c>
      <c r="AC209" s="159" t="e">
        <f>IF(AB209=0,0,COUNTIF(AC$193:AC208,"&gt;0")+1)</f>
        <v>#N/A</v>
      </c>
      <c r="AD209" s="159" t="str">
        <f>IFERROR(IF($O$191&gt;3,IF(AD208&lt;MAX(AC$193:AC$210),1+COUNTIF(AD$193:AD208,"&gt;0"),""),""),"")</f>
        <v/>
      </c>
      <c r="AE209" s="159" t="str">
        <f t="shared" si="183"/>
        <v/>
      </c>
      <c r="AF209" s="180">
        <f t="shared" si="158"/>
        <v>0</v>
      </c>
      <c r="AG209" s="179">
        <f t="shared" si="159"/>
        <v>0</v>
      </c>
      <c r="AH209" s="159">
        <f>IF(AG209=0,0,COUNTIF(AH$193:AH208,"&gt;0")+1)</f>
        <v>0</v>
      </c>
      <c r="AI209" s="159" t="str">
        <f>IFERROR(IF($AG$191&gt;0,IF(AI208&lt;MAX(AH$193:AH$210),1+COUNTIF(AI$193:AI208,"&gt;0"),""),""),"")</f>
        <v/>
      </c>
      <c r="AJ209" s="159" t="str">
        <f t="shared" si="160"/>
        <v>n/a</v>
      </c>
      <c r="AK209" s="180">
        <f t="shared" si="161"/>
        <v>0</v>
      </c>
      <c r="AL209" s="159">
        <f t="shared" si="162"/>
        <v>0</v>
      </c>
      <c r="AM209" s="159">
        <f>IF(AL209=0,0,COUNTIF(AM$193:AM208,"&gt;0")+1)</f>
        <v>0</v>
      </c>
      <c r="AN209" s="159" t="str">
        <f>IFERROR(IF($AG$191&gt;0,IF(AN208&lt;MAX(AM$193:AM$210),1+COUNTIF(AN$193:AN208,"&gt;0"),""),""),"")</f>
        <v/>
      </c>
      <c r="AO209" s="159" t="str">
        <f t="shared" si="163"/>
        <v>n/a</v>
      </c>
      <c r="AP209" s="180">
        <f t="shared" si="164"/>
        <v>0</v>
      </c>
      <c r="AQ209" s="179">
        <f t="shared" si="184"/>
        <v>0</v>
      </c>
      <c r="AR209" s="159">
        <f t="shared" si="185"/>
        <v>0</v>
      </c>
      <c r="AS209" s="159">
        <f>IF(AR209=0,0,COUNTIF(AS$193:AS208,"&gt;0")+1)</f>
        <v>0</v>
      </c>
      <c r="AT209" s="159" t="str">
        <f>IFERROR(IF($AR$191&gt;0,IF(AT208&lt;MAX(AS$193:AS$210),1+COUNTIF(AT$193:AT208,"&gt;0"),""),""),"")</f>
        <v/>
      </c>
      <c r="AU209" s="159" t="str">
        <f t="shared" si="186"/>
        <v>n/a</v>
      </c>
      <c r="AV209" s="180">
        <f t="shared" si="165"/>
        <v>0</v>
      </c>
      <c r="AW209" s="159">
        <f t="shared" si="187"/>
        <v>0</v>
      </c>
      <c r="AX209" s="159">
        <f t="shared" si="188"/>
        <v>0</v>
      </c>
      <c r="AY209" s="159">
        <f>IF(AX209=0,0,COUNTIF(AY$193:AY208,"&gt;0")+1)</f>
        <v>0</v>
      </c>
      <c r="AZ209" s="159" t="str">
        <f>IFERROR(IF($AR$191&gt;1,IF(AZ208&lt;MAX(AY$193:AY$210),1+COUNTIF(AZ$193:AZ208,"&gt;0"),""),""),"")</f>
        <v/>
      </c>
      <c r="BA209" s="159" t="str">
        <f t="shared" si="189"/>
        <v>n/a</v>
      </c>
      <c r="BB209" s="180">
        <f t="shared" si="166"/>
        <v>0</v>
      </c>
      <c r="BC209" s="159">
        <f t="shared" si="190"/>
        <v>0</v>
      </c>
      <c r="BD209" s="159">
        <f t="shared" si="191"/>
        <v>0</v>
      </c>
      <c r="BE209" s="159">
        <f>IF(BD209=0,0,COUNTIF(BE$193:BE208,"&gt;0")+1)</f>
        <v>0</v>
      </c>
      <c r="BF209" s="159" t="str">
        <f>IFERROR(IF($AR$191&gt;2,IF(BF208&lt;MAX(BE$193:BE$210),1+COUNTIF(BF$193:BF208,"&gt;0"),""),""),"")</f>
        <v/>
      </c>
      <c r="BG209" s="159" t="str">
        <f t="shared" si="192"/>
        <v>n/a</v>
      </c>
      <c r="BH209" s="180">
        <f t="shared" si="167"/>
        <v>0</v>
      </c>
      <c r="BI209" s="159">
        <f t="shared" si="193"/>
        <v>0</v>
      </c>
      <c r="BJ209" s="159">
        <f t="shared" si="194"/>
        <v>0</v>
      </c>
      <c r="BK209" s="159">
        <f>IF(BJ209=0,0,COUNTIF(BK$193:BK208,"&gt;0")+1)</f>
        <v>0</v>
      </c>
      <c r="BL209" s="159" t="str">
        <f>IFERROR(IF($AR$191&gt;BL$191,IF(BL208&lt;MAX(BK$193:BK$210),1+COUNTIF(BL$193:BL208,"&gt;0"),""),""),"")</f>
        <v/>
      </c>
      <c r="BM209" s="159" t="str">
        <f t="shared" si="195"/>
        <v>n/a</v>
      </c>
      <c r="BN209" s="180">
        <f t="shared" si="168"/>
        <v>0</v>
      </c>
      <c r="BO209" s="159">
        <f t="shared" si="196"/>
        <v>0</v>
      </c>
      <c r="BP209" s="159">
        <f t="shared" si="197"/>
        <v>0</v>
      </c>
      <c r="BQ209" s="159">
        <f>IF(BP209=0,0,COUNTIF(BQ$193:BQ208,"&gt;0")+1)</f>
        <v>0</v>
      </c>
      <c r="BR209" s="159" t="str">
        <f>IFERROR(IF($AR$191&gt;BR$191,IF(BR208&lt;MAX(BQ$193:BQ$210),1+COUNTIF(BR$193:BR208,"&gt;0"),""),""),"")</f>
        <v/>
      </c>
      <c r="BS209" s="159" t="str">
        <f t="shared" si="198"/>
        <v>n/a</v>
      </c>
      <c r="BT209" s="180">
        <f t="shared" si="169"/>
        <v>0</v>
      </c>
      <c r="BU209" s="159">
        <f t="shared" si="199"/>
        <v>0</v>
      </c>
      <c r="BV209" s="159">
        <f t="shared" si="200"/>
        <v>0</v>
      </c>
      <c r="BW209" s="159">
        <f>IF(BV209=0,0,COUNTIF(BW$193:BW208,"&gt;0")+1)</f>
        <v>0</v>
      </c>
      <c r="BX209" s="159" t="str">
        <f>IFERROR(IF($AR$191&gt;BX$191,IF(BX208&lt;MAX(BW$193:BW$210),1+COUNTIF(BX$193:BX208,"&gt;0"),""),""),"")</f>
        <v/>
      </c>
      <c r="BY209" s="159" t="str">
        <f t="shared" si="201"/>
        <v>n/a</v>
      </c>
      <c r="BZ209" s="180">
        <f t="shared" si="170"/>
        <v>0</v>
      </c>
      <c r="CA209" s="159">
        <f t="shared" si="202"/>
        <v>0</v>
      </c>
      <c r="CB209" s="159">
        <f t="shared" si="203"/>
        <v>0</v>
      </c>
      <c r="CC209" s="159">
        <f>IF(CB209=0,0,COUNTIF(CC$193:CC208,"&gt;0")+1)</f>
        <v>0</v>
      </c>
      <c r="CD209" s="159" t="str">
        <f>IFERROR(IF($AR$191&gt;CD$191,IF(CD208&lt;MAX(CC$193:CC$210),1+COUNTIF(CD$193:CD208,"&gt;0"),""),""),"")</f>
        <v/>
      </c>
      <c r="CE209" s="159" t="str">
        <f t="shared" si="204"/>
        <v>n/a</v>
      </c>
      <c r="CF209" s="180">
        <f t="shared" si="171"/>
        <v>0</v>
      </c>
      <c r="CG209" s="159">
        <f t="shared" si="205"/>
        <v>0</v>
      </c>
      <c r="CH209" s="159">
        <f t="shared" si="206"/>
        <v>0</v>
      </c>
      <c r="CI209" s="159">
        <f>IF(CH209=0,0,COUNTIF(CI$193:CI208,"&gt;0")+1)</f>
        <v>0</v>
      </c>
      <c r="CJ209" s="159" t="str">
        <f>IFERROR(IF($AR$191&gt;CJ$191,IF(CJ208&lt;MAX(CI$193:CI$210),1+COUNTIF(CJ$193:CJ208,"&gt;0"),""),""),"")</f>
        <v/>
      </c>
      <c r="CK209" s="159" t="str">
        <f t="shared" si="207"/>
        <v>n/a</v>
      </c>
      <c r="CL209" s="180">
        <f t="shared" si="172"/>
        <v>0</v>
      </c>
      <c r="CM209" s="159">
        <f t="shared" si="208"/>
        <v>0</v>
      </c>
      <c r="CN209" s="159">
        <f t="shared" si="209"/>
        <v>0</v>
      </c>
      <c r="CO209" s="159">
        <f>IF(CN209=0,0,COUNTIF(CO$193:CO208,"&gt;0")+1)</f>
        <v>0</v>
      </c>
      <c r="CP209" s="159" t="str">
        <f>IFERROR(IF($AR$191&gt;CP$191,IF(CP208&lt;MAX(CO$193:CO$210),1+COUNTIF(CP$193:CP208,"&gt;0"),""),""),"")</f>
        <v/>
      </c>
      <c r="CQ209" s="159" t="str">
        <f t="shared" si="210"/>
        <v>n/a</v>
      </c>
      <c r="CR209" s="180">
        <f t="shared" si="173"/>
        <v>0</v>
      </c>
      <c r="CS209" s="159">
        <f t="shared" si="211"/>
        <v>0</v>
      </c>
      <c r="CT209" s="159">
        <f t="shared" si="212"/>
        <v>0</v>
      </c>
      <c r="CU209" s="159">
        <f>IF(CT209=0,0,COUNTIF(CU$193:CU208,"&gt;0")+1)</f>
        <v>0</v>
      </c>
      <c r="CV209" s="159" t="str">
        <f>IFERROR(IF($AR$191&gt;CV$191,IF(CV208&lt;MAX(CU$193:CU$210),1+COUNTIF(CV$193:CV208,"&gt;0"),""),""),"")</f>
        <v/>
      </c>
      <c r="CW209" s="159" t="str">
        <f t="shared" si="213"/>
        <v>n/a</v>
      </c>
      <c r="CX209" s="180">
        <f t="shared" si="174"/>
        <v>0</v>
      </c>
      <c r="CY209" s="159">
        <f t="shared" si="214"/>
        <v>0</v>
      </c>
      <c r="CZ209" s="159">
        <f t="shared" si="215"/>
        <v>0</v>
      </c>
      <c r="DA209" s="159">
        <f>IF(CZ209=0,0,COUNTIF(DA$193:DA208,"&gt;0")+1)</f>
        <v>0</v>
      </c>
      <c r="DB209" s="159" t="str">
        <f>IFERROR(IF($AR$191&gt;DB$191,IF(DB208&lt;MAX(DA$193:DA$210),1+COUNTIF(DB$193:DB208,"&gt;0"),""),""),"")</f>
        <v/>
      </c>
      <c r="DC209" s="159" t="str">
        <f t="shared" si="216"/>
        <v>n/a</v>
      </c>
      <c r="DD209" s="180">
        <f t="shared" si="175"/>
        <v>0</v>
      </c>
      <c r="DE209" s="159">
        <f t="shared" si="217"/>
        <v>0</v>
      </c>
      <c r="DF209" s="159">
        <f t="shared" si="218"/>
        <v>0</v>
      </c>
      <c r="DG209" s="159">
        <f>IF(DF209=0,0,COUNTIF(DG$193:DG208,"&gt;0")+1)</f>
        <v>0</v>
      </c>
      <c r="DH209" s="159" t="str">
        <f>IFERROR(IF($AR$191&gt;DH$191,IF(DH208&lt;MAX(DG$193:DG$210),1+COUNTIF(DH$193:DH208,"&gt;0"),""),""),"")</f>
        <v/>
      </c>
      <c r="DI209" s="159" t="str">
        <f t="shared" si="219"/>
        <v>n/a</v>
      </c>
      <c r="DJ209" s="180">
        <f t="shared" si="176"/>
        <v>0</v>
      </c>
      <c r="DK209" s="180"/>
    </row>
    <row r="210" spans="1:115" ht="17.25" thickBot="1" x14ac:dyDescent="0.35">
      <c r="A210" s="155">
        <f>IFERROR(IF(A209+1&lt;MAX(D041_ClassFeatures!$A$2:$A$2033),A209+1,""),"")</f>
        <v>207</v>
      </c>
      <c r="B210" s="153" t="str">
        <f>IFERROR(INDEX(D041_ClassFeatures!$B$2:$B$2033,MATCH(C_Variables!A210,D041_ClassFeatures!$A$2:$A$2033,0),1),"")</f>
        <v>Blessing of Trickster</v>
      </c>
      <c r="C210" s="153">
        <f>IF(B210="",0,IF(IFERROR(MATCH(B210,C_Input!$BC$160:$BC$239,0),0)&gt;0,1,0))</f>
        <v>0</v>
      </c>
      <c r="G210" s="179"/>
      <c r="H210" s="159" t="s">
        <v>80</v>
      </c>
      <c r="I210" s="429">
        <f t="shared" si="152"/>
        <v>0</v>
      </c>
      <c r="J210" s="430">
        <f t="shared" si="153"/>
        <v>0</v>
      </c>
      <c r="K210" s="424">
        <f t="shared" si="154"/>
        <v>0</v>
      </c>
      <c r="L210" s="194" t="e">
        <f>INDEX(D03_Skills!$D$2:$AP$19,MATCH(H210,D03_Skills!$B$2:$B$19,0),SelectedClassID)</f>
        <v>#N/A</v>
      </c>
      <c r="M210" s="181" t="e">
        <f t="shared" si="177"/>
        <v>#N/A</v>
      </c>
      <c r="N210" s="182" t="e">
        <f>IF(M210=0,0,COUNTIF($N$193:N209,"&gt;0")+1)</f>
        <v>#N/A</v>
      </c>
      <c r="O210" s="182" t="str">
        <f>IFERROR(IF($O$191&gt;0,IF(O209&lt;MAX(N$193:N$210),1+COUNTIF(O$193:O209,"&gt;0"),""),""),"")</f>
        <v/>
      </c>
      <c r="P210" s="182" t="str">
        <f t="shared" si="178"/>
        <v/>
      </c>
      <c r="Q210" s="182">
        <f t="shared" si="155"/>
        <v>0</v>
      </c>
      <c r="R210" s="181" t="e">
        <f t="shared" si="179"/>
        <v>#N/A</v>
      </c>
      <c r="S210" s="182" t="e">
        <f>IF(R210=0,0,COUNTIF(S$193:S209,"&gt;0")+1)</f>
        <v>#N/A</v>
      </c>
      <c r="T210" s="182" t="str">
        <f>IFERROR(IF($O$191&gt;1,IF(T209&lt;MAX(S$193:S$210),1+COUNTIF(T$193:T209,"&gt;0"),""),""),"")</f>
        <v/>
      </c>
      <c r="U210" s="182" t="str">
        <f t="shared" si="180"/>
        <v/>
      </c>
      <c r="V210" s="182">
        <f t="shared" si="156"/>
        <v>0</v>
      </c>
      <c r="W210" s="181" t="e">
        <f t="shared" si="181"/>
        <v>#N/A</v>
      </c>
      <c r="X210" s="182" t="e">
        <f>IF(W210=0,0,COUNTIF(X$193:X209,"&gt;0")+1)</f>
        <v>#N/A</v>
      </c>
      <c r="Y210" s="182" t="str">
        <f>IFERROR(IF($O$191&gt;2,IF(Y209&lt;MAX(X$193:X$210),1+COUNTIF(Y$193:Y209,"&gt;0"),""),""),"")</f>
        <v/>
      </c>
      <c r="Z210" s="182" t="str">
        <f t="shared" si="220"/>
        <v/>
      </c>
      <c r="AA210" s="182">
        <f t="shared" si="157"/>
        <v>0</v>
      </c>
      <c r="AB210" s="181" t="e">
        <f t="shared" si="182"/>
        <v>#N/A</v>
      </c>
      <c r="AC210" s="182" t="e">
        <f>IF(AB210=0,0,COUNTIF(AC$193:AC209,"&gt;0")+1)</f>
        <v>#N/A</v>
      </c>
      <c r="AD210" s="182" t="str">
        <f>IFERROR(IF($O$191&gt;3,IF(AD209&lt;MAX(AC$193:AC$210),1+COUNTIF(AD$193:AD209,"&gt;0"),""),""),"")</f>
        <v/>
      </c>
      <c r="AE210" s="182" t="str">
        <f t="shared" si="183"/>
        <v/>
      </c>
      <c r="AF210" s="183">
        <f t="shared" si="158"/>
        <v>0</v>
      </c>
      <c r="AG210" s="181">
        <f t="shared" si="159"/>
        <v>1</v>
      </c>
      <c r="AH210" s="182">
        <f>IF(AG210=0,0,COUNTIF(AH$193:AH209,"&gt;0")+1)</f>
        <v>15</v>
      </c>
      <c r="AI210" s="182" t="str">
        <f>IFERROR(IF($AG$191&gt;0,IF(AI209&lt;MAX(AH$193:AH$210),1+COUNTIF(AI$193:AI209,"&gt;0"),""),""),"")</f>
        <v/>
      </c>
      <c r="AJ210" s="182" t="str">
        <f t="shared" si="160"/>
        <v>n/a</v>
      </c>
      <c r="AK210" s="183">
        <f t="shared" si="161"/>
        <v>0</v>
      </c>
      <c r="AL210" s="182">
        <f t="shared" si="162"/>
        <v>1</v>
      </c>
      <c r="AM210" s="182">
        <f>IF(AL210=0,0,COUNTIF(AM$193:AM209,"&gt;0")+1)</f>
        <v>15</v>
      </c>
      <c r="AN210" s="182" t="str">
        <f>IFERROR(IF($AG$191&gt;0,IF(AN209&lt;MAX(AM$193:AM$210),1+COUNTIF(AN$193:AN209,"&gt;0"),""),""),"")</f>
        <v/>
      </c>
      <c r="AO210" s="182" t="str">
        <f t="shared" si="163"/>
        <v>n/a</v>
      </c>
      <c r="AP210" s="183">
        <f t="shared" si="164"/>
        <v>0</v>
      </c>
      <c r="AQ210" s="181">
        <f t="shared" si="184"/>
        <v>1</v>
      </c>
      <c r="AR210" s="182">
        <f t="shared" si="185"/>
        <v>1</v>
      </c>
      <c r="AS210" s="182">
        <f>IF(AR210=0,0,COUNTIF(AS$193:AS209,"&gt;0")+1)</f>
        <v>3</v>
      </c>
      <c r="AT210" s="182" t="str">
        <f>IFERROR(IF($AR$191&gt;0,IF(AT209&lt;MAX(AS$193:AS$210),1+COUNTIF(AT$193:AT209,"&gt;0"),""),""),"")</f>
        <v/>
      </c>
      <c r="AU210" s="182" t="str">
        <f t="shared" si="186"/>
        <v>n/a</v>
      </c>
      <c r="AV210" s="183">
        <f t="shared" si="165"/>
        <v>0</v>
      </c>
      <c r="AW210" s="182">
        <f t="shared" si="187"/>
        <v>0</v>
      </c>
      <c r="AX210" s="182">
        <f t="shared" si="188"/>
        <v>0</v>
      </c>
      <c r="AY210" s="182">
        <f>IF(AX210=0,0,COUNTIF(AY$193:AY209,"&gt;0")+1)</f>
        <v>0</v>
      </c>
      <c r="AZ210" s="182" t="str">
        <f>IFERROR(IF($AR$191&gt;1,IF(AZ209&lt;MAX(AY$193:AY$210),1+COUNTIF(AZ$193:AZ209,"&gt;0"),""),""),"")</f>
        <v/>
      </c>
      <c r="BA210" s="182" t="str">
        <f t="shared" si="189"/>
        <v>n/a</v>
      </c>
      <c r="BB210" s="183">
        <f t="shared" si="166"/>
        <v>0</v>
      </c>
      <c r="BC210" s="182">
        <f t="shared" si="190"/>
        <v>0</v>
      </c>
      <c r="BD210" s="182">
        <f t="shared" si="191"/>
        <v>0</v>
      </c>
      <c r="BE210" s="182">
        <f>IF(BD210=0,0,COUNTIF(BE$193:BE209,"&gt;0")+1)</f>
        <v>0</v>
      </c>
      <c r="BF210" s="182" t="str">
        <f>IFERROR(IF($AR$191&gt;2,IF(BF209&lt;MAX(BE$193:BE$210),1+COUNTIF(BF$193:BF209,"&gt;0"),""),""),"")</f>
        <v/>
      </c>
      <c r="BG210" s="182" t="str">
        <f t="shared" si="192"/>
        <v>n/a</v>
      </c>
      <c r="BH210" s="183">
        <f t="shared" si="167"/>
        <v>0</v>
      </c>
      <c r="BI210" s="182">
        <f t="shared" si="193"/>
        <v>0</v>
      </c>
      <c r="BJ210" s="182">
        <f t="shared" si="194"/>
        <v>0</v>
      </c>
      <c r="BK210" s="182">
        <f>IF(BJ210=0,0,COUNTIF(BK$193:BK209,"&gt;0")+1)</f>
        <v>0</v>
      </c>
      <c r="BL210" s="182" t="str">
        <f>IFERROR(IF($AR$191&gt;BL$191,IF(BL209&lt;MAX(BK$193:BK$210),1+COUNTIF(BL$193:BL209,"&gt;0"),""),""),"")</f>
        <v/>
      </c>
      <c r="BM210" s="182" t="str">
        <f t="shared" si="195"/>
        <v>n/a</v>
      </c>
      <c r="BN210" s="183">
        <f t="shared" si="168"/>
        <v>0</v>
      </c>
      <c r="BO210" s="182">
        <f t="shared" si="196"/>
        <v>0</v>
      </c>
      <c r="BP210" s="182">
        <f t="shared" si="197"/>
        <v>0</v>
      </c>
      <c r="BQ210" s="182">
        <f>IF(BP210=0,0,COUNTIF(BQ$193:BQ209,"&gt;0")+1)</f>
        <v>0</v>
      </c>
      <c r="BR210" s="182" t="str">
        <f>IFERROR(IF($AR$191&gt;BR$191,IF(BR209&lt;MAX(BQ$193:BQ$210),1+COUNTIF(BR$193:BR209,"&gt;0"),""),""),"")</f>
        <v/>
      </c>
      <c r="BS210" s="182" t="str">
        <f t="shared" si="198"/>
        <v>n/a</v>
      </c>
      <c r="BT210" s="183">
        <f t="shared" si="169"/>
        <v>0</v>
      </c>
      <c r="BU210" s="182">
        <f t="shared" si="199"/>
        <v>0</v>
      </c>
      <c r="BV210" s="182">
        <f t="shared" si="200"/>
        <v>0</v>
      </c>
      <c r="BW210" s="182">
        <f>IF(BV210=0,0,COUNTIF(BW$193:BW209,"&gt;0")+1)</f>
        <v>0</v>
      </c>
      <c r="BX210" s="182" t="str">
        <f>IFERROR(IF($AR$191&gt;BX$191,IF(BX209&lt;MAX(BW$193:BW$210),1+COUNTIF(BX$193:BX209,"&gt;0"),""),""),"")</f>
        <v/>
      </c>
      <c r="BY210" s="182" t="str">
        <f t="shared" si="201"/>
        <v>n/a</v>
      </c>
      <c r="BZ210" s="183">
        <f t="shared" si="170"/>
        <v>0</v>
      </c>
      <c r="CA210" s="182">
        <f t="shared" si="202"/>
        <v>0</v>
      </c>
      <c r="CB210" s="182">
        <f t="shared" si="203"/>
        <v>0</v>
      </c>
      <c r="CC210" s="182">
        <f>IF(CB210=0,0,COUNTIF(CC$193:CC209,"&gt;0")+1)</f>
        <v>0</v>
      </c>
      <c r="CD210" s="182" t="str">
        <f>IFERROR(IF($AR$191&gt;CD$191,IF(CD209&lt;MAX(CC$193:CC$210),1+COUNTIF(CD$193:CD209,"&gt;0"),""),""),"")</f>
        <v/>
      </c>
      <c r="CE210" s="182" t="str">
        <f t="shared" si="204"/>
        <v>n/a</v>
      </c>
      <c r="CF210" s="183">
        <f t="shared" si="171"/>
        <v>0</v>
      </c>
      <c r="CG210" s="182">
        <f t="shared" si="205"/>
        <v>0</v>
      </c>
      <c r="CH210" s="182">
        <f t="shared" si="206"/>
        <v>0</v>
      </c>
      <c r="CI210" s="182">
        <f>IF(CH210=0,0,COUNTIF(CI$193:CI209,"&gt;0")+1)</f>
        <v>0</v>
      </c>
      <c r="CJ210" s="182" t="str">
        <f>IFERROR(IF($AR$191&gt;CJ$191,IF(CJ209&lt;MAX(CI$193:CI$210),1+COUNTIF(CJ$193:CJ209,"&gt;0"),""),""),"")</f>
        <v/>
      </c>
      <c r="CK210" s="182" t="str">
        <f t="shared" si="207"/>
        <v>n/a</v>
      </c>
      <c r="CL210" s="183">
        <f t="shared" si="172"/>
        <v>0</v>
      </c>
      <c r="CM210" s="182">
        <f t="shared" si="208"/>
        <v>0</v>
      </c>
      <c r="CN210" s="182">
        <f t="shared" si="209"/>
        <v>0</v>
      </c>
      <c r="CO210" s="182">
        <f>IF(CN210=0,0,COUNTIF(CO$193:CO209,"&gt;0")+1)</f>
        <v>0</v>
      </c>
      <c r="CP210" s="182" t="str">
        <f>IFERROR(IF($AR$191&gt;CP$191,IF(CP209&lt;MAX(CO$193:CO$210),1+COUNTIF(CP$193:CP209,"&gt;0"),""),""),"")</f>
        <v/>
      </c>
      <c r="CQ210" s="182" t="str">
        <f t="shared" si="210"/>
        <v>n/a</v>
      </c>
      <c r="CR210" s="183">
        <f t="shared" si="173"/>
        <v>0</v>
      </c>
      <c r="CS210" s="182">
        <f t="shared" si="211"/>
        <v>0</v>
      </c>
      <c r="CT210" s="182">
        <f t="shared" si="212"/>
        <v>0</v>
      </c>
      <c r="CU210" s="182">
        <f>IF(CT210=0,0,COUNTIF(CU$193:CU209,"&gt;0")+1)</f>
        <v>0</v>
      </c>
      <c r="CV210" s="182" t="str">
        <f>IFERROR(IF($AR$191&gt;CV$191,IF(CV209&lt;MAX(CU$193:CU$210),1+COUNTIF(CV$193:CV209,"&gt;0"),""),""),"")</f>
        <v/>
      </c>
      <c r="CW210" s="182" t="str">
        <f t="shared" si="213"/>
        <v>n/a</v>
      </c>
      <c r="CX210" s="183">
        <f t="shared" si="174"/>
        <v>0</v>
      </c>
      <c r="CY210" s="182">
        <f t="shared" si="214"/>
        <v>0</v>
      </c>
      <c r="CZ210" s="182">
        <f t="shared" si="215"/>
        <v>0</v>
      </c>
      <c r="DA210" s="182">
        <f>IF(CZ210=0,0,COUNTIF(DA$193:DA209,"&gt;0")+1)</f>
        <v>0</v>
      </c>
      <c r="DB210" s="182" t="str">
        <f>IFERROR(IF($AR$191&gt;DB$191,IF(DB209&lt;MAX(DA$193:DA$210),1+COUNTIF(DB$193:DB209,"&gt;0"),""),""),"")</f>
        <v/>
      </c>
      <c r="DC210" s="182" t="str">
        <f t="shared" si="216"/>
        <v>n/a</v>
      </c>
      <c r="DD210" s="183">
        <f t="shared" si="175"/>
        <v>0</v>
      </c>
      <c r="DE210" s="182">
        <f t="shared" si="217"/>
        <v>0</v>
      </c>
      <c r="DF210" s="182">
        <f t="shared" si="218"/>
        <v>0</v>
      </c>
      <c r="DG210" s="182">
        <f>IF(DF210=0,0,COUNTIF(DG$193:DG209,"&gt;0")+1)</f>
        <v>0</v>
      </c>
      <c r="DH210" s="159" t="str">
        <f>IFERROR(IF($AR$191&gt;DH$191,IF(DH209&lt;MAX(DG$193:DG$210),1+COUNTIF(DH$193:DH209,"&gt;0"),""),""),"")</f>
        <v/>
      </c>
      <c r="DI210" s="159" t="str">
        <f t="shared" si="219"/>
        <v>n/a</v>
      </c>
      <c r="DJ210" s="183">
        <f t="shared" si="176"/>
        <v>0</v>
      </c>
      <c r="DK210" s="183"/>
    </row>
    <row r="211" spans="1:115" ht="16.5" x14ac:dyDescent="0.3">
      <c r="A211" s="155">
        <f>IFERROR(IF(A210+1&lt;MAX(D041_ClassFeatures!$A$2:$A$2033),A210+1,""),"")</f>
        <v>208</v>
      </c>
      <c r="B211" s="153" t="str">
        <f>IFERROR(INDEX(D041_ClassFeatures!$B$2:$B$2033,MATCH(C_Variables!A211,D041_ClassFeatures!$A$2:$A$2033,0),1),"")</f>
        <v>Channel Divinity: Invoke Duplicity</v>
      </c>
      <c r="C211" s="153">
        <f>IF(B211="",0,IF(IFERROR(MATCH(B211,C_Input!$BC$160:$BC$239,0),0)&gt;0,1,0))</f>
        <v>0</v>
      </c>
      <c r="G211" s="179"/>
      <c r="H211" s="159"/>
      <c r="I211" s="159"/>
      <c r="J211" s="159"/>
      <c r="K211" s="159"/>
      <c r="L211" s="159"/>
      <c r="M211" s="159"/>
      <c r="N211" s="159"/>
      <c r="O211" s="159"/>
      <c r="P211" s="159"/>
      <c r="Q211" s="159"/>
      <c r="R211" s="159"/>
      <c r="S211" s="159"/>
      <c r="T211" s="159"/>
      <c r="U211" s="159"/>
      <c r="V211" s="159"/>
      <c r="W211" s="159"/>
      <c r="X211" s="159"/>
      <c r="Y211" s="159"/>
      <c r="Z211" s="159"/>
      <c r="AA211" s="159"/>
      <c r="AB211" s="159"/>
      <c r="AC211" s="159"/>
      <c r="AD211" s="159"/>
      <c r="AE211" s="159"/>
      <c r="AF211" s="159"/>
      <c r="AG211" s="159"/>
      <c r="AH211" s="159"/>
      <c r="AI211" s="159"/>
      <c r="AJ211" s="159"/>
      <c r="AK211" s="159"/>
      <c r="AL211" s="159"/>
      <c r="AM211" s="159"/>
      <c r="AN211" s="159"/>
      <c r="AO211" s="159"/>
      <c r="AP211" s="159"/>
      <c r="AQ211" s="159"/>
      <c r="AR211" s="159"/>
      <c r="AS211" s="159"/>
      <c r="AT211" s="159"/>
      <c r="AU211" s="159"/>
      <c r="AV211" s="159"/>
      <c r="AW211" s="159"/>
      <c r="AX211" s="159"/>
      <c r="AY211" s="159"/>
      <c r="AZ211" s="159"/>
      <c r="BA211" s="159"/>
      <c r="BB211" s="159"/>
      <c r="BC211" s="159"/>
      <c r="BD211" s="159"/>
      <c r="BE211" s="159"/>
      <c r="BF211" s="159"/>
      <c r="BG211" s="159"/>
      <c r="BH211" s="159"/>
      <c r="BI211" s="159"/>
      <c r="BJ211" s="159"/>
      <c r="BK211" s="159"/>
      <c r="BL211" s="159"/>
      <c r="BM211" s="159"/>
      <c r="BN211" s="159"/>
      <c r="BO211" s="159"/>
      <c r="BP211" s="159"/>
      <c r="BQ211" s="159"/>
      <c r="BR211" s="159"/>
      <c r="BS211" s="159"/>
      <c r="BT211" s="159"/>
      <c r="BU211" s="159"/>
      <c r="BV211" s="159"/>
      <c r="BW211" s="159"/>
      <c r="BX211" s="159"/>
      <c r="BY211" s="159"/>
      <c r="BZ211" s="159"/>
      <c r="CA211" s="159"/>
      <c r="CB211" s="159"/>
      <c r="CC211" s="159"/>
      <c r="CD211" s="159"/>
      <c r="CE211" s="159"/>
      <c r="CF211" s="159"/>
      <c r="CG211" s="159"/>
      <c r="CH211" s="159"/>
      <c r="CI211" s="159"/>
      <c r="CJ211" s="159"/>
      <c r="CK211" s="159"/>
      <c r="CL211" s="159"/>
      <c r="CM211" s="159"/>
      <c r="CN211" s="159"/>
      <c r="CO211" s="159"/>
      <c r="CP211" s="159"/>
      <c r="CQ211" s="159"/>
      <c r="CR211" s="159"/>
      <c r="CS211" s="159"/>
      <c r="CT211" s="159"/>
      <c r="CU211" s="159"/>
      <c r="CV211" s="159"/>
      <c r="CW211" s="159"/>
      <c r="CX211" s="159"/>
      <c r="CY211" s="159"/>
      <c r="CZ211" s="159"/>
      <c r="DA211" s="159"/>
      <c r="DB211" s="159"/>
      <c r="DC211" s="159"/>
      <c r="DD211" s="159"/>
      <c r="DE211" s="159"/>
      <c r="DF211" s="159"/>
      <c r="DG211" s="159"/>
      <c r="DH211" s="159"/>
      <c r="DI211" s="159"/>
      <c r="DJ211" s="159"/>
      <c r="DK211" s="180"/>
    </row>
    <row r="212" spans="1:115" ht="16.5" x14ac:dyDescent="0.3">
      <c r="A212" s="155">
        <f>IFERROR(IF(A211+1&lt;MAX(D041_ClassFeatures!$A$2:$A$2033),A211+1,""),"")</f>
        <v>209</v>
      </c>
      <c r="B212" s="153" t="str">
        <f>IFERROR(INDEX(D041_ClassFeatures!$B$2:$B$2033,MATCH(C_Variables!A212,D041_ClassFeatures!$A$2:$A$2033,0),1),"")</f>
        <v>Channel Divinity: Cloak of Shadows</v>
      </c>
      <c r="C212" s="153">
        <f>IF(B212="",0,IF(IFERROR(MATCH(B212,C_Input!$BC$160:$BC$239,0),0)&gt;0,1,0))</f>
        <v>0</v>
      </c>
      <c r="G212" s="179"/>
      <c r="H212" s="1004" t="s">
        <v>6065</v>
      </c>
      <c r="I212" s="1004"/>
      <c r="J212" s="1004"/>
      <c r="K212" s="1004"/>
      <c r="L212" s="1004"/>
      <c r="M212" s="1004"/>
      <c r="N212" s="1004"/>
      <c r="O212" s="1004"/>
      <c r="P212" s="1004"/>
      <c r="Q212" s="1004"/>
      <c r="R212" s="1004"/>
      <c r="S212" s="1004"/>
      <c r="T212" s="1004"/>
      <c r="U212" s="1004"/>
      <c r="V212" s="159"/>
      <c r="W212" s="159"/>
      <c r="X212" s="159"/>
      <c r="Y212" s="159"/>
      <c r="Z212" s="159"/>
      <c r="AA212" s="159"/>
      <c r="AB212" s="159"/>
      <c r="AC212" s="159"/>
      <c r="AD212" s="159"/>
      <c r="AE212" s="159"/>
      <c r="AF212" s="159"/>
      <c r="AG212" s="159"/>
      <c r="AH212" s="159"/>
      <c r="AI212" s="159"/>
      <c r="AJ212" s="159"/>
      <c r="AK212" s="159"/>
      <c r="AL212" s="159"/>
      <c r="AM212" s="159"/>
      <c r="AN212" s="159"/>
      <c r="AO212" s="159"/>
      <c r="AP212" s="159"/>
      <c r="AQ212" s="159"/>
      <c r="AR212" s="159"/>
      <c r="AS212" s="159"/>
      <c r="AT212" s="159"/>
      <c r="AU212" s="159"/>
      <c r="AV212" s="159"/>
      <c r="AW212" s="159"/>
      <c r="AX212" s="159"/>
      <c r="AY212" s="159"/>
      <c r="AZ212" s="159"/>
      <c r="BA212" s="159"/>
      <c r="BB212" s="159"/>
      <c r="BC212" s="159"/>
      <c r="BD212" s="159"/>
      <c r="BE212" s="159"/>
      <c r="BF212" s="159"/>
      <c r="BG212" s="159"/>
      <c r="BH212" s="159"/>
      <c r="BI212" s="159"/>
      <c r="BJ212" s="159"/>
      <c r="BK212" s="159"/>
      <c r="BL212" s="159"/>
      <c r="BM212" s="159"/>
      <c r="BN212" s="159"/>
      <c r="BO212" s="159"/>
      <c r="BP212" s="159"/>
      <c r="BQ212" s="159"/>
      <c r="BR212" s="159"/>
      <c r="BS212" s="159"/>
      <c r="BT212" s="159"/>
      <c r="BU212" s="159"/>
      <c r="BV212" s="159"/>
      <c r="BW212" s="159"/>
      <c r="BX212" s="159"/>
      <c r="BY212" s="159"/>
      <c r="BZ212" s="159"/>
      <c r="CA212" s="159"/>
      <c r="CB212" s="159"/>
      <c r="CC212" s="159"/>
      <c r="CD212" s="159"/>
      <c r="CE212" s="159"/>
      <c r="CF212" s="159"/>
      <c r="CG212" s="159"/>
      <c r="CH212" s="159"/>
      <c r="CI212" s="159"/>
      <c r="CJ212" s="159"/>
      <c r="CK212" s="159"/>
      <c r="CL212" s="159"/>
      <c r="CM212" s="159"/>
      <c r="CN212" s="159"/>
      <c r="CO212" s="159"/>
      <c r="CP212" s="159"/>
      <c r="CQ212" s="159"/>
      <c r="CR212" s="159"/>
      <c r="CS212" s="159"/>
      <c r="CT212" s="159"/>
      <c r="CU212" s="159"/>
      <c r="CV212" s="159"/>
      <c r="CW212" s="159"/>
      <c r="CX212" s="159"/>
      <c r="CY212" s="159"/>
      <c r="CZ212" s="159"/>
      <c r="DA212" s="159"/>
      <c r="DB212" s="159"/>
      <c r="DC212" s="159"/>
      <c r="DD212" s="159"/>
      <c r="DE212" s="159"/>
      <c r="DF212" s="159"/>
      <c r="DG212" s="159"/>
      <c r="DH212" s="159"/>
      <c r="DI212" s="159"/>
      <c r="DJ212" s="159"/>
      <c r="DK212" s="180"/>
    </row>
    <row r="213" spans="1:115" ht="16.5" x14ac:dyDescent="0.3">
      <c r="A213" s="155">
        <f>IFERROR(IF(A212+1&lt;MAX(D041_ClassFeatures!$A$2:$A$2033),A212+1,""),"")</f>
        <v>210</v>
      </c>
      <c r="B213" s="153" t="str">
        <f>IFERROR(INDEX(D041_ClassFeatures!$B$2:$B$2033,MATCH(C_Variables!A213,D041_ClassFeatures!$A$2:$A$2033,0),1),"")</f>
        <v>Divine Strike (poison)</v>
      </c>
      <c r="C213" s="153">
        <f>IF(B213="",0,IF(IFERROR(MATCH(B213,C_Input!$BC$160:$BC$239,0),0)&gt;0,1,0))</f>
        <v>0</v>
      </c>
      <c r="G213" s="179"/>
      <c r="H213" s="1004"/>
      <c r="I213" s="1004"/>
      <c r="J213" s="1004"/>
      <c r="K213" s="1004"/>
      <c r="L213" s="1004"/>
      <c r="M213" s="1004"/>
      <c r="N213" s="1004"/>
      <c r="O213" s="1004"/>
      <c r="P213" s="1004"/>
      <c r="Q213" s="1004"/>
      <c r="R213" s="1004"/>
      <c r="S213" s="1004"/>
      <c r="T213" s="1004"/>
      <c r="U213" s="1004"/>
      <c r="V213" s="159"/>
      <c r="W213" s="159"/>
      <c r="X213" s="159"/>
      <c r="Y213" s="159" t="str">
        <f>V214</f>
        <v>NatureDomain</v>
      </c>
      <c r="Z213" s="159" t="str">
        <f>V215</f>
        <v/>
      </c>
      <c r="AA213" s="159" t="str">
        <f>V216</f>
        <v/>
      </c>
      <c r="AB213" s="159" t="str">
        <f>V217</f>
        <v/>
      </c>
      <c r="AC213" s="159" t="str">
        <f>V218</f>
        <v/>
      </c>
      <c r="AD213" s="159" t="str">
        <f>V219</f>
        <v/>
      </c>
      <c r="AE213" s="159" t="str">
        <f>V220</f>
        <v/>
      </c>
      <c r="AF213" s="159" t="str">
        <f>V221</f>
        <v/>
      </c>
      <c r="AG213" s="159" t="str">
        <f>V222</f>
        <v/>
      </c>
      <c r="AH213" s="159" t="str">
        <f>V223</f>
        <v/>
      </c>
      <c r="AI213" s="159" t="str">
        <f>V224</f>
        <v/>
      </c>
      <c r="AJ213" s="159"/>
      <c r="AL213" s="159"/>
      <c r="AM213" s="159"/>
      <c r="AN213" s="159"/>
      <c r="AO213" s="159"/>
      <c r="AP213" s="159"/>
      <c r="AQ213" s="159"/>
      <c r="AR213" s="159"/>
      <c r="AS213" s="159"/>
      <c r="AT213" s="159"/>
      <c r="AU213" s="159"/>
      <c r="AV213" s="159"/>
      <c r="AW213" s="159"/>
      <c r="AX213" s="159"/>
      <c r="AY213" s="159"/>
      <c r="AZ213" s="159"/>
      <c r="BA213" s="159"/>
      <c r="BB213" s="159"/>
      <c r="BC213" s="159"/>
      <c r="BD213" s="159"/>
      <c r="BE213" s="159"/>
      <c r="BF213" s="159"/>
      <c r="BG213" s="159"/>
      <c r="BH213" s="159"/>
      <c r="BI213" s="159"/>
      <c r="BJ213" s="159"/>
      <c r="BK213" s="159"/>
      <c r="BL213" s="159"/>
      <c r="BM213" s="159"/>
      <c r="BN213" s="159"/>
      <c r="BO213" s="159"/>
      <c r="BP213" s="159"/>
      <c r="BQ213" s="159"/>
      <c r="BR213" s="159"/>
      <c r="BS213" s="159"/>
      <c r="BT213" s="159"/>
      <c r="BU213" s="159"/>
      <c r="BV213" s="159"/>
      <c r="BW213" s="159"/>
      <c r="BX213" s="159"/>
      <c r="BY213" s="159"/>
      <c r="BZ213" s="159"/>
      <c r="CA213" s="159"/>
      <c r="CB213" s="159"/>
      <c r="CC213" s="159"/>
      <c r="CD213" s="159"/>
      <c r="CE213" s="159"/>
      <c r="CF213" s="159"/>
      <c r="CG213" s="159"/>
      <c r="CH213" s="159"/>
      <c r="CI213" s="159"/>
      <c r="CJ213" s="159"/>
      <c r="CK213" s="159"/>
      <c r="CL213" s="159"/>
      <c r="CM213" s="159"/>
      <c r="CN213" s="159"/>
      <c r="CO213" s="159"/>
      <c r="CP213" s="159"/>
      <c r="CQ213" s="159"/>
      <c r="CR213" s="159"/>
      <c r="CS213" s="159"/>
      <c r="CT213" s="159"/>
      <c r="CU213" s="159"/>
      <c r="CV213" s="159"/>
      <c r="CW213" s="159"/>
      <c r="CX213" s="159"/>
      <c r="CY213" s="159"/>
      <c r="CZ213" s="159"/>
      <c r="DA213" s="159"/>
      <c r="DB213" s="159"/>
      <c r="DC213" s="159"/>
      <c r="DD213" s="159"/>
      <c r="DE213" s="159"/>
      <c r="DF213" s="159"/>
      <c r="DG213" s="159"/>
      <c r="DH213" s="159"/>
      <c r="DI213" s="159"/>
      <c r="DJ213" s="159"/>
      <c r="DK213" s="180"/>
    </row>
    <row r="214" spans="1:115" ht="16.5" x14ac:dyDescent="0.3">
      <c r="A214" s="155">
        <f>IFERROR(IF(A213+1&lt;MAX(D041_ClassFeatures!$A$2:$A$2033),A213+1,""),"")</f>
        <v>211</v>
      </c>
      <c r="B214" s="153" t="str">
        <f>IFERROR(INDEX(D041_ClassFeatures!$B$2:$B$2033,MATCH(C_Variables!A214,D041_ClassFeatures!$A$2:$A$2033,0),1),"")</f>
        <v>Improved Dupilicty</v>
      </c>
      <c r="C214" s="153">
        <f>IF(B214="",0,IF(IFERROR(MATCH(B214,C_Input!$BC$160:$BC$239,0),0)&gt;0,1,0))</f>
        <v>0</v>
      </c>
      <c r="G214" s="179"/>
      <c r="H214" s="416" t="s">
        <v>2237</v>
      </c>
      <c r="I214" s="267">
        <v>1</v>
      </c>
      <c r="J214" s="416" t="s">
        <v>5562</v>
      </c>
      <c r="K214" s="417">
        <f>IFERROR(INDEX(C_Input!$AX$160:$AX$239,MATCH("Divine Domain",C_Input!$BC$160:$BC$239,0),1)*DomainNatureSkill,0)</f>
        <v>0</v>
      </c>
      <c r="L214" s="6"/>
      <c r="M214" s="6">
        <v>1</v>
      </c>
      <c r="N214" s="284">
        <f t="shared" ref="N214:N224" si="221">SMALL($K$214:$K$225,M214)</f>
        <v>0</v>
      </c>
      <c r="O214" s="267" t="str">
        <f>INDEX($J$214:$J$224,MATCH(N214,$K$214:$K$224,0),1)</f>
        <v>DomainNature</v>
      </c>
      <c r="P214" s="284">
        <f>N214</f>
        <v>0</v>
      </c>
      <c r="Q214" s="284">
        <f>IF(N214=0,0,1)</f>
        <v>0</v>
      </c>
      <c r="R214" s="284"/>
      <c r="S214" s="6"/>
      <c r="T214" s="267">
        <f>IF(MAX($Q$214:$Q$225)&gt;0,1,0)</f>
        <v>0</v>
      </c>
      <c r="U214" s="284" t="str">
        <f t="shared" ref="U214:U220" si="222">IFERROR(INDEX($O$214:$O$225,MATCH(T214,$Q$214:$Q$225,0),1),"")</f>
        <v>DomainNature</v>
      </c>
      <c r="V214" s="159" t="str">
        <f>IFERROR(INDEX($J$226:$J$236,MATCH(U214,$I$226:$I$236,0),1),"")</f>
        <v>NatureDomain</v>
      </c>
      <c r="W214" s="159"/>
      <c r="X214" s="438" t="s">
        <v>610</v>
      </c>
      <c r="Y214" s="159">
        <f>IFERROR(INDEX(D03_Skills!$D$2:$R$19,MATCH(C_Variables!$X214,D03_Skills!$B$2:$B$19,0),MATCH(C_Variables!$V$214,D03_Skills!$D$1:$R$1,0)),0)</f>
        <v>0</v>
      </c>
      <c r="Z214" s="159">
        <f>IFERROR(INDEX(D03_Skills!$D$2:$R$19,MATCH(C_Variables!$X214,D03_Skills!$B$2:$B$19,0),MATCH(C_Variables!$V$215,D03_Skills!$D$1:$R$1,0)),0)</f>
        <v>0</v>
      </c>
      <c r="AA214" s="159">
        <f>IFERROR(INDEX(D03_Skills!$D$2:$R$19,MATCH(C_Variables!$X214,D03_Skills!$B$2:$B$19,0),MATCH(C_Variables!$V$216,D03_Skills!$D$1:$R$1,0)),0)</f>
        <v>0</v>
      </c>
      <c r="AB214" s="159">
        <f>IFERROR(INDEX(D03_Skills!$D$2:$R$19,MATCH(C_Variables!$X214,D03_Skills!$B$2:$B$19,0),MATCH(C_Variables!$V$217,D03_Skills!$D$1:$R$1,0)),0)</f>
        <v>0</v>
      </c>
      <c r="AC214" s="159">
        <f>IFERROR(INDEX(D03_Skills!$D$2:$R$19,MATCH(C_Variables!$X214,D03_Skills!$B$2:$B$19,0),MATCH(C_Variables!$V$218,D03_Skills!$D$1:$R$1,0)),0)</f>
        <v>0</v>
      </c>
      <c r="AD214" s="159">
        <f>IFERROR(INDEX(D03_Skills!$D$2:$R$19,MATCH(C_Variables!$X214,D03_Skills!$B$2:$B$19,0),MATCH(C_Variables!$V$219,D03_Skills!$D$1:$R$1,0)),0)</f>
        <v>0</v>
      </c>
      <c r="AE214" s="159">
        <f>IFERROR(INDEX(D03_Skills!$D$2:$R$19,MATCH(C_Variables!$X214,D03_Skills!$B$2:$B$19,0),MATCH(C_Variables!$V$220,D03_Skills!$D$1:$R$1,0)),0)</f>
        <v>0</v>
      </c>
      <c r="AF214" s="159">
        <f>IFERROR(INDEX(D03_Skills!$D$2:$R$19,MATCH(C_Variables!$X214,D03_Skills!$B$2:$B$19,0),MATCH(C_Variables!$V$221,D03_Skills!$D$1:$R$1,0)),0)</f>
        <v>0</v>
      </c>
      <c r="AG214" s="159">
        <f>IFERROR(INDEX(D03_Skills!$D$2:$R$19,MATCH(C_Variables!$X214,D03_Skills!$B$2:$B$19,0),MATCH(C_Variables!$V$222,D03_Skills!$D$1:$R$1,0)),0)</f>
        <v>0</v>
      </c>
      <c r="AH214" s="159">
        <f>IFERROR(INDEX(D03_Skills!$D$2:$R$19,MATCH(C_Variables!$X214,D03_Skills!$B$2:$B$19,0),MATCH(C_Variables!$V$223,D03_Skills!$D$1:$R$1,0)),0)</f>
        <v>0</v>
      </c>
      <c r="AI214" s="159">
        <f>IFERROR(INDEX(D03_Skills!$D$2:$R$19,MATCH(C_Variables!$X214,D03_Skills!$B$2:$B$19,0),MATCH(C_Variables!$V$224,D03_Skills!$D$1:$R$1,0)),0)</f>
        <v>0</v>
      </c>
      <c r="AJ214" s="159"/>
      <c r="AK214" s="159">
        <f>Q193+AA193++V193+AF193+AK193+AP193+AV193+BB193+BH193+BN193+BT193+BZ193+CF193++CL193+CR193+CX193+DD193+DJ193+I193+J193+K193</f>
        <v>0</v>
      </c>
      <c r="AL214" s="159"/>
      <c r="AM214" s="159"/>
      <c r="AN214" s="159"/>
      <c r="AO214" s="159"/>
      <c r="AP214" s="159"/>
      <c r="AQ214" s="159"/>
      <c r="AR214" s="159"/>
      <c r="AS214" s="159"/>
      <c r="AT214" s="159"/>
      <c r="AU214" s="159"/>
      <c r="AV214" s="159"/>
      <c r="AW214" s="159"/>
      <c r="AX214" s="159"/>
      <c r="AY214" s="159"/>
      <c r="AZ214" s="159"/>
      <c r="BA214" s="159"/>
      <c r="BB214" s="159"/>
      <c r="BC214" s="159"/>
      <c r="BD214" s="159"/>
      <c r="BE214" s="159"/>
      <c r="BF214" s="159"/>
      <c r="BG214" s="159"/>
      <c r="BH214" s="159"/>
      <c r="BI214" s="159"/>
      <c r="BJ214" s="159"/>
      <c r="BK214" s="159"/>
      <c r="BL214" s="159"/>
      <c r="BM214" s="159"/>
      <c r="BN214" s="159"/>
      <c r="BO214" s="159"/>
      <c r="BP214" s="159"/>
      <c r="BQ214" s="159"/>
      <c r="BR214" s="159"/>
      <c r="BS214" s="159"/>
      <c r="BT214" s="159"/>
      <c r="BU214" s="159"/>
      <c r="BV214" s="159"/>
      <c r="BW214" s="159"/>
      <c r="BX214" s="159"/>
      <c r="BY214" s="159"/>
      <c r="BZ214" s="159"/>
      <c r="CA214" s="159"/>
      <c r="CB214" s="159"/>
      <c r="CC214" s="159"/>
      <c r="CD214" s="159"/>
      <c r="CE214" s="159"/>
      <c r="CF214" s="159"/>
      <c r="CG214" s="159"/>
      <c r="CH214" s="159"/>
      <c r="CI214" s="159"/>
      <c r="CJ214" s="159"/>
      <c r="CK214" s="159"/>
      <c r="CL214" s="159"/>
      <c r="CM214" s="159"/>
      <c r="CN214" s="159"/>
      <c r="CO214" s="159"/>
      <c r="CP214" s="159"/>
      <c r="CQ214" s="159"/>
      <c r="CR214" s="159"/>
      <c r="CS214" s="159"/>
      <c r="CT214" s="159"/>
      <c r="CU214" s="159"/>
      <c r="CV214" s="159"/>
      <c r="CW214" s="159"/>
      <c r="CX214" s="159"/>
      <c r="CY214" s="159"/>
      <c r="CZ214" s="159"/>
      <c r="DA214" s="159"/>
      <c r="DB214" s="159"/>
      <c r="DC214" s="159"/>
      <c r="DD214" s="159"/>
      <c r="DE214" s="159"/>
      <c r="DF214" s="159"/>
      <c r="DG214" s="159"/>
      <c r="DH214" s="159"/>
      <c r="DI214" s="159"/>
      <c r="DJ214" s="159"/>
      <c r="DK214" s="180"/>
    </row>
    <row r="215" spans="1:115" ht="16.5" x14ac:dyDescent="0.3">
      <c r="A215" s="155">
        <f>IFERROR(IF(A214+1&lt;MAX(D041_ClassFeatures!$A$2:$A$2033),A214+1,""),"")</f>
        <v>212</v>
      </c>
      <c r="B215" s="153" t="str">
        <f>IFERROR(INDEX(D041_ClassFeatures!$B$2:$B$2033,MATCH(C_Variables!A215,D041_ClassFeatures!$A$2:$A$2033,0),1),"")</f>
        <v>War Priest</v>
      </c>
      <c r="C215" s="153">
        <f>IF(B215="",0,IF(IFERROR(MATCH(B215,C_Input!$BC$160:$BC$239,0),0)&gt;0,1,0))</f>
        <v>0</v>
      </c>
      <c r="G215" s="179"/>
      <c r="H215" s="416"/>
      <c r="I215" s="267">
        <v>2</v>
      </c>
      <c r="J215" s="416" t="s">
        <v>5566</v>
      </c>
      <c r="K215" s="417">
        <f>IFERROR(INDEX(C_Input!$AX$160:$AX$239,MATCH("Divine Domain",C_Input!$BC$160:$BC$239,0),1)*DomainKnowledgeSkills,0)</f>
        <v>0</v>
      </c>
      <c r="L215" s="6"/>
      <c r="M215" s="6">
        <v>2</v>
      </c>
      <c r="N215" s="284">
        <f t="shared" si="221"/>
        <v>0</v>
      </c>
      <c r="O215" s="267" t="str">
        <f t="shared" ref="O215:O224" si="223">INDEX($J$214:$J$224,MATCH(N215,$K$214:$K$224,0),1)</f>
        <v>DomainNature</v>
      </c>
      <c r="P215" s="284">
        <f t="shared" ref="P215:P224" si="224">N215</f>
        <v>0</v>
      </c>
      <c r="Q215" s="6">
        <f>IF(P215=0,0,COUNTIF(Q$214:$Q214,"&gt;0")+1)</f>
        <v>0</v>
      </c>
      <c r="R215" s="6"/>
      <c r="S215" s="6"/>
      <c r="T215" s="6" t="str">
        <f>IFERROR(IF(T214&lt;MAX($Q$214:$Q$225),T214+1,""),"")</f>
        <v/>
      </c>
      <c r="U215" s="284" t="str">
        <f t="shared" si="222"/>
        <v/>
      </c>
      <c r="V215" s="159" t="str">
        <f t="shared" ref="V215:V221" si="225">IFERROR(INDEX($J$226:$J$236,MATCH(U215,$I$226:$I$236,0),1),"")</f>
        <v/>
      </c>
      <c r="W215" s="159"/>
      <c r="X215" s="438" t="s">
        <v>79</v>
      </c>
      <c r="Y215" s="159">
        <f>IFERROR(INDEX(D03_Skills!$D$2:$R$19,MATCH(C_Variables!$X215,D03_Skills!$B$2:$B$19,0),MATCH(C_Variables!$V$214,D03_Skills!$D$1:$R$1,0)),0)</f>
        <v>1</v>
      </c>
      <c r="Z215" s="159">
        <f>IFERROR(INDEX(D03_Skills!$D$2:$R$19,MATCH(C_Variables!$X215,D03_Skills!$B$2:$B$19,0),MATCH(C_Variables!$V$215,D03_Skills!$D$1:$R$1,0)),0)</f>
        <v>0</v>
      </c>
      <c r="AA215" s="159">
        <f>IFERROR(INDEX(D03_Skills!$D$2:$R$19,MATCH(C_Variables!$X215,D03_Skills!$B$2:$B$19,0),MATCH(C_Variables!$V$216,D03_Skills!$D$1:$R$1,0)),0)</f>
        <v>0</v>
      </c>
      <c r="AB215" s="159">
        <f>IFERROR(INDEX(D03_Skills!$D$2:$R$19,MATCH(C_Variables!$X215,D03_Skills!$B$2:$B$19,0),MATCH(C_Variables!$V$217,D03_Skills!$D$1:$R$1,0)),0)</f>
        <v>0</v>
      </c>
      <c r="AC215" s="159">
        <f>IFERROR(INDEX(D03_Skills!$D$2:$R$19,MATCH(C_Variables!$X215,D03_Skills!$B$2:$B$19,0),MATCH(C_Variables!$V$218,D03_Skills!$D$1:$R$1,0)),0)</f>
        <v>0</v>
      </c>
      <c r="AD215" s="159">
        <f>IFERROR(INDEX(D03_Skills!$D$2:$R$19,MATCH(C_Variables!$X215,D03_Skills!$B$2:$B$19,0),MATCH(C_Variables!$V$219,D03_Skills!$D$1:$R$1,0)),0)</f>
        <v>0</v>
      </c>
      <c r="AE215" s="159">
        <f>IFERROR(INDEX(D03_Skills!$D$2:$R$19,MATCH(C_Variables!$X215,D03_Skills!$B$2:$B$19,0),MATCH(C_Variables!$V$220,D03_Skills!$D$1:$R$1,0)),0)</f>
        <v>0</v>
      </c>
      <c r="AF215" s="159">
        <f>IFERROR(INDEX(D03_Skills!$D$2:$R$19,MATCH(C_Variables!$X215,D03_Skills!$B$2:$B$19,0),MATCH(C_Variables!$V$221,D03_Skills!$D$1:$R$1,0)),0)</f>
        <v>0</v>
      </c>
      <c r="AG215" s="159">
        <f>IFERROR(INDEX(D03_Skills!$D$2:$R$19,MATCH(C_Variables!$X215,D03_Skills!$B$2:$B$19,0),MATCH(C_Variables!$V$222,D03_Skills!$D$1:$R$1,0)),0)</f>
        <v>0</v>
      </c>
      <c r="AH215" s="159">
        <f>IFERROR(INDEX(D03_Skills!$D$2:$R$19,MATCH(C_Variables!$X215,D03_Skills!$B$2:$B$19,0),MATCH(C_Variables!$V$223,D03_Skills!$D$1:$R$1,0)),0)</f>
        <v>0</v>
      </c>
      <c r="AI215" s="159">
        <f>IFERROR(INDEX(D03_Skills!$D$2:$R$19,MATCH(C_Variables!$X215,D03_Skills!$B$2:$B$19,0),MATCH(C_Variables!$V$224,D03_Skills!$D$1:$R$1,0)),0)</f>
        <v>0</v>
      </c>
      <c r="AJ215" s="159"/>
      <c r="AK215" s="159">
        <f t="shared" ref="AK215:AK231" si="226">Q194+AA194++V194+AF194+AK194+AP194+AV194+BB194+BH194+BN194+BT194+BZ194+CF194++CL194+CR194+CX194+DD194+DJ194+I194+J194+K194</f>
        <v>0</v>
      </c>
      <c r="AL215" s="159"/>
      <c r="AM215" s="159"/>
      <c r="AN215" s="159"/>
      <c r="AO215" s="159"/>
      <c r="AP215" s="159"/>
      <c r="AQ215" s="159"/>
      <c r="AR215" s="159"/>
      <c r="AS215" s="159"/>
      <c r="AT215" s="159"/>
      <c r="AU215" s="159"/>
      <c r="AV215" s="159"/>
      <c r="AW215" s="159"/>
      <c r="AX215" s="159"/>
      <c r="AY215" s="159"/>
      <c r="AZ215" s="159"/>
      <c r="BA215" s="159"/>
      <c r="BB215" s="159"/>
      <c r="BC215" s="159"/>
      <c r="BD215" s="159"/>
      <c r="BE215" s="159"/>
      <c r="BF215" s="159"/>
      <c r="BG215" s="159"/>
      <c r="BH215" s="159"/>
      <c r="BI215" s="159"/>
      <c r="BJ215" s="159"/>
      <c r="BK215" s="159"/>
      <c r="BL215" s="159"/>
      <c r="BM215" s="159"/>
      <c r="BN215" s="159"/>
      <c r="BO215" s="159"/>
      <c r="BP215" s="159"/>
      <c r="BQ215" s="159"/>
      <c r="BR215" s="159"/>
      <c r="BS215" s="159"/>
      <c r="BT215" s="159"/>
      <c r="BU215" s="159"/>
      <c r="BV215" s="159"/>
      <c r="BW215" s="159"/>
      <c r="BX215" s="159"/>
      <c r="BY215" s="159"/>
      <c r="BZ215" s="159"/>
      <c r="CA215" s="159"/>
      <c r="CB215" s="159"/>
      <c r="CC215" s="159"/>
      <c r="CD215" s="159"/>
      <c r="CE215" s="159"/>
      <c r="CF215" s="159"/>
      <c r="CG215" s="159"/>
      <c r="CH215" s="159"/>
      <c r="CI215" s="159"/>
      <c r="CJ215" s="159"/>
      <c r="CK215" s="159"/>
      <c r="CL215" s="159"/>
      <c r="CM215" s="159"/>
      <c r="CN215" s="159"/>
      <c r="CO215" s="159"/>
      <c r="CP215" s="159"/>
      <c r="CQ215" s="159"/>
      <c r="CR215" s="159"/>
      <c r="CS215" s="159"/>
      <c r="CT215" s="159"/>
      <c r="CU215" s="159"/>
      <c r="CV215" s="159"/>
      <c r="CW215" s="159"/>
      <c r="CX215" s="159"/>
      <c r="CY215" s="159"/>
      <c r="CZ215" s="159"/>
      <c r="DA215" s="159"/>
      <c r="DB215" s="159"/>
      <c r="DC215" s="159"/>
      <c r="DD215" s="159"/>
      <c r="DE215" s="159"/>
      <c r="DF215" s="159"/>
      <c r="DG215" s="159"/>
      <c r="DH215" s="159"/>
      <c r="DI215" s="159"/>
      <c r="DJ215" s="159"/>
      <c r="DK215" s="180"/>
    </row>
    <row r="216" spans="1:115" ht="16.5" x14ac:dyDescent="0.3">
      <c r="A216" s="155">
        <f>IFERROR(IF(A215+1&lt;MAX(D041_ClassFeatures!$A$2:$A$2033),A215+1,""),"")</f>
        <v>213</v>
      </c>
      <c r="B216" s="153" t="str">
        <f>IFERROR(INDEX(D041_ClassFeatures!$B$2:$B$2033,MATCH(C_Variables!A216,D041_ClassFeatures!$A$2:$A$2033,0),1),"")</f>
        <v>War Domain: Bonus Proficiencies</v>
      </c>
      <c r="C216" s="153">
        <f>IF(B216="",0,IF(IFERROR(MATCH(B216,C_Input!$BC$160:$BC$239,0),0)&gt;0,1,0))</f>
        <v>0</v>
      </c>
      <c r="G216" s="179"/>
      <c r="H216" s="416"/>
      <c r="I216" s="267">
        <v>3</v>
      </c>
      <c r="J216" s="416" t="s">
        <v>5567</v>
      </c>
      <c r="K216" s="417">
        <f>IFERROR(INDEX(C_Input!$AX$160:$AX$239,MATCH("Divine Domain",C_Input!$BC$160:$BC$239,0),1)*DomainKnowledgeSkills,0)</f>
        <v>0</v>
      </c>
      <c r="L216" s="6"/>
      <c r="M216" s="6">
        <v>3</v>
      </c>
      <c r="N216" s="284">
        <f t="shared" si="221"/>
        <v>0</v>
      </c>
      <c r="O216" s="267" t="str">
        <f t="shared" si="223"/>
        <v>DomainNature</v>
      </c>
      <c r="P216" s="284">
        <f t="shared" si="224"/>
        <v>0</v>
      </c>
      <c r="Q216" s="6">
        <f>IF(P216=0,0,COUNTIF(Q$214:$Q215,"&gt;0")+1)</f>
        <v>0</v>
      </c>
      <c r="R216" s="6"/>
      <c r="S216" s="6"/>
      <c r="T216" s="6" t="str">
        <f t="shared" ref="T216:T224" si="227">IFERROR(IF(T215&lt;MAX($Q$214:$Q$225),T215+1,""),"")</f>
        <v/>
      </c>
      <c r="U216" s="284" t="str">
        <f t="shared" si="222"/>
        <v/>
      </c>
      <c r="V216" s="159" t="str">
        <f t="shared" si="225"/>
        <v/>
      </c>
      <c r="W216" s="159"/>
      <c r="X216" s="438" t="s">
        <v>83</v>
      </c>
      <c r="Y216" s="159">
        <f>IFERROR(INDEX(D03_Skills!$D$2:$R$19,MATCH(C_Variables!$X216,D03_Skills!$B$2:$B$19,0),MATCH(C_Variables!$V$214,D03_Skills!$D$1:$R$1,0)),0)</f>
        <v>0</v>
      </c>
      <c r="Z216" s="159">
        <f>IFERROR(INDEX(D03_Skills!$D$2:$R$19,MATCH(C_Variables!$X216,D03_Skills!$B$2:$B$19,0),MATCH(C_Variables!$V$215,D03_Skills!$D$1:$R$1,0)),0)</f>
        <v>0</v>
      </c>
      <c r="AA216" s="159">
        <f>IFERROR(INDEX(D03_Skills!$D$2:$R$19,MATCH(C_Variables!$X216,D03_Skills!$B$2:$B$19,0),MATCH(C_Variables!$V$216,D03_Skills!$D$1:$R$1,0)),0)</f>
        <v>0</v>
      </c>
      <c r="AB216" s="159">
        <f>IFERROR(INDEX(D03_Skills!$D$2:$R$19,MATCH(C_Variables!$X216,D03_Skills!$B$2:$B$19,0),MATCH(C_Variables!$V$217,D03_Skills!$D$1:$R$1,0)),0)</f>
        <v>0</v>
      </c>
      <c r="AC216" s="159">
        <f>IFERROR(INDEX(D03_Skills!$D$2:$R$19,MATCH(C_Variables!$X216,D03_Skills!$B$2:$B$19,0),MATCH(C_Variables!$V$218,D03_Skills!$D$1:$R$1,0)),0)</f>
        <v>0</v>
      </c>
      <c r="AD216" s="159">
        <f>IFERROR(INDEX(D03_Skills!$D$2:$R$19,MATCH(C_Variables!$X216,D03_Skills!$B$2:$B$19,0),MATCH(C_Variables!$V$219,D03_Skills!$D$1:$R$1,0)),0)</f>
        <v>0</v>
      </c>
      <c r="AE216" s="159">
        <f>IFERROR(INDEX(D03_Skills!$D$2:$R$19,MATCH(C_Variables!$X216,D03_Skills!$B$2:$B$19,0),MATCH(C_Variables!$V$220,D03_Skills!$D$1:$R$1,0)),0)</f>
        <v>0</v>
      </c>
      <c r="AF216" s="159">
        <f>IFERROR(INDEX(D03_Skills!$D$2:$R$19,MATCH(C_Variables!$X216,D03_Skills!$B$2:$B$19,0),MATCH(C_Variables!$V$221,D03_Skills!$D$1:$R$1,0)),0)</f>
        <v>0</v>
      </c>
      <c r="AG216" s="159">
        <f>IFERROR(INDEX(D03_Skills!$D$2:$R$19,MATCH(C_Variables!$X216,D03_Skills!$B$2:$B$19,0),MATCH(C_Variables!$V$222,D03_Skills!$D$1:$R$1,0)),0)</f>
        <v>0</v>
      </c>
      <c r="AH216" s="159">
        <f>IFERROR(INDEX(D03_Skills!$D$2:$R$19,MATCH(C_Variables!$X216,D03_Skills!$B$2:$B$19,0),MATCH(C_Variables!$V$223,D03_Skills!$D$1:$R$1,0)),0)</f>
        <v>0</v>
      </c>
      <c r="AI216" s="159">
        <f>IFERROR(INDEX(D03_Skills!$D$2:$R$19,MATCH(C_Variables!$X216,D03_Skills!$B$2:$B$19,0),MATCH(C_Variables!$V$224,D03_Skills!$D$1:$R$1,0)),0)</f>
        <v>0</v>
      </c>
      <c r="AJ216" s="159"/>
      <c r="AK216" s="159">
        <f t="shared" si="226"/>
        <v>0</v>
      </c>
      <c r="AL216" s="159"/>
      <c r="AM216" s="159"/>
      <c r="AN216" s="159"/>
      <c r="AO216" s="159"/>
      <c r="AP216" s="159"/>
      <c r="AQ216" s="159"/>
      <c r="AR216" s="159"/>
      <c r="AS216" s="159"/>
      <c r="AT216" s="159"/>
      <c r="AU216" s="159"/>
      <c r="AV216" s="159"/>
      <c r="AW216" s="159"/>
      <c r="AX216" s="159"/>
      <c r="AY216" s="159"/>
      <c r="AZ216" s="159"/>
      <c r="BA216" s="159"/>
      <c r="BB216" s="159"/>
      <c r="BC216" s="159"/>
      <c r="BD216" s="159"/>
      <c r="BE216" s="159"/>
      <c r="BF216" s="159"/>
      <c r="BG216" s="159"/>
      <c r="BH216" s="159"/>
      <c r="BI216" s="159"/>
      <c r="BJ216" s="159"/>
      <c r="BK216" s="159"/>
      <c r="BL216" s="159"/>
      <c r="BM216" s="159"/>
      <c r="BN216" s="159"/>
      <c r="BO216" s="159"/>
      <c r="BP216" s="159"/>
      <c r="BQ216" s="159"/>
      <c r="BR216" s="159"/>
      <c r="BS216" s="159"/>
      <c r="BT216" s="159"/>
      <c r="BU216" s="159"/>
      <c r="BV216" s="159"/>
      <c r="BW216" s="159"/>
      <c r="BX216" s="159"/>
      <c r="BY216" s="159"/>
      <c r="BZ216" s="159"/>
      <c r="CA216" s="159"/>
      <c r="CB216" s="159"/>
      <c r="CC216" s="159"/>
      <c r="CD216" s="159"/>
      <c r="CE216" s="159"/>
      <c r="CF216" s="159"/>
      <c r="CG216" s="159"/>
      <c r="CH216" s="159"/>
      <c r="CI216" s="159"/>
      <c r="CJ216" s="159"/>
      <c r="CK216" s="159"/>
      <c r="CL216" s="159"/>
      <c r="CM216" s="159"/>
      <c r="CN216" s="159"/>
      <c r="CO216" s="159"/>
      <c r="CP216" s="159"/>
      <c r="CQ216" s="159"/>
      <c r="CR216" s="159"/>
      <c r="CS216" s="159"/>
      <c r="CT216" s="159"/>
      <c r="CU216" s="159"/>
      <c r="CV216" s="159"/>
      <c r="CW216" s="159"/>
      <c r="CX216" s="159"/>
      <c r="CY216" s="159"/>
      <c r="CZ216" s="159"/>
      <c r="DA216" s="159"/>
      <c r="DB216" s="159"/>
      <c r="DC216" s="159"/>
      <c r="DD216" s="159"/>
      <c r="DE216" s="159"/>
      <c r="DF216" s="159"/>
      <c r="DG216" s="159"/>
      <c r="DH216" s="159"/>
      <c r="DI216" s="159"/>
      <c r="DJ216" s="159"/>
      <c r="DK216" s="180"/>
    </row>
    <row r="217" spans="1:115" ht="16.5" x14ac:dyDescent="0.3">
      <c r="A217" s="155">
        <f>IFERROR(IF(A216+1&lt;MAX(D041_ClassFeatures!$A$2:$A$2033),A216+1,""),"")</f>
        <v>214</v>
      </c>
      <c r="B217" s="153" t="str">
        <f>IFERROR(INDEX(D041_ClassFeatures!$B$2:$B$2033,MATCH(C_Variables!A217,D041_ClassFeatures!$A$2:$A$2033,0),1),"")</f>
        <v>Channel Divinity: Guided Strike</v>
      </c>
      <c r="C217" s="153">
        <f>IF(B217="",0,IF(IFERROR(MATCH(B217,C_Input!$BC$160:$BC$239,0),0)&gt;0,1,0))</f>
        <v>0</v>
      </c>
      <c r="G217" s="179"/>
      <c r="H217" s="416"/>
      <c r="I217" s="267">
        <v>4</v>
      </c>
      <c r="J217" s="6" t="s">
        <v>5563</v>
      </c>
      <c r="K217" s="417">
        <f>IF(IFERROR(INDEX(C_Input!$AX$160:$AX$239,MATCH("Bard",C_Input!$BF$160:$BF$239,0),1),0)=1,0,IFERROR(INDEX(C_Input!$AX$160:$AX$239,MATCH("Bard",C_Input!$BF$160:$BF$239,0),1),0))</f>
        <v>0</v>
      </c>
      <c r="L217" s="6"/>
      <c r="M217" s="6">
        <v>4</v>
      </c>
      <c r="N217" s="284">
        <f t="shared" si="221"/>
        <v>0</v>
      </c>
      <c r="O217" s="267" t="str">
        <f t="shared" si="223"/>
        <v>DomainNature</v>
      </c>
      <c r="P217" s="284">
        <f t="shared" si="224"/>
        <v>0</v>
      </c>
      <c r="Q217" s="6">
        <f>IF(P217=0,0,COUNTIF(Q$214:$Q216,"&gt;0")+1)</f>
        <v>0</v>
      </c>
      <c r="R217" s="6"/>
      <c r="S217" s="6"/>
      <c r="T217" s="6" t="str">
        <f t="shared" si="227"/>
        <v/>
      </c>
      <c r="U217" s="284" t="str">
        <f t="shared" si="222"/>
        <v/>
      </c>
      <c r="V217" s="159" t="str">
        <f t="shared" si="225"/>
        <v/>
      </c>
      <c r="W217" s="159"/>
      <c r="X217" s="438" t="s">
        <v>86</v>
      </c>
      <c r="Y217" s="159">
        <f>IFERROR(INDEX(D03_Skills!$D$2:$R$19,MATCH(C_Variables!$X217,D03_Skills!$B$2:$B$19,0),MATCH(C_Variables!$V$214,D03_Skills!$D$1:$R$1,0)),0)</f>
        <v>0</v>
      </c>
      <c r="Z217" s="159">
        <f>IFERROR(INDEX(D03_Skills!$D$2:$R$19,MATCH(C_Variables!$X217,D03_Skills!$B$2:$B$19,0),MATCH(C_Variables!$V$215,D03_Skills!$D$1:$R$1,0)),0)</f>
        <v>0</v>
      </c>
      <c r="AA217" s="159">
        <f>IFERROR(INDEX(D03_Skills!$D$2:$R$19,MATCH(C_Variables!$X217,D03_Skills!$B$2:$B$19,0),MATCH(C_Variables!$V$216,D03_Skills!$D$1:$R$1,0)),0)</f>
        <v>0</v>
      </c>
      <c r="AB217" s="159">
        <f>IFERROR(INDEX(D03_Skills!$D$2:$R$19,MATCH(C_Variables!$X217,D03_Skills!$B$2:$B$19,0),MATCH(C_Variables!$V$217,D03_Skills!$D$1:$R$1,0)),0)</f>
        <v>0</v>
      </c>
      <c r="AC217" s="159">
        <f>IFERROR(INDEX(D03_Skills!$D$2:$R$19,MATCH(C_Variables!$X217,D03_Skills!$B$2:$B$19,0),MATCH(C_Variables!$V$218,D03_Skills!$D$1:$R$1,0)),0)</f>
        <v>0</v>
      </c>
      <c r="AD217" s="159">
        <f>IFERROR(INDEX(D03_Skills!$D$2:$R$19,MATCH(C_Variables!$X217,D03_Skills!$B$2:$B$19,0),MATCH(C_Variables!$V$219,D03_Skills!$D$1:$R$1,0)),0)</f>
        <v>0</v>
      </c>
      <c r="AE217" s="159">
        <f>IFERROR(INDEX(D03_Skills!$D$2:$R$19,MATCH(C_Variables!$X217,D03_Skills!$B$2:$B$19,0),MATCH(C_Variables!$V$220,D03_Skills!$D$1:$R$1,0)),0)</f>
        <v>0</v>
      </c>
      <c r="AF217" s="159">
        <f>IFERROR(INDEX(D03_Skills!$D$2:$R$19,MATCH(C_Variables!$X217,D03_Skills!$B$2:$B$19,0),MATCH(C_Variables!$V$221,D03_Skills!$D$1:$R$1,0)),0)</f>
        <v>0</v>
      </c>
      <c r="AG217" s="159">
        <f>IFERROR(INDEX(D03_Skills!$D$2:$R$19,MATCH(C_Variables!$X217,D03_Skills!$B$2:$B$19,0),MATCH(C_Variables!$V$222,D03_Skills!$D$1:$R$1,0)),0)</f>
        <v>0</v>
      </c>
      <c r="AH217" s="159">
        <f>IFERROR(INDEX(D03_Skills!$D$2:$R$19,MATCH(C_Variables!$X217,D03_Skills!$B$2:$B$19,0),MATCH(C_Variables!$V$223,D03_Skills!$D$1:$R$1,0)),0)</f>
        <v>0</v>
      </c>
      <c r="AI217" s="159">
        <f>IFERROR(INDEX(D03_Skills!$D$2:$R$19,MATCH(C_Variables!$X217,D03_Skills!$B$2:$B$19,0),MATCH(C_Variables!$V$224,D03_Skills!$D$1:$R$1,0)),0)</f>
        <v>0</v>
      </c>
      <c r="AJ217" s="159"/>
      <c r="AK217" s="159">
        <f t="shared" si="226"/>
        <v>0</v>
      </c>
      <c r="AL217" s="159"/>
      <c r="AM217" s="159"/>
      <c r="AN217" s="159"/>
      <c r="AO217" s="159"/>
      <c r="AP217" s="159"/>
      <c r="AQ217" s="159"/>
      <c r="AR217" s="159"/>
      <c r="AS217" s="159"/>
      <c r="AT217" s="159"/>
      <c r="AU217" s="159"/>
      <c r="AV217" s="159"/>
      <c r="AW217" s="159"/>
      <c r="AX217" s="159"/>
      <c r="AY217" s="159"/>
      <c r="AZ217" s="159"/>
      <c r="BA217" s="159"/>
      <c r="BB217" s="159"/>
      <c r="BC217" s="159"/>
      <c r="BD217" s="159"/>
      <c r="BE217" s="159"/>
      <c r="BF217" s="159"/>
      <c r="BG217" s="159"/>
      <c r="BH217" s="159"/>
      <c r="BI217" s="159"/>
      <c r="BJ217" s="159"/>
      <c r="BK217" s="159"/>
      <c r="BL217" s="159"/>
      <c r="BM217" s="159"/>
      <c r="BN217" s="159"/>
      <c r="BO217" s="159"/>
      <c r="BP217" s="159"/>
      <c r="BQ217" s="159"/>
      <c r="BR217" s="159"/>
      <c r="BS217" s="159"/>
      <c r="BT217" s="159"/>
      <c r="BU217" s="159"/>
      <c r="BV217" s="159"/>
      <c r="BW217" s="159"/>
      <c r="BX217" s="159"/>
      <c r="BY217" s="159"/>
      <c r="BZ217" s="159"/>
      <c r="CA217" s="159"/>
      <c r="CB217" s="159"/>
      <c r="CC217" s="159"/>
      <c r="CD217" s="159"/>
      <c r="CE217" s="159"/>
      <c r="CF217" s="159"/>
      <c r="CG217" s="159"/>
      <c r="CH217" s="159"/>
      <c r="CI217" s="159"/>
      <c r="CJ217" s="159"/>
      <c r="CK217" s="159"/>
      <c r="CL217" s="159"/>
      <c r="CM217" s="159"/>
      <c r="CN217" s="159"/>
      <c r="CO217" s="159"/>
      <c r="CP217" s="159"/>
      <c r="CQ217" s="159"/>
      <c r="CR217" s="159"/>
      <c r="CS217" s="159"/>
      <c r="CT217" s="159"/>
      <c r="CU217" s="159"/>
      <c r="CV217" s="159"/>
      <c r="CW217" s="159"/>
      <c r="CX217" s="159"/>
      <c r="CY217" s="159"/>
      <c r="CZ217" s="159"/>
      <c r="DA217" s="159"/>
      <c r="DB217" s="159"/>
      <c r="DC217" s="159"/>
      <c r="DD217" s="159"/>
      <c r="DE217" s="159"/>
      <c r="DF217" s="159"/>
      <c r="DG217" s="159"/>
      <c r="DH217" s="159"/>
      <c r="DI217" s="159"/>
      <c r="DJ217" s="159"/>
      <c r="DK217" s="180"/>
    </row>
    <row r="218" spans="1:115" ht="16.5" x14ac:dyDescent="0.3">
      <c r="A218" s="155">
        <f>IFERROR(IF(A217+1&lt;MAX(D041_ClassFeatures!$A$2:$A$2033),A217+1,""),"")</f>
        <v>215</v>
      </c>
      <c r="B218" s="153" t="str">
        <f>IFERROR(INDEX(D041_ClassFeatures!$B$2:$B$2033,MATCH(C_Variables!A218,D041_ClassFeatures!$A$2:$A$2033,0),1),"")</f>
        <v>Channel Divinity: War God's Blessing</v>
      </c>
      <c r="C218" s="153">
        <f>IF(B218="",0,IF(IFERROR(MATCH(B218,C_Input!$BC$160:$BC$239,0),0)&gt;0,1,0))</f>
        <v>0</v>
      </c>
      <c r="G218" s="179"/>
      <c r="H218" s="416"/>
      <c r="I218" s="267">
        <v>5</v>
      </c>
      <c r="J218" s="416" t="s">
        <v>5564</v>
      </c>
      <c r="K218" s="417">
        <f>IF(IFERROR(INDEX(C_Input!$AX$160:$AX$239,MATCH("Rogue",C_Input!$BF$160:$BF$239,0),1),0)=1,0,IFERROR(INDEX(C_Input!$AX$160:$AX$239,MATCH("Rogue",C_Input!$BF$160:$BF$239,0),1),0))</f>
        <v>0</v>
      </c>
      <c r="L218" s="6"/>
      <c r="M218" s="6">
        <v>5</v>
      </c>
      <c r="N218" s="284">
        <f t="shared" si="221"/>
        <v>0</v>
      </c>
      <c r="O218" s="267" t="str">
        <f t="shared" si="223"/>
        <v>DomainNature</v>
      </c>
      <c r="P218" s="284">
        <f t="shared" si="224"/>
        <v>0</v>
      </c>
      <c r="Q218" s="6">
        <f>IF(P218=0,0,COUNTIF(Q$214:$Q217,"&gt;0")+1)</f>
        <v>0</v>
      </c>
      <c r="R218" s="6"/>
      <c r="S218" s="6"/>
      <c r="T218" s="6" t="str">
        <f t="shared" si="227"/>
        <v/>
      </c>
      <c r="U218" s="284" t="str">
        <f t="shared" si="222"/>
        <v/>
      </c>
      <c r="V218" s="159" t="str">
        <f t="shared" si="225"/>
        <v/>
      </c>
      <c r="W218" s="159"/>
      <c r="X218" s="438" t="s">
        <v>74</v>
      </c>
      <c r="Y218" s="159">
        <f>IFERROR(INDEX(D03_Skills!$D$2:$R$19,MATCH(C_Variables!$X218,D03_Skills!$B$2:$B$19,0),MATCH(C_Variables!$V$214,D03_Skills!$D$1:$R$1,0)),0)</f>
        <v>0</v>
      </c>
      <c r="Z218" s="159">
        <f>IFERROR(INDEX(D03_Skills!$D$2:$R$19,MATCH(C_Variables!$X218,D03_Skills!$B$2:$B$19,0),MATCH(C_Variables!$V$215,D03_Skills!$D$1:$R$1,0)),0)</f>
        <v>0</v>
      </c>
      <c r="AA218" s="159">
        <f>IFERROR(INDEX(D03_Skills!$D$2:$R$19,MATCH(C_Variables!$X218,D03_Skills!$B$2:$B$19,0),MATCH(C_Variables!$V$216,D03_Skills!$D$1:$R$1,0)),0)</f>
        <v>0</v>
      </c>
      <c r="AB218" s="159">
        <f>IFERROR(INDEX(D03_Skills!$D$2:$R$19,MATCH(C_Variables!$X218,D03_Skills!$B$2:$B$19,0),MATCH(C_Variables!$V$217,D03_Skills!$D$1:$R$1,0)),0)</f>
        <v>0</v>
      </c>
      <c r="AC218" s="159">
        <f>IFERROR(INDEX(D03_Skills!$D$2:$R$19,MATCH(C_Variables!$X218,D03_Skills!$B$2:$B$19,0),MATCH(C_Variables!$V$218,D03_Skills!$D$1:$R$1,0)),0)</f>
        <v>0</v>
      </c>
      <c r="AD218" s="159">
        <f>IFERROR(INDEX(D03_Skills!$D$2:$R$19,MATCH(C_Variables!$X218,D03_Skills!$B$2:$B$19,0),MATCH(C_Variables!$V$219,D03_Skills!$D$1:$R$1,0)),0)</f>
        <v>0</v>
      </c>
      <c r="AE218" s="159">
        <f>IFERROR(INDEX(D03_Skills!$D$2:$R$19,MATCH(C_Variables!$X218,D03_Skills!$B$2:$B$19,0),MATCH(C_Variables!$V$220,D03_Skills!$D$1:$R$1,0)),0)</f>
        <v>0</v>
      </c>
      <c r="AF218" s="159">
        <f>IFERROR(INDEX(D03_Skills!$D$2:$R$19,MATCH(C_Variables!$X218,D03_Skills!$B$2:$B$19,0),MATCH(C_Variables!$V$221,D03_Skills!$D$1:$R$1,0)),0)</f>
        <v>0</v>
      </c>
      <c r="AG218" s="159">
        <f>IFERROR(INDEX(D03_Skills!$D$2:$R$19,MATCH(C_Variables!$X218,D03_Skills!$B$2:$B$19,0),MATCH(C_Variables!$V$222,D03_Skills!$D$1:$R$1,0)),0)</f>
        <v>0</v>
      </c>
      <c r="AH218" s="159">
        <f>IFERROR(INDEX(D03_Skills!$D$2:$R$19,MATCH(C_Variables!$X218,D03_Skills!$B$2:$B$19,0),MATCH(C_Variables!$V$223,D03_Skills!$D$1:$R$1,0)),0)</f>
        <v>0</v>
      </c>
      <c r="AI218" s="159">
        <f>IFERROR(INDEX(D03_Skills!$D$2:$R$19,MATCH(C_Variables!$X218,D03_Skills!$B$2:$B$19,0),MATCH(C_Variables!$V$224,D03_Skills!$D$1:$R$1,0)),0)</f>
        <v>0</v>
      </c>
      <c r="AJ218" s="159"/>
      <c r="AK218" s="159">
        <f t="shared" si="226"/>
        <v>1</v>
      </c>
      <c r="AL218" s="159"/>
      <c r="AM218" s="159"/>
      <c r="AN218" s="159"/>
      <c r="AO218" s="159"/>
      <c r="AP218" s="159"/>
      <c r="AQ218" s="159"/>
      <c r="AR218" s="159"/>
      <c r="AS218" s="159"/>
      <c r="AT218" s="159"/>
      <c r="AU218" s="159"/>
      <c r="AV218" s="159"/>
      <c r="AW218" s="159"/>
      <c r="AX218" s="159"/>
      <c r="AY218" s="159"/>
      <c r="AZ218" s="159"/>
      <c r="BA218" s="159"/>
      <c r="BB218" s="159"/>
      <c r="BC218" s="159"/>
      <c r="BD218" s="159"/>
      <c r="BE218" s="159"/>
      <c r="BF218" s="159"/>
      <c r="BG218" s="159"/>
      <c r="BH218" s="159"/>
      <c r="BI218" s="159"/>
      <c r="BJ218" s="159"/>
      <c r="BK218" s="159"/>
      <c r="BL218" s="159"/>
      <c r="BM218" s="159"/>
      <c r="BN218" s="159"/>
      <c r="BO218" s="159"/>
      <c r="BP218" s="159"/>
      <c r="BQ218" s="159"/>
      <c r="BR218" s="159"/>
      <c r="BS218" s="159"/>
      <c r="BT218" s="159"/>
      <c r="BU218" s="159"/>
      <c r="BV218" s="159"/>
      <c r="BW218" s="159"/>
      <c r="BX218" s="159"/>
      <c r="BY218" s="159"/>
      <c r="BZ218" s="159"/>
      <c r="CA218" s="159"/>
      <c r="CB218" s="159"/>
      <c r="CC218" s="159"/>
      <c r="CD218" s="159"/>
      <c r="CE218" s="159"/>
      <c r="CF218" s="159"/>
      <c r="CG218" s="159"/>
      <c r="CH218" s="159"/>
      <c r="CI218" s="159"/>
      <c r="CJ218" s="159"/>
      <c r="CK218" s="159"/>
      <c r="CL218" s="159"/>
      <c r="CM218" s="159"/>
      <c r="CN218" s="159"/>
      <c r="CO218" s="159"/>
      <c r="CP218" s="159"/>
      <c r="CQ218" s="159"/>
      <c r="CR218" s="159"/>
      <c r="CS218" s="159"/>
      <c r="CT218" s="159"/>
      <c r="CU218" s="159"/>
      <c r="CV218" s="159"/>
      <c r="CW218" s="159"/>
      <c r="CX218" s="159"/>
      <c r="CY218" s="159"/>
      <c r="CZ218" s="159"/>
      <c r="DA218" s="159"/>
      <c r="DB218" s="159"/>
      <c r="DC218" s="159"/>
      <c r="DD218" s="159"/>
      <c r="DE218" s="159"/>
      <c r="DF218" s="159"/>
      <c r="DG218" s="159"/>
      <c r="DH218" s="159"/>
      <c r="DI218" s="159"/>
      <c r="DJ218" s="159"/>
      <c r="DK218" s="180"/>
    </row>
    <row r="219" spans="1:115" ht="16.5" x14ac:dyDescent="0.3">
      <c r="A219" s="155">
        <f>IFERROR(IF(A218+1&lt;MAX(D041_ClassFeatures!$A$2:$A$2033),A218+1,""),"")</f>
        <v>216</v>
      </c>
      <c r="B219" s="153" t="str">
        <f>IFERROR(INDEX(D041_ClassFeatures!$B$2:$B$2033,MATCH(C_Variables!A219,D041_ClassFeatures!$A$2:$A$2033,0),1),"")</f>
        <v>Divine Strike (weapon)</v>
      </c>
      <c r="C219" s="153">
        <f>IF(B219="",0,IF(IFERROR(MATCH(B219,C_Input!$BC$160:$BC$239,0),0)&gt;0,1,0))</f>
        <v>0</v>
      </c>
      <c r="G219" s="179"/>
      <c r="H219" s="416"/>
      <c r="I219" s="267">
        <v>6</v>
      </c>
      <c r="J219" s="416" t="s">
        <v>5565</v>
      </c>
      <c r="K219" s="417">
        <f>IF(IFERROR(INDEX(C_Input!$AX$160:$AX$239,MATCH("Ranger",C_Input!$BF$160:$BF$239,0),1),0)=1,0,IFERROR(INDEX(C_Input!$AX$160:$AX$239,MATCH("Ranger",C_Input!$BF$160:$BF$239,0),1),0))</f>
        <v>0</v>
      </c>
      <c r="L219" s="6"/>
      <c r="M219" s="6">
        <v>6</v>
      </c>
      <c r="N219" s="284">
        <f t="shared" si="221"/>
        <v>0</v>
      </c>
      <c r="O219" s="267" t="str">
        <f t="shared" si="223"/>
        <v>DomainNature</v>
      </c>
      <c r="P219" s="284">
        <f t="shared" si="224"/>
        <v>0</v>
      </c>
      <c r="Q219" s="6">
        <f>IF(P219=0,0,COUNTIF(Q$214:$Q218,"&gt;0")+1)</f>
        <v>0</v>
      </c>
      <c r="R219" s="6"/>
      <c r="S219" s="6"/>
      <c r="T219" s="6" t="str">
        <f t="shared" si="227"/>
        <v/>
      </c>
      <c r="U219" s="284" t="str">
        <f t="shared" si="222"/>
        <v/>
      </c>
      <c r="V219" s="159" t="str">
        <f t="shared" si="225"/>
        <v/>
      </c>
      <c r="W219" s="159"/>
      <c r="X219" s="438" t="s">
        <v>84</v>
      </c>
      <c r="Y219" s="159">
        <f>IFERROR(INDEX(D03_Skills!$D$2:$R$19,MATCH(C_Variables!$X219,D03_Skills!$B$2:$B$19,0),MATCH(C_Variables!$V$214,D03_Skills!$D$1:$R$1,0)),0)</f>
        <v>0</v>
      </c>
      <c r="Z219" s="159">
        <f>IFERROR(INDEX(D03_Skills!$D$2:$R$19,MATCH(C_Variables!$X219,D03_Skills!$B$2:$B$19,0),MATCH(C_Variables!$V$215,D03_Skills!$D$1:$R$1,0)),0)</f>
        <v>0</v>
      </c>
      <c r="AA219" s="159">
        <f>IFERROR(INDEX(D03_Skills!$D$2:$R$19,MATCH(C_Variables!$X219,D03_Skills!$B$2:$B$19,0),MATCH(C_Variables!$V$216,D03_Skills!$D$1:$R$1,0)),0)</f>
        <v>0</v>
      </c>
      <c r="AB219" s="159">
        <f>IFERROR(INDEX(D03_Skills!$D$2:$R$19,MATCH(C_Variables!$X219,D03_Skills!$B$2:$B$19,0),MATCH(C_Variables!$V$217,D03_Skills!$D$1:$R$1,0)),0)</f>
        <v>0</v>
      </c>
      <c r="AC219" s="159">
        <f>IFERROR(INDEX(D03_Skills!$D$2:$R$19,MATCH(C_Variables!$X219,D03_Skills!$B$2:$B$19,0),MATCH(C_Variables!$V$218,D03_Skills!$D$1:$R$1,0)),0)</f>
        <v>0</v>
      </c>
      <c r="AD219" s="159">
        <f>IFERROR(INDEX(D03_Skills!$D$2:$R$19,MATCH(C_Variables!$X219,D03_Skills!$B$2:$B$19,0),MATCH(C_Variables!$V$219,D03_Skills!$D$1:$R$1,0)),0)</f>
        <v>0</v>
      </c>
      <c r="AE219" s="159">
        <f>IFERROR(INDEX(D03_Skills!$D$2:$R$19,MATCH(C_Variables!$X219,D03_Skills!$B$2:$B$19,0),MATCH(C_Variables!$V$220,D03_Skills!$D$1:$R$1,0)),0)</f>
        <v>0</v>
      </c>
      <c r="AF219" s="159">
        <f>IFERROR(INDEX(D03_Skills!$D$2:$R$19,MATCH(C_Variables!$X219,D03_Skills!$B$2:$B$19,0),MATCH(C_Variables!$V$221,D03_Skills!$D$1:$R$1,0)),0)</f>
        <v>0</v>
      </c>
      <c r="AG219" s="159">
        <f>IFERROR(INDEX(D03_Skills!$D$2:$R$19,MATCH(C_Variables!$X219,D03_Skills!$B$2:$B$19,0),MATCH(C_Variables!$V$222,D03_Skills!$D$1:$R$1,0)),0)</f>
        <v>0</v>
      </c>
      <c r="AH219" s="159">
        <f>IFERROR(INDEX(D03_Skills!$D$2:$R$19,MATCH(C_Variables!$X219,D03_Skills!$B$2:$B$19,0),MATCH(C_Variables!$V$223,D03_Skills!$D$1:$R$1,0)),0)</f>
        <v>0</v>
      </c>
      <c r="AI219" s="159">
        <f>IFERROR(INDEX(D03_Skills!$D$2:$R$19,MATCH(C_Variables!$X219,D03_Skills!$B$2:$B$19,0),MATCH(C_Variables!$V$224,D03_Skills!$D$1:$R$1,0)),0)</f>
        <v>0</v>
      </c>
      <c r="AJ219" s="159"/>
      <c r="AK219" s="159">
        <f t="shared" si="226"/>
        <v>0</v>
      </c>
      <c r="AL219" s="159"/>
      <c r="AM219" s="159"/>
      <c r="AN219" s="159"/>
      <c r="AO219" s="159"/>
      <c r="AP219" s="159"/>
      <c r="AQ219" s="159"/>
      <c r="AR219" s="159"/>
      <c r="AS219" s="159"/>
      <c r="AT219" s="159"/>
      <c r="AU219" s="159"/>
      <c r="AV219" s="159"/>
      <c r="AW219" s="159"/>
      <c r="AX219" s="159"/>
      <c r="AY219" s="159"/>
      <c r="AZ219" s="159"/>
      <c r="BA219" s="159"/>
      <c r="BB219" s="159"/>
      <c r="BC219" s="159"/>
      <c r="BD219" s="159"/>
      <c r="BE219" s="159"/>
      <c r="BF219" s="159"/>
      <c r="BG219" s="159"/>
      <c r="BH219" s="159"/>
      <c r="BI219" s="159"/>
      <c r="BJ219" s="159"/>
      <c r="BK219" s="159"/>
      <c r="BL219" s="159"/>
      <c r="BM219" s="159"/>
      <c r="BN219" s="159"/>
      <c r="BO219" s="159"/>
      <c r="BP219" s="159"/>
      <c r="BQ219" s="159"/>
      <c r="BR219" s="159"/>
      <c r="BS219" s="159"/>
      <c r="BT219" s="159"/>
      <c r="BU219" s="159"/>
      <c r="BV219" s="159"/>
      <c r="BW219" s="159"/>
      <c r="BX219" s="159"/>
      <c r="BY219" s="159"/>
      <c r="BZ219" s="159"/>
      <c r="CA219" s="159"/>
      <c r="CB219" s="159"/>
      <c r="CC219" s="159"/>
      <c r="CD219" s="159"/>
      <c r="CE219" s="159"/>
      <c r="CF219" s="159"/>
      <c r="CG219" s="159"/>
      <c r="CH219" s="159"/>
      <c r="CI219" s="159"/>
      <c r="CJ219" s="159"/>
      <c r="CK219" s="159"/>
      <c r="CL219" s="159"/>
      <c r="CM219" s="159"/>
      <c r="CN219" s="159"/>
      <c r="CO219" s="159"/>
      <c r="CP219" s="159"/>
      <c r="CQ219" s="159"/>
      <c r="CR219" s="159"/>
      <c r="CS219" s="159"/>
      <c r="CT219" s="159"/>
      <c r="CU219" s="159"/>
      <c r="CV219" s="159"/>
      <c r="CW219" s="159"/>
      <c r="CX219" s="159"/>
      <c r="CY219" s="159"/>
      <c r="CZ219" s="159"/>
      <c r="DA219" s="159"/>
      <c r="DB219" s="159"/>
      <c r="DC219" s="159"/>
      <c r="DD219" s="159"/>
      <c r="DE219" s="159"/>
      <c r="DF219" s="159"/>
      <c r="DG219" s="159"/>
      <c r="DH219" s="159"/>
      <c r="DI219" s="159"/>
      <c r="DJ219" s="159"/>
      <c r="DK219" s="180"/>
    </row>
    <row r="220" spans="1:115" ht="16.5" x14ac:dyDescent="0.3">
      <c r="A220" s="155">
        <f>IFERROR(IF(A219+1&lt;MAX(D041_ClassFeatures!$A$2:$A$2033),A219+1,""),"")</f>
        <v>217</v>
      </c>
      <c r="B220" s="153" t="str">
        <f>IFERROR(INDEX(D041_ClassFeatures!$B$2:$B$2033,MATCH(C_Variables!A220,D041_ClassFeatures!$A$2:$A$2033,0),1),"")</f>
        <v>Avatar of Battle</v>
      </c>
      <c r="C220" s="153">
        <f>IF(B220="",0,IF(IFERROR(MATCH(B220,C_Input!$BC$160:$BC$239,0),0)&gt;0,1,0))</f>
        <v>0</v>
      </c>
      <c r="G220" s="179"/>
      <c r="H220" s="416"/>
      <c r="I220" s="267">
        <v>7</v>
      </c>
      <c r="J220" s="416" t="s">
        <v>5568</v>
      </c>
      <c r="K220" s="417">
        <f>IFERROR(INDEX(C_Input!$AX$160:$AX$239,MATCH("College of Lore: Bonus Proficiencies",C_Input!$BC$160:$BC$239,0),1),0)</f>
        <v>0</v>
      </c>
      <c r="L220" s="6"/>
      <c r="M220" s="6">
        <v>7</v>
      </c>
      <c r="N220" s="284">
        <f t="shared" si="221"/>
        <v>0</v>
      </c>
      <c r="O220" s="267" t="str">
        <f t="shared" si="223"/>
        <v>DomainNature</v>
      </c>
      <c r="P220" s="284">
        <f t="shared" si="224"/>
        <v>0</v>
      </c>
      <c r="Q220" s="6">
        <f>IF(P220=0,0,COUNTIF(Q$214:$Q219,"&gt;0")+1)</f>
        <v>0</v>
      </c>
      <c r="R220" s="6"/>
      <c r="S220" s="6"/>
      <c r="T220" s="6" t="str">
        <f t="shared" si="227"/>
        <v/>
      </c>
      <c r="U220" s="284" t="str">
        <f t="shared" si="222"/>
        <v/>
      </c>
      <c r="V220" s="159" t="str">
        <f t="shared" si="225"/>
        <v/>
      </c>
      <c r="W220" s="159"/>
      <c r="X220" s="438" t="s">
        <v>71</v>
      </c>
      <c r="Y220" s="159">
        <f>IFERROR(INDEX(D03_Skills!$D$2:$R$19,MATCH(C_Variables!$X220,D03_Skills!$B$2:$B$19,0),MATCH(C_Variables!$V$214,D03_Skills!$D$1:$R$1,0)),0)</f>
        <v>0</v>
      </c>
      <c r="Z220" s="159">
        <f>IFERROR(INDEX(D03_Skills!$D$2:$R$19,MATCH(C_Variables!$X220,D03_Skills!$B$2:$B$19,0),MATCH(C_Variables!$V$215,D03_Skills!$D$1:$R$1,0)),0)</f>
        <v>0</v>
      </c>
      <c r="AA220" s="159">
        <f>IFERROR(INDEX(D03_Skills!$D$2:$R$19,MATCH(C_Variables!$X220,D03_Skills!$B$2:$B$19,0),MATCH(C_Variables!$V$216,D03_Skills!$D$1:$R$1,0)),0)</f>
        <v>0</v>
      </c>
      <c r="AB220" s="159">
        <f>IFERROR(INDEX(D03_Skills!$D$2:$R$19,MATCH(C_Variables!$X220,D03_Skills!$B$2:$B$19,0),MATCH(C_Variables!$V$217,D03_Skills!$D$1:$R$1,0)),0)</f>
        <v>0</v>
      </c>
      <c r="AC220" s="159">
        <f>IFERROR(INDEX(D03_Skills!$D$2:$R$19,MATCH(C_Variables!$X220,D03_Skills!$B$2:$B$19,0),MATCH(C_Variables!$V$218,D03_Skills!$D$1:$R$1,0)),0)</f>
        <v>0</v>
      </c>
      <c r="AD220" s="159">
        <f>IFERROR(INDEX(D03_Skills!$D$2:$R$19,MATCH(C_Variables!$X220,D03_Skills!$B$2:$B$19,0),MATCH(C_Variables!$V$219,D03_Skills!$D$1:$R$1,0)),0)</f>
        <v>0</v>
      </c>
      <c r="AE220" s="159">
        <f>IFERROR(INDEX(D03_Skills!$D$2:$R$19,MATCH(C_Variables!$X220,D03_Skills!$B$2:$B$19,0),MATCH(C_Variables!$V$220,D03_Skills!$D$1:$R$1,0)),0)</f>
        <v>0</v>
      </c>
      <c r="AF220" s="159">
        <f>IFERROR(INDEX(D03_Skills!$D$2:$R$19,MATCH(C_Variables!$X220,D03_Skills!$B$2:$B$19,0),MATCH(C_Variables!$V$221,D03_Skills!$D$1:$R$1,0)),0)</f>
        <v>0</v>
      </c>
      <c r="AG220" s="159">
        <f>IFERROR(INDEX(D03_Skills!$D$2:$R$19,MATCH(C_Variables!$X220,D03_Skills!$B$2:$B$19,0),MATCH(C_Variables!$V$222,D03_Skills!$D$1:$R$1,0)),0)</f>
        <v>0</v>
      </c>
      <c r="AH220" s="159">
        <f>IFERROR(INDEX(D03_Skills!$D$2:$R$19,MATCH(C_Variables!$X220,D03_Skills!$B$2:$B$19,0),MATCH(C_Variables!$V$223,D03_Skills!$D$1:$R$1,0)),0)</f>
        <v>0</v>
      </c>
      <c r="AI220" s="159">
        <f>IFERROR(INDEX(D03_Skills!$D$2:$R$19,MATCH(C_Variables!$X220,D03_Skills!$B$2:$B$19,0),MATCH(C_Variables!$V$224,D03_Skills!$D$1:$R$1,0)),0)</f>
        <v>0</v>
      </c>
      <c r="AJ220" s="159"/>
      <c r="AK220" s="159">
        <f t="shared" si="226"/>
        <v>0</v>
      </c>
      <c r="AL220" s="159"/>
      <c r="AM220" s="159"/>
      <c r="AN220" s="159"/>
      <c r="AO220" s="159"/>
      <c r="AP220" s="159"/>
      <c r="AQ220" s="159"/>
      <c r="AR220" s="159"/>
      <c r="AS220" s="159"/>
      <c r="AT220" s="159"/>
      <c r="AU220" s="159"/>
      <c r="AV220" s="159"/>
      <c r="AW220" s="159"/>
      <c r="AX220" s="159"/>
      <c r="AY220" s="159"/>
      <c r="AZ220" s="159"/>
      <c r="BA220" s="159"/>
      <c r="BB220" s="159"/>
      <c r="BC220" s="159"/>
      <c r="BD220" s="159"/>
      <c r="BE220" s="159"/>
      <c r="BF220" s="159"/>
      <c r="BG220" s="159"/>
      <c r="BH220" s="159"/>
      <c r="BI220" s="159"/>
      <c r="BJ220" s="159"/>
      <c r="BK220" s="159"/>
      <c r="BL220" s="159"/>
      <c r="BM220" s="159"/>
      <c r="BN220" s="159"/>
      <c r="BO220" s="159"/>
      <c r="BP220" s="159"/>
      <c r="BQ220" s="159"/>
      <c r="BR220" s="159"/>
      <c r="BS220" s="159"/>
      <c r="BT220" s="159"/>
      <c r="BU220" s="159"/>
      <c r="BV220" s="159"/>
      <c r="BW220" s="159"/>
      <c r="BX220" s="159"/>
      <c r="BY220" s="159"/>
      <c r="BZ220" s="159"/>
      <c r="CA220" s="159"/>
      <c r="CB220" s="159"/>
      <c r="CC220" s="159"/>
      <c r="CD220" s="159"/>
      <c r="CE220" s="159"/>
      <c r="CF220" s="159"/>
      <c r="CG220" s="159"/>
      <c r="CH220" s="159"/>
      <c r="CI220" s="159"/>
      <c r="CJ220" s="159"/>
      <c r="CK220" s="159"/>
      <c r="CL220" s="159"/>
      <c r="CM220" s="159"/>
      <c r="CN220" s="159"/>
      <c r="CO220" s="159"/>
      <c r="CP220" s="159"/>
      <c r="CQ220" s="159"/>
      <c r="CR220" s="159"/>
      <c r="CS220" s="159"/>
      <c r="CT220" s="159"/>
      <c r="CU220" s="159"/>
      <c r="CV220" s="159"/>
      <c r="CW220" s="159"/>
      <c r="CX220" s="159"/>
      <c r="CY220" s="159"/>
      <c r="CZ220" s="159"/>
      <c r="DA220" s="159"/>
      <c r="DB220" s="159"/>
      <c r="DC220" s="159"/>
      <c r="DD220" s="159"/>
      <c r="DE220" s="159"/>
      <c r="DF220" s="159"/>
      <c r="DG220" s="159"/>
      <c r="DH220" s="159"/>
      <c r="DI220" s="159"/>
      <c r="DJ220" s="159"/>
      <c r="DK220" s="180"/>
    </row>
    <row r="221" spans="1:115" ht="16.5" x14ac:dyDescent="0.3">
      <c r="A221" s="155">
        <f>IFERROR(IF(A220+1&lt;MAX(D041_ClassFeatures!$A$2:$A$2033),A220+1,""),"")</f>
        <v>218</v>
      </c>
      <c r="B221" s="153" t="str">
        <f>IFERROR(INDEX(D041_ClassFeatures!$B$2:$B$2033,MATCH(C_Variables!A221,D041_ClassFeatures!$A$2:$A$2033,0),1),"")</f>
        <v>Circle of the Land: Bonus Cantrip</v>
      </c>
      <c r="C221" s="153">
        <f>IF(B221="",0,IF(IFERROR(MATCH(B221,C_Input!$BC$160:$BC$239,0),0)&gt;0,1,0))</f>
        <v>0</v>
      </c>
      <c r="G221" s="179"/>
      <c r="H221" s="416"/>
      <c r="I221" s="267">
        <v>8</v>
      </c>
      <c r="J221" s="416" t="s">
        <v>5569</v>
      </c>
      <c r="K221" s="417">
        <f>K220</f>
        <v>0</v>
      </c>
      <c r="L221" s="6"/>
      <c r="M221" s="6">
        <v>8</v>
      </c>
      <c r="N221" s="284">
        <f t="shared" si="221"/>
        <v>0</v>
      </c>
      <c r="O221" s="267" t="str">
        <f t="shared" si="223"/>
        <v>DomainNature</v>
      </c>
      <c r="P221" s="284">
        <f t="shared" si="224"/>
        <v>0</v>
      </c>
      <c r="Q221" s="6">
        <f>IF(P221=0,0,COUNTIF(Q$214:$Q220,"&gt;0")+1)</f>
        <v>0</v>
      </c>
      <c r="R221" s="6"/>
      <c r="S221" s="6"/>
      <c r="T221" s="6" t="str">
        <f t="shared" si="227"/>
        <v/>
      </c>
      <c r="U221" s="284" t="str">
        <f>IFERROR(INDEX($O$214:$O$225,MATCH(T221,$Q$214:$Q$225,0),1),"")</f>
        <v/>
      </c>
      <c r="V221" s="159" t="str">
        <f t="shared" si="225"/>
        <v/>
      </c>
      <c r="W221" s="159"/>
      <c r="X221" s="438" t="s">
        <v>87</v>
      </c>
      <c r="Y221" s="159">
        <f>IFERROR(INDEX(D03_Skills!$D$2:$R$19,MATCH(C_Variables!$X221,D03_Skills!$B$2:$B$19,0),MATCH(C_Variables!$V$214,D03_Skills!$D$1:$R$1,0)),0)</f>
        <v>0</v>
      </c>
      <c r="Z221" s="159">
        <f>IFERROR(INDEX(D03_Skills!$D$2:$R$19,MATCH(C_Variables!$X221,D03_Skills!$B$2:$B$19,0),MATCH(C_Variables!$V$215,D03_Skills!$D$1:$R$1,0)),0)</f>
        <v>0</v>
      </c>
      <c r="AA221" s="159">
        <f>IFERROR(INDEX(D03_Skills!$D$2:$R$19,MATCH(C_Variables!$X221,D03_Skills!$B$2:$B$19,0),MATCH(C_Variables!$V$216,D03_Skills!$D$1:$R$1,0)),0)</f>
        <v>0</v>
      </c>
      <c r="AB221" s="159">
        <f>IFERROR(INDEX(D03_Skills!$D$2:$R$19,MATCH(C_Variables!$X221,D03_Skills!$B$2:$B$19,0),MATCH(C_Variables!$V$217,D03_Skills!$D$1:$R$1,0)),0)</f>
        <v>0</v>
      </c>
      <c r="AC221" s="159">
        <f>IFERROR(INDEX(D03_Skills!$D$2:$R$19,MATCH(C_Variables!$X221,D03_Skills!$B$2:$B$19,0),MATCH(C_Variables!$V$218,D03_Skills!$D$1:$R$1,0)),0)</f>
        <v>0</v>
      </c>
      <c r="AD221" s="159">
        <f>IFERROR(INDEX(D03_Skills!$D$2:$R$19,MATCH(C_Variables!$X221,D03_Skills!$B$2:$B$19,0),MATCH(C_Variables!$V$219,D03_Skills!$D$1:$R$1,0)),0)</f>
        <v>0</v>
      </c>
      <c r="AE221" s="159">
        <f>IFERROR(INDEX(D03_Skills!$D$2:$R$19,MATCH(C_Variables!$X221,D03_Skills!$B$2:$B$19,0),MATCH(C_Variables!$V$220,D03_Skills!$D$1:$R$1,0)),0)</f>
        <v>0</v>
      </c>
      <c r="AF221" s="159">
        <f>IFERROR(INDEX(D03_Skills!$D$2:$R$19,MATCH(C_Variables!$X221,D03_Skills!$B$2:$B$19,0),MATCH(C_Variables!$V$221,D03_Skills!$D$1:$R$1,0)),0)</f>
        <v>0</v>
      </c>
      <c r="AG221" s="159">
        <f>IFERROR(INDEX(D03_Skills!$D$2:$R$19,MATCH(C_Variables!$X221,D03_Skills!$B$2:$B$19,0),MATCH(C_Variables!$V$222,D03_Skills!$D$1:$R$1,0)),0)</f>
        <v>0</v>
      </c>
      <c r="AH221" s="159">
        <f>IFERROR(INDEX(D03_Skills!$D$2:$R$19,MATCH(C_Variables!$X221,D03_Skills!$B$2:$B$19,0),MATCH(C_Variables!$V$223,D03_Skills!$D$1:$R$1,0)),0)</f>
        <v>0</v>
      </c>
      <c r="AI221" s="159">
        <f>IFERROR(INDEX(D03_Skills!$D$2:$R$19,MATCH(C_Variables!$X221,D03_Skills!$B$2:$B$19,0),MATCH(C_Variables!$V$224,D03_Skills!$D$1:$R$1,0)),0)</f>
        <v>0</v>
      </c>
      <c r="AJ221" s="159"/>
      <c r="AK221" s="159">
        <f t="shared" si="226"/>
        <v>0</v>
      </c>
      <c r="AL221" s="159"/>
      <c r="AM221" s="159"/>
      <c r="AN221" s="159"/>
      <c r="AO221" s="159"/>
      <c r="AP221" s="159"/>
      <c r="AQ221" s="159"/>
      <c r="AR221" s="159"/>
      <c r="AS221" s="159"/>
      <c r="AT221" s="159"/>
      <c r="AU221" s="159"/>
      <c r="AV221" s="159"/>
      <c r="AW221" s="159"/>
      <c r="AX221" s="159"/>
      <c r="AY221" s="159"/>
      <c r="AZ221" s="159"/>
      <c r="BA221" s="159"/>
      <c r="BB221" s="159"/>
      <c r="BC221" s="159"/>
      <c r="BD221" s="159"/>
      <c r="BE221" s="159"/>
      <c r="BF221" s="159"/>
      <c r="BG221" s="159"/>
      <c r="BH221" s="159"/>
      <c r="BI221" s="159"/>
      <c r="BJ221" s="159"/>
      <c r="BK221" s="159"/>
      <c r="BL221" s="159"/>
      <c r="BM221" s="159"/>
      <c r="BN221" s="159"/>
      <c r="BO221" s="159"/>
      <c r="BP221" s="159"/>
      <c r="BQ221" s="159"/>
      <c r="BR221" s="159"/>
      <c r="BS221" s="159"/>
      <c r="BT221" s="159"/>
      <c r="BU221" s="159"/>
      <c r="BV221" s="159"/>
      <c r="BW221" s="159"/>
      <c r="BX221" s="159"/>
      <c r="BY221" s="159"/>
      <c r="BZ221" s="159"/>
      <c r="CA221" s="159"/>
      <c r="CB221" s="159"/>
      <c r="CC221" s="159"/>
      <c r="CD221" s="159"/>
      <c r="CE221" s="159"/>
      <c r="CF221" s="159"/>
      <c r="CG221" s="159"/>
      <c r="CH221" s="159"/>
      <c r="CI221" s="159"/>
      <c r="CJ221" s="159"/>
      <c r="CK221" s="159"/>
      <c r="CL221" s="159"/>
      <c r="CM221" s="159"/>
      <c r="CN221" s="159"/>
      <c r="CO221" s="159"/>
      <c r="CP221" s="159"/>
      <c r="CQ221" s="159"/>
      <c r="CR221" s="159"/>
      <c r="CS221" s="159"/>
      <c r="CT221" s="159"/>
      <c r="CU221" s="159"/>
      <c r="CV221" s="159"/>
      <c r="CW221" s="159"/>
      <c r="CX221" s="159"/>
      <c r="CY221" s="159"/>
      <c r="CZ221" s="159"/>
      <c r="DA221" s="159"/>
      <c r="DB221" s="159"/>
      <c r="DC221" s="159"/>
      <c r="DD221" s="159"/>
      <c r="DE221" s="159"/>
      <c r="DF221" s="159"/>
      <c r="DG221" s="159"/>
      <c r="DH221" s="159"/>
      <c r="DI221" s="159"/>
      <c r="DJ221" s="159"/>
      <c r="DK221" s="180"/>
    </row>
    <row r="222" spans="1:115" ht="16.5" x14ac:dyDescent="0.3">
      <c r="A222" s="155">
        <f>IFERROR(IF(A221+1&lt;MAX(D041_ClassFeatures!$A$2:$A$2033),A221+1,""),"")</f>
        <v>219</v>
      </c>
      <c r="B222" s="153" t="str">
        <f>IFERROR(INDEX(D041_ClassFeatures!$B$2:$B$2033,MATCH(C_Variables!A222,D041_ClassFeatures!$A$2:$A$2033,0),1),"")</f>
        <v>Natural Recovery</v>
      </c>
      <c r="C222" s="153">
        <f>IF(B222="",0,IF(IFERROR(MATCH(B222,C_Input!$BC$160:$BC$239,0),0)&gt;0,1,0))</f>
        <v>0</v>
      </c>
      <c r="G222" s="179"/>
      <c r="H222" s="416"/>
      <c r="I222" s="267">
        <v>9</v>
      </c>
      <c r="J222" s="416" t="s">
        <v>5570</v>
      </c>
      <c r="K222" s="417">
        <f>K221</f>
        <v>0</v>
      </c>
      <c r="L222" s="6"/>
      <c r="M222" s="6">
        <v>9</v>
      </c>
      <c r="N222" s="284">
        <f t="shared" si="221"/>
        <v>0</v>
      </c>
      <c r="O222" s="267" t="str">
        <f t="shared" si="223"/>
        <v>DomainNature</v>
      </c>
      <c r="P222" s="284">
        <f t="shared" si="224"/>
        <v>0</v>
      </c>
      <c r="Q222" s="6">
        <f>IF(P222=0,0,COUNTIF(Q$214:$Q221,"&gt;0")+1)</f>
        <v>0</v>
      </c>
      <c r="R222" s="6"/>
      <c r="S222" s="6"/>
      <c r="T222" s="6" t="str">
        <f t="shared" si="227"/>
        <v/>
      </c>
      <c r="U222" s="284" t="str">
        <f t="shared" ref="U222:U225" si="228">IFERROR(INDEX($O$214:$O$225,MATCH(T222,$Q$214:$Q$225,0),1),"")</f>
        <v/>
      </c>
      <c r="V222" s="159" t="str">
        <f>IFERROR(INDEX($J$226:$J$237,MATCH(U222,$I$226:$I$237,0),1),"")</f>
        <v/>
      </c>
      <c r="W222" s="159"/>
      <c r="X222" s="438" t="s">
        <v>612</v>
      </c>
      <c r="Y222" s="159">
        <f>IFERROR(INDEX(D03_Skills!$D$2:$R$19,MATCH(C_Variables!$X222,D03_Skills!$B$2:$B$19,0),MATCH(C_Variables!$V$214,D03_Skills!$D$1:$R$1,0)),0)</f>
        <v>0</v>
      </c>
      <c r="Z222" s="159">
        <f>IFERROR(INDEX(D03_Skills!$D$2:$R$19,MATCH(C_Variables!$X222,D03_Skills!$B$2:$B$19,0),MATCH(C_Variables!$V$215,D03_Skills!$D$1:$R$1,0)),0)</f>
        <v>0</v>
      </c>
      <c r="AA222" s="159">
        <f>IFERROR(INDEX(D03_Skills!$D$2:$R$19,MATCH(C_Variables!$X222,D03_Skills!$B$2:$B$19,0),MATCH(C_Variables!$V$216,D03_Skills!$D$1:$R$1,0)),0)</f>
        <v>0</v>
      </c>
      <c r="AB222" s="159">
        <f>IFERROR(INDEX(D03_Skills!$D$2:$R$19,MATCH(C_Variables!$X222,D03_Skills!$B$2:$B$19,0),MATCH(C_Variables!$V$217,D03_Skills!$D$1:$R$1,0)),0)</f>
        <v>0</v>
      </c>
      <c r="AC222" s="159">
        <f>IFERROR(INDEX(D03_Skills!$D$2:$R$19,MATCH(C_Variables!$X222,D03_Skills!$B$2:$B$19,0),MATCH(C_Variables!$V$218,D03_Skills!$D$1:$R$1,0)),0)</f>
        <v>0</v>
      </c>
      <c r="AD222" s="159">
        <f>IFERROR(INDEX(D03_Skills!$D$2:$R$19,MATCH(C_Variables!$X222,D03_Skills!$B$2:$B$19,0),MATCH(C_Variables!$V$219,D03_Skills!$D$1:$R$1,0)),0)</f>
        <v>0</v>
      </c>
      <c r="AE222" s="159">
        <f>IFERROR(INDEX(D03_Skills!$D$2:$R$19,MATCH(C_Variables!$X222,D03_Skills!$B$2:$B$19,0),MATCH(C_Variables!$V$220,D03_Skills!$D$1:$R$1,0)),0)</f>
        <v>0</v>
      </c>
      <c r="AF222" s="159">
        <f>IFERROR(INDEX(D03_Skills!$D$2:$R$19,MATCH(C_Variables!$X222,D03_Skills!$B$2:$B$19,0),MATCH(C_Variables!$V$221,D03_Skills!$D$1:$R$1,0)),0)</f>
        <v>0</v>
      </c>
      <c r="AG222" s="159">
        <f>IFERROR(INDEX(D03_Skills!$D$2:$R$19,MATCH(C_Variables!$X222,D03_Skills!$B$2:$B$19,0),MATCH(C_Variables!$V$222,D03_Skills!$D$1:$R$1,0)),0)</f>
        <v>0</v>
      </c>
      <c r="AH222" s="159">
        <f>IFERROR(INDEX(D03_Skills!$D$2:$R$19,MATCH(C_Variables!$X222,D03_Skills!$B$2:$B$19,0),MATCH(C_Variables!$V$223,D03_Skills!$D$1:$R$1,0)),0)</f>
        <v>0</v>
      </c>
      <c r="AI222" s="159">
        <f>IFERROR(INDEX(D03_Skills!$D$2:$R$19,MATCH(C_Variables!$X222,D03_Skills!$B$2:$B$19,0),MATCH(C_Variables!$V$224,D03_Skills!$D$1:$R$1,0)),0)</f>
        <v>0</v>
      </c>
      <c r="AJ222" s="159"/>
      <c r="AK222" s="159">
        <f t="shared" si="226"/>
        <v>0</v>
      </c>
      <c r="AL222" s="159"/>
      <c r="AM222" s="159"/>
      <c r="AN222" s="159"/>
      <c r="AO222" s="159"/>
      <c r="AP222" s="159"/>
      <c r="AQ222" s="159"/>
      <c r="AR222" s="159"/>
      <c r="AS222" s="159"/>
      <c r="AT222" s="159"/>
      <c r="AU222" s="159"/>
      <c r="AV222" s="159"/>
      <c r="AW222" s="159"/>
      <c r="AX222" s="159"/>
      <c r="AY222" s="159"/>
      <c r="AZ222" s="159"/>
      <c r="BA222" s="159"/>
      <c r="BB222" s="159"/>
      <c r="BC222" s="159"/>
      <c r="BD222" s="159"/>
      <c r="BE222" s="159"/>
      <c r="BF222" s="159"/>
      <c r="BG222" s="159"/>
      <c r="BH222" s="159"/>
      <c r="BI222" s="159"/>
      <c r="BJ222" s="159"/>
      <c r="BK222" s="159"/>
      <c r="BL222" s="159"/>
      <c r="BM222" s="159"/>
      <c r="BN222" s="159"/>
      <c r="BO222" s="159"/>
      <c r="BP222" s="159"/>
      <c r="BQ222" s="159"/>
      <c r="BR222" s="159"/>
      <c r="BS222" s="159"/>
      <c r="BT222" s="159"/>
      <c r="BU222" s="159"/>
      <c r="BV222" s="159"/>
      <c r="BW222" s="159"/>
      <c r="BX222" s="159"/>
      <c r="BY222" s="159"/>
      <c r="BZ222" s="159"/>
      <c r="CA222" s="159"/>
      <c r="CB222" s="159"/>
      <c r="CC222" s="159"/>
      <c r="CD222" s="159"/>
      <c r="CE222" s="159"/>
      <c r="CF222" s="159"/>
      <c r="CG222" s="159"/>
      <c r="CH222" s="159"/>
      <c r="CI222" s="159"/>
      <c r="CJ222" s="159"/>
      <c r="CK222" s="159"/>
      <c r="CL222" s="159"/>
      <c r="CM222" s="159"/>
      <c r="CN222" s="159"/>
      <c r="CO222" s="159"/>
      <c r="CP222" s="159"/>
      <c r="CQ222" s="159"/>
      <c r="CR222" s="159"/>
      <c r="CS222" s="159"/>
      <c r="CT222" s="159"/>
      <c r="CU222" s="159"/>
      <c r="CV222" s="159"/>
      <c r="CW222" s="159"/>
      <c r="CX222" s="159"/>
      <c r="CY222" s="159"/>
      <c r="CZ222" s="159"/>
      <c r="DA222" s="159"/>
      <c r="DB222" s="159"/>
      <c r="DC222" s="159"/>
      <c r="DD222" s="159"/>
      <c r="DE222" s="159"/>
      <c r="DF222" s="159"/>
      <c r="DG222" s="159"/>
      <c r="DH222" s="159"/>
      <c r="DI222" s="159"/>
      <c r="DJ222" s="159"/>
      <c r="DK222" s="180"/>
    </row>
    <row r="223" spans="1:115" ht="17.25" x14ac:dyDescent="0.35">
      <c r="A223" s="155">
        <f>IFERROR(IF(A222+1&lt;MAX(D041_ClassFeatures!$A$2:$A$2033),A222+1,""),"")</f>
        <v>220</v>
      </c>
      <c r="B223" s="153" t="str">
        <f>IFERROR(INDEX(D041_ClassFeatures!$B$2:$B$2033,MATCH(C_Variables!A223,D041_ClassFeatures!$A$2:$A$2033,0),1),"")</f>
        <v>Circle Spells</v>
      </c>
      <c r="C223" s="153">
        <f>IF(B223="",0,IF(IFERROR(MATCH(B223,C_Input!$BC$160:$BC$239,0),0)&gt;0,1,0))</f>
        <v>0</v>
      </c>
      <c r="G223" s="179"/>
      <c r="H223" s="416"/>
      <c r="I223" s="267">
        <v>10</v>
      </c>
      <c r="J223" s="418" t="s">
        <v>6931</v>
      </c>
      <c r="K223" s="6">
        <f>IFERROR(COUNTIF(C_Input!$A$166:$E$181,"Beguiling Influence")*18,0)</f>
        <v>0</v>
      </c>
      <c r="L223" s="6"/>
      <c r="M223" s="267">
        <v>10</v>
      </c>
      <c r="N223" s="284">
        <f t="shared" si="221"/>
        <v>0</v>
      </c>
      <c r="O223" s="267" t="str">
        <f t="shared" si="223"/>
        <v>DomainNature</v>
      </c>
      <c r="P223" s="284">
        <f t="shared" si="224"/>
        <v>0</v>
      </c>
      <c r="Q223" s="6">
        <f>IF(P223=0,0,COUNTIF(Q$214:$Q222,"&gt;0")+1)</f>
        <v>0</v>
      </c>
      <c r="R223" s="6"/>
      <c r="S223" s="6"/>
      <c r="T223" s="6" t="str">
        <f t="shared" si="227"/>
        <v/>
      </c>
      <c r="U223" s="284" t="str">
        <f t="shared" si="228"/>
        <v/>
      </c>
      <c r="V223" s="159" t="str">
        <f t="shared" ref="V223:V225" si="229">IFERROR(INDEX($J$226:$J$237,MATCH(U223,$I$226:$I$237,0),1),"")</f>
        <v/>
      </c>
      <c r="W223" s="159"/>
      <c r="X223" s="438" t="s">
        <v>613</v>
      </c>
      <c r="Y223" s="159">
        <f>IFERROR(INDEX(D03_Skills!$D$2:$R$19,MATCH(C_Variables!$X223,D03_Skills!$B$2:$B$19,0),MATCH(C_Variables!$V$214,D03_Skills!$D$1:$R$1,0)),0)</f>
        <v>0</v>
      </c>
      <c r="Z223" s="159">
        <f>IFERROR(INDEX(D03_Skills!$D$2:$R$19,MATCH(C_Variables!$X223,D03_Skills!$B$2:$B$19,0),MATCH(C_Variables!$V$215,D03_Skills!$D$1:$R$1,0)),0)</f>
        <v>0</v>
      </c>
      <c r="AA223" s="159">
        <f>IFERROR(INDEX(D03_Skills!$D$2:$R$19,MATCH(C_Variables!$X223,D03_Skills!$B$2:$B$19,0),MATCH(C_Variables!$V$216,D03_Skills!$D$1:$R$1,0)),0)</f>
        <v>0</v>
      </c>
      <c r="AB223" s="159">
        <f>IFERROR(INDEX(D03_Skills!$D$2:$R$19,MATCH(C_Variables!$X223,D03_Skills!$B$2:$B$19,0),MATCH(C_Variables!$V$217,D03_Skills!$D$1:$R$1,0)),0)</f>
        <v>0</v>
      </c>
      <c r="AC223" s="159">
        <f>IFERROR(INDEX(D03_Skills!$D$2:$R$19,MATCH(C_Variables!$X223,D03_Skills!$B$2:$B$19,0),MATCH(C_Variables!$V$218,D03_Skills!$D$1:$R$1,0)),0)</f>
        <v>0</v>
      </c>
      <c r="AD223" s="159">
        <f>IFERROR(INDEX(D03_Skills!$D$2:$R$19,MATCH(C_Variables!$X223,D03_Skills!$B$2:$B$19,0),MATCH(C_Variables!$V$219,D03_Skills!$D$1:$R$1,0)),0)</f>
        <v>0</v>
      </c>
      <c r="AE223" s="159">
        <f>IFERROR(INDEX(D03_Skills!$D$2:$R$19,MATCH(C_Variables!$X223,D03_Skills!$B$2:$B$19,0),MATCH(C_Variables!$V$220,D03_Skills!$D$1:$R$1,0)),0)</f>
        <v>0</v>
      </c>
      <c r="AF223" s="159">
        <f>IFERROR(INDEX(D03_Skills!$D$2:$R$19,MATCH(C_Variables!$X223,D03_Skills!$B$2:$B$19,0),MATCH(C_Variables!$V$221,D03_Skills!$D$1:$R$1,0)),0)</f>
        <v>0</v>
      </c>
      <c r="AG223" s="159">
        <f>IFERROR(INDEX(D03_Skills!$D$2:$R$19,MATCH(C_Variables!$X223,D03_Skills!$B$2:$B$19,0),MATCH(C_Variables!$V$222,D03_Skills!$D$1:$R$1,0)),0)</f>
        <v>0</v>
      </c>
      <c r="AH223" s="159">
        <f>IFERROR(INDEX(D03_Skills!$D$2:$R$19,MATCH(C_Variables!$X223,D03_Skills!$B$2:$B$19,0),MATCH(C_Variables!$V$223,D03_Skills!$D$1:$R$1,0)),0)</f>
        <v>0</v>
      </c>
      <c r="AI223" s="159">
        <f>IFERROR(INDEX(D03_Skills!$D$2:$R$19,MATCH(C_Variables!$X223,D03_Skills!$B$2:$B$19,0),MATCH(C_Variables!$V$224,D03_Skills!$D$1:$R$1,0)),0)</f>
        <v>0</v>
      </c>
      <c r="AJ223" s="159"/>
      <c r="AK223" s="159">
        <f t="shared" si="226"/>
        <v>0</v>
      </c>
      <c r="AL223" s="159"/>
      <c r="AM223" s="159"/>
      <c r="AN223" s="159"/>
      <c r="AO223" s="159"/>
      <c r="AP223" s="159"/>
      <c r="AQ223" s="159"/>
      <c r="AR223" s="159"/>
      <c r="AS223" s="159"/>
      <c r="AT223" s="159"/>
      <c r="AU223" s="159"/>
      <c r="AV223" s="159"/>
      <c r="AW223" s="159"/>
      <c r="AX223" s="159"/>
      <c r="AY223" s="159"/>
      <c r="AZ223" s="159"/>
      <c r="BA223" s="159"/>
      <c r="BB223" s="159"/>
      <c r="BC223" s="159"/>
      <c r="BD223" s="159"/>
      <c r="BE223" s="159"/>
      <c r="BF223" s="159"/>
      <c r="BG223" s="159"/>
      <c r="BH223" s="159"/>
      <c r="BI223" s="159"/>
      <c r="BJ223" s="159"/>
      <c r="BK223" s="159"/>
      <c r="BL223" s="159"/>
      <c r="BM223" s="159"/>
      <c r="BN223" s="159"/>
      <c r="BO223" s="159"/>
      <c r="BP223" s="159"/>
      <c r="BQ223" s="159"/>
      <c r="BR223" s="159"/>
      <c r="BS223" s="159"/>
      <c r="BT223" s="159"/>
      <c r="BU223" s="159"/>
      <c r="BV223" s="159"/>
      <c r="BW223" s="159"/>
      <c r="BX223" s="159"/>
      <c r="BY223" s="159"/>
      <c r="BZ223" s="159"/>
      <c r="CA223" s="159"/>
      <c r="CB223" s="159"/>
      <c r="CC223" s="159"/>
      <c r="CD223" s="159"/>
      <c r="CE223" s="159"/>
      <c r="CF223" s="159"/>
      <c r="CG223" s="159"/>
      <c r="CH223" s="159"/>
      <c r="CI223" s="159"/>
      <c r="CJ223" s="159"/>
      <c r="CK223" s="159"/>
      <c r="CL223" s="159"/>
      <c r="CM223" s="159"/>
      <c r="CN223" s="159"/>
      <c r="CO223" s="159"/>
      <c r="CP223" s="159"/>
      <c r="CQ223" s="159"/>
      <c r="CR223" s="159"/>
      <c r="CS223" s="159"/>
      <c r="CT223" s="159"/>
      <c r="CU223" s="159"/>
      <c r="CV223" s="159"/>
      <c r="CW223" s="159"/>
      <c r="CX223" s="159"/>
      <c r="CY223" s="159"/>
      <c r="CZ223" s="159"/>
      <c r="DA223" s="159"/>
      <c r="DB223" s="159"/>
      <c r="DC223" s="159"/>
      <c r="DD223" s="159"/>
      <c r="DE223" s="159"/>
      <c r="DF223" s="159"/>
      <c r="DG223" s="159"/>
      <c r="DH223" s="159"/>
      <c r="DI223" s="159"/>
      <c r="DJ223" s="159"/>
      <c r="DK223" s="180"/>
    </row>
    <row r="224" spans="1:115" ht="17.25" x14ac:dyDescent="0.35">
      <c r="A224" s="155">
        <f>IFERROR(IF(A223+1&lt;MAX(D041_ClassFeatures!$A$2:$A$2033),A223+1,""),"")</f>
        <v>221</v>
      </c>
      <c r="B224" s="153" t="str">
        <f>IFERROR(INDEX(D041_ClassFeatures!$B$2:$B$2033,MATCH(C_Variables!A224,D041_ClassFeatures!$A$2:$A$2033,0),1),"")</f>
        <v>Land's Stride</v>
      </c>
      <c r="C224" s="153">
        <f>IF(B224="",0,IF(IFERROR(MATCH(B224,C_Input!$BC$160:$BC$239,0),0)&gt;0,1,0))</f>
        <v>0</v>
      </c>
      <c r="G224" s="179"/>
      <c r="H224" s="6"/>
      <c r="I224" s="267">
        <v>11</v>
      </c>
      <c r="J224" s="418" t="s">
        <v>6930</v>
      </c>
      <c r="K224" s="6">
        <f>IFERROR(COUNTIF(C_Input!$A$166:$E$181,"Beguiling Influence")*18,0)</f>
        <v>0</v>
      </c>
      <c r="L224" s="6"/>
      <c r="M224" s="267">
        <v>11</v>
      </c>
      <c r="N224" s="284">
        <f t="shared" si="221"/>
        <v>0</v>
      </c>
      <c r="O224" s="267" t="str">
        <f t="shared" si="223"/>
        <v>DomainNature</v>
      </c>
      <c r="P224" s="284">
        <f t="shared" si="224"/>
        <v>0</v>
      </c>
      <c r="Q224" s="6">
        <f>IF(P224=0,0,COUNTIF(Q$214:$Q223,"&gt;0")+1)</f>
        <v>0</v>
      </c>
      <c r="R224" s="6"/>
      <c r="S224" s="6"/>
      <c r="T224" s="6" t="str">
        <f t="shared" si="227"/>
        <v/>
      </c>
      <c r="U224" s="284" t="str">
        <f t="shared" si="228"/>
        <v/>
      </c>
      <c r="V224" s="159" t="str">
        <f t="shared" si="229"/>
        <v/>
      </c>
      <c r="W224" s="159"/>
      <c r="X224" s="438" t="s">
        <v>614</v>
      </c>
      <c r="Y224" s="159">
        <f>IFERROR(INDEX(D03_Skills!$D$2:$R$19,MATCH(C_Variables!$X224,D03_Skills!$B$2:$B$19,0),MATCH(C_Variables!$V$214,D03_Skills!$D$1:$R$1,0)),0)</f>
        <v>1</v>
      </c>
      <c r="Z224" s="159">
        <f>IFERROR(INDEX(D03_Skills!$D$2:$R$19,MATCH(C_Variables!$X224,D03_Skills!$B$2:$B$19,0),MATCH(C_Variables!$V$215,D03_Skills!$D$1:$R$1,0)),0)</f>
        <v>0</v>
      </c>
      <c r="AA224" s="159">
        <f>IFERROR(INDEX(D03_Skills!$D$2:$R$19,MATCH(C_Variables!$X224,D03_Skills!$B$2:$B$19,0),MATCH(C_Variables!$V$216,D03_Skills!$D$1:$R$1,0)),0)</f>
        <v>0</v>
      </c>
      <c r="AB224" s="159">
        <f>IFERROR(INDEX(D03_Skills!$D$2:$R$19,MATCH(C_Variables!$X224,D03_Skills!$B$2:$B$19,0),MATCH(C_Variables!$V$217,D03_Skills!$D$1:$R$1,0)),0)</f>
        <v>0</v>
      </c>
      <c r="AC224" s="159">
        <f>IFERROR(INDEX(D03_Skills!$D$2:$R$19,MATCH(C_Variables!$X224,D03_Skills!$B$2:$B$19,0),MATCH(C_Variables!$V$218,D03_Skills!$D$1:$R$1,0)),0)</f>
        <v>0</v>
      </c>
      <c r="AD224" s="159">
        <f>IFERROR(INDEX(D03_Skills!$D$2:$R$19,MATCH(C_Variables!$X224,D03_Skills!$B$2:$B$19,0),MATCH(C_Variables!$V$219,D03_Skills!$D$1:$R$1,0)),0)</f>
        <v>0</v>
      </c>
      <c r="AE224" s="159">
        <f>IFERROR(INDEX(D03_Skills!$D$2:$R$19,MATCH(C_Variables!$X224,D03_Skills!$B$2:$B$19,0),MATCH(C_Variables!$V$220,D03_Skills!$D$1:$R$1,0)),0)</f>
        <v>0</v>
      </c>
      <c r="AF224" s="159">
        <f>IFERROR(INDEX(D03_Skills!$D$2:$R$19,MATCH(C_Variables!$X224,D03_Skills!$B$2:$B$19,0),MATCH(C_Variables!$V$221,D03_Skills!$D$1:$R$1,0)),0)</f>
        <v>0</v>
      </c>
      <c r="AG224" s="159">
        <f>IFERROR(INDEX(D03_Skills!$D$2:$R$19,MATCH(C_Variables!$X224,D03_Skills!$B$2:$B$19,0),MATCH(C_Variables!$V$222,D03_Skills!$D$1:$R$1,0)),0)</f>
        <v>0</v>
      </c>
      <c r="AH224" s="159">
        <f>IFERROR(INDEX(D03_Skills!$D$2:$R$19,MATCH(C_Variables!$X224,D03_Skills!$B$2:$B$19,0),MATCH(C_Variables!$V$223,D03_Skills!$D$1:$R$1,0)),0)</f>
        <v>0</v>
      </c>
      <c r="AI224" s="159">
        <f>IFERROR(INDEX(D03_Skills!$D$2:$R$19,MATCH(C_Variables!$X224,D03_Skills!$B$2:$B$19,0),MATCH(C_Variables!$V$224,D03_Skills!$D$1:$R$1,0)),0)</f>
        <v>0</v>
      </c>
      <c r="AJ224" s="159"/>
      <c r="AK224" s="159">
        <f t="shared" si="226"/>
        <v>0</v>
      </c>
      <c r="AL224" s="159"/>
      <c r="AM224" s="159"/>
      <c r="AN224" s="159"/>
      <c r="AO224" s="159"/>
      <c r="AP224" s="159"/>
      <c r="AQ224" s="159"/>
      <c r="AR224" s="159"/>
      <c r="AS224" s="159"/>
      <c r="AT224" s="159"/>
      <c r="AU224" s="159"/>
      <c r="AV224" s="159"/>
      <c r="AW224" s="159"/>
      <c r="AX224" s="159"/>
      <c r="AY224" s="159"/>
      <c r="AZ224" s="159"/>
      <c r="BA224" s="159"/>
      <c r="BB224" s="159"/>
      <c r="BC224" s="159"/>
      <c r="BD224" s="159"/>
      <c r="BE224" s="159"/>
      <c r="BF224" s="159"/>
      <c r="BG224" s="159"/>
      <c r="BH224" s="159"/>
      <c r="BI224" s="159"/>
      <c r="BJ224" s="159"/>
      <c r="BK224" s="159"/>
      <c r="BL224" s="159"/>
      <c r="BM224" s="159"/>
      <c r="BN224" s="159"/>
      <c r="BO224" s="159"/>
      <c r="BP224" s="159"/>
      <c r="BQ224" s="159"/>
      <c r="BR224" s="159"/>
      <c r="BS224" s="159"/>
      <c r="BT224" s="159"/>
      <c r="BU224" s="159"/>
      <c r="BV224" s="159"/>
      <c r="BW224" s="159"/>
      <c r="BX224" s="159"/>
      <c r="BY224" s="159"/>
      <c r="BZ224" s="159"/>
      <c r="CA224" s="159"/>
      <c r="CB224" s="159"/>
      <c r="CC224" s="159"/>
      <c r="CD224" s="159"/>
      <c r="CE224" s="159"/>
      <c r="CF224" s="159"/>
      <c r="CG224" s="159"/>
      <c r="CH224" s="159"/>
      <c r="CI224" s="159"/>
      <c r="CJ224" s="159"/>
      <c r="CK224" s="159"/>
      <c r="CL224" s="159"/>
      <c r="CM224" s="159"/>
      <c r="CN224" s="159"/>
      <c r="CO224" s="159"/>
      <c r="CP224" s="159"/>
      <c r="CQ224" s="159"/>
      <c r="CR224" s="159"/>
      <c r="CS224" s="159"/>
      <c r="CT224" s="159"/>
      <c r="CU224" s="159"/>
      <c r="CV224" s="159"/>
      <c r="CW224" s="159"/>
      <c r="CX224" s="159"/>
      <c r="CY224" s="159"/>
      <c r="CZ224" s="159"/>
      <c r="DA224" s="159"/>
      <c r="DB224" s="159"/>
      <c r="DC224" s="159"/>
      <c r="DD224" s="159"/>
      <c r="DE224" s="159"/>
      <c r="DF224" s="159"/>
      <c r="DG224" s="159"/>
      <c r="DH224" s="159"/>
      <c r="DI224" s="159"/>
      <c r="DJ224" s="159"/>
      <c r="DK224" s="180"/>
    </row>
    <row r="225" spans="1:115" ht="16.5" x14ac:dyDescent="0.3">
      <c r="A225" s="155">
        <f>IFERROR(IF(A224+1&lt;MAX(D041_ClassFeatures!$A$2:$A$2033),A224+1,""),"")</f>
        <v>222</v>
      </c>
      <c r="B225" s="153" t="str">
        <f>IFERROR(INDEX(D041_ClassFeatures!$B$2:$B$2033,MATCH(C_Variables!A225,D041_ClassFeatures!$A$2:$A$2033,0),1),"")</f>
        <v>Nature's Ward</v>
      </c>
      <c r="C225" s="153">
        <f>IF(B225="",0,IF(IFERROR(MATCH(B225,C_Input!$BC$160:$BC$239,0),0)&gt;0,1,0))</f>
        <v>0</v>
      </c>
      <c r="G225" s="179"/>
      <c r="H225" s="159"/>
      <c r="I225" s="500">
        <v>12</v>
      </c>
      <c r="J225" s="416" t="s">
        <v>2190</v>
      </c>
      <c r="K225" s="6">
        <f>IFERROR(COUNTIF(C_Input!$C$242:$E$273,"Skilled")*20,0)</f>
        <v>0</v>
      </c>
      <c r="L225" s="159"/>
      <c r="M225" s="267">
        <v>12</v>
      </c>
      <c r="N225" s="284">
        <f>SMALL($K$214:$K$225,M225)</f>
        <v>0</v>
      </c>
      <c r="O225" s="267" t="str">
        <f t="shared" ref="O225" si="230">INDEX($J$214:$J$224,MATCH(N225,$K$214:$K$224,0),1)</f>
        <v>DomainNature</v>
      </c>
      <c r="P225" s="284">
        <f t="shared" ref="P225" si="231">N225</f>
        <v>0</v>
      </c>
      <c r="Q225" s="6">
        <f>IF(P225=0,0,COUNTIF(Q$214:$Q224,"&gt;0")+1)</f>
        <v>0</v>
      </c>
      <c r="R225" s="159"/>
      <c r="S225" s="159"/>
      <c r="T225" s="6" t="str">
        <f>IFERROR(IF(T224&lt;MAX($Q$214:$Q$225),T224+1,""),"")</f>
        <v/>
      </c>
      <c r="U225" s="284" t="str">
        <f t="shared" si="228"/>
        <v/>
      </c>
      <c r="V225" s="159" t="str">
        <f t="shared" si="229"/>
        <v/>
      </c>
      <c r="W225" s="159"/>
      <c r="X225" s="438" t="s">
        <v>49</v>
      </c>
      <c r="Y225" s="159">
        <f>IFERROR(INDEX(D03_Skills!$D$2:$R$19,MATCH(C_Variables!$X225,D03_Skills!$B$2:$B$19,0),MATCH(C_Variables!$V$214,D03_Skills!$D$1:$R$1,0)),0)</f>
        <v>0</v>
      </c>
      <c r="Z225" s="159">
        <f>IFERROR(INDEX(D03_Skills!$D$2:$R$19,MATCH(C_Variables!$X225,D03_Skills!$B$2:$B$19,0),MATCH(C_Variables!$V$215,D03_Skills!$D$1:$R$1,0)),0)</f>
        <v>0</v>
      </c>
      <c r="AA225" s="159">
        <f>IFERROR(INDEX(D03_Skills!$D$2:$R$19,MATCH(C_Variables!$X225,D03_Skills!$B$2:$B$19,0),MATCH(C_Variables!$V$216,D03_Skills!$D$1:$R$1,0)),0)</f>
        <v>0</v>
      </c>
      <c r="AB225" s="159">
        <f>IFERROR(INDEX(D03_Skills!$D$2:$R$19,MATCH(C_Variables!$X225,D03_Skills!$B$2:$B$19,0),MATCH(C_Variables!$V$217,D03_Skills!$D$1:$R$1,0)),0)</f>
        <v>0</v>
      </c>
      <c r="AC225" s="159">
        <f>IFERROR(INDEX(D03_Skills!$D$2:$R$19,MATCH(C_Variables!$X225,D03_Skills!$B$2:$B$19,0),MATCH(C_Variables!$V$218,D03_Skills!$D$1:$R$1,0)),0)</f>
        <v>0</v>
      </c>
      <c r="AD225" s="159">
        <f>IFERROR(INDEX(D03_Skills!$D$2:$R$19,MATCH(C_Variables!$X225,D03_Skills!$B$2:$B$19,0),MATCH(C_Variables!$V$219,D03_Skills!$D$1:$R$1,0)),0)</f>
        <v>0</v>
      </c>
      <c r="AE225" s="159">
        <f>IFERROR(INDEX(D03_Skills!$D$2:$R$19,MATCH(C_Variables!$X225,D03_Skills!$B$2:$B$19,0),MATCH(C_Variables!$V$220,D03_Skills!$D$1:$R$1,0)),0)</f>
        <v>0</v>
      </c>
      <c r="AF225" s="159">
        <f>IFERROR(INDEX(D03_Skills!$D$2:$R$19,MATCH(C_Variables!$X225,D03_Skills!$B$2:$B$19,0),MATCH(C_Variables!$V$221,D03_Skills!$D$1:$R$1,0)),0)</f>
        <v>0</v>
      </c>
      <c r="AG225" s="159">
        <f>IFERROR(INDEX(D03_Skills!$D$2:$R$19,MATCH(C_Variables!$X225,D03_Skills!$B$2:$B$19,0),MATCH(C_Variables!$V$222,D03_Skills!$D$1:$R$1,0)),0)</f>
        <v>0</v>
      </c>
      <c r="AH225" s="159">
        <f>IFERROR(INDEX(D03_Skills!$D$2:$R$19,MATCH(C_Variables!$X225,D03_Skills!$B$2:$B$19,0),MATCH(C_Variables!$V$223,D03_Skills!$D$1:$R$1,0)),0)</f>
        <v>0</v>
      </c>
      <c r="AI225" s="159">
        <f>IFERROR(INDEX(D03_Skills!$D$2:$R$19,MATCH(C_Variables!$X225,D03_Skills!$B$2:$B$19,0),MATCH(C_Variables!$V$224,D03_Skills!$D$1:$R$1,0)),0)</f>
        <v>0</v>
      </c>
      <c r="AJ225" s="159"/>
      <c r="AK225" s="159">
        <f t="shared" si="226"/>
        <v>1</v>
      </c>
      <c r="AL225" s="159"/>
      <c r="AM225" s="159"/>
      <c r="AN225" s="159"/>
      <c r="AO225" s="159"/>
      <c r="AP225" s="159"/>
      <c r="AQ225" s="159"/>
      <c r="AR225" s="159"/>
      <c r="AS225" s="159"/>
      <c r="AT225" s="159"/>
      <c r="AU225" s="159"/>
      <c r="AV225" s="159"/>
      <c r="AW225" s="159"/>
      <c r="AX225" s="159"/>
      <c r="AY225" s="159"/>
      <c r="AZ225" s="159"/>
      <c r="BA225" s="159"/>
      <c r="BB225" s="159"/>
      <c r="BC225" s="159"/>
      <c r="BD225" s="159"/>
      <c r="BE225" s="159"/>
      <c r="BF225" s="159"/>
      <c r="BG225" s="159"/>
      <c r="BH225" s="159"/>
      <c r="BI225" s="159"/>
      <c r="BJ225" s="159"/>
      <c r="BK225" s="159"/>
      <c r="BL225" s="159"/>
      <c r="BM225" s="159"/>
      <c r="BN225" s="159"/>
      <c r="BO225" s="159"/>
      <c r="BP225" s="159"/>
      <c r="BQ225" s="159"/>
      <c r="BR225" s="159"/>
      <c r="BS225" s="159"/>
      <c r="BT225" s="159"/>
      <c r="BU225" s="159"/>
      <c r="BV225" s="159"/>
      <c r="BW225" s="159"/>
      <c r="BX225" s="159"/>
      <c r="BY225" s="159"/>
      <c r="BZ225" s="159"/>
      <c r="CA225" s="159"/>
      <c r="CB225" s="159"/>
      <c r="CC225" s="159"/>
      <c r="CD225" s="159"/>
      <c r="CE225" s="159"/>
      <c r="CF225" s="159"/>
      <c r="CG225" s="159"/>
      <c r="CH225" s="159"/>
      <c r="CI225" s="159"/>
      <c r="CJ225" s="159"/>
      <c r="CK225" s="159"/>
      <c r="CL225" s="159"/>
      <c r="CM225" s="159"/>
      <c r="CN225" s="159"/>
      <c r="CO225" s="159"/>
      <c r="CP225" s="159"/>
      <c r="CQ225" s="159"/>
      <c r="CR225" s="159"/>
      <c r="CS225" s="159"/>
      <c r="CT225" s="159"/>
      <c r="CU225" s="159"/>
      <c r="CV225" s="159"/>
      <c r="CW225" s="159"/>
      <c r="CX225" s="159"/>
      <c r="CY225" s="159"/>
      <c r="CZ225" s="159"/>
      <c r="DA225" s="159"/>
      <c r="DB225" s="159"/>
      <c r="DC225" s="159"/>
      <c r="DD225" s="159"/>
      <c r="DE225" s="159"/>
      <c r="DF225" s="159"/>
      <c r="DG225" s="159"/>
      <c r="DH225" s="159"/>
      <c r="DI225" s="159"/>
      <c r="DJ225" s="159"/>
      <c r="DK225" s="180"/>
    </row>
    <row r="226" spans="1:115" ht="16.5" x14ac:dyDescent="0.3">
      <c r="A226" s="155">
        <f>IFERROR(IF(A225+1&lt;MAX(D041_ClassFeatures!$A$2:$A$2033),A225+1,""),"")</f>
        <v>223</v>
      </c>
      <c r="B226" s="153" t="str">
        <f>IFERROR(INDEX(D041_ClassFeatures!$B$2:$B$2033,MATCH(C_Variables!A226,D041_ClassFeatures!$A$2:$A$2033,0),1),"")</f>
        <v>Nature's Sanctuary</v>
      </c>
      <c r="C226" s="153">
        <f>IF(B226="",0,IF(IFERROR(MATCH(B226,C_Input!$BC$160:$BC$239,0),0)&gt;0,1,0))</f>
        <v>0</v>
      </c>
      <c r="G226" s="179"/>
      <c r="H226" s="159"/>
      <c r="I226" s="416" t="s">
        <v>5562</v>
      </c>
      <c r="J226" s="159" t="s">
        <v>5545</v>
      </c>
      <c r="K226" s="159"/>
      <c r="L226" s="159"/>
      <c r="M226" s="159"/>
      <c r="N226" s="159"/>
      <c r="O226" s="159"/>
      <c r="P226" s="159"/>
      <c r="Q226" s="159"/>
      <c r="R226" s="159"/>
      <c r="S226" s="159"/>
      <c r="T226" s="159"/>
      <c r="U226" s="159"/>
      <c r="V226" s="159"/>
      <c r="W226" s="159"/>
      <c r="X226" s="438" t="s">
        <v>615</v>
      </c>
      <c r="Y226" s="159">
        <f>IFERROR(INDEX(D03_Skills!$D$2:$R$19,MATCH(C_Variables!$X226,D03_Skills!$B$2:$B$19,0),MATCH(C_Variables!$V$214,D03_Skills!$D$1:$R$1,0)),0)</f>
        <v>0</v>
      </c>
      <c r="Z226" s="159">
        <f>IFERROR(INDEX(D03_Skills!$D$2:$R$19,MATCH(C_Variables!$X226,D03_Skills!$B$2:$B$19,0),MATCH(C_Variables!$V$215,D03_Skills!$D$1:$R$1,0)),0)</f>
        <v>0</v>
      </c>
      <c r="AA226" s="159">
        <f>IFERROR(INDEX(D03_Skills!$D$2:$R$19,MATCH(C_Variables!$X226,D03_Skills!$B$2:$B$19,0),MATCH(C_Variables!$V$216,D03_Skills!$D$1:$R$1,0)),0)</f>
        <v>0</v>
      </c>
      <c r="AB226" s="159">
        <f>IFERROR(INDEX(D03_Skills!$D$2:$R$19,MATCH(C_Variables!$X226,D03_Skills!$B$2:$B$19,0),MATCH(C_Variables!$V$217,D03_Skills!$D$1:$R$1,0)),0)</f>
        <v>0</v>
      </c>
      <c r="AC226" s="159">
        <f>IFERROR(INDEX(D03_Skills!$D$2:$R$19,MATCH(C_Variables!$X226,D03_Skills!$B$2:$B$19,0),MATCH(C_Variables!$V$218,D03_Skills!$D$1:$R$1,0)),0)</f>
        <v>0</v>
      </c>
      <c r="AD226" s="159">
        <f>IFERROR(INDEX(D03_Skills!$D$2:$R$19,MATCH(C_Variables!$X226,D03_Skills!$B$2:$B$19,0),MATCH(C_Variables!$V$219,D03_Skills!$D$1:$R$1,0)),0)</f>
        <v>0</v>
      </c>
      <c r="AE226" s="159">
        <f>IFERROR(INDEX(D03_Skills!$D$2:$R$19,MATCH(C_Variables!$X226,D03_Skills!$B$2:$B$19,0),MATCH(C_Variables!$V$220,D03_Skills!$D$1:$R$1,0)),0)</f>
        <v>0</v>
      </c>
      <c r="AF226" s="159">
        <f>IFERROR(INDEX(D03_Skills!$D$2:$R$19,MATCH(C_Variables!$X226,D03_Skills!$B$2:$B$19,0),MATCH(C_Variables!$V$221,D03_Skills!$D$1:$R$1,0)),0)</f>
        <v>0</v>
      </c>
      <c r="AG226" s="159">
        <f>IFERROR(INDEX(D03_Skills!$D$2:$R$19,MATCH(C_Variables!$X226,D03_Skills!$B$2:$B$19,0),MATCH(C_Variables!$V$222,D03_Skills!$D$1:$R$1,0)),0)</f>
        <v>0</v>
      </c>
      <c r="AH226" s="159">
        <f>IFERROR(INDEX(D03_Skills!$D$2:$R$19,MATCH(C_Variables!$X226,D03_Skills!$B$2:$B$19,0),MATCH(C_Variables!$V$223,D03_Skills!$D$1:$R$1,0)),0)</f>
        <v>0</v>
      </c>
      <c r="AI226" s="159">
        <f>IFERROR(INDEX(D03_Skills!$D$2:$R$19,MATCH(C_Variables!$X226,D03_Skills!$B$2:$B$19,0),MATCH(C_Variables!$V$224,D03_Skills!$D$1:$R$1,0)),0)</f>
        <v>0</v>
      </c>
      <c r="AJ226" s="159"/>
      <c r="AK226" s="159">
        <f t="shared" si="226"/>
        <v>0</v>
      </c>
      <c r="AL226" s="159"/>
      <c r="AM226" s="159"/>
      <c r="AN226" s="159"/>
      <c r="AO226" s="159"/>
      <c r="AP226" s="159"/>
      <c r="AQ226" s="159"/>
      <c r="AR226" s="159"/>
      <c r="AS226" s="159"/>
      <c r="AT226" s="159"/>
      <c r="AU226" s="159"/>
      <c r="AV226" s="159"/>
      <c r="AW226" s="159"/>
      <c r="AX226" s="159"/>
      <c r="AY226" s="159"/>
      <c r="AZ226" s="159"/>
      <c r="BA226" s="159"/>
      <c r="BB226" s="159"/>
      <c r="BC226" s="159"/>
      <c r="BD226" s="159"/>
      <c r="BE226" s="159"/>
      <c r="BF226" s="159"/>
      <c r="BG226" s="159"/>
      <c r="BH226" s="159"/>
      <c r="BI226" s="159"/>
      <c r="BJ226" s="159"/>
      <c r="BK226" s="159"/>
      <c r="BL226" s="159"/>
      <c r="BM226" s="159"/>
      <c r="BN226" s="159"/>
      <c r="BO226" s="159"/>
      <c r="BP226" s="159"/>
      <c r="BQ226" s="159"/>
      <c r="BR226" s="159"/>
      <c r="BS226" s="159"/>
      <c r="BT226" s="159"/>
      <c r="BU226" s="159"/>
      <c r="BV226" s="159"/>
      <c r="BW226" s="159"/>
      <c r="BX226" s="159"/>
      <c r="BY226" s="159"/>
      <c r="BZ226" s="159"/>
      <c r="CA226" s="159"/>
      <c r="CB226" s="159"/>
      <c r="CC226" s="159"/>
      <c r="CD226" s="159"/>
      <c r="CE226" s="159"/>
      <c r="CF226" s="159"/>
      <c r="CG226" s="159"/>
      <c r="CH226" s="159"/>
      <c r="CI226" s="159"/>
      <c r="CJ226" s="159"/>
      <c r="CK226" s="159"/>
      <c r="CL226" s="159"/>
      <c r="CM226" s="159"/>
      <c r="CN226" s="159"/>
      <c r="CO226" s="159"/>
      <c r="CP226" s="159"/>
      <c r="CQ226" s="159"/>
      <c r="CR226" s="159"/>
      <c r="CS226" s="159"/>
      <c r="CT226" s="159"/>
      <c r="CU226" s="159"/>
      <c r="CV226" s="159"/>
      <c r="CW226" s="159"/>
      <c r="CX226" s="159"/>
      <c r="CY226" s="159"/>
      <c r="CZ226" s="159"/>
      <c r="DA226" s="159"/>
      <c r="DB226" s="159"/>
      <c r="DC226" s="159"/>
      <c r="DD226" s="159"/>
      <c r="DE226" s="159"/>
      <c r="DF226" s="159"/>
      <c r="DG226" s="159"/>
      <c r="DH226" s="159"/>
      <c r="DI226" s="159"/>
      <c r="DJ226" s="159"/>
      <c r="DK226" s="180"/>
    </row>
    <row r="227" spans="1:115" ht="16.5" x14ac:dyDescent="0.3">
      <c r="A227" s="155">
        <f>IFERROR(IF(A226+1&lt;MAX(D041_ClassFeatures!$A$2:$A$2033),A226+1,""),"")</f>
        <v>224</v>
      </c>
      <c r="B227" s="153" t="str">
        <f>IFERROR(INDEX(D041_ClassFeatures!$B$2:$B$2033,MATCH(C_Variables!A227,D041_ClassFeatures!$A$2:$A$2033,0),1),"")</f>
        <v>Combat Wild Shape</v>
      </c>
      <c r="C227" s="153">
        <f>IF(B227="",0,IF(IFERROR(MATCH(B227,C_Input!$BC$160:$BC$239,0),0)&gt;0,1,0))</f>
        <v>0</v>
      </c>
      <c r="G227" s="179"/>
      <c r="H227" s="159"/>
      <c r="I227" s="416" t="s">
        <v>5566</v>
      </c>
      <c r="J227" s="159" t="s">
        <v>5571</v>
      </c>
      <c r="K227" s="159"/>
      <c r="L227" s="159"/>
      <c r="M227" s="159"/>
      <c r="N227" s="159"/>
      <c r="O227" s="159"/>
      <c r="P227" s="159"/>
      <c r="Q227" s="159"/>
      <c r="R227" s="159"/>
      <c r="S227" s="159"/>
      <c r="T227" s="159"/>
      <c r="U227" s="159"/>
      <c r="V227" s="159"/>
      <c r="W227" s="159"/>
      <c r="X227" s="438" t="s">
        <v>616</v>
      </c>
      <c r="Y227" s="159">
        <f>IFERROR(INDEX(D03_Skills!$D$2:$R$19,MATCH(C_Variables!$X227,D03_Skills!$B$2:$B$19,0),MATCH(C_Variables!$V$214,D03_Skills!$D$1:$R$1,0)),0)</f>
        <v>0</v>
      </c>
      <c r="Z227" s="159">
        <f>IFERROR(INDEX(D03_Skills!$D$2:$R$19,MATCH(C_Variables!$X227,D03_Skills!$B$2:$B$19,0),MATCH(C_Variables!$V$215,D03_Skills!$D$1:$R$1,0)),0)</f>
        <v>0</v>
      </c>
      <c r="AA227" s="159">
        <f>IFERROR(INDEX(D03_Skills!$D$2:$R$19,MATCH(C_Variables!$X227,D03_Skills!$B$2:$B$19,0),MATCH(C_Variables!$V$216,D03_Skills!$D$1:$R$1,0)),0)</f>
        <v>0</v>
      </c>
      <c r="AB227" s="159">
        <f>IFERROR(INDEX(D03_Skills!$D$2:$R$19,MATCH(C_Variables!$X227,D03_Skills!$B$2:$B$19,0),MATCH(C_Variables!$V$217,D03_Skills!$D$1:$R$1,0)),0)</f>
        <v>0</v>
      </c>
      <c r="AC227" s="159">
        <f>IFERROR(INDEX(D03_Skills!$D$2:$R$19,MATCH(C_Variables!$X227,D03_Skills!$B$2:$B$19,0),MATCH(C_Variables!$V$218,D03_Skills!$D$1:$R$1,0)),0)</f>
        <v>0</v>
      </c>
      <c r="AD227" s="159">
        <f>IFERROR(INDEX(D03_Skills!$D$2:$R$19,MATCH(C_Variables!$X227,D03_Skills!$B$2:$B$19,0),MATCH(C_Variables!$V$219,D03_Skills!$D$1:$R$1,0)),0)</f>
        <v>0</v>
      </c>
      <c r="AE227" s="159">
        <f>IFERROR(INDEX(D03_Skills!$D$2:$R$19,MATCH(C_Variables!$X227,D03_Skills!$B$2:$B$19,0),MATCH(C_Variables!$V$220,D03_Skills!$D$1:$R$1,0)),0)</f>
        <v>0</v>
      </c>
      <c r="AF227" s="159">
        <f>IFERROR(INDEX(D03_Skills!$D$2:$R$19,MATCH(C_Variables!$X227,D03_Skills!$B$2:$B$19,0),MATCH(C_Variables!$V$221,D03_Skills!$D$1:$R$1,0)),0)</f>
        <v>0</v>
      </c>
      <c r="AG227" s="159">
        <f>IFERROR(INDEX(D03_Skills!$D$2:$R$19,MATCH(C_Variables!$X227,D03_Skills!$B$2:$B$19,0),MATCH(C_Variables!$V$222,D03_Skills!$D$1:$R$1,0)),0)</f>
        <v>0</v>
      </c>
      <c r="AH227" s="159">
        <f>IFERROR(INDEX(D03_Skills!$D$2:$R$19,MATCH(C_Variables!$X227,D03_Skills!$B$2:$B$19,0),MATCH(C_Variables!$V$223,D03_Skills!$D$1:$R$1,0)),0)</f>
        <v>0</v>
      </c>
      <c r="AI227" s="159">
        <f>IFERROR(INDEX(D03_Skills!$D$2:$R$19,MATCH(C_Variables!$X227,D03_Skills!$B$2:$B$19,0),MATCH(C_Variables!$V$224,D03_Skills!$D$1:$R$1,0)),0)</f>
        <v>0</v>
      </c>
      <c r="AJ227" s="159"/>
      <c r="AK227" s="159">
        <f t="shared" si="226"/>
        <v>0</v>
      </c>
      <c r="AL227" s="159"/>
      <c r="AM227" s="159"/>
      <c r="AN227" s="159"/>
      <c r="AO227" s="159"/>
      <c r="AP227" s="159"/>
      <c r="AQ227" s="159"/>
      <c r="AR227" s="159"/>
      <c r="AS227" s="159"/>
      <c r="AT227" s="159"/>
      <c r="AU227" s="159"/>
      <c r="AV227" s="159"/>
      <c r="AW227" s="159"/>
      <c r="AX227" s="159"/>
      <c r="AY227" s="159"/>
      <c r="AZ227" s="159"/>
      <c r="BA227" s="159"/>
      <c r="BB227" s="159"/>
      <c r="BC227" s="159"/>
      <c r="BD227" s="159"/>
      <c r="BE227" s="159"/>
      <c r="BF227" s="159"/>
      <c r="BG227" s="159"/>
      <c r="BH227" s="159"/>
      <c r="BI227" s="159"/>
      <c r="BJ227" s="159"/>
      <c r="BK227" s="159"/>
      <c r="BL227" s="159"/>
      <c r="BM227" s="159"/>
      <c r="BN227" s="159"/>
      <c r="BO227" s="159"/>
      <c r="BP227" s="159"/>
      <c r="BQ227" s="159"/>
      <c r="BR227" s="159"/>
      <c r="BS227" s="159"/>
      <c r="BT227" s="159"/>
      <c r="BU227" s="159"/>
      <c r="BV227" s="159"/>
      <c r="BW227" s="159"/>
      <c r="BX227" s="159"/>
      <c r="BY227" s="159"/>
      <c r="BZ227" s="159"/>
      <c r="CA227" s="159"/>
      <c r="CB227" s="159"/>
      <c r="CC227" s="159"/>
      <c r="CD227" s="159"/>
      <c r="CE227" s="159"/>
      <c r="CF227" s="159"/>
      <c r="CG227" s="159"/>
      <c r="CH227" s="159"/>
      <c r="CI227" s="159"/>
      <c r="CJ227" s="159"/>
      <c r="CK227" s="159"/>
      <c r="CL227" s="159"/>
      <c r="CM227" s="159"/>
      <c r="CN227" s="159"/>
      <c r="CO227" s="159"/>
      <c r="CP227" s="159"/>
      <c r="CQ227" s="159"/>
      <c r="CR227" s="159"/>
      <c r="CS227" s="159"/>
      <c r="CT227" s="159"/>
      <c r="CU227" s="159"/>
      <c r="CV227" s="159"/>
      <c r="CW227" s="159"/>
      <c r="CX227" s="159"/>
      <c r="CY227" s="159"/>
      <c r="CZ227" s="159"/>
      <c r="DA227" s="159"/>
      <c r="DB227" s="159"/>
      <c r="DC227" s="159"/>
      <c r="DD227" s="159"/>
      <c r="DE227" s="159"/>
      <c r="DF227" s="159"/>
      <c r="DG227" s="159"/>
      <c r="DH227" s="159"/>
      <c r="DI227" s="159"/>
      <c r="DJ227" s="159"/>
      <c r="DK227" s="180"/>
    </row>
    <row r="228" spans="1:115" ht="16.5" x14ac:dyDescent="0.3">
      <c r="A228" s="155">
        <f>IFERROR(IF(A227+1&lt;MAX(D041_ClassFeatures!$A$2:$A$2033),A227+1,""),"")</f>
        <v>225</v>
      </c>
      <c r="B228" s="153" t="str">
        <f>IFERROR(INDEX(D041_ClassFeatures!$B$2:$B$2033,MATCH(C_Variables!A228,D041_ClassFeatures!$A$2:$A$2033,0),1),"")</f>
        <v>Circle Forms</v>
      </c>
      <c r="C228" s="153">
        <f>IF(B228="",0,IF(IFERROR(MATCH(B228,C_Input!$BC$160:$BC$239,0),0)&gt;0,1,0))</f>
        <v>0</v>
      </c>
      <c r="G228" s="179"/>
      <c r="H228" s="159"/>
      <c r="I228" s="416" t="s">
        <v>5567</v>
      </c>
      <c r="J228" s="159"/>
      <c r="K228" s="159"/>
      <c r="L228" s="159"/>
      <c r="M228" s="159"/>
      <c r="N228" s="159"/>
      <c r="O228" s="159"/>
      <c r="P228" s="159"/>
      <c r="Q228" s="159"/>
      <c r="R228" s="159"/>
      <c r="S228" s="159"/>
      <c r="T228" s="159"/>
      <c r="U228" s="159"/>
      <c r="V228" s="159"/>
      <c r="W228" s="159"/>
      <c r="X228" s="159" t="s">
        <v>72</v>
      </c>
      <c r="Y228" s="159">
        <f>IFERROR(INDEX(D03_Skills!$D$2:$R$19,MATCH(C_Variables!$X228,D03_Skills!$B$2:$B$19,0),MATCH(C_Variables!$V$214,D03_Skills!$D$1:$R$1,0)),0)</f>
        <v>0</v>
      </c>
      <c r="Z228" s="159">
        <f>IFERROR(INDEX(D03_Skills!$D$2:$R$19,MATCH(C_Variables!$X228,D03_Skills!$B$2:$B$19,0),MATCH(C_Variables!$V$215,D03_Skills!$D$1:$R$1,0)),0)</f>
        <v>0</v>
      </c>
      <c r="AA228" s="159">
        <f>IFERROR(INDEX(D03_Skills!$D$2:$R$19,MATCH(C_Variables!$X228,D03_Skills!$B$2:$B$19,0),MATCH(C_Variables!$V$216,D03_Skills!$D$1:$R$1,0)),0)</f>
        <v>0</v>
      </c>
      <c r="AB228" s="159">
        <f>IFERROR(INDEX(D03_Skills!$D$2:$R$19,MATCH(C_Variables!$X228,D03_Skills!$B$2:$B$19,0),MATCH(C_Variables!$V$217,D03_Skills!$D$1:$R$1,0)),0)</f>
        <v>0</v>
      </c>
      <c r="AC228" s="159">
        <f>IFERROR(INDEX(D03_Skills!$D$2:$R$19,MATCH(C_Variables!$X228,D03_Skills!$B$2:$B$19,0),MATCH(C_Variables!$V$218,D03_Skills!$D$1:$R$1,0)),0)</f>
        <v>0</v>
      </c>
      <c r="AD228" s="159">
        <f>IFERROR(INDEX(D03_Skills!$D$2:$R$19,MATCH(C_Variables!$X228,D03_Skills!$B$2:$B$19,0),MATCH(C_Variables!$V$219,D03_Skills!$D$1:$R$1,0)),0)</f>
        <v>0</v>
      </c>
      <c r="AE228" s="159">
        <f>IFERROR(INDEX(D03_Skills!$D$2:$R$19,MATCH(C_Variables!$X228,D03_Skills!$B$2:$B$19,0),MATCH(C_Variables!$V$220,D03_Skills!$D$1:$R$1,0)),0)</f>
        <v>0</v>
      </c>
      <c r="AF228" s="159">
        <f>IFERROR(INDEX(D03_Skills!$D$2:$R$19,MATCH(C_Variables!$X228,D03_Skills!$B$2:$B$19,0),MATCH(C_Variables!$V$221,D03_Skills!$D$1:$R$1,0)),0)</f>
        <v>0</v>
      </c>
      <c r="AG228" s="159">
        <f>IFERROR(INDEX(D03_Skills!$D$2:$R$19,MATCH(C_Variables!$X228,D03_Skills!$B$2:$B$19,0),MATCH(C_Variables!$V$222,D03_Skills!$D$1:$R$1,0)),0)</f>
        <v>0</v>
      </c>
      <c r="AH228" s="159">
        <f>IFERROR(INDEX(D03_Skills!$D$2:$R$19,MATCH(C_Variables!$X228,D03_Skills!$B$2:$B$19,0),MATCH(C_Variables!$V$223,D03_Skills!$D$1:$R$1,0)),0)</f>
        <v>0</v>
      </c>
      <c r="AI228" s="159">
        <f>IFERROR(INDEX(D03_Skills!$D$2:$R$19,MATCH(C_Variables!$X228,D03_Skills!$B$2:$B$19,0),MATCH(C_Variables!$V$224,D03_Skills!$D$1:$R$1,0)),0)</f>
        <v>0</v>
      </c>
      <c r="AJ228" s="159"/>
      <c r="AK228" s="159">
        <f t="shared" si="226"/>
        <v>0</v>
      </c>
      <c r="AL228" s="159"/>
      <c r="AM228" s="159"/>
      <c r="AN228" s="159"/>
      <c r="AO228" s="159"/>
      <c r="AP228" s="159"/>
      <c r="AQ228" s="159"/>
      <c r="AR228" s="159"/>
      <c r="AS228" s="159"/>
      <c r="AT228" s="159"/>
      <c r="AU228" s="159"/>
      <c r="AV228" s="159"/>
      <c r="AW228" s="159"/>
      <c r="AX228" s="159"/>
      <c r="AY228" s="159"/>
      <c r="AZ228" s="159"/>
      <c r="BA228" s="159"/>
      <c r="BB228" s="159"/>
      <c r="BC228" s="159"/>
      <c r="BD228" s="159"/>
      <c r="BE228" s="159"/>
      <c r="BF228" s="159"/>
      <c r="BG228" s="159"/>
      <c r="BH228" s="159"/>
      <c r="BI228" s="159"/>
      <c r="BJ228" s="159"/>
      <c r="BK228" s="159"/>
      <c r="BL228" s="159"/>
      <c r="BM228" s="159"/>
      <c r="BN228" s="159"/>
      <c r="BO228" s="159"/>
      <c r="BP228" s="159"/>
      <c r="BQ228" s="159"/>
      <c r="BR228" s="159"/>
      <c r="BS228" s="159"/>
      <c r="BT228" s="159"/>
      <c r="BU228" s="159"/>
      <c r="BV228" s="159"/>
      <c r="BW228" s="159"/>
      <c r="BX228" s="159"/>
      <c r="BY228" s="159"/>
      <c r="BZ228" s="159"/>
      <c r="CA228" s="159"/>
      <c r="CB228" s="159"/>
      <c r="CC228" s="159"/>
      <c r="CD228" s="159"/>
      <c r="CE228" s="159"/>
      <c r="CF228" s="159"/>
      <c r="CG228" s="159"/>
      <c r="CH228" s="159"/>
      <c r="CI228" s="159"/>
      <c r="CJ228" s="159"/>
      <c r="CK228" s="159"/>
      <c r="CL228" s="159"/>
      <c r="CM228" s="159"/>
      <c r="CN228" s="159"/>
      <c r="CO228" s="159"/>
      <c r="CP228" s="159"/>
      <c r="CQ228" s="159"/>
      <c r="CR228" s="159"/>
      <c r="CS228" s="159"/>
      <c r="CT228" s="159"/>
      <c r="CU228" s="159"/>
      <c r="CV228" s="159"/>
      <c r="CW228" s="159"/>
      <c r="CX228" s="159"/>
      <c r="CY228" s="159"/>
      <c r="CZ228" s="159"/>
      <c r="DA228" s="159"/>
      <c r="DB228" s="159"/>
      <c r="DC228" s="159"/>
      <c r="DD228" s="159"/>
      <c r="DE228" s="159"/>
      <c r="DF228" s="159"/>
      <c r="DG228" s="159"/>
      <c r="DH228" s="159"/>
      <c r="DI228" s="159"/>
      <c r="DJ228" s="159"/>
      <c r="DK228" s="180"/>
    </row>
    <row r="229" spans="1:115" ht="16.5" x14ac:dyDescent="0.3">
      <c r="A229" s="155">
        <f>IFERROR(IF(A228+1&lt;MAX(D041_ClassFeatures!$A$2:$A$2033),A228+1,""),"")</f>
        <v>226</v>
      </c>
      <c r="B229" s="153" t="str">
        <f>IFERROR(INDEX(D041_ClassFeatures!$B$2:$B$2033,MATCH(C_Variables!A229,D041_ClassFeatures!$A$2:$A$2033,0),1),"")</f>
        <v>Primal Strike</v>
      </c>
      <c r="C229" s="153">
        <f>IF(B229="",0,IF(IFERROR(MATCH(B229,C_Input!$BC$160:$BC$239,0),0)&gt;0,1,0))</f>
        <v>0</v>
      </c>
      <c r="G229" s="179"/>
      <c r="H229" s="159"/>
      <c r="I229" s="6" t="s">
        <v>5563</v>
      </c>
      <c r="J229" s="159" t="s">
        <v>1112</v>
      </c>
      <c r="K229" s="159"/>
      <c r="L229" s="159"/>
      <c r="M229" s="159"/>
      <c r="N229" s="159"/>
      <c r="O229" s="159"/>
      <c r="P229" s="159"/>
      <c r="Q229" s="159"/>
      <c r="R229" s="159"/>
      <c r="S229" s="159"/>
      <c r="T229" s="159"/>
      <c r="U229" s="159"/>
      <c r="V229" s="159"/>
      <c r="W229" s="159"/>
      <c r="X229" s="159" t="s">
        <v>617</v>
      </c>
      <c r="Y229" s="159">
        <f>IFERROR(INDEX(D03_Skills!$D$2:$R$19,MATCH(C_Variables!$X229,D03_Skills!$B$2:$B$19,0),MATCH(C_Variables!$V$214,D03_Skills!$D$1:$R$1,0)),0)</f>
        <v>0</v>
      </c>
      <c r="Z229" s="159">
        <f>IFERROR(INDEX(D03_Skills!$D$2:$R$19,MATCH(C_Variables!$X229,D03_Skills!$B$2:$B$19,0),MATCH(C_Variables!$V$215,D03_Skills!$D$1:$R$1,0)),0)</f>
        <v>0</v>
      </c>
      <c r="AA229" s="159">
        <f>IFERROR(INDEX(D03_Skills!$D$2:$R$19,MATCH(C_Variables!$X229,D03_Skills!$B$2:$B$19,0),MATCH(C_Variables!$V$216,D03_Skills!$D$1:$R$1,0)),0)</f>
        <v>0</v>
      </c>
      <c r="AB229" s="159">
        <f>IFERROR(INDEX(D03_Skills!$D$2:$R$19,MATCH(C_Variables!$X229,D03_Skills!$B$2:$B$19,0),MATCH(C_Variables!$V$217,D03_Skills!$D$1:$R$1,0)),0)</f>
        <v>0</v>
      </c>
      <c r="AC229" s="159">
        <f>IFERROR(INDEX(D03_Skills!$D$2:$R$19,MATCH(C_Variables!$X229,D03_Skills!$B$2:$B$19,0),MATCH(C_Variables!$V$218,D03_Skills!$D$1:$R$1,0)),0)</f>
        <v>0</v>
      </c>
      <c r="AD229" s="159">
        <f>IFERROR(INDEX(D03_Skills!$D$2:$R$19,MATCH(C_Variables!$X229,D03_Skills!$B$2:$B$19,0),MATCH(C_Variables!$V$219,D03_Skills!$D$1:$R$1,0)),0)</f>
        <v>0</v>
      </c>
      <c r="AE229" s="159">
        <f>IFERROR(INDEX(D03_Skills!$D$2:$R$19,MATCH(C_Variables!$X229,D03_Skills!$B$2:$B$19,0),MATCH(C_Variables!$V$220,D03_Skills!$D$1:$R$1,0)),0)</f>
        <v>0</v>
      </c>
      <c r="AF229" s="159">
        <f>IFERROR(INDEX(D03_Skills!$D$2:$R$19,MATCH(C_Variables!$X229,D03_Skills!$B$2:$B$19,0),MATCH(C_Variables!$V$221,D03_Skills!$D$1:$R$1,0)),0)</f>
        <v>0</v>
      </c>
      <c r="AG229" s="159">
        <f>IFERROR(INDEX(D03_Skills!$D$2:$R$19,MATCH(C_Variables!$X229,D03_Skills!$B$2:$B$19,0),MATCH(C_Variables!$V$222,D03_Skills!$D$1:$R$1,0)),0)</f>
        <v>0</v>
      </c>
      <c r="AH229" s="159">
        <f>IFERROR(INDEX(D03_Skills!$D$2:$R$19,MATCH(C_Variables!$X229,D03_Skills!$B$2:$B$19,0),MATCH(C_Variables!$V$223,D03_Skills!$D$1:$R$1,0)),0)</f>
        <v>0</v>
      </c>
      <c r="AI229" s="159">
        <f>IFERROR(INDEX(D03_Skills!$D$2:$R$19,MATCH(C_Variables!$X229,D03_Skills!$B$2:$B$19,0),MATCH(C_Variables!$V$224,D03_Skills!$D$1:$R$1,0)),0)</f>
        <v>0</v>
      </c>
      <c r="AJ229" s="159"/>
      <c r="AK229" s="159">
        <f t="shared" si="226"/>
        <v>0</v>
      </c>
      <c r="AL229" s="159"/>
      <c r="AM229" s="159"/>
      <c r="AN229" s="159"/>
      <c r="AO229" s="159"/>
      <c r="AP229" s="159"/>
      <c r="AQ229" s="159"/>
      <c r="AR229" s="159"/>
      <c r="AS229" s="159"/>
      <c r="AT229" s="159"/>
      <c r="AU229" s="159"/>
      <c r="AV229" s="159"/>
      <c r="AW229" s="159"/>
      <c r="AX229" s="159"/>
      <c r="AY229" s="159"/>
      <c r="AZ229" s="159"/>
      <c r="BA229" s="159"/>
      <c r="BB229" s="159"/>
      <c r="BC229" s="159"/>
      <c r="BD229" s="159"/>
      <c r="BE229" s="159"/>
      <c r="BF229" s="159"/>
      <c r="BG229" s="159"/>
      <c r="BH229" s="159"/>
      <c r="BI229" s="159"/>
      <c r="BJ229" s="159"/>
      <c r="BK229" s="159"/>
      <c r="BL229" s="159"/>
      <c r="BM229" s="159"/>
      <c r="BN229" s="159"/>
      <c r="BO229" s="159"/>
      <c r="BP229" s="159"/>
      <c r="BQ229" s="159"/>
      <c r="BR229" s="159"/>
      <c r="BS229" s="159"/>
      <c r="BT229" s="159"/>
      <c r="BU229" s="159"/>
      <c r="BV229" s="159"/>
      <c r="BW229" s="159"/>
      <c r="BX229" s="159"/>
      <c r="BY229" s="159"/>
      <c r="BZ229" s="159"/>
      <c r="CA229" s="159"/>
      <c r="CB229" s="159"/>
      <c r="CC229" s="159"/>
      <c r="CD229" s="159"/>
      <c r="CE229" s="159"/>
      <c r="CF229" s="159"/>
      <c r="CG229" s="159"/>
      <c r="CH229" s="159"/>
      <c r="CI229" s="159"/>
      <c r="CJ229" s="159"/>
      <c r="CK229" s="159"/>
      <c r="CL229" s="159"/>
      <c r="CM229" s="159"/>
      <c r="CN229" s="159"/>
      <c r="CO229" s="159"/>
      <c r="CP229" s="159"/>
      <c r="CQ229" s="159"/>
      <c r="CR229" s="159"/>
      <c r="CS229" s="159"/>
      <c r="CT229" s="159"/>
      <c r="CU229" s="159"/>
      <c r="CV229" s="159"/>
      <c r="CW229" s="159"/>
      <c r="CX229" s="159"/>
      <c r="CY229" s="159"/>
      <c r="CZ229" s="159"/>
      <c r="DA229" s="159"/>
      <c r="DB229" s="159"/>
      <c r="DC229" s="159"/>
      <c r="DD229" s="159"/>
      <c r="DE229" s="159"/>
      <c r="DF229" s="159"/>
      <c r="DG229" s="159"/>
      <c r="DH229" s="159"/>
      <c r="DI229" s="159"/>
      <c r="DJ229" s="159"/>
      <c r="DK229" s="180"/>
    </row>
    <row r="230" spans="1:115" ht="16.5" x14ac:dyDescent="0.3">
      <c r="A230" s="155">
        <f>IFERROR(IF(A229+1&lt;MAX(D041_ClassFeatures!$A$2:$A$2033),A229+1,""),"")</f>
        <v>227</v>
      </c>
      <c r="B230" s="153" t="str">
        <f>IFERROR(INDEX(D041_ClassFeatures!$B$2:$B$2033,MATCH(C_Variables!A230,D041_ClassFeatures!$A$2:$A$2033,0),1),"")</f>
        <v>Elemental Wild Shape</v>
      </c>
      <c r="C230" s="153">
        <f>IF(B230="",0,IF(IFERROR(MATCH(B230,C_Input!$BC$160:$BC$239,0),0)&gt;0,1,0))</f>
        <v>0</v>
      </c>
      <c r="G230" s="179"/>
      <c r="H230" s="159"/>
      <c r="I230" s="416" t="s">
        <v>5564</v>
      </c>
      <c r="J230" s="159" t="s">
        <v>625</v>
      </c>
      <c r="K230" s="159"/>
      <c r="L230" s="159"/>
      <c r="M230" s="159"/>
      <c r="N230" s="159"/>
      <c r="O230" s="159"/>
      <c r="P230" s="159"/>
      <c r="Q230" s="159"/>
      <c r="R230" s="159"/>
      <c r="S230" s="159"/>
      <c r="T230" s="159"/>
      <c r="U230" s="159"/>
      <c r="V230" s="159"/>
      <c r="W230" s="159"/>
      <c r="X230" s="159" t="s">
        <v>75</v>
      </c>
      <c r="Y230" s="159">
        <f>IFERROR(INDEX(D03_Skills!$D$2:$R$19,MATCH(C_Variables!$X230,D03_Skills!$B$2:$B$19,0),MATCH(C_Variables!$V$214,D03_Skills!$D$1:$R$1,0)),0)</f>
        <v>0</v>
      </c>
      <c r="Z230" s="159">
        <f>IFERROR(INDEX(D03_Skills!$D$2:$R$19,MATCH(C_Variables!$X230,D03_Skills!$B$2:$B$19,0),MATCH(C_Variables!$V$215,D03_Skills!$D$1:$R$1,0)),0)</f>
        <v>0</v>
      </c>
      <c r="AA230" s="159">
        <f>IFERROR(INDEX(D03_Skills!$D$2:$R$19,MATCH(C_Variables!$X230,D03_Skills!$B$2:$B$19,0),MATCH(C_Variables!$V$216,D03_Skills!$D$1:$R$1,0)),0)</f>
        <v>0</v>
      </c>
      <c r="AB230" s="159">
        <f>IFERROR(INDEX(D03_Skills!$D$2:$R$19,MATCH(C_Variables!$X230,D03_Skills!$B$2:$B$19,0),MATCH(C_Variables!$V$217,D03_Skills!$D$1:$R$1,0)),0)</f>
        <v>0</v>
      </c>
      <c r="AC230" s="159">
        <f>IFERROR(INDEX(D03_Skills!$D$2:$R$19,MATCH(C_Variables!$X230,D03_Skills!$B$2:$B$19,0),MATCH(C_Variables!$V$218,D03_Skills!$D$1:$R$1,0)),0)</f>
        <v>0</v>
      </c>
      <c r="AD230" s="159">
        <f>IFERROR(INDEX(D03_Skills!$D$2:$R$19,MATCH(C_Variables!$X230,D03_Skills!$B$2:$B$19,0),MATCH(C_Variables!$V$219,D03_Skills!$D$1:$R$1,0)),0)</f>
        <v>0</v>
      </c>
      <c r="AE230" s="159">
        <f>IFERROR(INDEX(D03_Skills!$D$2:$R$19,MATCH(C_Variables!$X230,D03_Skills!$B$2:$B$19,0),MATCH(C_Variables!$V$220,D03_Skills!$D$1:$R$1,0)),0)</f>
        <v>0</v>
      </c>
      <c r="AF230" s="159">
        <f>IFERROR(INDEX(D03_Skills!$D$2:$R$19,MATCH(C_Variables!$X230,D03_Skills!$B$2:$B$19,0),MATCH(C_Variables!$V$221,D03_Skills!$D$1:$R$1,0)),0)</f>
        <v>0</v>
      </c>
      <c r="AG230" s="159">
        <f>IFERROR(INDEX(D03_Skills!$D$2:$R$19,MATCH(C_Variables!$X230,D03_Skills!$B$2:$B$19,0),MATCH(C_Variables!$V$222,D03_Skills!$D$1:$R$1,0)),0)</f>
        <v>0</v>
      </c>
      <c r="AH230" s="159">
        <f>IFERROR(INDEX(D03_Skills!$D$2:$R$19,MATCH(C_Variables!$X230,D03_Skills!$B$2:$B$19,0),MATCH(C_Variables!$V$223,D03_Skills!$D$1:$R$1,0)),0)</f>
        <v>0</v>
      </c>
      <c r="AI230" s="159">
        <f>IFERROR(INDEX(D03_Skills!$D$2:$R$19,MATCH(C_Variables!$X230,D03_Skills!$B$2:$B$19,0),MATCH(C_Variables!$V$224,D03_Skills!$D$1:$R$1,0)),0)</f>
        <v>0</v>
      </c>
      <c r="AJ230" s="159"/>
      <c r="AK230" s="159">
        <f t="shared" si="226"/>
        <v>1</v>
      </c>
      <c r="AL230" s="159"/>
      <c r="AM230" s="159"/>
      <c r="AN230" s="159"/>
      <c r="AO230" s="159"/>
      <c r="AP230" s="159"/>
      <c r="AQ230" s="159"/>
      <c r="AR230" s="159"/>
      <c r="AS230" s="159"/>
      <c r="AT230" s="159"/>
      <c r="AU230" s="159"/>
      <c r="AV230" s="159"/>
      <c r="AW230" s="159"/>
      <c r="AX230" s="159"/>
      <c r="AY230" s="159"/>
      <c r="AZ230" s="159"/>
      <c r="BA230" s="159"/>
      <c r="BB230" s="159"/>
      <c r="BC230" s="159"/>
      <c r="BD230" s="159"/>
      <c r="BE230" s="159"/>
      <c r="BF230" s="159"/>
      <c r="BG230" s="159"/>
      <c r="BH230" s="159"/>
      <c r="BI230" s="159"/>
      <c r="BJ230" s="159"/>
      <c r="BK230" s="159"/>
      <c r="BL230" s="159"/>
      <c r="BM230" s="159"/>
      <c r="BN230" s="159"/>
      <c r="BO230" s="159"/>
      <c r="BP230" s="159"/>
      <c r="BQ230" s="159"/>
      <c r="BR230" s="159"/>
      <c r="BS230" s="159"/>
      <c r="BT230" s="159"/>
      <c r="BU230" s="159"/>
      <c r="BV230" s="159"/>
      <c r="BW230" s="159"/>
      <c r="BX230" s="159"/>
      <c r="BY230" s="159"/>
      <c r="BZ230" s="159"/>
      <c r="CA230" s="159"/>
      <c r="CB230" s="159"/>
      <c r="CC230" s="159"/>
      <c r="CD230" s="159"/>
      <c r="CE230" s="159"/>
      <c r="CF230" s="159"/>
      <c r="CG230" s="159"/>
      <c r="CH230" s="159"/>
      <c r="CI230" s="159"/>
      <c r="CJ230" s="159"/>
      <c r="CK230" s="159"/>
      <c r="CL230" s="159"/>
      <c r="CM230" s="159"/>
      <c r="CN230" s="159"/>
      <c r="CO230" s="159"/>
      <c r="CP230" s="159"/>
      <c r="CQ230" s="159"/>
      <c r="CR230" s="159"/>
      <c r="CS230" s="159"/>
      <c r="CT230" s="159"/>
      <c r="CU230" s="159"/>
      <c r="CV230" s="159"/>
      <c r="CW230" s="159"/>
      <c r="CX230" s="159"/>
      <c r="CY230" s="159"/>
      <c r="CZ230" s="159"/>
      <c r="DA230" s="159"/>
      <c r="DB230" s="159"/>
      <c r="DC230" s="159"/>
      <c r="DD230" s="159"/>
      <c r="DE230" s="159"/>
      <c r="DF230" s="159"/>
      <c r="DG230" s="159"/>
      <c r="DH230" s="159"/>
      <c r="DI230" s="159"/>
      <c r="DJ230" s="159"/>
      <c r="DK230" s="180"/>
    </row>
    <row r="231" spans="1:115" ht="16.5" x14ac:dyDescent="0.3">
      <c r="A231" s="155">
        <f>IFERROR(IF(A230+1&lt;MAX(D041_ClassFeatures!$A$2:$A$2033),A230+1,""),"")</f>
        <v>228</v>
      </c>
      <c r="B231" s="153" t="str">
        <f>IFERROR(INDEX(D041_ClassFeatures!$B$2:$B$2033,MATCH(C_Variables!A231,D041_ClassFeatures!$A$2:$A$2033,0),1),"")</f>
        <v>Thousand Forms</v>
      </c>
      <c r="C231" s="153">
        <f>IF(B231="",0,IF(IFERROR(MATCH(B231,C_Input!$BC$160:$BC$239,0),0)&gt;0,1,0))</f>
        <v>0</v>
      </c>
      <c r="G231" s="179"/>
      <c r="H231" s="159"/>
      <c r="I231" s="416" t="s">
        <v>5565</v>
      </c>
      <c r="J231" s="159" t="s">
        <v>624</v>
      </c>
      <c r="K231" s="159"/>
      <c r="L231" s="159"/>
      <c r="M231" s="159"/>
      <c r="N231" s="159"/>
      <c r="O231" s="159"/>
      <c r="P231" s="159"/>
      <c r="Q231" s="159"/>
      <c r="R231" s="159"/>
      <c r="S231" s="159"/>
      <c r="T231" s="159"/>
      <c r="U231" s="159"/>
      <c r="V231" s="159"/>
      <c r="W231" s="159"/>
      <c r="X231" s="159" t="s">
        <v>80</v>
      </c>
      <c r="Y231" s="159">
        <f>IFERROR(INDEX(D03_Skills!$D$2:$R$19,MATCH(C_Variables!$X231,D03_Skills!$B$2:$B$19,0),MATCH(C_Variables!$V$214,D03_Skills!$D$1:$R$1,0)),0)</f>
        <v>1</v>
      </c>
      <c r="Z231" s="159">
        <f>IFERROR(INDEX(D03_Skills!$D$2:$R$19,MATCH(C_Variables!$X231,D03_Skills!$B$2:$B$19,0),MATCH(C_Variables!$V$215,D03_Skills!$D$1:$R$1,0)),0)</f>
        <v>0</v>
      </c>
      <c r="AA231" s="159">
        <f>IFERROR(INDEX(D03_Skills!$D$2:$R$19,MATCH(C_Variables!$X231,D03_Skills!$B$2:$B$19,0),MATCH(C_Variables!$V$216,D03_Skills!$D$1:$R$1,0)),0)</f>
        <v>0</v>
      </c>
      <c r="AB231" s="159">
        <f>IFERROR(INDEX(D03_Skills!$D$2:$R$19,MATCH(C_Variables!$X231,D03_Skills!$B$2:$B$19,0),MATCH(C_Variables!$V$217,D03_Skills!$D$1:$R$1,0)),0)</f>
        <v>0</v>
      </c>
      <c r="AC231" s="159">
        <f>IFERROR(INDEX(D03_Skills!$D$2:$R$19,MATCH(C_Variables!$X231,D03_Skills!$B$2:$B$19,0),MATCH(C_Variables!$V$218,D03_Skills!$D$1:$R$1,0)),0)</f>
        <v>0</v>
      </c>
      <c r="AD231" s="159">
        <f>IFERROR(INDEX(D03_Skills!$D$2:$R$19,MATCH(C_Variables!$X231,D03_Skills!$B$2:$B$19,0),MATCH(C_Variables!$V$219,D03_Skills!$D$1:$R$1,0)),0)</f>
        <v>0</v>
      </c>
      <c r="AE231" s="159">
        <f>IFERROR(INDEX(D03_Skills!$D$2:$R$19,MATCH(C_Variables!$X231,D03_Skills!$B$2:$B$19,0),MATCH(C_Variables!$V$220,D03_Skills!$D$1:$R$1,0)),0)</f>
        <v>0</v>
      </c>
      <c r="AF231" s="159">
        <f>IFERROR(INDEX(D03_Skills!$D$2:$R$19,MATCH(C_Variables!$X231,D03_Skills!$B$2:$B$19,0),MATCH(C_Variables!$V$221,D03_Skills!$D$1:$R$1,0)),0)</f>
        <v>0</v>
      </c>
      <c r="AG231" s="159">
        <f>IFERROR(INDEX(D03_Skills!$D$2:$R$19,MATCH(C_Variables!$X231,D03_Skills!$B$2:$B$19,0),MATCH(C_Variables!$V$222,D03_Skills!$D$1:$R$1,0)),0)</f>
        <v>0</v>
      </c>
      <c r="AH231" s="159">
        <f>IFERROR(INDEX(D03_Skills!$D$2:$R$19,MATCH(C_Variables!$X231,D03_Skills!$B$2:$B$19,0),MATCH(C_Variables!$V$223,D03_Skills!$D$1:$R$1,0)),0)</f>
        <v>0</v>
      </c>
      <c r="AI231" s="159">
        <f>IFERROR(INDEX(D03_Skills!$D$2:$R$19,MATCH(C_Variables!$X231,D03_Skills!$B$2:$B$19,0),MATCH(C_Variables!$V$224,D03_Skills!$D$1:$R$1,0)),0)</f>
        <v>0</v>
      </c>
      <c r="AJ231" s="159"/>
      <c r="AK231" s="159">
        <f t="shared" si="226"/>
        <v>0</v>
      </c>
      <c r="AL231" s="159"/>
      <c r="AM231" s="159"/>
      <c r="AN231" s="159"/>
      <c r="AO231" s="159"/>
      <c r="AP231" s="159"/>
      <c r="AQ231" s="159"/>
      <c r="AR231" s="159"/>
      <c r="AS231" s="159"/>
      <c r="AT231" s="159"/>
      <c r="AU231" s="159"/>
      <c r="AV231" s="159"/>
      <c r="AW231" s="159"/>
      <c r="AX231" s="159"/>
      <c r="AY231" s="159"/>
      <c r="AZ231" s="159"/>
      <c r="BA231" s="159"/>
      <c r="BB231" s="159"/>
      <c r="BC231" s="159"/>
      <c r="BD231" s="159"/>
      <c r="BE231" s="159"/>
      <c r="BF231" s="159"/>
      <c r="BG231" s="159"/>
      <c r="BH231" s="159"/>
      <c r="BI231" s="159"/>
      <c r="BJ231" s="159"/>
      <c r="BK231" s="159"/>
      <c r="BL231" s="159"/>
      <c r="BM231" s="159"/>
      <c r="BN231" s="159"/>
      <c r="BO231" s="159"/>
      <c r="BP231" s="159"/>
      <c r="BQ231" s="159"/>
      <c r="BR231" s="159"/>
      <c r="BS231" s="159"/>
      <c r="BT231" s="159"/>
      <c r="BU231" s="159"/>
      <c r="BV231" s="159"/>
      <c r="BW231" s="159"/>
      <c r="BX231" s="159"/>
      <c r="BY231" s="159"/>
      <c r="BZ231" s="159"/>
      <c r="CA231" s="159"/>
      <c r="CB231" s="159"/>
      <c r="CC231" s="159"/>
      <c r="CD231" s="159"/>
      <c r="CE231" s="159"/>
      <c r="CF231" s="159"/>
      <c r="CG231" s="159"/>
      <c r="CH231" s="159"/>
      <c r="CI231" s="159"/>
      <c r="CJ231" s="159"/>
      <c r="CK231" s="159"/>
      <c r="CL231" s="159"/>
      <c r="CM231" s="159"/>
      <c r="CN231" s="159"/>
      <c r="CO231" s="159"/>
      <c r="CP231" s="159"/>
      <c r="CQ231" s="159"/>
      <c r="CR231" s="159"/>
      <c r="CS231" s="159"/>
      <c r="CT231" s="159"/>
      <c r="CU231" s="159"/>
      <c r="CV231" s="159"/>
      <c r="CW231" s="159"/>
      <c r="CX231" s="159"/>
      <c r="CY231" s="159"/>
      <c r="CZ231" s="159"/>
      <c r="DA231" s="159"/>
      <c r="DB231" s="159"/>
      <c r="DC231" s="159"/>
      <c r="DD231" s="159"/>
      <c r="DE231" s="159"/>
      <c r="DF231" s="159"/>
      <c r="DG231" s="159"/>
      <c r="DH231" s="159"/>
      <c r="DI231" s="159"/>
      <c r="DJ231" s="159"/>
      <c r="DK231" s="180"/>
    </row>
    <row r="232" spans="1:115" ht="16.5" x14ac:dyDescent="0.3">
      <c r="A232" s="155">
        <f>IFERROR(IF(A231+1&lt;MAX(D041_ClassFeatures!$A$2:$A$2033),A231+1,""),"")</f>
        <v>229</v>
      </c>
      <c r="B232" s="153" t="str">
        <f>IFERROR(INDEX(D041_ClassFeatures!$B$2:$B$2033,MATCH(C_Variables!A232,D041_ClassFeatures!$A$2:$A$2033,0),1),"")</f>
        <v>Improved Criticals</v>
      </c>
      <c r="C232" s="153">
        <f>IF(B232="",0,IF(IFERROR(MATCH(B232,C_Input!$BC$160:$BC$239,0),0)&gt;0,1,0))</f>
        <v>0</v>
      </c>
      <c r="G232" s="179"/>
      <c r="H232" s="159"/>
      <c r="I232" s="416" t="s">
        <v>5568</v>
      </c>
      <c r="J232" s="159" t="s">
        <v>1112</v>
      </c>
      <c r="K232" s="159"/>
      <c r="L232" s="159"/>
      <c r="M232" s="159"/>
      <c r="N232" s="159"/>
      <c r="O232" s="159"/>
      <c r="P232" s="159"/>
      <c r="Q232" s="159"/>
      <c r="R232" s="159"/>
      <c r="S232" s="159"/>
      <c r="T232" s="159"/>
      <c r="U232" s="159"/>
      <c r="V232" s="159"/>
      <c r="W232" s="159"/>
      <c r="X232" s="159"/>
      <c r="Y232" s="159"/>
      <c r="Z232" s="159"/>
      <c r="AA232" s="159"/>
      <c r="AB232" s="159"/>
      <c r="AC232" s="159"/>
      <c r="AD232" s="159"/>
      <c r="AE232" s="159"/>
      <c r="AF232" s="159"/>
      <c r="AG232" s="159"/>
      <c r="AH232" s="159"/>
      <c r="AI232" s="159"/>
      <c r="AJ232" s="159"/>
      <c r="AK232" s="159"/>
      <c r="AL232" s="159"/>
      <c r="AM232" s="159"/>
      <c r="AN232" s="159"/>
      <c r="AO232" s="159"/>
      <c r="AP232" s="159"/>
      <c r="AQ232" s="159"/>
      <c r="AR232" s="159"/>
      <c r="AS232" s="159"/>
      <c r="AT232" s="159"/>
      <c r="AU232" s="159"/>
      <c r="AV232" s="159"/>
      <c r="AW232" s="159"/>
      <c r="AX232" s="159"/>
      <c r="AY232" s="159"/>
      <c r="AZ232" s="159"/>
      <c r="BA232" s="159"/>
      <c r="BB232" s="159"/>
      <c r="BC232" s="159"/>
      <c r="BD232" s="159"/>
      <c r="BE232" s="159"/>
      <c r="BF232" s="159"/>
      <c r="BG232" s="159"/>
      <c r="BH232" s="159"/>
      <c r="BI232" s="159"/>
      <c r="BJ232" s="159"/>
      <c r="BK232" s="159"/>
      <c r="BL232" s="159"/>
      <c r="BM232" s="159"/>
      <c r="BN232" s="159"/>
      <c r="BO232" s="159"/>
      <c r="BP232" s="159"/>
      <c r="BQ232" s="159"/>
      <c r="BR232" s="159"/>
      <c r="BS232" s="159"/>
      <c r="BT232" s="159"/>
      <c r="BU232" s="159"/>
      <c r="BV232" s="159"/>
      <c r="BW232" s="159"/>
      <c r="BX232" s="159"/>
      <c r="BY232" s="159"/>
      <c r="BZ232" s="159"/>
      <c r="CA232" s="159"/>
      <c r="CB232" s="159"/>
      <c r="CC232" s="159"/>
      <c r="CD232" s="159"/>
      <c r="CE232" s="159"/>
      <c r="CF232" s="159"/>
      <c r="CG232" s="159"/>
      <c r="CH232" s="159"/>
      <c r="CI232" s="159"/>
      <c r="CJ232" s="159"/>
      <c r="CK232" s="159"/>
      <c r="CL232" s="159"/>
      <c r="CM232" s="159"/>
      <c r="CN232" s="159"/>
      <c r="CO232" s="159"/>
      <c r="CP232" s="159"/>
      <c r="CQ232" s="159"/>
      <c r="CR232" s="159"/>
      <c r="CS232" s="159"/>
      <c r="CT232" s="159"/>
      <c r="CU232" s="159"/>
      <c r="CV232" s="159"/>
      <c r="CW232" s="159"/>
      <c r="CX232" s="159"/>
      <c r="CY232" s="159"/>
      <c r="CZ232" s="159"/>
      <c r="DA232" s="159"/>
      <c r="DB232" s="159"/>
      <c r="DC232" s="159"/>
      <c r="DD232" s="159"/>
      <c r="DE232" s="159"/>
      <c r="DF232" s="159"/>
      <c r="DG232" s="159"/>
      <c r="DH232" s="159"/>
      <c r="DI232" s="159"/>
      <c r="DJ232" s="159"/>
      <c r="DK232" s="180"/>
    </row>
    <row r="233" spans="1:115" ht="16.5" x14ac:dyDescent="0.3">
      <c r="A233" s="155">
        <f>IFERROR(IF(A232+1&lt;MAX(D041_ClassFeatures!$A$2:$A$2033),A232+1,""),"")</f>
        <v>230</v>
      </c>
      <c r="B233" s="153" t="str">
        <f>IFERROR(INDEX(D041_ClassFeatures!$B$2:$B$2033,MATCH(C_Variables!A233,D041_ClassFeatures!$A$2:$A$2033,0),1),"")</f>
        <v>Remarkable Athlete</v>
      </c>
      <c r="C233" s="153">
        <f>IF(B233="",0,IF(IFERROR(MATCH(B233,C_Input!$BC$160:$BC$239,0),0)&gt;0,1,0))</f>
        <v>0</v>
      </c>
      <c r="G233" s="179"/>
      <c r="H233" s="159"/>
      <c r="I233" s="416" t="s">
        <v>5569</v>
      </c>
      <c r="J233" s="159" t="s">
        <v>1112</v>
      </c>
      <c r="K233" s="159"/>
      <c r="L233" s="159"/>
      <c r="M233" s="159"/>
      <c r="N233" s="159"/>
      <c r="O233" s="159"/>
      <c r="P233" s="159"/>
      <c r="Q233" s="159"/>
      <c r="R233" s="159"/>
      <c r="S233" s="159"/>
      <c r="T233" s="159"/>
      <c r="U233" s="159"/>
      <c r="V233" s="159"/>
      <c r="W233" s="159"/>
      <c r="X233" s="159"/>
      <c r="Y233" s="159"/>
      <c r="Z233" s="159"/>
      <c r="AA233" s="159"/>
      <c r="AB233" s="159"/>
      <c r="AC233" s="159"/>
      <c r="AD233" s="159"/>
      <c r="AE233" s="159"/>
      <c r="AF233" s="159"/>
      <c r="AG233" s="159"/>
      <c r="AH233" s="159"/>
      <c r="AI233" s="159"/>
      <c r="AJ233" s="159"/>
      <c r="AK233" s="159"/>
      <c r="AL233" s="159"/>
      <c r="AM233" s="159"/>
      <c r="AN233" s="159"/>
      <c r="AO233" s="159"/>
      <c r="AP233" s="159"/>
      <c r="AQ233" s="159"/>
      <c r="AR233" s="159"/>
      <c r="AS233" s="159"/>
      <c r="AT233" s="159"/>
      <c r="AU233" s="159"/>
      <c r="AV233" s="159"/>
      <c r="AW233" s="159"/>
      <c r="AX233" s="159"/>
      <c r="AY233" s="159"/>
      <c r="AZ233" s="159"/>
      <c r="BA233" s="159"/>
      <c r="BB233" s="159"/>
      <c r="BC233" s="159"/>
      <c r="BD233" s="159"/>
      <c r="BE233" s="159"/>
      <c r="BF233" s="159"/>
      <c r="BG233" s="159"/>
      <c r="BH233" s="159"/>
      <c r="BI233" s="159"/>
      <c r="BJ233" s="159"/>
      <c r="BK233" s="159"/>
      <c r="BL233" s="159"/>
      <c r="BM233" s="159"/>
      <c r="BN233" s="159"/>
      <c r="BO233" s="159"/>
      <c r="BP233" s="159"/>
      <c r="BQ233" s="159"/>
      <c r="BR233" s="159"/>
      <c r="BS233" s="159"/>
      <c r="BT233" s="159"/>
      <c r="BU233" s="159"/>
      <c r="BV233" s="159"/>
      <c r="BW233" s="159"/>
      <c r="BX233" s="159"/>
      <c r="BY233" s="159"/>
      <c r="BZ233" s="159"/>
      <c r="CA233" s="159"/>
      <c r="CB233" s="159"/>
      <c r="CC233" s="159"/>
      <c r="CD233" s="159"/>
      <c r="CE233" s="159"/>
      <c r="CF233" s="159"/>
      <c r="CG233" s="159"/>
      <c r="CH233" s="159"/>
      <c r="CI233" s="159"/>
      <c r="CJ233" s="159"/>
      <c r="CK233" s="159"/>
      <c r="CL233" s="159"/>
      <c r="CM233" s="159"/>
      <c r="CN233" s="159"/>
      <c r="CO233" s="159"/>
      <c r="CP233" s="159"/>
      <c r="CQ233" s="159"/>
      <c r="CR233" s="159"/>
      <c r="CS233" s="159"/>
      <c r="CT233" s="159"/>
      <c r="CU233" s="159"/>
      <c r="CV233" s="159"/>
      <c r="CW233" s="159"/>
      <c r="CX233" s="159"/>
      <c r="CY233" s="159"/>
      <c r="CZ233" s="159"/>
      <c r="DA233" s="159"/>
      <c r="DB233" s="159"/>
      <c r="DC233" s="159"/>
      <c r="DD233" s="159"/>
      <c r="DE233" s="159"/>
      <c r="DF233" s="159"/>
      <c r="DG233" s="159"/>
      <c r="DH233" s="159"/>
      <c r="DI233" s="159"/>
      <c r="DJ233" s="159"/>
      <c r="DK233" s="180"/>
    </row>
    <row r="234" spans="1:115" ht="16.5" x14ac:dyDescent="0.3">
      <c r="A234" s="155">
        <f>IFERROR(IF(A233+1&lt;MAX(D041_ClassFeatures!$A$2:$A$2033),A233+1,""),"")</f>
        <v>231</v>
      </c>
      <c r="B234" s="153" t="str">
        <f>IFERROR(INDEX(D041_ClassFeatures!$B$2:$B$2033,MATCH(C_Variables!A234,D041_ClassFeatures!$A$2:$A$2033,0),1),"")</f>
        <v>Additional Fighting Style</v>
      </c>
      <c r="C234" s="153">
        <f>IF(B234="",0,IF(IFERROR(MATCH(B234,C_Input!$BC$160:$BC$239,0),0)&gt;0,1,0))</f>
        <v>0</v>
      </c>
      <c r="G234" s="179"/>
      <c r="H234" s="159"/>
      <c r="I234" s="416" t="s">
        <v>5570</v>
      </c>
      <c r="J234" s="159" t="s">
        <v>1112</v>
      </c>
      <c r="K234" s="159"/>
      <c r="L234" s="159"/>
      <c r="M234" s="159"/>
      <c r="N234" s="159"/>
      <c r="O234" s="159"/>
      <c r="P234" s="159"/>
      <c r="Q234" s="159"/>
      <c r="R234" s="159"/>
      <c r="S234" s="159"/>
      <c r="T234" s="159"/>
      <c r="U234" s="159"/>
      <c r="V234" s="159"/>
      <c r="W234" s="159"/>
      <c r="X234" s="159"/>
      <c r="Y234" s="159"/>
      <c r="Z234" s="159"/>
      <c r="AA234" s="159"/>
      <c r="AB234" s="159"/>
      <c r="AC234" s="159"/>
      <c r="AD234" s="159"/>
      <c r="AE234" s="159"/>
      <c r="AF234" s="159"/>
      <c r="AG234" s="159"/>
      <c r="AH234" s="159"/>
      <c r="AI234" s="159"/>
      <c r="AJ234" s="159"/>
      <c r="AK234" s="159"/>
      <c r="AL234" s="159"/>
      <c r="AM234" s="159"/>
      <c r="AN234" s="159"/>
      <c r="AO234" s="159"/>
      <c r="AP234" s="159"/>
      <c r="AQ234" s="159"/>
      <c r="AR234" s="159"/>
      <c r="AS234" s="159"/>
      <c r="AT234" s="159"/>
      <c r="AU234" s="159"/>
      <c r="AV234" s="159"/>
      <c r="AW234" s="159"/>
      <c r="AX234" s="159"/>
      <c r="AY234" s="159"/>
      <c r="AZ234" s="159"/>
      <c r="BA234" s="159"/>
      <c r="BB234" s="159"/>
      <c r="BC234" s="159"/>
      <c r="BD234" s="159"/>
      <c r="BE234" s="159"/>
      <c r="BF234" s="159"/>
      <c r="BG234" s="159"/>
      <c r="BH234" s="159"/>
      <c r="BI234" s="159"/>
      <c r="BJ234" s="159"/>
      <c r="BK234" s="159"/>
      <c r="BL234" s="159"/>
      <c r="BM234" s="159"/>
      <c r="BN234" s="159"/>
      <c r="BO234" s="159"/>
      <c r="BP234" s="159"/>
      <c r="BQ234" s="159"/>
      <c r="BR234" s="159"/>
      <c r="BS234" s="159"/>
      <c r="BT234" s="159"/>
      <c r="BU234" s="159"/>
      <c r="BV234" s="159"/>
      <c r="BW234" s="159"/>
      <c r="BX234" s="159"/>
      <c r="BY234" s="159"/>
      <c r="BZ234" s="159"/>
      <c r="CA234" s="159"/>
      <c r="CB234" s="159"/>
      <c r="CC234" s="159"/>
      <c r="CD234" s="159"/>
      <c r="CE234" s="159"/>
      <c r="CF234" s="159"/>
      <c r="CG234" s="159"/>
      <c r="CH234" s="159"/>
      <c r="CI234" s="159"/>
      <c r="CJ234" s="159"/>
      <c r="CK234" s="159"/>
      <c r="CL234" s="159"/>
      <c r="CM234" s="159"/>
      <c r="CN234" s="159"/>
      <c r="CO234" s="159"/>
      <c r="CP234" s="159"/>
      <c r="CQ234" s="159"/>
      <c r="CR234" s="159"/>
      <c r="CS234" s="159"/>
      <c r="CT234" s="159"/>
      <c r="CU234" s="159"/>
      <c r="CV234" s="159"/>
      <c r="CW234" s="159"/>
      <c r="CX234" s="159"/>
      <c r="CY234" s="159"/>
      <c r="CZ234" s="159"/>
      <c r="DA234" s="159"/>
      <c r="DB234" s="159"/>
      <c r="DC234" s="159"/>
      <c r="DD234" s="159"/>
      <c r="DE234" s="159"/>
      <c r="DF234" s="159"/>
      <c r="DG234" s="159"/>
      <c r="DH234" s="159"/>
      <c r="DI234" s="159"/>
      <c r="DJ234" s="159"/>
      <c r="DK234" s="180"/>
    </row>
    <row r="235" spans="1:115" ht="17.25" x14ac:dyDescent="0.35">
      <c r="A235" s="155">
        <f>IFERROR(IF(A234+1&lt;MAX(D041_ClassFeatures!$A$2:$A$2033),A234+1,""),"")</f>
        <v>232</v>
      </c>
      <c r="B235" s="153" t="str">
        <f>IFERROR(INDEX(D041_ClassFeatures!$B$2:$B$2033,MATCH(C_Variables!A235,D041_ClassFeatures!$A$2:$A$2033,0),1),"")</f>
        <v>Superior Critical</v>
      </c>
      <c r="C235" s="153">
        <f>IF(B235="",0,IF(IFERROR(MATCH(B235,C_Input!$BC$160:$BC$239,0),0)&gt;0,1,0))</f>
        <v>0</v>
      </c>
      <c r="G235" s="179"/>
      <c r="H235" s="159"/>
      <c r="I235" s="418" t="s">
        <v>6931</v>
      </c>
      <c r="J235" s="159" t="s">
        <v>6145</v>
      </c>
      <c r="K235" s="159"/>
      <c r="L235" s="159"/>
      <c r="M235" s="159"/>
      <c r="N235" s="159"/>
      <c r="O235" s="159"/>
      <c r="P235" s="159"/>
      <c r="Q235" s="159"/>
      <c r="R235" s="159"/>
      <c r="S235" s="159"/>
      <c r="T235" s="159"/>
      <c r="U235" s="159"/>
      <c r="V235" s="159"/>
      <c r="W235" s="159"/>
      <c r="X235" s="159"/>
      <c r="Y235" s="159"/>
      <c r="Z235" s="159"/>
      <c r="AA235" s="159"/>
      <c r="AB235" s="159"/>
      <c r="AC235" s="159"/>
      <c r="AD235" s="159"/>
      <c r="AE235" s="159"/>
      <c r="AF235" s="159"/>
      <c r="AG235" s="159"/>
      <c r="AH235" s="159"/>
      <c r="AI235" s="159"/>
      <c r="AJ235" s="159"/>
      <c r="AK235" s="159"/>
      <c r="AL235" s="159"/>
      <c r="AM235" s="159"/>
      <c r="AN235" s="159"/>
      <c r="AO235" s="159"/>
      <c r="AP235" s="159"/>
      <c r="AQ235" s="159"/>
      <c r="AR235" s="159"/>
      <c r="AS235" s="159"/>
      <c r="AT235" s="159"/>
      <c r="AU235" s="159"/>
      <c r="AV235" s="159"/>
      <c r="AW235" s="159"/>
      <c r="AX235" s="159"/>
      <c r="AY235" s="159"/>
      <c r="AZ235" s="159"/>
      <c r="BA235" s="159"/>
      <c r="BB235" s="159"/>
      <c r="BC235" s="159"/>
      <c r="BD235" s="159"/>
      <c r="BE235" s="159"/>
      <c r="BF235" s="159"/>
      <c r="BG235" s="159"/>
      <c r="BH235" s="159"/>
      <c r="BI235" s="159"/>
      <c r="BJ235" s="159"/>
      <c r="BK235" s="159"/>
      <c r="BL235" s="159"/>
      <c r="BM235" s="159"/>
      <c r="BN235" s="159"/>
      <c r="BO235" s="159"/>
      <c r="BP235" s="159"/>
      <c r="BQ235" s="159"/>
      <c r="BR235" s="159"/>
      <c r="BS235" s="159"/>
      <c r="BT235" s="159"/>
      <c r="BU235" s="159"/>
      <c r="BV235" s="159"/>
      <c r="BW235" s="159"/>
      <c r="BX235" s="159"/>
      <c r="BY235" s="159"/>
      <c r="BZ235" s="159"/>
      <c r="CA235" s="159"/>
      <c r="CB235" s="159"/>
      <c r="CC235" s="159"/>
      <c r="CD235" s="159"/>
      <c r="CE235" s="159"/>
      <c r="CF235" s="159"/>
      <c r="CG235" s="159"/>
      <c r="CH235" s="159"/>
      <c r="CI235" s="159"/>
      <c r="CJ235" s="159"/>
      <c r="CK235" s="159"/>
      <c r="CL235" s="159"/>
      <c r="CM235" s="159"/>
      <c r="CN235" s="159"/>
      <c r="CO235" s="159"/>
      <c r="CP235" s="159"/>
      <c r="CQ235" s="159"/>
      <c r="CR235" s="159"/>
      <c r="CS235" s="159"/>
      <c r="CT235" s="159"/>
      <c r="CU235" s="159"/>
      <c r="CV235" s="159"/>
      <c r="CW235" s="159"/>
      <c r="CX235" s="159"/>
      <c r="CY235" s="159"/>
      <c r="CZ235" s="159"/>
      <c r="DA235" s="159"/>
      <c r="DB235" s="159"/>
      <c r="DC235" s="159"/>
      <c r="DD235" s="159"/>
      <c r="DE235" s="159"/>
      <c r="DF235" s="159"/>
      <c r="DG235" s="159"/>
      <c r="DH235" s="159"/>
      <c r="DI235" s="159"/>
      <c r="DJ235" s="159"/>
      <c r="DK235" s="180"/>
    </row>
    <row r="236" spans="1:115" ht="17.25" x14ac:dyDescent="0.35">
      <c r="A236" s="155">
        <f>IFERROR(IF(A235+1&lt;MAX(D041_ClassFeatures!$A$2:$A$2033),A235+1,""),"")</f>
        <v>233</v>
      </c>
      <c r="B236" s="153" t="str">
        <f>IFERROR(INDEX(D041_ClassFeatures!$B$2:$B$2033,MATCH(C_Variables!A236,D041_ClassFeatures!$A$2:$A$2033,0),1),"")</f>
        <v>Survivor</v>
      </c>
      <c r="C236" s="153">
        <f>IF(B236="",0,IF(IFERROR(MATCH(B236,C_Input!$BC$160:$BC$239,0),0)&gt;0,1,0))</f>
        <v>0</v>
      </c>
      <c r="G236" s="179"/>
      <c r="H236" s="159"/>
      <c r="I236" s="418" t="s">
        <v>6930</v>
      </c>
      <c r="J236" s="159" t="s">
        <v>6145</v>
      </c>
      <c r="K236" s="159"/>
      <c r="L236" s="159"/>
      <c r="M236" s="159"/>
      <c r="N236" s="159"/>
      <c r="O236" s="159"/>
      <c r="P236" s="159"/>
      <c r="Q236" s="159"/>
      <c r="R236" s="159"/>
      <c r="S236" s="159"/>
      <c r="T236" s="159"/>
      <c r="U236" s="159"/>
      <c r="V236" s="159"/>
      <c r="W236" s="159"/>
      <c r="X236" s="159"/>
      <c r="Y236" s="159"/>
      <c r="Z236" s="159"/>
      <c r="AA236" s="159"/>
      <c r="AB236" s="159"/>
      <c r="AC236" s="159"/>
      <c r="AD236" s="159"/>
      <c r="AE236" s="159"/>
      <c r="AF236" s="159"/>
      <c r="AG236" s="159"/>
      <c r="AH236" s="159"/>
      <c r="AI236" s="159"/>
      <c r="AJ236" s="159"/>
      <c r="AK236" s="159"/>
      <c r="AL236" s="159"/>
      <c r="AM236" s="159"/>
      <c r="AN236" s="159"/>
      <c r="AO236" s="159"/>
      <c r="AP236" s="159"/>
      <c r="AQ236" s="159"/>
      <c r="AR236" s="159"/>
      <c r="AS236" s="159"/>
      <c r="AT236" s="159"/>
      <c r="AU236" s="159"/>
      <c r="AV236" s="159"/>
      <c r="AW236" s="159"/>
      <c r="AX236" s="159"/>
      <c r="AY236" s="159"/>
      <c r="AZ236" s="159"/>
      <c r="BA236" s="159"/>
      <c r="BB236" s="159"/>
      <c r="BC236" s="159"/>
      <c r="BD236" s="159"/>
      <c r="BE236" s="159"/>
      <c r="BF236" s="159"/>
      <c r="BG236" s="159"/>
      <c r="BH236" s="159"/>
      <c r="BI236" s="159"/>
      <c r="BJ236" s="159"/>
      <c r="BK236" s="159"/>
      <c r="BL236" s="159"/>
      <c r="BM236" s="159"/>
      <c r="BN236" s="159"/>
      <c r="BO236" s="159"/>
      <c r="BP236" s="159"/>
      <c r="BQ236" s="159"/>
      <c r="BR236" s="159"/>
      <c r="BS236" s="159"/>
      <c r="BT236" s="159"/>
      <c r="BU236" s="159"/>
      <c r="BV236" s="159"/>
      <c r="BW236" s="159"/>
      <c r="BX236" s="159"/>
      <c r="BY236" s="159"/>
      <c r="BZ236" s="159"/>
      <c r="CA236" s="159"/>
      <c r="CB236" s="159"/>
      <c r="CC236" s="159"/>
      <c r="CD236" s="159"/>
      <c r="CE236" s="159"/>
      <c r="CF236" s="159"/>
      <c r="CG236" s="159"/>
      <c r="CH236" s="159"/>
      <c r="CI236" s="159"/>
      <c r="CJ236" s="159"/>
      <c r="CK236" s="159"/>
      <c r="CL236" s="159"/>
      <c r="CM236" s="159"/>
      <c r="CN236" s="159"/>
      <c r="CO236" s="159"/>
      <c r="CP236" s="159"/>
      <c r="CQ236" s="159"/>
      <c r="CR236" s="159"/>
      <c r="CS236" s="159"/>
      <c r="CT236" s="159"/>
      <c r="CU236" s="159"/>
      <c r="CV236" s="159"/>
      <c r="CW236" s="159"/>
      <c r="CX236" s="159"/>
      <c r="CY236" s="159"/>
      <c r="CZ236" s="159"/>
      <c r="DA236" s="159"/>
      <c r="DB236" s="159"/>
      <c r="DC236" s="159"/>
      <c r="DD236" s="159"/>
      <c r="DE236" s="159"/>
      <c r="DF236" s="159"/>
      <c r="DG236" s="159"/>
      <c r="DH236" s="159"/>
      <c r="DI236" s="159"/>
      <c r="DJ236" s="159"/>
      <c r="DK236" s="180"/>
    </row>
    <row r="237" spans="1:115" ht="16.5" x14ac:dyDescent="0.3">
      <c r="A237" s="155">
        <f>IFERROR(IF(A236+1&lt;MAX(D041_ClassFeatures!$A$2:$A$2033),A236+1,""),"")</f>
        <v>234</v>
      </c>
      <c r="B237" s="153" t="str">
        <f>IFERROR(INDEX(D041_ClassFeatures!$B$2:$B$2033,MATCH(C_Variables!A237,D041_ClassFeatures!$A$2:$A$2033,0),1),"")</f>
        <v>Combat Superiority</v>
      </c>
      <c r="C237" s="153">
        <f>IF(B237="",0,IF(IFERROR(MATCH(B237,C_Input!$BC$160:$BC$239,0),0)&gt;0,1,0))</f>
        <v>0</v>
      </c>
      <c r="G237" s="179"/>
      <c r="H237" s="159"/>
      <c r="I237" s="416" t="s">
        <v>2190</v>
      </c>
      <c r="J237" s="159" t="s">
        <v>1112</v>
      </c>
      <c r="K237" s="159"/>
      <c r="L237" s="159"/>
      <c r="M237" s="159"/>
      <c r="N237" s="159"/>
      <c r="O237" s="159"/>
      <c r="P237" s="159"/>
      <c r="Q237" s="159"/>
      <c r="R237" s="159"/>
      <c r="S237" s="159"/>
      <c r="T237" s="159"/>
      <c r="U237" s="159"/>
      <c r="V237" s="159"/>
      <c r="W237" s="159"/>
      <c r="X237" s="159"/>
      <c r="Y237" s="159"/>
      <c r="Z237" s="159"/>
      <c r="AA237" s="159"/>
      <c r="AB237" s="159"/>
      <c r="AC237" s="159"/>
      <c r="AD237" s="159"/>
      <c r="AE237" s="159"/>
      <c r="AF237" s="159"/>
      <c r="AG237" s="159"/>
      <c r="AH237" s="159"/>
      <c r="AI237" s="159"/>
      <c r="AJ237" s="159"/>
      <c r="AK237" s="159"/>
      <c r="AL237" s="159"/>
      <c r="AM237" s="159"/>
      <c r="AN237" s="159"/>
      <c r="AO237" s="159"/>
      <c r="AP237" s="159"/>
      <c r="AQ237" s="159"/>
      <c r="AR237" s="159"/>
      <c r="AS237" s="159"/>
      <c r="AT237" s="159"/>
      <c r="AU237" s="159"/>
      <c r="AV237" s="159"/>
      <c r="AW237" s="159"/>
      <c r="AX237" s="159"/>
      <c r="AY237" s="159"/>
      <c r="AZ237" s="159"/>
      <c r="BA237" s="159"/>
      <c r="BB237" s="159"/>
      <c r="BC237" s="159"/>
      <c r="BD237" s="159"/>
      <c r="BE237" s="159"/>
      <c r="BF237" s="159"/>
      <c r="BG237" s="159"/>
      <c r="BH237" s="159"/>
      <c r="BI237" s="159"/>
      <c r="BJ237" s="159"/>
      <c r="BK237" s="159"/>
      <c r="BL237" s="159"/>
      <c r="BM237" s="159"/>
      <c r="BN237" s="159"/>
      <c r="BO237" s="159"/>
      <c r="BP237" s="159"/>
      <c r="BQ237" s="159"/>
      <c r="BR237" s="159"/>
      <c r="BS237" s="159"/>
      <c r="BT237" s="159"/>
      <c r="BU237" s="159"/>
      <c r="BV237" s="159"/>
      <c r="BW237" s="159"/>
      <c r="BX237" s="159"/>
      <c r="BY237" s="159"/>
      <c r="BZ237" s="159"/>
      <c r="CA237" s="159"/>
      <c r="CB237" s="159"/>
      <c r="CC237" s="159"/>
      <c r="CD237" s="159"/>
      <c r="CE237" s="159"/>
      <c r="CF237" s="159"/>
      <c r="CG237" s="159"/>
      <c r="CH237" s="159"/>
      <c r="CI237" s="159"/>
      <c r="CJ237" s="159"/>
      <c r="CK237" s="159"/>
      <c r="CL237" s="159"/>
      <c r="CM237" s="159"/>
      <c r="CN237" s="159"/>
      <c r="CO237" s="159"/>
      <c r="CP237" s="159"/>
      <c r="CQ237" s="159"/>
      <c r="CR237" s="159"/>
      <c r="CS237" s="159"/>
      <c r="CT237" s="159"/>
      <c r="CU237" s="159"/>
      <c r="CV237" s="159"/>
      <c r="CW237" s="159"/>
      <c r="CX237" s="159"/>
      <c r="CY237" s="159"/>
      <c r="CZ237" s="159"/>
      <c r="DA237" s="159"/>
      <c r="DB237" s="159"/>
      <c r="DC237" s="159"/>
      <c r="DD237" s="159"/>
      <c r="DE237" s="159"/>
      <c r="DF237" s="159"/>
      <c r="DG237" s="159"/>
      <c r="DH237" s="159"/>
      <c r="DI237" s="159"/>
      <c r="DJ237" s="159"/>
      <c r="DK237" s="180"/>
    </row>
    <row r="238" spans="1:115" ht="17.25" thickBot="1" x14ac:dyDescent="0.35">
      <c r="A238" s="155">
        <f>IFERROR(IF(A237+1&lt;MAX(D041_ClassFeatures!$A$2:$A$2033),A237+1,""),"")</f>
        <v>235</v>
      </c>
      <c r="B238" s="153" t="str">
        <f>IFERROR(INDEX(D041_ClassFeatures!$B$2:$B$2033,MATCH(C_Variables!A238,D041_ClassFeatures!$A$2:$A$2033,0),1),"")</f>
        <v>Student of War</v>
      </c>
      <c r="C238" s="153">
        <f>IF(B238="",0,IF(IFERROR(MATCH(B238,C_Input!$BC$160:$BC$239,0),0)&gt;0,1,0))</f>
        <v>0</v>
      </c>
      <c r="G238" s="181"/>
      <c r="H238" s="182"/>
      <c r="I238" s="182"/>
      <c r="J238" s="182"/>
      <c r="K238" s="182"/>
      <c r="L238" s="159"/>
      <c r="M238" s="159"/>
      <c r="N238" s="159"/>
      <c r="O238" s="182"/>
      <c r="P238" s="182"/>
      <c r="Q238" s="182"/>
      <c r="R238" s="182"/>
      <c r="S238" s="182"/>
      <c r="T238" s="182"/>
      <c r="U238" s="182"/>
      <c r="V238" s="182"/>
      <c r="W238" s="182"/>
      <c r="X238" s="182"/>
      <c r="Y238" s="182"/>
      <c r="Z238" s="182"/>
      <c r="AA238" s="182"/>
      <c r="AB238" s="182"/>
      <c r="AC238" s="182"/>
      <c r="AD238" s="182"/>
      <c r="AE238" s="182"/>
      <c r="AF238" s="182"/>
      <c r="AG238" s="182"/>
      <c r="AH238" s="182"/>
      <c r="AI238" s="182"/>
      <c r="AJ238" s="182"/>
      <c r="AK238" s="182"/>
      <c r="AL238" s="182"/>
      <c r="AM238" s="182"/>
      <c r="AN238" s="182"/>
      <c r="AO238" s="182"/>
      <c r="AP238" s="182"/>
      <c r="AQ238" s="182"/>
      <c r="AR238" s="182"/>
      <c r="AS238" s="182"/>
      <c r="AT238" s="182"/>
      <c r="AU238" s="182"/>
      <c r="AV238" s="182"/>
      <c r="AW238" s="182"/>
      <c r="AX238" s="182"/>
      <c r="AY238" s="182"/>
      <c r="AZ238" s="182"/>
      <c r="BA238" s="182"/>
      <c r="BB238" s="182"/>
      <c r="BC238" s="182"/>
      <c r="BD238" s="182"/>
      <c r="BE238" s="182"/>
      <c r="BF238" s="182"/>
      <c r="BG238" s="182"/>
      <c r="BH238" s="182"/>
      <c r="BI238" s="182"/>
      <c r="BJ238" s="182"/>
      <c r="BK238" s="182"/>
      <c r="BL238" s="182"/>
      <c r="BM238" s="182"/>
      <c r="BN238" s="182"/>
      <c r="BO238" s="182"/>
      <c r="BP238" s="182"/>
      <c r="BQ238" s="182"/>
      <c r="BR238" s="182"/>
      <c r="BS238" s="182"/>
      <c r="BT238" s="182"/>
      <c r="BU238" s="182"/>
      <c r="BV238" s="182"/>
      <c r="BW238" s="182"/>
      <c r="BX238" s="182"/>
      <c r="BY238" s="182"/>
      <c r="BZ238" s="182"/>
      <c r="CA238" s="182"/>
      <c r="CB238" s="182"/>
      <c r="CC238" s="182"/>
      <c r="CD238" s="182"/>
      <c r="CE238" s="182"/>
      <c r="CF238" s="182"/>
      <c r="CG238" s="182"/>
      <c r="CH238" s="182"/>
      <c r="CI238" s="182"/>
      <c r="CJ238" s="182"/>
      <c r="CK238" s="182"/>
      <c r="CL238" s="182"/>
      <c r="CM238" s="182"/>
      <c r="CN238" s="182"/>
      <c r="CO238" s="182"/>
      <c r="CP238" s="182"/>
      <c r="CQ238" s="182"/>
      <c r="CR238" s="182"/>
      <c r="CS238" s="182"/>
      <c r="CT238" s="182"/>
      <c r="CU238" s="182"/>
      <c r="CV238" s="182"/>
      <c r="CW238" s="182"/>
      <c r="CX238" s="182"/>
      <c r="CY238" s="182"/>
      <c r="CZ238" s="182"/>
      <c r="DA238" s="182"/>
      <c r="DB238" s="182"/>
      <c r="DC238" s="182"/>
      <c r="DD238" s="182"/>
      <c r="DE238" s="182"/>
      <c r="DF238" s="182"/>
      <c r="DG238" s="182"/>
      <c r="DH238" s="182"/>
      <c r="DI238" s="182"/>
      <c r="DJ238" s="182"/>
      <c r="DK238" s="183"/>
    </row>
    <row r="239" spans="1:115" ht="17.25" thickBot="1" x14ac:dyDescent="0.35">
      <c r="A239" s="155">
        <f>IFERROR(IF(A238+1&lt;MAX(D041_ClassFeatures!$A$2:$A$2033),A238+1,""),"")</f>
        <v>236</v>
      </c>
      <c r="B239" s="153" t="str">
        <f>IFERROR(INDEX(D041_ClassFeatures!$B$2:$B$2033,MATCH(C_Variables!A239,D041_ClassFeatures!$A$2:$A$2033,0),1),"")</f>
        <v>Know Your Enemy</v>
      </c>
      <c r="C239" s="153">
        <f>IF(B239="",0,IF(IFERROR(MATCH(B239,C_Input!$BC$160:$BC$239,0),0)&gt;0,1,0))</f>
        <v>0</v>
      </c>
      <c r="F239" s="483"/>
      <c r="G239" s="483"/>
      <c r="H239" s="483"/>
      <c r="I239" s="483"/>
      <c r="J239" s="483"/>
      <c r="K239" s="483"/>
      <c r="L239" s="483"/>
      <c r="M239" s="483"/>
      <c r="N239" s="483"/>
      <c r="O239" s="483"/>
      <c r="P239" s="483"/>
      <c r="Q239" s="483"/>
      <c r="R239" s="483"/>
      <c r="S239" s="483"/>
      <c r="T239" s="483"/>
      <c r="U239" s="483"/>
      <c r="V239" s="483"/>
      <c r="W239" s="483"/>
      <c r="X239" s="483"/>
      <c r="Y239" s="483"/>
      <c r="Z239" s="483"/>
      <c r="AA239" s="483"/>
      <c r="AB239" s="483"/>
      <c r="AC239" s="483"/>
      <c r="AD239" s="483"/>
      <c r="AE239" s="483"/>
      <c r="AF239" s="483"/>
      <c r="AG239" s="483"/>
      <c r="AH239" s="483"/>
      <c r="AI239" s="483"/>
      <c r="AJ239" s="483"/>
    </row>
    <row r="240" spans="1:115" ht="16.5" x14ac:dyDescent="0.3">
      <c r="A240" s="155">
        <f>IFERROR(IF(A239+1&lt;MAX(D041_ClassFeatures!$A$2:$A$2033),A239+1,""),"")</f>
        <v>237</v>
      </c>
      <c r="B240" s="153" t="str">
        <f>IFERROR(INDEX(D041_ClassFeatures!$B$2:$B$2033,MATCH(C_Variables!A240,D041_ClassFeatures!$A$2:$A$2033,0),1),"")</f>
        <v>Improved Combat Superiority (d10)</v>
      </c>
      <c r="C240" s="153">
        <f>IF(B240="",0,IF(IFERROR(MATCH(B240,C_Input!$BC$160:$BC$239,0),0)&gt;0,1,0))</f>
        <v>0</v>
      </c>
      <c r="F240" s="483"/>
      <c r="G240" s="176"/>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8"/>
      <c r="AJ240" s="483"/>
    </row>
    <row r="241" spans="1:36" ht="16.5" x14ac:dyDescent="0.3">
      <c r="A241" s="155">
        <f>IFERROR(IF(A240+1&lt;MAX(D041_ClassFeatures!$A$2:$A$2033),A240+1,""),"")</f>
        <v>238</v>
      </c>
      <c r="B241" s="153" t="str">
        <f>IFERROR(INDEX(D041_ClassFeatures!$B$2:$B$2033,MATCH(C_Variables!A241,D041_ClassFeatures!$A$2:$A$2033,0),1),"")</f>
        <v>Improved Combat Superiority (d12)</v>
      </c>
      <c r="C241" s="153">
        <f>IF(B241="",0,IF(IFERROR(MATCH(B241,C_Input!$BC$160:$BC$239,0),0)&gt;0,1,0))</f>
        <v>0</v>
      </c>
      <c r="F241" s="483"/>
      <c r="G241" s="480"/>
      <c r="H241" s="194"/>
      <c r="I241" s="194"/>
      <c r="J241" s="194"/>
      <c r="K241" s="194"/>
      <c r="L241" s="194" t="s">
        <v>4399</v>
      </c>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80"/>
      <c r="AJ241" s="483"/>
    </row>
    <row r="242" spans="1:36" ht="16.5" x14ac:dyDescent="0.3">
      <c r="A242" s="155">
        <f>IFERROR(IF(A241+1&lt;MAX(D041_ClassFeatures!$A$2:$A$2033),A241+1,""),"")</f>
        <v>239</v>
      </c>
      <c r="B242" s="153" t="str">
        <f>IFERROR(INDEX(D041_ClassFeatures!$B$2:$B$2033,MATCH(C_Variables!A242,D041_ClassFeatures!$A$2:$A$2033,0),1),"")</f>
        <v>Relentless</v>
      </c>
      <c r="C242" s="153">
        <f>IF(B242="",0,IF(IFERROR(MATCH(B242,C_Input!$BC$160:$BC$239,0),0)&gt;0,1,0))</f>
        <v>0</v>
      </c>
      <c r="F242" s="483"/>
      <c r="G242" s="480"/>
      <c r="H242" s="194"/>
      <c r="I242" s="194"/>
      <c r="J242" s="194"/>
      <c r="K242" s="1008" t="s">
        <v>4409</v>
      </c>
      <c r="L242" s="1008"/>
      <c r="M242" s="1008"/>
      <c r="N242" s="1008" t="s">
        <v>4408</v>
      </c>
      <c r="O242" s="1008"/>
      <c r="P242" s="1008"/>
      <c r="Q242" s="1008" t="s">
        <v>4407</v>
      </c>
      <c r="R242" s="1008"/>
      <c r="S242" s="1008"/>
      <c r="T242" s="1008" t="s">
        <v>4402</v>
      </c>
      <c r="U242" s="1008"/>
      <c r="V242" s="1008"/>
      <c r="W242" s="1008" t="s">
        <v>4403</v>
      </c>
      <c r="X242" s="1008"/>
      <c r="Y242" s="1008"/>
      <c r="Z242" s="1008" t="s">
        <v>4404</v>
      </c>
      <c r="AA242" s="1008"/>
      <c r="AB242" s="1008"/>
      <c r="AC242" s="1008" t="s">
        <v>4405</v>
      </c>
      <c r="AD242" s="1008"/>
      <c r="AE242" s="1008"/>
      <c r="AF242" s="1008" t="s">
        <v>4406</v>
      </c>
      <c r="AG242" s="1008"/>
      <c r="AH242" s="1008"/>
      <c r="AI242" s="180"/>
      <c r="AJ242" s="483"/>
    </row>
    <row r="243" spans="1:36" ht="16.5" x14ac:dyDescent="0.3">
      <c r="A243" s="155">
        <f>IFERROR(IF(A242+1&lt;MAX(D041_ClassFeatures!$A$2:$A$2033),A242+1,""),"")</f>
        <v>240</v>
      </c>
      <c r="B243" s="153" t="str">
        <f>IFERROR(INDEX(D041_ClassFeatures!$B$2:$B$2033,MATCH(C_Variables!A243,D041_ClassFeatures!$A$2:$A$2033,0),1),"")</f>
        <v>Weapon Bond</v>
      </c>
      <c r="C243" s="153">
        <f>IF(B243="",0,IF(IFERROR(MATCH(B243,C_Input!$BC$160:$BC$239,0),0)&gt;0,1,0))</f>
        <v>0</v>
      </c>
      <c r="F243" s="483"/>
      <c r="G243" s="480" t="str">
        <f>D03_Skills!B2</f>
        <v>Acrobatics</v>
      </c>
      <c r="H243" s="194">
        <f>AK214</f>
        <v>0</v>
      </c>
      <c r="I243" s="194"/>
      <c r="J243" s="194"/>
      <c r="K243" s="194">
        <f t="shared" ref="K243:K261" si="232">IF(H243&gt;0,1,0)</f>
        <v>0</v>
      </c>
      <c r="L243" s="194">
        <f>IF(K243=0,0,1)</f>
        <v>0</v>
      </c>
      <c r="M243" s="481">
        <f t="shared" ref="M243:M261" si="233">IF(Expertise1=$G243,1,0)</f>
        <v>0</v>
      </c>
      <c r="N243" s="194">
        <f t="shared" ref="N243:N261" si="234">K243-M243</f>
        <v>0</v>
      </c>
      <c r="O243" s="194">
        <f>IF(N243=0,0,1)</f>
        <v>0</v>
      </c>
      <c r="P243" s="481">
        <f t="shared" ref="P243:P261" si="235">IF(Expertise2=$G243,1,0)</f>
        <v>0</v>
      </c>
      <c r="Q243" s="194">
        <f t="shared" ref="Q243:Q261" si="236">N243-P243</f>
        <v>0</v>
      </c>
      <c r="R243" s="194">
        <f>IF(Q243=0,0,1)</f>
        <v>0</v>
      </c>
      <c r="S243" s="481">
        <f t="shared" ref="S243:S261" si="237">IF(Expertise3=$G243,1,0)</f>
        <v>0</v>
      </c>
      <c r="T243" s="194">
        <f t="shared" ref="T243:T261" si="238">Q243-S243</f>
        <v>0</v>
      </c>
      <c r="U243" s="194">
        <f>IF(T243=0,0,1)</f>
        <v>0</v>
      </c>
      <c r="V243" s="481">
        <f t="shared" ref="V243:V261" si="239">IF(Expertise4=$G243,1,0)</f>
        <v>0</v>
      </c>
      <c r="W243" s="194">
        <f t="shared" ref="W243:W261" si="240">T243-V243</f>
        <v>0</v>
      </c>
      <c r="X243" s="194">
        <f>IF(W243=0,0,1)</f>
        <v>0</v>
      </c>
      <c r="Y243" s="481">
        <f t="shared" ref="Y243:Y261" si="241">IF(Expertise5=$G243,1,0)</f>
        <v>0</v>
      </c>
      <c r="Z243" s="194">
        <f t="shared" ref="Z243:Z261" si="242">W243-Y243</f>
        <v>0</v>
      </c>
      <c r="AA243" s="194">
        <f>IF(Z243=0,0,1)</f>
        <v>0</v>
      </c>
      <c r="AB243" s="481">
        <f t="shared" ref="AB243:AB261" si="243">IF(Expertise6=$G243,1,0)</f>
        <v>0</v>
      </c>
      <c r="AC243" s="194">
        <f t="shared" ref="AC243:AC261" si="244">Z243-AB243</f>
        <v>0</v>
      </c>
      <c r="AD243" s="194">
        <f>IF(AC243=0,0,1)</f>
        <v>0</v>
      </c>
      <c r="AE243" s="481">
        <f t="shared" ref="AE243:AE261" si="245">IF(Expertise7=$G243,1,0)</f>
        <v>0</v>
      </c>
      <c r="AF243" s="194">
        <f t="shared" ref="AF243:AF261" si="246">AC243-AE243</f>
        <v>0</v>
      </c>
      <c r="AG243" s="194">
        <f>IF(AF243=0,0,1)</f>
        <v>0</v>
      </c>
      <c r="AH243" s="481">
        <f t="shared" ref="AH243:AH261" si="247">IF(Expertise8=$G243,1,0)</f>
        <v>0</v>
      </c>
      <c r="AI243" s="180"/>
      <c r="AJ243" s="483"/>
    </row>
    <row r="244" spans="1:36" ht="16.5" x14ac:dyDescent="0.3">
      <c r="A244" s="155">
        <f>IFERROR(IF(A243+1&lt;MAX(D041_ClassFeatures!$A$2:$A$2033),A243+1,""),"")</f>
        <v>241</v>
      </c>
      <c r="B244" s="153" t="str">
        <f>IFERROR(INDEX(D041_ClassFeatures!$B$2:$B$2033,MATCH(C_Variables!A244,D041_ClassFeatures!$A$2:$A$2033,0),1),"")</f>
        <v>War Magic</v>
      </c>
      <c r="C244" s="153">
        <f>IF(B244="",0,IF(IFERROR(MATCH(B244,C_Input!$BC$160:$BC$239,0),0)&gt;0,1,0))</f>
        <v>0</v>
      </c>
      <c r="F244" s="483"/>
      <c r="G244" s="480" t="str">
        <f>D03_Skills!B3</f>
        <v>Animal Handling</v>
      </c>
      <c r="H244" s="194">
        <f t="shared" ref="H244:H260" si="248">AK215</f>
        <v>0</v>
      </c>
      <c r="I244" s="194"/>
      <c r="J244" s="194"/>
      <c r="K244" s="194">
        <f t="shared" si="232"/>
        <v>0</v>
      </c>
      <c r="L244" s="167">
        <f>IF(K244=0,0,K244+COUNTIF(L$243:L243,"&gt;0"))</f>
        <v>0</v>
      </c>
      <c r="M244" s="481">
        <f t="shared" si="233"/>
        <v>0</v>
      </c>
      <c r="N244" s="194">
        <f t="shared" si="234"/>
        <v>0</v>
      </c>
      <c r="O244" s="167">
        <f>IF(N244=0,0,N244+COUNTIF(O$243:O243,"&gt;0"))</f>
        <v>0</v>
      </c>
      <c r="P244" s="481">
        <f t="shared" si="235"/>
        <v>0</v>
      </c>
      <c r="Q244" s="194">
        <f t="shared" si="236"/>
        <v>0</v>
      </c>
      <c r="R244" s="167">
        <f>IF(Q244=0,0,Q244+COUNTIF(R$243:R243,"&gt;0"))</f>
        <v>0</v>
      </c>
      <c r="S244" s="481">
        <f t="shared" si="237"/>
        <v>0</v>
      </c>
      <c r="T244" s="194">
        <f t="shared" si="238"/>
        <v>0</v>
      </c>
      <c r="U244" s="167">
        <f>IF(T244=0,0,T244+COUNTIF(U$243:U243,"&gt;0"))</f>
        <v>0</v>
      </c>
      <c r="V244" s="481">
        <f t="shared" si="239"/>
        <v>0</v>
      </c>
      <c r="W244" s="194">
        <f t="shared" si="240"/>
        <v>0</v>
      </c>
      <c r="X244" s="167">
        <f>IF(W244=0,0,W244+COUNTIF(X$243:X243,"&gt;0"))</f>
        <v>0</v>
      </c>
      <c r="Y244" s="481">
        <f t="shared" si="241"/>
        <v>0</v>
      </c>
      <c r="Z244" s="194">
        <f t="shared" si="242"/>
        <v>0</v>
      </c>
      <c r="AA244" s="167">
        <f>IF(Z244=0,0,Z244+COUNTIF(AA$243:AA243,"&gt;0"))</f>
        <v>0</v>
      </c>
      <c r="AB244" s="481">
        <f t="shared" si="243"/>
        <v>0</v>
      </c>
      <c r="AC244" s="194">
        <f t="shared" si="244"/>
        <v>0</v>
      </c>
      <c r="AD244" s="167">
        <f>IF(AC244=0,0,AC244+COUNTIF(AD$243:AD243,"&gt;0"))</f>
        <v>0</v>
      </c>
      <c r="AE244" s="481">
        <f t="shared" si="245"/>
        <v>0</v>
      </c>
      <c r="AF244" s="194">
        <f t="shared" si="246"/>
        <v>0</v>
      </c>
      <c r="AG244" s="167">
        <f>IF(AF244=0,0,AF244+COUNTIF(AG$243:AG243,"&gt;0"))</f>
        <v>0</v>
      </c>
      <c r="AH244" s="481">
        <f t="shared" si="247"/>
        <v>0</v>
      </c>
      <c r="AI244" s="180"/>
      <c r="AJ244" s="483"/>
    </row>
    <row r="245" spans="1:36" ht="16.5" x14ac:dyDescent="0.3">
      <c r="A245" s="155">
        <f>IFERROR(IF(A244+1&lt;MAX(D041_ClassFeatures!$A$2:$A$2033),A244+1,""),"")</f>
        <v>242</v>
      </c>
      <c r="B245" s="153" t="str">
        <f>IFERROR(INDEX(D041_ClassFeatures!$B$2:$B$2033,MATCH(C_Variables!A245,D041_ClassFeatures!$A$2:$A$2033,0),1),"")</f>
        <v>Eldritch Strike</v>
      </c>
      <c r="C245" s="153">
        <f>IF(B245="",0,IF(IFERROR(MATCH(B245,C_Input!$BC$160:$BC$239,0),0)&gt;0,1,0))</f>
        <v>0</v>
      </c>
      <c r="F245" s="483"/>
      <c r="G245" s="480" t="str">
        <f>D03_Skills!B4</f>
        <v>Arcana</v>
      </c>
      <c r="H245" s="194">
        <f t="shared" si="248"/>
        <v>0</v>
      </c>
      <c r="I245" s="194"/>
      <c r="J245" s="194"/>
      <c r="K245" s="194">
        <f t="shared" si="232"/>
        <v>0</v>
      </c>
      <c r="L245" s="167">
        <f>IF(K245=0,0,K245+COUNTIF(L$243:L244,"&gt;0"))</f>
        <v>0</v>
      </c>
      <c r="M245" s="481">
        <f t="shared" si="233"/>
        <v>0</v>
      </c>
      <c r="N245" s="194">
        <f t="shared" si="234"/>
        <v>0</v>
      </c>
      <c r="O245" s="167">
        <f>IF(N245=0,0,N245+COUNTIF(O$243:O244,"&gt;0"))</f>
        <v>0</v>
      </c>
      <c r="P245" s="481">
        <f t="shared" si="235"/>
        <v>0</v>
      </c>
      <c r="Q245" s="194">
        <f t="shared" si="236"/>
        <v>0</v>
      </c>
      <c r="R245" s="167">
        <f>IF(Q245=0,0,Q245+COUNTIF(R$243:R244,"&gt;0"))</f>
        <v>0</v>
      </c>
      <c r="S245" s="481">
        <f t="shared" si="237"/>
        <v>0</v>
      </c>
      <c r="T245" s="194">
        <f t="shared" si="238"/>
        <v>0</v>
      </c>
      <c r="U245" s="167">
        <f>IF(T245=0,0,T245+COUNTIF(U$243:U244,"&gt;0"))</f>
        <v>0</v>
      </c>
      <c r="V245" s="481">
        <f t="shared" si="239"/>
        <v>0</v>
      </c>
      <c r="W245" s="194">
        <f t="shared" si="240"/>
        <v>0</v>
      </c>
      <c r="X245" s="167">
        <f>IF(W245=0,0,W245+COUNTIF(X$243:X244,"&gt;0"))</f>
        <v>0</v>
      </c>
      <c r="Y245" s="481">
        <f t="shared" si="241"/>
        <v>0</v>
      </c>
      <c r="Z245" s="194">
        <f t="shared" si="242"/>
        <v>0</v>
      </c>
      <c r="AA245" s="167">
        <f>IF(Z245=0,0,Z245+COUNTIF(AA$243:AA244,"&gt;0"))</f>
        <v>0</v>
      </c>
      <c r="AB245" s="481">
        <f t="shared" si="243"/>
        <v>0</v>
      </c>
      <c r="AC245" s="194">
        <f t="shared" si="244"/>
        <v>0</v>
      </c>
      <c r="AD245" s="167">
        <f>IF(AC245=0,0,AC245+COUNTIF(AD$243:AD244,"&gt;0"))</f>
        <v>0</v>
      </c>
      <c r="AE245" s="481">
        <f t="shared" si="245"/>
        <v>0</v>
      </c>
      <c r="AF245" s="194">
        <f t="shared" si="246"/>
        <v>0</v>
      </c>
      <c r="AG245" s="167">
        <f>IF(AF245=0,0,AF245+COUNTIF(AG$243:AG244,"&gt;0"))</f>
        <v>0</v>
      </c>
      <c r="AH245" s="481">
        <f t="shared" si="247"/>
        <v>0</v>
      </c>
      <c r="AI245" s="180"/>
      <c r="AJ245" s="483"/>
    </row>
    <row r="246" spans="1:36" ht="16.5" x14ac:dyDescent="0.3">
      <c r="A246" s="155">
        <f>IFERROR(IF(A245+1&lt;MAX(D041_ClassFeatures!$A$2:$A$2033),A245+1,""),"")</f>
        <v>243</v>
      </c>
      <c r="B246" s="153" t="str">
        <f>IFERROR(INDEX(D041_ClassFeatures!$B$2:$B$2033,MATCH(C_Variables!A246,D041_ClassFeatures!$A$2:$A$2033,0),1),"")</f>
        <v>Arcane Charge</v>
      </c>
      <c r="C246" s="153">
        <f>IF(B246="",0,IF(IFERROR(MATCH(B246,C_Input!$BC$160:$BC$239,0),0)&gt;0,1,0))</f>
        <v>0</v>
      </c>
      <c r="F246" s="483"/>
      <c r="G246" s="480" t="str">
        <f>D03_Skills!B5</f>
        <v>Athletics</v>
      </c>
      <c r="H246" s="194">
        <f t="shared" si="248"/>
        <v>0</v>
      </c>
      <c r="I246" s="194"/>
      <c r="J246" s="194"/>
      <c r="K246" s="194">
        <f t="shared" si="232"/>
        <v>0</v>
      </c>
      <c r="L246" s="167">
        <f>IF(K246=0,0,K246+COUNTIF(L$243:L245,"&gt;0"))</f>
        <v>0</v>
      </c>
      <c r="M246" s="481">
        <f t="shared" si="233"/>
        <v>0</v>
      </c>
      <c r="N246" s="194">
        <f t="shared" si="234"/>
        <v>0</v>
      </c>
      <c r="O246" s="167">
        <f>IF(N246=0,0,N246+COUNTIF(O$243:O245,"&gt;0"))</f>
        <v>0</v>
      </c>
      <c r="P246" s="481">
        <f t="shared" si="235"/>
        <v>0</v>
      </c>
      <c r="Q246" s="194">
        <f t="shared" si="236"/>
        <v>0</v>
      </c>
      <c r="R246" s="167">
        <f>IF(Q246=0,0,Q246+COUNTIF(R$243:R245,"&gt;0"))</f>
        <v>0</v>
      </c>
      <c r="S246" s="481">
        <f t="shared" si="237"/>
        <v>0</v>
      </c>
      <c r="T246" s="194">
        <f t="shared" si="238"/>
        <v>0</v>
      </c>
      <c r="U246" s="167">
        <f>IF(T246=0,0,T246+COUNTIF(U$243:U245,"&gt;0"))</f>
        <v>0</v>
      </c>
      <c r="V246" s="481">
        <f t="shared" si="239"/>
        <v>0</v>
      </c>
      <c r="W246" s="194">
        <f t="shared" si="240"/>
        <v>0</v>
      </c>
      <c r="X246" s="167">
        <f>IF(W246=0,0,W246+COUNTIF(X$243:X245,"&gt;0"))</f>
        <v>0</v>
      </c>
      <c r="Y246" s="481">
        <f t="shared" si="241"/>
        <v>0</v>
      </c>
      <c r="Z246" s="194">
        <f t="shared" si="242"/>
        <v>0</v>
      </c>
      <c r="AA246" s="167">
        <f>IF(Z246=0,0,Z246+COUNTIF(AA$243:AA245,"&gt;0"))</f>
        <v>0</v>
      </c>
      <c r="AB246" s="481">
        <f t="shared" si="243"/>
        <v>0</v>
      </c>
      <c r="AC246" s="194">
        <f t="shared" si="244"/>
        <v>0</v>
      </c>
      <c r="AD246" s="167">
        <f>IF(AC246=0,0,AC246+COUNTIF(AD$243:AD245,"&gt;0"))</f>
        <v>0</v>
      </c>
      <c r="AE246" s="481">
        <f t="shared" si="245"/>
        <v>0</v>
      </c>
      <c r="AF246" s="194">
        <f t="shared" si="246"/>
        <v>0</v>
      </c>
      <c r="AG246" s="167">
        <f>IF(AF246=0,0,AF246+COUNTIF(AG$243:AG245,"&gt;0"))</f>
        <v>0</v>
      </c>
      <c r="AH246" s="481">
        <f t="shared" si="247"/>
        <v>0</v>
      </c>
      <c r="AI246" s="180"/>
      <c r="AJ246" s="483"/>
    </row>
    <row r="247" spans="1:36" ht="16.5" x14ac:dyDescent="0.3">
      <c r="A247" s="155">
        <f>IFERROR(IF(A246+1&lt;MAX(D041_ClassFeatures!$A$2:$A$2033),A246+1,""),"")</f>
        <v>244</v>
      </c>
      <c r="B247" s="153" t="str">
        <f>IFERROR(INDEX(D041_ClassFeatures!$B$2:$B$2033,MATCH(C_Variables!A247,D041_ClassFeatures!$A$2:$A$2033,0),1),"")</f>
        <v>Improved War Magic</v>
      </c>
      <c r="C247" s="153">
        <f>IF(B247="",0,IF(IFERROR(MATCH(B247,C_Input!$BC$160:$BC$239,0),0)&gt;0,1,0))</f>
        <v>0</v>
      </c>
      <c r="F247" s="483"/>
      <c r="G247" s="480" t="str">
        <f>D03_Skills!B6</f>
        <v>Deception</v>
      </c>
      <c r="H247" s="194">
        <f t="shared" si="248"/>
        <v>1</v>
      </c>
      <c r="I247" s="194"/>
      <c r="J247" s="194"/>
      <c r="K247" s="194">
        <f t="shared" si="232"/>
        <v>1</v>
      </c>
      <c r="L247" s="167">
        <f>IF(K247=0,0,K247+COUNTIF(L$243:L246,"&gt;0"))</f>
        <v>1</v>
      </c>
      <c r="M247" s="481">
        <f t="shared" si="233"/>
        <v>0</v>
      </c>
      <c r="N247" s="194">
        <f t="shared" si="234"/>
        <v>1</v>
      </c>
      <c r="O247" s="167">
        <f>IF(N247=0,0,N247+COUNTIF(O$243:O246,"&gt;0"))</f>
        <v>1</v>
      </c>
      <c r="P247" s="481">
        <f t="shared" si="235"/>
        <v>0</v>
      </c>
      <c r="Q247" s="194">
        <f t="shared" si="236"/>
        <v>1</v>
      </c>
      <c r="R247" s="167">
        <f>IF(Q247=0,0,Q247+COUNTIF(R$243:R246,"&gt;0"))</f>
        <v>1</v>
      </c>
      <c r="S247" s="481">
        <f t="shared" si="237"/>
        <v>0</v>
      </c>
      <c r="T247" s="194">
        <f t="shared" si="238"/>
        <v>1</v>
      </c>
      <c r="U247" s="167">
        <f>IF(T247=0,0,T247+COUNTIF(U$243:U246,"&gt;0"))</f>
        <v>1</v>
      </c>
      <c r="V247" s="481">
        <f t="shared" si="239"/>
        <v>0</v>
      </c>
      <c r="W247" s="194">
        <f t="shared" si="240"/>
        <v>1</v>
      </c>
      <c r="X247" s="167">
        <f>IF(W247=0,0,W247+COUNTIF(X$243:X246,"&gt;0"))</f>
        <v>1</v>
      </c>
      <c r="Y247" s="481">
        <f t="shared" si="241"/>
        <v>0</v>
      </c>
      <c r="Z247" s="194">
        <f t="shared" si="242"/>
        <v>1</v>
      </c>
      <c r="AA247" s="167">
        <f>IF(Z247=0,0,Z247+COUNTIF(AA$243:AA246,"&gt;0"))</f>
        <v>1</v>
      </c>
      <c r="AB247" s="481">
        <f t="shared" si="243"/>
        <v>0</v>
      </c>
      <c r="AC247" s="194">
        <f t="shared" si="244"/>
        <v>1</v>
      </c>
      <c r="AD247" s="167">
        <f>IF(AC247=0,0,AC247+COUNTIF(AD$243:AD246,"&gt;0"))</f>
        <v>1</v>
      </c>
      <c r="AE247" s="481">
        <f t="shared" si="245"/>
        <v>0</v>
      </c>
      <c r="AF247" s="194">
        <f t="shared" si="246"/>
        <v>1</v>
      </c>
      <c r="AG247" s="167">
        <f>IF(AF247=0,0,AF247+COUNTIF(AG$243:AG246,"&gt;0"))</f>
        <v>1</v>
      </c>
      <c r="AH247" s="481">
        <f t="shared" si="247"/>
        <v>0</v>
      </c>
      <c r="AI247" s="180"/>
      <c r="AJ247" s="483"/>
    </row>
    <row r="248" spans="1:36" ht="16.5" x14ac:dyDescent="0.3">
      <c r="A248" s="155">
        <f>IFERROR(IF(A247+1&lt;MAX(D041_ClassFeatures!$A$2:$A$2033),A247+1,""),"")</f>
        <v>245</v>
      </c>
      <c r="B248" s="153" t="str">
        <f>IFERROR(INDEX(D041_ClassFeatures!$B$2:$B$2033,MATCH(C_Variables!A248,D041_ClassFeatures!$A$2:$A$2033,0),1),"")</f>
        <v>Spellcasting (EK)</v>
      </c>
      <c r="C248" s="153">
        <f>IF(B248="",0,IF(IFERROR(MATCH(B248,C_Input!$BC$160:$BC$239,0),0)&gt;0,1,0))</f>
        <v>0</v>
      </c>
      <c r="F248" s="483"/>
      <c r="G248" s="480" t="str">
        <f>D03_Skills!B7</f>
        <v>History</v>
      </c>
      <c r="H248" s="194">
        <f t="shared" si="248"/>
        <v>0</v>
      </c>
      <c r="I248" s="194"/>
      <c r="J248" s="194"/>
      <c r="K248" s="194">
        <f t="shared" si="232"/>
        <v>0</v>
      </c>
      <c r="L248" s="167">
        <f>IF(K248=0,0,K248+COUNTIF(L$243:L247,"&gt;0"))</f>
        <v>0</v>
      </c>
      <c r="M248" s="481">
        <f t="shared" si="233"/>
        <v>0</v>
      </c>
      <c r="N248" s="194">
        <f t="shared" si="234"/>
        <v>0</v>
      </c>
      <c r="O248" s="167">
        <f>IF(N248=0,0,N248+COUNTIF(O$243:O247,"&gt;0"))</f>
        <v>0</v>
      </c>
      <c r="P248" s="481">
        <f t="shared" si="235"/>
        <v>0</v>
      </c>
      <c r="Q248" s="194">
        <f t="shared" si="236"/>
        <v>0</v>
      </c>
      <c r="R248" s="167">
        <f>IF(Q248=0,0,Q248+COUNTIF(R$243:R247,"&gt;0"))</f>
        <v>0</v>
      </c>
      <c r="S248" s="481">
        <f t="shared" si="237"/>
        <v>0</v>
      </c>
      <c r="T248" s="194">
        <f t="shared" si="238"/>
        <v>0</v>
      </c>
      <c r="U248" s="167">
        <f>IF(T248=0,0,T248+COUNTIF(U$243:U247,"&gt;0"))</f>
        <v>0</v>
      </c>
      <c r="V248" s="481">
        <f t="shared" si="239"/>
        <v>0</v>
      </c>
      <c r="W248" s="194">
        <f t="shared" si="240"/>
        <v>0</v>
      </c>
      <c r="X248" s="167">
        <f>IF(W248=0,0,W248+COUNTIF(X$243:X247,"&gt;0"))</f>
        <v>0</v>
      </c>
      <c r="Y248" s="481">
        <f t="shared" si="241"/>
        <v>0</v>
      </c>
      <c r="Z248" s="194">
        <f t="shared" si="242"/>
        <v>0</v>
      </c>
      <c r="AA248" s="167">
        <f>IF(Z248=0,0,Z248+COUNTIF(AA$243:AA247,"&gt;0"))</f>
        <v>0</v>
      </c>
      <c r="AB248" s="481">
        <f t="shared" si="243"/>
        <v>0</v>
      </c>
      <c r="AC248" s="194">
        <f t="shared" si="244"/>
        <v>0</v>
      </c>
      <c r="AD248" s="167">
        <f>IF(AC248=0,0,AC248+COUNTIF(AD$243:AD247,"&gt;0"))</f>
        <v>0</v>
      </c>
      <c r="AE248" s="481">
        <f t="shared" si="245"/>
        <v>0</v>
      </c>
      <c r="AF248" s="194">
        <f t="shared" si="246"/>
        <v>0</v>
      </c>
      <c r="AG248" s="167">
        <f>IF(AF248=0,0,AF248+COUNTIF(AG$243:AG247,"&gt;0"))</f>
        <v>0</v>
      </c>
      <c r="AH248" s="481">
        <f t="shared" si="247"/>
        <v>0</v>
      </c>
      <c r="AI248" s="180"/>
      <c r="AJ248" s="483"/>
    </row>
    <row r="249" spans="1:36" ht="16.5" x14ac:dyDescent="0.3">
      <c r="A249" s="155">
        <f>IFERROR(IF(A248+1&lt;MAX(D041_ClassFeatures!$A$2:$A$2033),A248+1,""),"")</f>
        <v>246</v>
      </c>
      <c r="B249" s="153" t="str">
        <f>IFERROR(INDEX(D041_ClassFeatures!$B$2:$B$2033,MATCH(C_Variables!A249,D041_ClassFeatures!$A$2:$A$2033,0),1),"")</f>
        <v>Open Hand Technique</v>
      </c>
      <c r="C249" s="153">
        <f>IF(B249="",0,IF(IFERROR(MATCH(B249,C_Input!$BC$160:$BC$239,0),0)&gt;0,1,0))</f>
        <v>0</v>
      </c>
      <c r="F249" s="483"/>
      <c r="G249" s="480" t="str">
        <f>D03_Skills!B8</f>
        <v>Insight</v>
      </c>
      <c r="H249" s="194">
        <f t="shared" si="248"/>
        <v>0</v>
      </c>
      <c r="I249" s="194"/>
      <c r="J249" s="194"/>
      <c r="K249" s="194">
        <f t="shared" si="232"/>
        <v>0</v>
      </c>
      <c r="L249" s="167">
        <f>IF(K249=0,0,K249+COUNTIF(L$243:L248,"&gt;0"))</f>
        <v>0</v>
      </c>
      <c r="M249" s="481">
        <f t="shared" si="233"/>
        <v>0</v>
      </c>
      <c r="N249" s="194">
        <f t="shared" si="234"/>
        <v>0</v>
      </c>
      <c r="O249" s="167">
        <f>IF(N249=0,0,N249+COUNTIF(O$243:O248,"&gt;0"))</f>
        <v>0</v>
      </c>
      <c r="P249" s="481">
        <f t="shared" si="235"/>
        <v>0</v>
      </c>
      <c r="Q249" s="194">
        <f t="shared" si="236"/>
        <v>0</v>
      </c>
      <c r="R249" s="167">
        <f>IF(Q249=0,0,Q249+COUNTIF(R$243:R248,"&gt;0"))</f>
        <v>0</v>
      </c>
      <c r="S249" s="481">
        <f t="shared" si="237"/>
        <v>0</v>
      </c>
      <c r="T249" s="194">
        <f t="shared" si="238"/>
        <v>0</v>
      </c>
      <c r="U249" s="167">
        <f>IF(T249=0,0,T249+COUNTIF(U$243:U248,"&gt;0"))</f>
        <v>0</v>
      </c>
      <c r="V249" s="481">
        <f t="shared" si="239"/>
        <v>0</v>
      </c>
      <c r="W249" s="194">
        <f t="shared" si="240"/>
        <v>0</v>
      </c>
      <c r="X249" s="167">
        <f>IF(W249=0,0,W249+COUNTIF(X$243:X248,"&gt;0"))</f>
        <v>0</v>
      </c>
      <c r="Y249" s="481">
        <f t="shared" si="241"/>
        <v>0</v>
      </c>
      <c r="Z249" s="194">
        <f t="shared" si="242"/>
        <v>0</v>
      </c>
      <c r="AA249" s="167">
        <f>IF(Z249=0,0,Z249+COUNTIF(AA$243:AA248,"&gt;0"))</f>
        <v>0</v>
      </c>
      <c r="AB249" s="481">
        <f t="shared" si="243"/>
        <v>0</v>
      </c>
      <c r="AC249" s="194">
        <f t="shared" si="244"/>
        <v>0</v>
      </c>
      <c r="AD249" s="167">
        <f>IF(AC249=0,0,AC249+COUNTIF(AD$243:AD248,"&gt;0"))</f>
        <v>0</v>
      </c>
      <c r="AE249" s="481">
        <f t="shared" si="245"/>
        <v>0</v>
      </c>
      <c r="AF249" s="194">
        <f t="shared" si="246"/>
        <v>0</v>
      </c>
      <c r="AG249" s="167">
        <f>IF(AF249=0,0,AF249+COUNTIF(AG$243:AG248,"&gt;0"))</f>
        <v>0</v>
      </c>
      <c r="AH249" s="481">
        <f t="shared" si="247"/>
        <v>0</v>
      </c>
      <c r="AI249" s="180"/>
      <c r="AJ249" s="483"/>
    </row>
    <row r="250" spans="1:36" ht="16.5" x14ac:dyDescent="0.3">
      <c r="A250" s="155">
        <f>IFERROR(IF(A249+1&lt;MAX(D041_ClassFeatures!$A$2:$A$2033),A249+1,""),"")</f>
        <v>247</v>
      </c>
      <c r="B250" s="153" t="str">
        <f>IFERROR(INDEX(D041_ClassFeatures!$B$2:$B$2033,MATCH(C_Variables!A250,D041_ClassFeatures!$A$2:$A$2033,0),1),"")</f>
        <v>Wholeness of Body</v>
      </c>
      <c r="C250" s="153">
        <f>IF(B250="",0,IF(IFERROR(MATCH(B250,C_Input!$BC$160:$BC$239,0),0)&gt;0,1,0))</f>
        <v>0</v>
      </c>
      <c r="F250" s="483"/>
      <c r="G250" s="480" t="str">
        <f>D03_Skills!B9</f>
        <v>Intimidation</v>
      </c>
      <c r="H250" s="194">
        <f t="shared" si="248"/>
        <v>0</v>
      </c>
      <c r="I250" s="194"/>
      <c r="J250" s="194"/>
      <c r="K250" s="194">
        <f t="shared" si="232"/>
        <v>0</v>
      </c>
      <c r="L250" s="167">
        <f>IF(K250=0,0,K250+COUNTIF(L$243:L249,"&gt;0"))</f>
        <v>0</v>
      </c>
      <c r="M250" s="481">
        <f t="shared" si="233"/>
        <v>0</v>
      </c>
      <c r="N250" s="194">
        <f t="shared" si="234"/>
        <v>0</v>
      </c>
      <c r="O250" s="167">
        <f>IF(N250=0,0,N250+COUNTIF(O$243:O249,"&gt;0"))</f>
        <v>0</v>
      </c>
      <c r="P250" s="481">
        <f t="shared" si="235"/>
        <v>0</v>
      </c>
      <c r="Q250" s="194">
        <f t="shared" si="236"/>
        <v>0</v>
      </c>
      <c r="R250" s="167">
        <f>IF(Q250=0,0,Q250+COUNTIF(R$243:R249,"&gt;0"))</f>
        <v>0</v>
      </c>
      <c r="S250" s="481">
        <f t="shared" si="237"/>
        <v>0</v>
      </c>
      <c r="T250" s="194">
        <f t="shared" si="238"/>
        <v>0</v>
      </c>
      <c r="U250" s="167">
        <f>IF(T250=0,0,T250+COUNTIF(U$243:U249,"&gt;0"))</f>
        <v>0</v>
      </c>
      <c r="V250" s="481">
        <f t="shared" si="239"/>
        <v>0</v>
      </c>
      <c r="W250" s="194">
        <f t="shared" si="240"/>
        <v>0</v>
      </c>
      <c r="X250" s="167">
        <f>IF(W250=0,0,W250+COUNTIF(X$243:X249,"&gt;0"))</f>
        <v>0</v>
      </c>
      <c r="Y250" s="481">
        <f t="shared" si="241"/>
        <v>0</v>
      </c>
      <c r="Z250" s="194">
        <f t="shared" si="242"/>
        <v>0</v>
      </c>
      <c r="AA250" s="167">
        <f>IF(Z250=0,0,Z250+COUNTIF(AA$243:AA249,"&gt;0"))</f>
        <v>0</v>
      </c>
      <c r="AB250" s="481">
        <f t="shared" si="243"/>
        <v>0</v>
      </c>
      <c r="AC250" s="194">
        <f t="shared" si="244"/>
        <v>0</v>
      </c>
      <c r="AD250" s="167">
        <f>IF(AC250=0,0,AC250+COUNTIF(AD$243:AD249,"&gt;0"))</f>
        <v>0</v>
      </c>
      <c r="AE250" s="481">
        <f t="shared" si="245"/>
        <v>0</v>
      </c>
      <c r="AF250" s="194">
        <f t="shared" si="246"/>
        <v>0</v>
      </c>
      <c r="AG250" s="167">
        <f>IF(AF250=0,0,AF250+COUNTIF(AG$243:AG249,"&gt;0"))</f>
        <v>0</v>
      </c>
      <c r="AH250" s="481">
        <f t="shared" si="247"/>
        <v>0</v>
      </c>
      <c r="AI250" s="180"/>
      <c r="AJ250" s="483"/>
    </row>
    <row r="251" spans="1:36" ht="16.5" x14ac:dyDescent="0.3">
      <c r="A251" s="155">
        <f>IFERROR(IF(A250+1&lt;MAX(D041_ClassFeatures!$A$2:$A$2033),A250+1,""),"")</f>
        <v>248</v>
      </c>
      <c r="B251" s="153" t="str">
        <f>IFERROR(INDEX(D041_ClassFeatures!$B$2:$B$2033,MATCH(C_Variables!A251,D041_ClassFeatures!$A$2:$A$2033,0),1),"")</f>
        <v>Tranquility</v>
      </c>
      <c r="C251" s="153">
        <f>IF(B251="",0,IF(IFERROR(MATCH(B251,C_Input!$BC$160:$BC$239,0),0)&gt;0,1,0))</f>
        <v>0</v>
      </c>
      <c r="F251" s="483"/>
      <c r="G251" s="480" t="str">
        <f>D03_Skills!B10</f>
        <v>Investigation</v>
      </c>
      <c r="H251" s="194">
        <f t="shared" si="248"/>
        <v>0</v>
      </c>
      <c r="I251" s="194"/>
      <c r="J251" s="194"/>
      <c r="K251" s="194">
        <f t="shared" si="232"/>
        <v>0</v>
      </c>
      <c r="L251" s="167">
        <f>IF(K251=0,0,K251+COUNTIF(L$243:L250,"&gt;0"))</f>
        <v>0</v>
      </c>
      <c r="M251" s="481">
        <f t="shared" si="233"/>
        <v>0</v>
      </c>
      <c r="N251" s="194">
        <f t="shared" si="234"/>
        <v>0</v>
      </c>
      <c r="O251" s="167">
        <f>IF(N251=0,0,N251+COUNTIF(O$243:O250,"&gt;0"))</f>
        <v>0</v>
      </c>
      <c r="P251" s="481">
        <f t="shared" si="235"/>
        <v>0</v>
      </c>
      <c r="Q251" s="194">
        <f t="shared" si="236"/>
        <v>0</v>
      </c>
      <c r="R251" s="167">
        <f>IF(Q251=0,0,Q251+COUNTIF(R$243:R250,"&gt;0"))</f>
        <v>0</v>
      </c>
      <c r="S251" s="481">
        <f t="shared" si="237"/>
        <v>0</v>
      </c>
      <c r="T251" s="194">
        <f t="shared" si="238"/>
        <v>0</v>
      </c>
      <c r="U251" s="167">
        <f>IF(T251=0,0,T251+COUNTIF(U$243:U250,"&gt;0"))</f>
        <v>0</v>
      </c>
      <c r="V251" s="481">
        <f t="shared" si="239"/>
        <v>0</v>
      </c>
      <c r="W251" s="194">
        <f t="shared" si="240"/>
        <v>0</v>
      </c>
      <c r="X251" s="167">
        <f>IF(W251=0,0,W251+COUNTIF(X$243:X250,"&gt;0"))</f>
        <v>0</v>
      </c>
      <c r="Y251" s="481">
        <f t="shared" si="241"/>
        <v>0</v>
      </c>
      <c r="Z251" s="194">
        <f t="shared" si="242"/>
        <v>0</v>
      </c>
      <c r="AA251" s="167">
        <f>IF(Z251=0,0,Z251+COUNTIF(AA$243:AA250,"&gt;0"))</f>
        <v>0</v>
      </c>
      <c r="AB251" s="481">
        <f t="shared" si="243"/>
        <v>0</v>
      </c>
      <c r="AC251" s="194">
        <f t="shared" si="244"/>
        <v>0</v>
      </c>
      <c r="AD251" s="167">
        <f>IF(AC251=0,0,AC251+COUNTIF(AD$243:AD250,"&gt;0"))</f>
        <v>0</v>
      </c>
      <c r="AE251" s="481">
        <f t="shared" si="245"/>
        <v>0</v>
      </c>
      <c r="AF251" s="194">
        <f t="shared" si="246"/>
        <v>0</v>
      </c>
      <c r="AG251" s="167">
        <f>IF(AF251=0,0,AF251+COUNTIF(AG$243:AG250,"&gt;0"))</f>
        <v>0</v>
      </c>
      <c r="AH251" s="481">
        <f t="shared" si="247"/>
        <v>0</v>
      </c>
      <c r="AI251" s="180"/>
      <c r="AJ251" s="483"/>
    </row>
    <row r="252" spans="1:36" ht="16.5" x14ac:dyDescent="0.3">
      <c r="A252" s="155">
        <f>IFERROR(IF(A251+1&lt;MAX(D041_ClassFeatures!$A$2:$A$2033),A251+1,""),"")</f>
        <v>249</v>
      </c>
      <c r="B252" s="153" t="str">
        <f>IFERROR(INDEX(D041_ClassFeatures!$B$2:$B$2033,MATCH(C_Variables!A252,D041_ClassFeatures!$A$2:$A$2033,0),1),"")</f>
        <v>Quivering Palm</v>
      </c>
      <c r="C252" s="153">
        <f>IF(B252="",0,IF(IFERROR(MATCH(B252,C_Input!$BC$160:$BC$239,0),0)&gt;0,1,0))</f>
        <v>0</v>
      </c>
      <c r="F252" s="483"/>
      <c r="G252" s="480" t="str">
        <f>D03_Skills!B11</f>
        <v>Medicine</v>
      </c>
      <c r="H252" s="194">
        <f t="shared" si="248"/>
        <v>0</v>
      </c>
      <c r="I252" s="194"/>
      <c r="J252" s="159"/>
      <c r="K252" s="194">
        <f t="shared" si="232"/>
        <v>0</v>
      </c>
      <c r="L252" s="167">
        <f>IF(K252=0,0,K252+COUNTIF(L$243:L251,"&gt;0"))</f>
        <v>0</v>
      </c>
      <c r="M252" s="481">
        <f t="shared" si="233"/>
        <v>0</v>
      </c>
      <c r="N252" s="194">
        <f t="shared" si="234"/>
        <v>0</v>
      </c>
      <c r="O252" s="167">
        <f>IF(N252=0,0,N252+COUNTIF(O$243:O251,"&gt;0"))</f>
        <v>0</v>
      </c>
      <c r="P252" s="481">
        <f t="shared" si="235"/>
        <v>0</v>
      </c>
      <c r="Q252" s="194">
        <f t="shared" si="236"/>
        <v>0</v>
      </c>
      <c r="R252" s="167">
        <f>IF(Q252=0,0,Q252+COUNTIF(R$243:R251,"&gt;0"))</f>
        <v>0</v>
      </c>
      <c r="S252" s="481">
        <f t="shared" si="237"/>
        <v>0</v>
      </c>
      <c r="T252" s="194">
        <f t="shared" si="238"/>
        <v>0</v>
      </c>
      <c r="U252" s="167">
        <f>IF(T252=0,0,T252+COUNTIF(U$243:U251,"&gt;0"))</f>
        <v>0</v>
      </c>
      <c r="V252" s="481">
        <f t="shared" si="239"/>
        <v>0</v>
      </c>
      <c r="W252" s="194">
        <f t="shared" si="240"/>
        <v>0</v>
      </c>
      <c r="X252" s="167">
        <f>IF(W252=0,0,W252+COUNTIF(X$243:X251,"&gt;0"))</f>
        <v>0</v>
      </c>
      <c r="Y252" s="481">
        <f t="shared" si="241"/>
        <v>0</v>
      </c>
      <c r="Z252" s="194">
        <f t="shared" si="242"/>
        <v>0</v>
      </c>
      <c r="AA252" s="167">
        <f>IF(Z252=0,0,Z252+COUNTIF(AA$243:AA251,"&gt;0"))</f>
        <v>0</v>
      </c>
      <c r="AB252" s="481">
        <f t="shared" si="243"/>
        <v>0</v>
      </c>
      <c r="AC252" s="194">
        <f t="shared" si="244"/>
        <v>0</v>
      </c>
      <c r="AD252" s="167">
        <f>IF(AC252=0,0,AC252+COUNTIF(AD$243:AD251,"&gt;0"))</f>
        <v>0</v>
      </c>
      <c r="AE252" s="481">
        <f t="shared" si="245"/>
        <v>0</v>
      </c>
      <c r="AF252" s="194">
        <f t="shared" si="246"/>
        <v>0</v>
      </c>
      <c r="AG252" s="167">
        <f>IF(AF252=0,0,AF252+COUNTIF(AG$243:AG251,"&gt;0"))</f>
        <v>0</v>
      </c>
      <c r="AH252" s="481">
        <f t="shared" si="247"/>
        <v>0</v>
      </c>
      <c r="AI252" s="180"/>
      <c r="AJ252" s="483"/>
    </row>
    <row r="253" spans="1:36" ht="16.5" x14ac:dyDescent="0.3">
      <c r="A253" s="155">
        <f>IFERROR(IF(A252+1&lt;MAX(D041_ClassFeatures!$A$2:$A$2033),A252+1,""),"")</f>
        <v>250</v>
      </c>
      <c r="B253" s="153" t="str">
        <f>IFERROR(INDEX(D041_ClassFeatures!$B$2:$B$2033,MATCH(C_Variables!A253,D041_ClassFeatures!$A$2:$A$2033,0),1),"")</f>
        <v>Shadow Arts</v>
      </c>
      <c r="C253" s="153">
        <f>IF(B253="",0,IF(IFERROR(MATCH(B253,C_Input!$BC$160:$BC$239,0),0)&gt;0,1,0))</f>
        <v>0</v>
      </c>
      <c r="F253" s="483"/>
      <c r="G253" s="480" t="str">
        <f>D03_Skills!B12</f>
        <v>Nature</v>
      </c>
      <c r="H253" s="194">
        <f t="shared" si="248"/>
        <v>0</v>
      </c>
      <c r="I253" s="194"/>
      <c r="J253" s="159"/>
      <c r="K253" s="194">
        <f t="shared" si="232"/>
        <v>0</v>
      </c>
      <c r="L253" s="167">
        <f>IF(K253=0,0,K253+COUNTIF(L$243:L252,"&gt;0"))</f>
        <v>0</v>
      </c>
      <c r="M253" s="481">
        <f t="shared" si="233"/>
        <v>0</v>
      </c>
      <c r="N253" s="194">
        <f t="shared" si="234"/>
        <v>0</v>
      </c>
      <c r="O253" s="167">
        <f>IF(N253=0,0,N253+COUNTIF(O$243:O252,"&gt;0"))</f>
        <v>0</v>
      </c>
      <c r="P253" s="481">
        <f t="shared" si="235"/>
        <v>0</v>
      </c>
      <c r="Q253" s="194">
        <f t="shared" si="236"/>
        <v>0</v>
      </c>
      <c r="R253" s="167">
        <f>IF(Q253=0,0,Q253+COUNTIF(R$243:R252,"&gt;0"))</f>
        <v>0</v>
      </c>
      <c r="S253" s="481">
        <f t="shared" si="237"/>
        <v>0</v>
      </c>
      <c r="T253" s="194">
        <f t="shared" si="238"/>
        <v>0</v>
      </c>
      <c r="U253" s="167">
        <f>IF(T253=0,0,T253+COUNTIF(U$243:U252,"&gt;0"))</f>
        <v>0</v>
      </c>
      <c r="V253" s="481">
        <f t="shared" si="239"/>
        <v>0</v>
      </c>
      <c r="W253" s="194">
        <f t="shared" si="240"/>
        <v>0</v>
      </c>
      <c r="X253" s="167">
        <f>IF(W253=0,0,W253+COUNTIF(X$243:X252,"&gt;0"))</f>
        <v>0</v>
      </c>
      <c r="Y253" s="481">
        <f t="shared" si="241"/>
        <v>0</v>
      </c>
      <c r="Z253" s="194">
        <f t="shared" si="242"/>
        <v>0</v>
      </c>
      <c r="AA253" s="167">
        <f>IF(Z253=0,0,Z253+COUNTIF(AA$243:AA252,"&gt;0"))</f>
        <v>0</v>
      </c>
      <c r="AB253" s="481">
        <f t="shared" si="243"/>
        <v>0</v>
      </c>
      <c r="AC253" s="194">
        <f t="shared" si="244"/>
        <v>0</v>
      </c>
      <c r="AD253" s="167">
        <f>IF(AC253=0,0,AC253+COUNTIF(AD$243:AD252,"&gt;0"))</f>
        <v>0</v>
      </c>
      <c r="AE253" s="481">
        <f t="shared" si="245"/>
        <v>0</v>
      </c>
      <c r="AF253" s="194">
        <f t="shared" si="246"/>
        <v>0</v>
      </c>
      <c r="AG253" s="167">
        <f>IF(AF253=0,0,AF253+COUNTIF(AG$243:AG252,"&gt;0"))</f>
        <v>0</v>
      </c>
      <c r="AH253" s="481">
        <f t="shared" si="247"/>
        <v>0</v>
      </c>
      <c r="AI253" s="180"/>
      <c r="AJ253" s="483"/>
    </row>
    <row r="254" spans="1:36" ht="16.5" x14ac:dyDescent="0.3">
      <c r="A254" s="155">
        <f>IFERROR(IF(A253+1&lt;MAX(D041_ClassFeatures!$A$2:$A$2033),A253+1,""),"")</f>
        <v>251</v>
      </c>
      <c r="B254" s="153" t="str">
        <f>IFERROR(INDEX(D041_ClassFeatures!$B$2:$B$2033,MATCH(C_Variables!A254,D041_ClassFeatures!$A$2:$A$2033,0),1),"")</f>
        <v>Shadow Step</v>
      </c>
      <c r="C254" s="153">
        <f>IF(B254="",0,IF(IFERROR(MATCH(B254,C_Input!$BC$160:$BC$239,0),0)&gt;0,1,0))</f>
        <v>0</v>
      </c>
      <c r="F254" s="483"/>
      <c r="G254" s="480" t="str">
        <f>D03_Skills!B13</f>
        <v>Perception</v>
      </c>
      <c r="H254" s="194">
        <f t="shared" si="248"/>
        <v>1</v>
      </c>
      <c r="I254" s="194"/>
      <c r="J254" s="159"/>
      <c r="K254" s="194">
        <f t="shared" si="232"/>
        <v>1</v>
      </c>
      <c r="L254" s="167">
        <f>IF(K254=0,0,K254+COUNTIF(L$243:L253,"&gt;0"))</f>
        <v>2</v>
      </c>
      <c r="M254" s="481">
        <f t="shared" si="233"/>
        <v>0</v>
      </c>
      <c r="N254" s="194">
        <f t="shared" si="234"/>
        <v>1</v>
      </c>
      <c r="O254" s="167">
        <f>IF(N254=0,0,N254+COUNTIF(O$243:O253,"&gt;0"))</f>
        <v>2</v>
      </c>
      <c r="P254" s="481">
        <f t="shared" si="235"/>
        <v>0</v>
      </c>
      <c r="Q254" s="194">
        <f t="shared" si="236"/>
        <v>1</v>
      </c>
      <c r="R254" s="167">
        <f>IF(Q254=0,0,Q254+COUNTIF(R$243:R253,"&gt;0"))</f>
        <v>2</v>
      </c>
      <c r="S254" s="481">
        <f t="shared" si="237"/>
        <v>0</v>
      </c>
      <c r="T254" s="194">
        <f t="shared" si="238"/>
        <v>1</v>
      </c>
      <c r="U254" s="167">
        <f>IF(T254=0,0,T254+COUNTIF(U$243:U253,"&gt;0"))</f>
        <v>2</v>
      </c>
      <c r="V254" s="481">
        <f t="shared" si="239"/>
        <v>0</v>
      </c>
      <c r="W254" s="194">
        <f t="shared" si="240"/>
        <v>1</v>
      </c>
      <c r="X254" s="167">
        <f>IF(W254=0,0,W254+COUNTIF(X$243:X253,"&gt;0"))</f>
        <v>2</v>
      </c>
      <c r="Y254" s="481">
        <f t="shared" si="241"/>
        <v>0</v>
      </c>
      <c r="Z254" s="194">
        <f t="shared" si="242"/>
        <v>1</v>
      </c>
      <c r="AA254" s="167">
        <f>IF(Z254=0,0,Z254+COUNTIF(AA$243:AA253,"&gt;0"))</f>
        <v>2</v>
      </c>
      <c r="AB254" s="481">
        <f t="shared" si="243"/>
        <v>0</v>
      </c>
      <c r="AC254" s="194">
        <f t="shared" si="244"/>
        <v>1</v>
      </c>
      <c r="AD254" s="167">
        <f>IF(AC254=0,0,AC254+COUNTIF(AD$243:AD253,"&gt;0"))</f>
        <v>2</v>
      </c>
      <c r="AE254" s="481">
        <f t="shared" si="245"/>
        <v>0</v>
      </c>
      <c r="AF254" s="194">
        <f t="shared" si="246"/>
        <v>1</v>
      </c>
      <c r="AG254" s="167">
        <f>IF(AF254=0,0,AF254+COUNTIF(AG$243:AG253,"&gt;0"))</f>
        <v>2</v>
      </c>
      <c r="AH254" s="481">
        <f t="shared" si="247"/>
        <v>0</v>
      </c>
      <c r="AI254" s="180"/>
      <c r="AJ254" s="483"/>
    </row>
    <row r="255" spans="1:36" ht="16.5" x14ac:dyDescent="0.3">
      <c r="A255" s="155">
        <f>IFERROR(IF(A254+1&lt;MAX(D041_ClassFeatures!$A$2:$A$2033),A254+1,""),"")</f>
        <v>252</v>
      </c>
      <c r="B255" s="153" t="str">
        <f>IFERROR(INDEX(D041_ClassFeatures!$B$2:$B$2033,MATCH(C_Variables!A255,D041_ClassFeatures!$A$2:$A$2033,0),1),"")</f>
        <v>Cloack of Shadows</v>
      </c>
      <c r="C255" s="153">
        <f>IF(B255="",0,IF(IFERROR(MATCH(B255,C_Input!$BC$160:$BC$239,0),0)&gt;0,1,0))</f>
        <v>0</v>
      </c>
      <c r="F255" s="483"/>
      <c r="G255" s="480" t="str">
        <f>D03_Skills!B14</f>
        <v>Performance</v>
      </c>
      <c r="H255" s="194">
        <f t="shared" si="248"/>
        <v>0</v>
      </c>
      <c r="I255" s="194"/>
      <c r="J255" s="159"/>
      <c r="K255" s="194">
        <f t="shared" si="232"/>
        <v>0</v>
      </c>
      <c r="L255" s="167">
        <f>IF(K255=0,0,K255+COUNTIF(L$243:L254,"&gt;0"))</f>
        <v>0</v>
      </c>
      <c r="M255" s="481">
        <f t="shared" si="233"/>
        <v>0</v>
      </c>
      <c r="N255" s="194">
        <f t="shared" si="234"/>
        <v>0</v>
      </c>
      <c r="O255" s="167">
        <f>IF(N255=0,0,N255+COUNTIF(O$243:O254,"&gt;0"))</f>
        <v>0</v>
      </c>
      <c r="P255" s="481">
        <f t="shared" si="235"/>
        <v>0</v>
      </c>
      <c r="Q255" s="194">
        <f t="shared" si="236"/>
        <v>0</v>
      </c>
      <c r="R255" s="167">
        <f>IF(Q255=0,0,Q255+COUNTIF(R$243:R254,"&gt;0"))</f>
        <v>0</v>
      </c>
      <c r="S255" s="481">
        <f t="shared" si="237"/>
        <v>0</v>
      </c>
      <c r="T255" s="194">
        <f t="shared" si="238"/>
        <v>0</v>
      </c>
      <c r="U255" s="167">
        <f>IF(T255=0,0,T255+COUNTIF(U$243:U254,"&gt;0"))</f>
        <v>0</v>
      </c>
      <c r="V255" s="481">
        <f t="shared" si="239"/>
        <v>0</v>
      </c>
      <c r="W255" s="194">
        <f t="shared" si="240"/>
        <v>0</v>
      </c>
      <c r="X255" s="167">
        <f>IF(W255=0,0,W255+COUNTIF(X$243:X254,"&gt;0"))</f>
        <v>0</v>
      </c>
      <c r="Y255" s="481">
        <f t="shared" si="241"/>
        <v>0</v>
      </c>
      <c r="Z255" s="194">
        <f t="shared" si="242"/>
        <v>0</v>
      </c>
      <c r="AA255" s="167">
        <f>IF(Z255=0,0,Z255+COUNTIF(AA$243:AA254,"&gt;0"))</f>
        <v>0</v>
      </c>
      <c r="AB255" s="481">
        <f t="shared" si="243"/>
        <v>0</v>
      </c>
      <c r="AC255" s="194">
        <f t="shared" si="244"/>
        <v>0</v>
      </c>
      <c r="AD255" s="167">
        <f>IF(AC255=0,0,AC255+COUNTIF(AD$243:AD254,"&gt;0"))</f>
        <v>0</v>
      </c>
      <c r="AE255" s="481">
        <f t="shared" si="245"/>
        <v>0</v>
      </c>
      <c r="AF255" s="194">
        <f t="shared" si="246"/>
        <v>0</v>
      </c>
      <c r="AG255" s="167">
        <f>IF(AF255=0,0,AF255+COUNTIF(AG$243:AG254,"&gt;0"))</f>
        <v>0</v>
      </c>
      <c r="AH255" s="481">
        <f t="shared" si="247"/>
        <v>0</v>
      </c>
      <c r="AI255" s="180"/>
      <c r="AJ255" s="483"/>
    </row>
    <row r="256" spans="1:36" ht="16.5" x14ac:dyDescent="0.3">
      <c r="A256" s="155">
        <f>IFERROR(IF(A255+1&lt;MAX(D041_ClassFeatures!$A$2:$A$2033),A255+1,""),"")</f>
        <v>253</v>
      </c>
      <c r="B256" s="153" t="str">
        <f>IFERROR(INDEX(D041_ClassFeatures!$B$2:$B$2033,MATCH(C_Variables!A256,D041_ClassFeatures!$A$2:$A$2033,0),1),"")</f>
        <v>Opportunist</v>
      </c>
      <c r="C256" s="153">
        <f>IF(B256="",0,IF(IFERROR(MATCH(B256,C_Input!$BC$160:$BC$239,0),0)&gt;0,1,0))</f>
        <v>0</v>
      </c>
      <c r="F256" s="483"/>
      <c r="G256" s="480" t="str">
        <f>D03_Skills!B15</f>
        <v>Persuasion</v>
      </c>
      <c r="H256" s="194">
        <f t="shared" si="248"/>
        <v>0</v>
      </c>
      <c r="I256" s="194"/>
      <c r="J256" s="159"/>
      <c r="K256" s="194">
        <f t="shared" si="232"/>
        <v>0</v>
      </c>
      <c r="L256" s="167">
        <f>IF(K256=0,0,K256+COUNTIF(L$243:L255,"&gt;0"))</f>
        <v>0</v>
      </c>
      <c r="M256" s="481">
        <f t="shared" si="233"/>
        <v>0</v>
      </c>
      <c r="N256" s="194">
        <f t="shared" si="234"/>
        <v>0</v>
      </c>
      <c r="O256" s="167">
        <f>IF(N256=0,0,N256+COUNTIF(O$243:O255,"&gt;0"))</f>
        <v>0</v>
      </c>
      <c r="P256" s="481">
        <f t="shared" si="235"/>
        <v>0</v>
      </c>
      <c r="Q256" s="194">
        <f t="shared" si="236"/>
        <v>0</v>
      </c>
      <c r="R256" s="167">
        <f>IF(Q256=0,0,Q256+COUNTIF(R$243:R255,"&gt;0"))</f>
        <v>0</v>
      </c>
      <c r="S256" s="481">
        <f t="shared" si="237"/>
        <v>0</v>
      </c>
      <c r="T256" s="194">
        <f t="shared" si="238"/>
        <v>0</v>
      </c>
      <c r="U256" s="167">
        <f>IF(T256=0,0,T256+COUNTIF(U$243:U255,"&gt;0"))</f>
        <v>0</v>
      </c>
      <c r="V256" s="481">
        <f t="shared" si="239"/>
        <v>0</v>
      </c>
      <c r="W256" s="194">
        <f t="shared" si="240"/>
        <v>0</v>
      </c>
      <c r="X256" s="167">
        <f>IF(W256=0,0,W256+COUNTIF(X$243:X255,"&gt;0"))</f>
        <v>0</v>
      </c>
      <c r="Y256" s="481">
        <f t="shared" si="241"/>
        <v>0</v>
      </c>
      <c r="Z256" s="194">
        <f t="shared" si="242"/>
        <v>0</v>
      </c>
      <c r="AA256" s="167">
        <f>IF(Z256=0,0,Z256+COUNTIF(AA$243:AA255,"&gt;0"))</f>
        <v>0</v>
      </c>
      <c r="AB256" s="481">
        <f t="shared" si="243"/>
        <v>0</v>
      </c>
      <c r="AC256" s="194">
        <f t="shared" si="244"/>
        <v>0</v>
      </c>
      <c r="AD256" s="167">
        <f>IF(AC256=0,0,AC256+COUNTIF(AD$243:AD255,"&gt;0"))</f>
        <v>0</v>
      </c>
      <c r="AE256" s="481">
        <f t="shared" si="245"/>
        <v>0</v>
      </c>
      <c r="AF256" s="194">
        <f t="shared" si="246"/>
        <v>0</v>
      </c>
      <c r="AG256" s="167">
        <f>IF(AF256=0,0,AF256+COUNTIF(AG$243:AG255,"&gt;0"))</f>
        <v>0</v>
      </c>
      <c r="AH256" s="481">
        <f t="shared" si="247"/>
        <v>0</v>
      </c>
      <c r="AI256" s="180"/>
      <c r="AJ256" s="483"/>
    </row>
    <row r="257" spans="1:36" ht="16.5" x14ac:dyDescent="0.3">
      <c r="A257" s="155">
        <f>IFERROR(IF(A256+1&lt;MAX(D041_ClassFeatures!$A$2:$A$2033),A256+1,""),"")</f>
        <v>254</v>
      </c>
      <c r="B257" s="153" t="str">
        <f>IFERROR(INDEX(D041_ClassFeatures!$B$2:$B$2033,MATCH(C_Variables!A257,D041_ClassFeatures!$A$2:$A$2033,0),1),"")</f>
        <v>Disciple of the Elements</v>
      </c>
      <c r="C257" s="153">
        <f>IF(B257="",0,IF(IFERROR(MATCH(B257,C_Input!$BC$160:$BC$239,0),0)&gt;0,1,0))</f>
        <v>0</v>
      </c>
      <c r="F257" s="483"/>
      <c r="G257" s="480" t="str">
        <f>D03_Skills!B16</f>
        <v>Religion</v>
      </c>
      <c r="H257" s="194">
        <f t="shared" si="248"/>
        <v>0</v>
      </c>
      <c r="I257" s="194"/>
      <c r="J257" s="159"/>
      <c r="K257" s="194">
        <f t="shared" si="232"/>
        <v>0</v>
      </c>
      <c r="L257" s="167">
        <f>IF(K257=0,0,K257+COUNTIF(L$243:L256,"&gt;0"))</f>
        <v>0</v>
      </c>
      <c r="M257" s="481">
        <f t="shared" si="233"/>
        <v>0</v>
      </c>
      <c r="N257" s="194">
        <f t="shared" si="234"/>
        <v>0</v>
      </c>
      <c r="O257" s="167">
        <f>IF(N257=0,0,N257+COUNTIF(O$243:O256,"&gt;0"))</f>
        <v>0</v>
      </c>
      <c r="P257" s="481">
        <f t="shared" si="235"/>
        <v>0</v>
      </c>
      <c r="Q257" s="194">
        <f t="shared" si="236"/>
        <v>0</v>
      </c>
      <c r="R257" s="167">
        <f>IF(Q257=0,0,Q257+COUNTIF(R$243:R256,"&gt;0"))</f>
        <v>0</v>
      </c>
      <c r="S257" s="481">
        <f t="shared" si="237"/>
        <v>0</v>
      </c>
      <c r="T257" s="194">
        <f t="shared" si="238"/>
        <v>0</v>
      </c>
      <c r="U257" s="167">
        <f>IF(T257=0,0,T257+COUNTIF(U$243:U256,"&gt;0"))</f>
        <v>0</v>
      </c>
      <c r="V257" s="481">
        <f t="shared" si="239"/>
        <v>0</v>
      </c>
      <c r="W257" s="194">
        <f t="shared" si="240"/>
        <v>0</v>
      </c>
      <c r="X257" s="167">
        <f>IF(W257=0,0,W257+COUNTIF(X$243:X256,"&gt;0"))</f>
        <v>0</v>
      </c>
      <c r="Y257" s="481">
        <f t="shared" si="241"/>
        <v>0</v>
      </c>
      <c r="Z257" s="194">
        <f t="shared" si="242"/>
        <v>0</v>
      </c>
      <c r="AA257" s="167">
        <f>IF(Z257=0,0,Z257+COUNTIF(AA$243:AA256,"&gt;0"))</f>
        <v>0</v>
      </c>
      <c r="AB257" s="481">
        <f t="shared" si="243"/>
        <v>0</v>
      </c>
      <c r="AC257" s="194">
        <f t="shared" si="244"/>
        <v>0</v>
      </c>
      <c r="AD257" s="167">
        <f>IF(AC257=0,0,AC257+COUNTIF(AD$243:AD256,"&gt;0"))</f>
        <v>0</v>
      </c>
      <c r="AE257" s="481">
        <f t="shared" si="245"/>
        <v>0</v>
      </c>
      <c r="AF257" s="194">
        <f t="shared" si="246"/>
        <v>0</v>
      </c>
      <c r="AG257" s="167">
        <f>IF(AF257=0,0,AF257+COUNTIF(AG$243:AG256,"&gt;0"))</f>
        <v>0</v>
      </c>
      <c r="AH257" s="481">
        <f t="shared" si="247"/>
        <v>0</v>
      </c>
      <c r="AI257" s="180"/>
      <c r="AJ257" s="483"/>
    </row>
    <row r="258" spans="1:36" ht="16.5" x14ac:dyDescent="0.3">
      <c r="A258" s="155">
        <f>IFERROR(IF(A257+1&lt;MAX(D041_ClassFeatures!$A$2:$A$2033),A257+1,""),"")</f>
        <v>255</v>
      </c>
      <c r="B258" s="153" t="str">
        <f>IFERROR(INDEX(D041_ClassFeatures!$B$2:$B$2033,MATCH(C_Variables!A258,D041_ClassFeatures!$A$2:$A$2033,0),1),"")</f>
        <v>Channel Divinity: Sacred Weapon</v>
      </c>
      <c r="C258" s="153">
        <f>IF(B258="",0,IF(IFERROR(MATCH(B258,C_Input!$BC$160:$BC$239,0),0)&gt;0,1,0))</f>
        <v>0</v>
      </c>
      <c r="F258" s="483"/>
      <c r="G258" s="480" t="str">
        <f>D03_Skills!B17</f>
        <v>Sleight of Hand</v>
      </c>
      <c r="H258" s="194">
        <f t="shared" si="248"/>
        <v>0</v>
      </c>
      <c r="I258" s="194"/>
      <c r="J258" s="159"/>
      <c r="K258" s="194">
        <f t="shared" si="232"/>
        <v>0</v>
      </c>
      <c r="L258" s="167">
        <f>IF(K258=0,0,K258+COUNTIF(L$243:L257,"&gt;0"))</f>
        <v>0</v>
      </c>
      <c r="M258" s="481">
        <f t="shared" si="233"/>
        <v>0</v>
      </c>
      <c r="N258" s="194">
        <f t="shared" si="234"/>
        <v>0</v>
      </c>
      <c r="O258" s="167">
        <f>IF(N258=0,0,N258+COUNTIF(O$243:O257,"&gt;0"))</f>
        <v>0</v>
      </c>
      <c r="P258" s="481">
        <f t="shared" si="235"/>
        <v>0</v>
      </c>
      <c r="Q258" s="194">
        <f t="shared" si="236"/>
        <v>0</v>
      </c>
      <c r="R258" s="167">
        <f>IF(Q258=0,0,Q258+COUNTIF(R$243:R257,"&gt;0"))</f>
        <v>0</v>
      </c>
      <c r="S258" s="481">
        <f t="shared" si="237"/>
        <v>0</v>
      </c>
      <c r="T258" s="194">
        <f t="shared" si="238"/>
        <v>0</v>
      </c>
      <c r="U258" s="167">
        <f>IF(T258=0,0,T258+COUNTIF(U$243:U257,"&gt;0"))</f>
        <v>0</v>
      </c>
      <c r="V258" s="481">
        <f t="shared" si="239"/>
        <v>0</v>
      </c>
      <c r="W258" s="194">
        <f t="shared" si="240"/>
        <v>0</v>
      </c>
      <c r="X258" s="167">
        <f>IF(W258=0,0,W258+COUNTIF(X$243:X257,"&gt;0"))</f>
        <v>0</v>
      </c>
      <c r="Y258" s="481">
        <f t="shared" si="241"/>
        <v>0</v>
      </c>
      <c r="Z258" s="194">
        <f t="shared" si="242"/>
        <v>0</v>
      </c>
      <c r="AA258" s="167">
        <f>IF(Z258=0,0,Z258+COUNTIF(AA$243:AA257,"&gt;0"))</f>
        <v>0</v>
      </c>
      <c r="AB258" s="481">
        <f t="shared" si="243"/>
        <v>0</v>
      </c>
      <c r="AC258" s="194">
        <f t="shared" si="244"/>
        <v>0</v>
      </c>
      <c r="AD258" s="167">
        <f>IF(AC258=0,0,AC258+COUNTIF(AD$243:AD257,"&gt;0"))</f>
        <v>0</v>
      </c>
      <c r="AE258" s="481">
        <f t="shared" si="245"/>
        <v>0</v>
      </c>
      <c r="AF258" s="194">
        <f t="shared" si="246"/>
        <v>0</v>
      </c>
      <c r="AG258" s="167">
        <f>IF(AF258=0,0,AF258+COUNTIF(AG$243:AG257,"&gt;0"))</f>
        <v>0</v>
      </c>
      <c r="AH258" s="481">
        <f t="shared" si="247"/>
        <v>0</v>
      </c>
      <c r="AI258" s="180"/>
      <c r="AJ258" s="483"/>
    </row>
    <row r="259" spans="1:36" ht="16.5" x14ac:dyDescent="0.3">
      <c r="A259" s="155">
        <f>IFERROR(IF(A258+1&lt;MAX(D041_ClassFeatures!$A$2:$A$2033),A258+1,""),"")</f>
        <v>256</v>
      </c>
      <c r="B259" s="153" t="str">
        <f>IFERROR(INDEX(D041_ClassFeatures!$B$2:$B$2033,MATCH(C_Variables!A259,D041_ClassFeatures!$A$2:$A$2033,0),1),"")</f>
        <v>Channel Divinity: Turn the Unholy</v>
      </c>
      <c r="C259" s="153">
        <f>IF(B259="",0,IF(IFERROR(MATCH(B259,C_Input!$BC$160:$BC$239,0),0)&gt;0,1,0))</f>
        <v>0</v>
      </c>
      <c r="F259" s="483"/>
      <c r="G259" s="480" t="str">
        <f>D03_Skills!B18</f>
        <v>Stealth</v>
      </c>
      <c r="H259" s="194">
        <f t="shared" si="248"/>
        <v>1</v>
      </c>
      <c r="I259" s="194"/>
      <c r="J259" s="159"/>
      <c r="K259" s="194">
        <f t="shared" si="232"/>
        <v>1</v>
      </c>
      <c r="L259" s="167">
        <f>IF(K259=0,0,K259+COUNTIF(L$243:L258,"&gt;0"))</f>
        <v>3</v>
      </c>
      <c r="M259" s="481">
        <f t="shared" si="233"/>
        <v>0</v>
      </c>
      <c r="N259" s="194">
        <f t="shared" si="234"/>
        <v>1</v>
      </c>
      <c r="O259" s="167">
        <f>IF(N259=0,0,N259+COUNTIF(O$243:O258,"&gt;0"))</f>
        <v>3</v>
      </c>
      <c r="P259" s="481">
        <f t="shared" si="235"/>
        <v>0</v>
      </c>
      <c r="Q259" s="194">
        <f t="shared" si="236"/>
        <v>1</v>
      </c>
      <c r="R259" s="167">
        <f>IF(Q259=0,0,Q259+COUNTIF(R$243:R258,"&gt;0"))</f>
        <v>3</v>
      </c>
      <c r="S259" s="481">
        <f t="shared" si="237"/>
        <v>0</v>
      </c>
      <c r="T259" s="194">
        <f t="shared" si="238"/>
        <v>1</v>
      </c>
      <c r="U259" s="167">
        <f>IF(T259=0,0,T259+COUNTIF(U$243:U258,"&gt;0"))</f>
        <v>3</v>
      </c>
      <c r="V259" s="481">
        <f t="shared" si="239"/>
        <v>0</v>
      </c>
      <c r="W259" s="194">
        <f t="shared" si="240"/>
        <v>1</v>
      </c>
      <c r="X259" s="167">
        <f>IF(W259=0,0,W259+COUNTIF(X$243:X258,"&gt;0"))</f>
        <v>3</v>
      </c>
      <c r="Y259" s="481">
        <f t="shared" si="241"/>
        <v>0</v>
      </c>
      <c r="Z259" s="194">
        <f t="shared" si="242"/>
        <v>1</v>
      </c>
      <c r="AA259" s="167">
        <f>IF(Z259=0,0,Z259+COUNTIF(AA$243:AA258,"&gt;0"))</f>
        <v>3</v>
      </c>
      <c r="AB259" s="481">
        <f t="shared" si="243"/>
        <v>0</v>
      </c>
      <c r="AC259" s="194">
        <f t="shared" si="244"/>
        <v>1</v>
      </c>
      <c r="AD259" s="167">
        <f>IF(AC259=0,0,AC259+COUNTIF(AD$243:AD258,"&gt;0"))</f>
        <v>3</v>
      </c>
      <c r="AE259" s="481">
        <f t="shared" si="245"/>
        <v>0</v>
      </c>
      <c r="AF259" s="194">
        <f t="shared" si="246"/>
        <v>1</v>
      </c>
      <c r="AG259" s="167">
        <f>IF(AF259=0,0,AF259+COUNTIF(AG$243:AG258,"&gt;0"))</f>
        <v>3</v>
      </c>
      <c r="AH259" s="481">
        <f t="shared" si="247"/>
        <v>0</v>
      </c>
      <c r="AI259" s="180"/>
      <c r="AJ259" s="483"/>
    </row>
    <row r="260" spans="1:36" ht="16.5" x14ac:dyDescent="0.3">
      <c r="A260" s="155">
        <f>IFERROR(IF(A259+1&lt;MAX(D041_ClassFeatures!$A$2:$A$2033),A259+1,""),"")</f>
        <v>257</v>
      </c>
      <c r="B260" s="153" t="str">
        <f>IFERROR(INDEX(D041_ClassFeatures!$B$2:$B$2033,MATCH(C_Variables!A260,D041_ClassFeatures!$A$2:$A$2033,0),1),"")</f>
        <v>Aura of Devotion</v>
      </c>
      <c r="C260" s="153">
        <f>IF(B260="",0,IF(IFERROR(MATCH(B260,C_Input!$BC$160:$BC$239,0),0)&gt;0,1,0))</f>
        <v>0</v>
      </c>
      <c r="F260" s="483"/>
      <c r="G260" s="480" t="str">
        <f>D03_Skills!B19</f>
        <v>Survival</v>
      </c>
      <c r="H260" s="194">
        <f t="shared" si="248"/>
        <v>0</v>
      </c>
      <c r="I260" s="194"/>
      <c r="J260" s="159"/>
      <c r="K260" s="194">
        <f t="shared" si="232"/>
        <v>0</v>
      </c>
      <c r="L260" s="167">
        <f>IF(K260=0,0,K260+COUNTIF(L$243:L259,"&gt;0"))</f>
        <v>0</v>
      </c>
      <c r="M260" s="481">
        <f t="shared" si="233"/>
        <v>0</v>
      </c>
      <c r="N260" s="194">
        <f t="shared" si="234"/>
        <v>0</v>
      </c>
      <c r="O260" s="167">
        <f>IF(N260=0,0,N260+COUNTIF(O$243:O259,"&gt;0"))</f>
        <v>0</v>
      </c>
      <c r="P260" s="481">
        <f t="shared" si="235"/>
        <v>0</v>
      </c>
      <c r="Q260" s="194">
        <f t="shared" si="236"/>
        <v>0</v>
      </c>
      <c r="R260" s="167">
        <f>IF(Q260=0,0,Q260+COUNTIF(R$243:R259,"&gt;0"))</f>
        <v>0</v>
      </c>
      <c r="S260" s="481">
        <f t="shared" si="237"/>
        <v>0</v>
      </c>
      <c r="T260" s="194">
        <f t="shared" si="238"/>
        <v>0</v>
      </c>
      <c r="U260" s="167">
        <f>IF(T260=0,0,T260+COUNTIF(U$243:U259,"&gt;0"))</f>
        <v>0</v>
      </c>
      <c r="V260" s="481">
        <f t="shared" si="239"/>
        <v>0</v>
      </c>
      <c r="W260" s="194">
        <f t="shared" si="240"/>
        <v>0</v>
      </c>
      <c r="X260" s="167">
        <f>IF(W260=0,0,W260+COUNTIF(X$243:X259,"&gt;0"))</f>
        <v>0</v>
      </c>
      <c r="Y260" s="481">
        <f t="shared" si="241"/>
        <v>0</v>
      </c>
      <c r="Z260" s="194">
        <f t="shared" si="242"/>
        <v>0</v>
      </c>
      <c r="AA260" s="167">
        <f>IF(Z260=0,0,Z260+COUNTIF(AA$243:AA259,"&gt;0"))</f>
        <v>0</v>
      </c>
      <c r="AB260" s="481">
        <f t="shared" si="243"/>
        <v>0</v>
      </c>
      <c r="AC260" s="194">
        <f t="shared" si="244"/>
        <v>0</v>
      </c>
      <c r="AD260" s="167">
        <f>IF(AC260=0,0,AC260+COUNTIF(AD$243:AD259,"&gt;0"))</f>
        <v>0</v>
      </c>
      <c r="AE260" s="481">
        <f t="shared" si="245"/>
        <v>0</v>
      </c>
      <c r="AF260" s="194">
        <f t="shared" si="246"/>
        <v>0</v>
      </c>
      <c r="AG260" s="167">
        <f>IF(AF260=0,0,AF260+COUNTIF(AG$243:AG259,"&gt;0"))</f>
        <v>0</v>
      </c>
      <c r="AH260" s="481">
        <f t="shared" si="247"/>
        <v>0</v>
      </c>
      <c r="AI260" s="180"/>
      <c r="AJ260" s="483"/>
    </row>
    <row r="261" spans="1:36" ht="16.5" x14ac:dyDescent="0.3">
      <c r="A261" s="155">
        <f>IFERROR(IF(A260+1&lt;MAX(D041_ClassFeatures!$A$2:$A$2033),A260+1,""),"")</f>
        <v>258</v>
      </c>
      <c r="B261" s="153" t="str">
        <f>IFERROR(INDEX(D041_ClassFeatures!$B$2:$B$2033,MATCH(C_Variables!A261,D041_ClassFeatures!$A$2:$A$2033,0),1),"")</f>
        <v>Purity of Spirit</v>
      </c>
      <c r="C261" s="153">
        <f>IF(B261="",0,IF(IFERROR(MATCH(B261,C_Input!$BC$160:$BC$239,0),0)&gt;0,1,0))</f>
        <v>0</v>
      </c>
      <c r="F261" s="483"/>
      <c r="G261" s="179" t="s">
        <v>4400</v>
      </c>
      <c r="H261" s="194">
        <f>ToolsProficiencyThievesTools</f>
        <v>1</v>
      </c>
      <c r="I261" s="194"/>
      <c r="J261" s="159"/>
      <c r="K261" s="194">
        <f t="shared" si="232"/>
        <v>1</v>
      </c>
      <c r="L261" s="167">
        <f>IF(K261=0,0,K261+COUNTIF(L$243:L260,"&gt;0"))</f>
        <v>4</v>
      </c>
      <c r="M261" s="481">
        <f t="shared" si="233"/>
        <v>0</v>
      </c>
      <c r="N261" s="194">
        <f t="shared" si="234"/>
        <v>1</v>
      </c>
      <c r="O261" s="167">
        <f>IF(N261=0,0,N261+COUNTIF(O$243:O260,"&gt;0"))</f>
        <v>4</v>
      </c>
      <c r="P261" s="481">
        <f t="shared" si="235"/>
        <v>0</v>
      </c>
      <c r="Q261" s="194">
        <f t="shared" si="236"/>
        <v>1</v>
      </c>
      <c r="R261" s="167">
        <f>IF(Q261=0,0,Q261+COUNTIF(R$243:R260,"&gt;0"))</f>
        <v>4</v>
      </c>
      <c r="S261" s="481">
        <f t="shared" si="237"/>
        <v>0</v>
      </c>
      <c r="T261" s="194">
        <f t="shared" si="238"/>
        <v>1</v>
      </c>
      <c r="U261" s="167">
        <f>IF(T261=0,0,T261+COUNTIF(U$243:U260,"&gt;0"))</f>
        <v>4</v>
      </c>
      <c r="V261" s="481">
        <f t="shared" si="239"/>
        <v>0</v>
      </c>
      <c r="W261" s="194">
        <f t="shared" si="240"/>
        <v>1</v>
      </c>
      <c r="X261" s="167">
        <f>IF(W261=0,0,W261+COUNTIF(X$243:X260,"&gt;0"))</f>
        <v>4</v>
      </c>
      <c r="Y261" s="481">
        <f t="shared" si="241"/>
        <v>0</v>
      </c>
      <c r="Z261" s="194">
        <f t="shared" si="242"/>
        <v>1</v>
      </c>
      <c r="AA261" s="167">
        <f>IF(Z261=0,0,Z261+COUNTIF(AA$243:AA260,"&gt;0"))</f>
        <v>4</v>
      </c>
      <c r="AB261" s="481">
        <f t="shared" si="243"/>
        <v>0</v>
      </c>
      <c r="AC261" s="194">
        <f t="shared" si="244"/>
        <v>1</v>
      </c>
      <c r="AD261" s="167">
        <f>IF(AC261=0,0,AC261+COUNTIF(AD$243:AD260,"&gt;0"))</f>
        <v>4</v>
      </c>
      <c r="AE261" s="481">
        <f t="shared" si="245"/>
        <v>0</v>
      </c>
      <c r="AF261" s="194">
        <f t="shared" si="246"/>
        <v>1</v>
      </c>
      <c r="AG261" s="167">
        <f>IF(AF261=0,0,AF261+COUNTIF(AG$243:AG260,"&gt;0"))</f>
        <v>4</v>
      </c>
      <c r="AH261" s="481">
        <f t="shared" si="247"/>
        <v>0</v>
      </c>
      <c r="AI261" s="180"/>
      <c r="AJ261" s="483"/>
    </row>
    <row r="262" spans="1:36" ht="16.5" x14ac:dyDescent="0.3">
      <c r="A262" s="155">
        <f>IFERROR(IF(A261+1&lt;MAX(D041_ClassFeatures!$A$2:$A$2033),A261+1,""),"")</f>
        <v>259</v>
      </c>
      <c r="B262" s="153" t="str">
        <f>IFERROR(INDEX(D041_ClassFeatures!$B$2:$B$2033,MATCH(C_Variables!A262,D041_ClassFeatures!$A$2:$A$2033,0),1),"")</f>
        <v>Holy Nimbus</v>
      </c>
      <c r="C262" s="153">
        <f>IF(B262="",0,IF(IFERROR(MATCH(B262,C_Input!$BC$160:$BC$239,0),0)&gt;0,1,0))</f>
        <v>0</v>
      </c>
      <c r="F262" s="483"/>
      <c r="G262" s="179"/>
      <c r="H262" s="159"/>
      <c r="I262" s="159"/>
      <c r="J262" s="159"/>
      <c r="K262" s="159"/>
      <c r="L262" s="159"/>
      <c r="M262" s="159"/>
      <c r="N262" s="159"/>
      <c r="O262" s="159"/>
      <c r="P262" s="159"/>
      <c r="Q262" s="159"/>
      <c r="R262" s="159"/>
      <c r="S262" s="159"/>
      <c r="T262" s="159"/>
      <c r="U262" s="159"/>
      <c r="V262" s="159"/>
      <c r="W262" s="159"/>
      <c r="X262" s="159"/>
      <c r="Y262" s="159"/>
      <c r="Z262" s="159"/>
      <c r="AA262" s="159"/>
      <c r="AB262" s="159"/>
      <c r="AC262" s="159"/>
      <c r="AD262" s="159"/>
      <c r="AE262" s="159"/>
      <c r="AF262" s="159"/>
      <c r="AG262" s="159"/>
      <c r="AH262" s="159"/>
      <c r="AI262" s="180"/>
      <c r="AJ262" s="483"/>
    </row>
    <row r="263" spans="1:36" ht="16.5" x14ac:dyDescent="0.3">
      <c r="A263" s="155">
        <f>IFERROR(IF(A262+1&lt;MAX(D041_ClassFeatures!$A$2:$A$2033),A262+1,""),"")</f>
        <v>260</v>
      </c>
      <c r="B263" s="153" t="str">
        <f>IFERROR(INDEX(D041_ClassFeatures!$B$2:$B$2033,MATCH(C_Variables!A263,D041_ClassFeatures!$A$2:$A$2033,0),1),"")</f>
        <v>Channel Divnity: Nature's Wrath</v>
      </c>
      <c r="C263" s="153">
        <f>IF(B263="",0,IF(IFERROR(MATCH(B263,C_Input!$BC$160:$BC$239,0),0)&gt;0,1,0))</f>
        <v>0</v>
      </c>
      <c r="F263" s="483"/>
      <c r="G263" s="179"/>
      <c r="H263" s="159"/>
      <c r="I263" s="159"/>
      <c r="J263" s="159"/>
      <c r="K263" s="159"/>
      <c r="L263" s="482">
        <v>1</v>
      </c>
      <c r="M263" s="482" t="str">
        <f>IF(ExpertiseNumber&gt;1,IFERROR(IF(L263="","",INDEX($G$243:$G$261,MATCH(L263,L$243:L$261,0),1)),""),"n/a")</f>
        <v>n/a</v>
      </c>
      <c r="N263" s="159"/>
      <c r="O263" s="482">
        <v>1</v>
      </c>
      <c r="P263" s="482" t="str">
        <f>IF(ExpertiseNumber&gt;1,IFERROR(IF(O263="","",INDEX($G$243:$G$261,MATCH(O263,O$243:O$261,0),1)),""),"n/a")</f>
        <v>n/a</v>
      </c>
      <c r="Q263" s="159"/>
      <c r="R263" s="482">
        <v>1</v>
      </c>
      <c r="S263" s="482" t="str">
        <f t="shared" ref="S263:S281" si="249">IF(ExpertiseNumber&gt;2,IFERROR(IF(R263="","",INDEX($G$243:$G$261,MATCH(R263,R$243:R$261,0),1)),""),"n/a")</f>
        <v>n/a</v>
      </c>
      <c r="T263" s="159"/>
      <c r="U263" s="482">
        <v>1</v>
      </c>
      <c r="V263" s="482" t="str">
        <f t="shared" ref="V263:V281" si="250">IF(ExpertiseNumber&gt;2,IFERROR(IF(U263="","",INDEX($G$243:$G$261,MATCH(U263,U$243:U$261,0),1)),""),"n/a")</f>
        <v>n/a</v>
      </c>
      <c r="W263" s="159"/>
      <c r="X263" s="482">
        <v>1</v>
      </c>
      <c r="Y263" s="482" t="str">
        <f t="shared" ref="Y263:Y281" si="251">IF(ExpertiseNumber&gt;4,IFERROR(IF(X263="","",INDEX($G$243:$G$261,MATCH(X263,X$243:X$261,0),1)),""),"n/a")</f>
        <v>n/a</v>
      </c>
      <c r="Z263" s="159"/>
      <c r="AA263" s="482">
        <v>1</v>
      </c>
      <c r="AB263" s="482" t="str">
        <f t="shared" ref="AB263:AB281" si="252">IF(ExpertiseNumber&gt;4,IFERROR(IF(AA263="","",INDEX($G$243:$G$261,MATCH(AA263,AA$243:AA$261,0),1)),""),"n/a")</f>
        <v>n/a</v>
      </c>
      <c r="AC263" s="159"/>
      <c r="AD263" s="482">
        <v>1</v>
      </c>
      <c r="AE263" s="482" t="str">
        <f t="shared" ref="AE263:AE281" si="253">IF(ExpertiseNumber&gt;6,IFERROR(IF(AD263="","",INDEX($G$243:$G$261,MATCH(AD263,AD$243:AD$261,0),1)),""),"n/a")</f>
        <v>n/a</v>
      </c>
      <c r="AF263" s="159"/>
      <c r="AG263" s="482">
        <v>1</v>
      </c>
      <c r="AH263" s="482" t="str">
        <f t="shared" ref="AH263:AH281" si="254">IF(ExpertiseNumber&gt;6,IFERROR(IF(AG263="","",INDEX($G$243:$G$261,MATCH(AG263,AG$243:AG$261,0),1)),""),"n/a")</f>
        <v>n/a</v>
      </c>
      <c r="AI263" s="180"/>
      <c r="AJ263" s="483"/>
    </row>
    <row r="264" spans="1:36" ht="16.5" x14ac:dyDescent="0.3">
      <c r="A264" s="155">
        <f>IFERROR(IF(A263+1&lt;MAX(D041_ClassFeatures!$A$2:$A$2033),A263+1,""),"")</f>
        <v>261</v>
      </c>
      <c r="B264" s="153" t="str">
        <f>IFERROR(INDEX(D041_ClassFeatures!$B$2:$B$2033,MATCH(C_Variables!A264,D041_ClassFeatures!$A$2:$A$2033,0),1),"")</f>
        <v>Channel Divnity: Turn the Faithless</v>
      </c>
      <c r="C264" s="153">
        <f>IF(B264="",0,IF(IFERROR(MATCH(B264,C_Input!$BC$160:$BC$239,0),0)&gt;0,1,0))</f>
        <v>0</v>
      </c>
      <c r="F264" s="483"/>
      <c r="G264" s="179"/>
      <c r="H264" s="159"/>
      <c r="I264" s="159"/>
      <c r="J264" s="159"/>
      <c r="K264" s="159"/>
      <c r="L264" s="482" t="str">
        <f>IF(ExpertiseNumber&gt;1,IFERROR(IF(L263+1&lt;=MAX(L$243:L$261),L263+1,""),""),"")</f>
        <v/>
      </c>
      <c r="M264" s="482" t="str">
        <f t="shared" ref="M264:M281" si="255">IFERROR(IF(L264="","",INDEX($G$243:$G$261,MATCH(L264,L$243:L$261,0),1)),"")</f>
        <v/>
      </c>
      <c r="N264" s="159"/>
      <c r="O264" s="482" t="str">
        <f t="shared" ref="O264:O281" si="256">IF(ExpertiseNumber&gt;1,IFERROR(IF(O263+1&lt;=MAX(O243:O261),O263+1,""),""),"")</f>
        <v/>
      </c>
      <c r="P264" s="482" t="str">
        <f t="shared" ref="P264:P281" si="257">IFERROR(IF(O264="","",INDEX($G$243:$G$261,MATCH(O264,O$243:O$261,0),1)),"")</f>
        <v/>
      </c>
      <c r="Q264" s="159"/>
      <c r="R264" s="482" t="str">
        <f t="shared" ref="R264:R281" si="258">IF(ExpertiseNumber&gt;2,IFERROR(IF(R263+1&lt;=MAX(R243:R261),R263+1,""),""),"")</f>
        <v/>
      </c>
      <c r="S264" s="482" t="str">
        <f t="shared" si="249"/>
        <v>n/a</v>
      </c>
      <c r="T264" s="159"/>
      <c r="U264" s="482" t="str">
        <f t="shared" ref="U264:U281" si="259">IF(ExpertiseNumber&gt;2,IFERROR(IF(U263+1&lt;=MAX(U243:U261),U263+1,""),""),"")</f>
        <v/>
      </c>
      <c r="V264" s="482" t="str">
        <f t="shared" si="250"/>
        <v>n/a</v>
      </c>
      <c r="W264" s="159"/>
      <c r="X264" s="482" t="str">
        <f t="shared" ref="X264:X281" si="260">IF(ExpertiseNumber&gt;4,IFERROR(IF(X263+1&lt;=MAX(X243:X261),X263+1,""),""),"")</f>
        <v/>
      </c>
      <c r="Y264" s="482" t="str">
        <f t="shared" si="251"/>
        <v>n/a</v>
      </c>
      <c r="Z264" s="159"/>
      <c r="AA264" s="482" t="str">
        <f t="shared" ref="AA264:AA281" si="261">IF(ExpertiseNumber&gt;4,IFERROR(IF(AA263+1&lt;=MAX(AA243:AA261),AA263+1,""),""),"")</f>
        <v/>
      </c>
      <c r="AB264" s="482" t="str">
        <f t="shared" si="252"/>
        <v>n/a</v>
      </c>
      <c r="AC264" s="159"/>
      <c r="AD264" s="482" t="str">
        <f t="shared" ref="AD264:AD281" si="262">IF(ExpertiseNumber&gt;6,IFERROR(IF(AD263+1&lt;=MAX(AD243:AD261),AD263+1,""),""),"")</f>
        <v/>
      </c>
      <c r="AE264" s="482" t="str">
        <f t="shared" si="253"/>
        <v>n/a</v>
      </c>
      <c r="AF264" s="159"/>
      <c r="AG264" s="482" t="str">
        <f t="shared" ref="AG264:AG281" si="263">IF(ExpertiseNumber&gt;6,IFERROR(IF(AG263+1&lt;=MAX(AG243:AG261),AG263+1,""),""),"")</f>
        <v/>
      </c>
      <c r="AH264" s="482" t="str">
        <f t="shared" si="254"/>
        <v>n/a</v>
      </c>
      <c r="AI264" s="180"/>
      <c r="AJ264" s="483"/>
    </row>
    <row r="265" spans="1:36" ht="16.5" x14ac:dyDescent="0.3">
      <c r="A265" s="155">
        <f>IFERROR(IF(A264+1&lt;MAX(D041_ClassFeatures!$A$2:$A$2033),A264+1,""),"")</f>
        <v>262</v>
      </c>
      <c r="B265" s="153" t="str">
        <f>IFERROR(INDEX(D041_ClassFeatures!$B$2:$B$2033,MATCH(C_Variables!A265,D041_ClassFeatures!$A$2:$A$2033,0),1),"")</f>
        <v>Aura of Warding</v>
      </c>
      <c r="C265" s="153">
        <f>IF(B265="",0,IF(IFERROR(MATCH(B265,C_Input!$BC$160:$BC$239,0),0)&gt;0,1,0))</f>
        <v>0</v>
      </c>
      <c r="F265" s="483"/>
      <c r="G265" s="179"/>
      <c r="H265" s="159">
        <f>ExpertiseNumber</f>
        <v>0</v>
      </c>
      <c r="I265" s="159"/>
      <c r="J265" s="159"/>
      <c r="K265" s="159"/>
      <c r="L265" s="482" t="str">
        <f t="shared" ref="L265:L281" si="264">IF(ExpertiseNumber&gt;1,IFERROR(IF(L264+1&lt;=MAX(L244:L262),L264+1,""),""),"")</f>
        <v/>
      </c>
      <c r="M265" s="482" t="str">
        <f t="shared" si="255"/>
        <v/>
      </c>
      <c r="N265" s="159"/>
      <c r="O265" s="482" t="str">
        <f t="shared" si="256"/>
        <v/>
      </c>
      <c r="P265" s="482" t="str">
        <f t="shared" si="257"/>
        <v/>
      </c>
      <c r="Q265" s="159"/>
      <c r="R265" s="482" t="str">
        <f t="shared" si="258"/>
        <v/>
      </c>
      <c r="S265" s="482" t="str">
        <f t="shared" si="249"/>
        <v>n/a</v>
      </c>
      <c r="T265" s="159"/>
      <c r="U265" s="482" t="str">
        <f t="shared" si="259"/>
        <v/>
      </c>
      <c r="V265" s="482" t="str">
        <f t="shared" si="250"/>
        <v>n/a</v>
      </c>
      <c r="W265" s="159"/>
      <c r="X265" s="482" t="str">
        <f t="shared" si="260"/>
        <v/>
      </c>
      <c r="Y265" s="482" t="str">
        <f t="shared" si="251"/>
        <v>n/a</v>
      </c>
      <c r="Z265" s="159"/>
      <c r="AA265" s="482" t="str">
        <f t="shared" si="261"/>
        <v/>
      </c>
      <c r="AB265" s="482" t="str">
        <f t="shared" si="252"/>
        <v>n/a</v>
      </c>
      <c r="AC265" s="159"/>
      <c r="AD265" s="482" t="str">
        <f t="shared" si="262"/>
        <v/>
      </c>
      <c r="AE265" s="482" t="str">
        <f t="shared" si="253"/>
        <v>n/a</v>
      </c>
      <c r="AF265" s="159"/>
      <c r="AG265" s="482" t="str">
        <f t="shared" si="263"/>
        <v/>
      </c>
      <c r="AH265" s="482" t="str">
        <f t="shared" si="254"/>
        <v>n/a</v>
      </c>
      <c r="AI265" s="180"/>
      <c r="AJ265" s="483"/>
    </row>
    <row r="266" spans="1:36" ht="16.5" x14ac:dyDescent="0.3">
      <c r="A266" s="155">
        <f>IFERROR(IF(A265+1&lt;MAX(D041_ClassFeatures!$A$2:$A$2033),A265+1,""),"")</f>
        <v>263</v>
      </c>
      <c r="B266" s="153" t="str">
        <f>IFERROR(INDEX(D041_ClassFeatures!$B$2:$B$2033,MATCH(C_Variables!A266,D041_ClassFeatures!$A$2:$A$2033,0),1),"")</f>
        <v>Undying Sentinel</v>
      </c>
      <c r="C266" s="153">
        <f>IF(B266="",0,IF(IFERROR(MATCH(B266,C_Input!$BC$160:$BC$239,0),0)&gt;0,1,0))</f>
        <v>0</v>
      </c>
      <c r="F266" s="483"/>
      <c r="G266" s="179"/>
      <c r="H266" s="159"/>
      <c r="I266" s="159"/>
      <c r="J266" s="159"/>
      <c r="K266" s="159"/>
      <c r="L266" s="482" t="str">
        <f t="shared" si="264"/>
        <v/>
      </c>
      <c r="M266" s="482" t="str">
        <f t="shared" si="255"/>
        <v/>
      </c>
      <c r="N266" s="159"/>
      <c r="O266" s="482" t="str">
        <f t="shared" si="256"/>
        <v/>
      </c>
      <c r="P266" s="482" t="str">
        <f t="shared" si="257"/>
        <v/>
      </c>
      <c r="Q266" s="159"/>
      <c r="R266" s="482" t="str">
        <f t="shared" si="258"/>
        <v/>
      </c>
      <c r="S266" s="482" t="str">
        <f t="shared" si="249"/>
        <v>n/a</v>
      </c>
      <c r="T266" s="159"/>
      <c r="U266" s="482" t="str">
        <f t="shared" si="259"/>
        <v/>
      </c>
      <c r="V266" s="482" t="str">
        <f t="shared" si="250"/>
        <v>n/a</v>
      </c>
      <c r="W266" s="159"/>
      <c r="X266" s="482" t="str">
        <f t="shared" si="260"/>
        <v/>
      </c>
      <c r="Y266" s="482" t="str">
        <f t="shared" si="251"/>
        <v>n/a</v>
      </c>
      <c r="Z266" s="159"/>
      <c r="AA266" s="482" t="str">
        <f t="shared" si="261"/>
        <v/>
      </c>
      <c r="AB266" s="482" t="str">
        <f t="shared" si="252"/>
        <v>n/a</v>
      </c>
      <c r="AC266" s="159"/>
      <c r="AD266" s="482" t="str">
        <f t="shared" si="262"/>
        <v/>
      </c>
      <c r="AE266" s="482" t="str">
        <f t="shared" si="253"/>
        <v>n/a</v>
      </c>
      <c r="AF266" s="159"/>
      <c r="AG266" s="482" t="str">
        <f t="shared" si="263"/>
        <v/>
      </c>
      <c r="AH266" s="482" t="str">
        <f t="shared" si="254"/>
        <v>n/a</v>
      </c>
      <c r="AI266" s="180"/>
      <c r="AJ266" s="483"/>
    </row>
    <row r="267" spans="1:36" ht="16.5" x14ac:dyDescent="0.3">
      <c r="A267" s="155">
        <f>IFERROR(IF(A266+1&lt;MAX(D041_ClassFeatures!$A$2:$A$2033),A266+1,""),"")</f>
        <v>264</v>
      </c>
      <c r="B267" s="153" t="str">
        <f>IFERROR(INDEX(D041_ClassFeatures!$B$2:$B$2033,MATCH(C_Variables!A267,D041_ClassFeatures!$A$2:$A$2033,0),1),"")</f>
        <v>Elder Champion</v>
      </c>
      <c r="C267" s="153">
        <f>IF(B267="",0,IF(IFERROR(MATCH(B267,C_Input!$BC$160:$BC$239,0),0)&gt;0,1,0))</f>
        <v>0</v>
      </c>
      <c r="F267" s="483"/>
      <c r="G267" s="179"/>
      <c r="H267" s="159"/>
      <c r="I267" s="159"/>
      <c r="J267" s="159"/>
      <c r="K267" s="159"/>
      <c r="L267" s="482" t="str">
        <f t="shared" si="264"/>
        <v/>
      </c>
      <c r="M267" s="482" t="str">
        <f t="shared" si="255"/>
        <v/>
      </c>
      <c r="N267" s="159"/>
      <c r="O267" s="482" t="str">
        <f t="shared" si="256"/>
        <v/>
      </c>
      <c r="P267" s="482" t="str">
        <f t="shared" si="257"/>
        <v/>
      </c>
      <c r="Q267" s="159"/>
      <c r="R267" s="482" t="str">
        <f t="shared" si="258"/>
        <v/>
      </c>
      <c r="S267" s="482" t="str">
        <f t="shared" si="249"/>
        <v>n/a</v>
      </c>
      <c r="T267" s="159"/>
      <c r="U267" s="482" t="str">
        <f t="shared" si="259"/>
        <v/>
      </c>
      <c r="V267" s="482" t="str">
        <f t="shared" si="250"/>
        <v>n/a</v>
      </c>
      <c r="W267" s="159"/>
      <c r="X267" s="482" t="str">
        <f t="shared" si="260"/>
        <v/>
      </c>
      <c r="Y267" s="482" t="str">
        <f t="shared" si="251"/>
        <v>n/a</v>
      </c>
      <c r="Z267" s="159"/>
      <c r="AA267" s="482" t="str">
        <f t="shared" si="261"/>
        <v/>
      </c>
      <c r="AB267" s="482" t="str">
        <f t="shared" si="252"/>
        <v>n/a</v>
      </c>
      <c r="AC267" s="159"/>
      <c r="AD267" s="482" t="str">
        <f t="shared" si="262"/>
        <v/>
      </c>
      <c r="AE267" s="482" t="str">
        <f t="shared" si="253"/>
        <v>n/a</v>
      </c>
      <c r="AF267" s="159"/>
      <c r="AG267" s="482" t="str">
        <f t="shared" si="263"/>
        <v/>
      </c>
      <c r="AH267" s="482" t="str">
        <f t="shared" si="254"/>
        <v>n/a</v>
      </c>
      <c r="AI267" s="180"/>
      <c r="AJ267" s="483"/>
    </row>
    <row r="268" spans="1:36" ht="16.5" x14ac:dyDescent="0.3">
      <c r="A268" s="155">
        <f>IFERROR(IF(A267+1&lt;MAX(D041_ClassFeatures!$A$2:$A$2033),A267+1,""),"")</f>
        <v>265</v>
      </c>
      <c r="B268" s="153" t="str">
        <f>IFERROR(INDEX(D041_ClassFeatures!$B$2:$B$2033,MATCH(C_Variables!A268,D041_ClassFeatures!$A$2:$A$2033,0),1),"")</f>
        <v>Channel Divinity: Abjure Elements</v>
      </c>
      <c r="C268" s="153">
        <f>IF(B268="",0,IF(IFERROR(MATCH(B268,C_Input!$BC$160:$BC$239,0),0)&gt;0,1,0))</f>
        <v>0</v>
      </c>
      <c r="F268" s="483"/>
      <c r="G268" s="179"/>
      <c r="H268" s="159"/>
      <c r="I268" s="159"/>
      <c r="J268" s="159"/>
      <c r="K268" s="159"/>
      <c r="L268" s="482" t="str">
        <f t="shared" si="264"/>
        <v/>
      </c>
      <c r="M268" s="482" t="str">
        <f t="shared" si="255"/>
        <v/>
      </c>
      <c r="N268" s="159"/>
      <c r="O268" s="482" t="str">
        <f t="shared" si="256"/>
        <v/>
      </c>
      <c r="P268" s="482" t="str">
        <f t="shared" si="257"/>
        <v/>
      </c>
      <c r="Q268" s="159"/>
      <c r="R268" s="482" t="str">
        <f t="shared" si="258"/>
        <v/>
      </c>
      <c r="S268" s="482" t="str">
        <f t="shared" si="249"/>
        <v>n/a</v>
      </c>
      <c r="T268" s="159"/>
      <c r="U268" s="482" t="str">
        <f t="shared" si="259"/>
        <v/>
      </c>
      <c r="V268" s="482" t="str">
        <f t="shared" si="250"/>
        <v>n/a</v>
      </c>
      <c r="W268" s="159"/>
      <c r="X268" s="482" t="str">
        <f t="shared" si="260"/>
        <v/>
      </c>
      <c r="Y268" s="482" t="str">
        <f t="shared" si="251"/>
        <v>n/a</v>
      </c>
      <c r="Z268" s="159"/>
      <c r="AA268" s="482" t="str">
        <f t="shared" si="261"/>
        <v/>
      </c>
      <c r="AB268" s="482" t="str">
        <f t="shared" si="252"/>
        <v>n/a</v>
      </c>
      <c r="AC268" s="159"/>
      <c r="AD268" s="482" t="str">
        <f t="shared" si="262"/>
        <v/>
      </c>
      <c r="AE268" s="482" t="str">
        <f t="shared" si="253"/>
        <v>n/a</v>
      </c>
      <c r="AF268" s="159"/>
      <c r="AG268" s="482" t="str">
        <f t="shared" si="263"/>
        <v/>
      </c>
      <c r="AH268" s="482" t="str">
        <f t="shared" si="254"/>
        <v>n/a</v>
      </c>
      <c r="AI268" s="180"/>
      <c r="AJ268" s="483"/>
    </row>
    <row r="269" spans="1:36" ht="16.5" x14ac:dyDescent="0.3">
      <c r="A269" s="155">
        <f>IFERROR(IF(A268+1&lt;MAX(D041_ClassFeatures!$A$2:$A$2033),A268+1,""),"")</f>
        <v>266</v>
      </c>
      <c r="B269" s="153" t="str">
        <f>IFERROR(INDEX(D041_ClassFeatures!$B$2:$B$2033,MATCH(C_Variables!A269,D041_ClassFeatures!$A$2:$A$2033,0),1),"")</f>
        <v>Channel Divinity: Vow of Emnity</v>
      </c>
      <c r="C269" s="153">
        <f>IF(B269="",0,IF(IFERROR(MATCH(B269,C_Input!$BC$160:$BC$239,0),0)&gt;0,1,0))</f>
        <v>0</v>
      </c>
      <c r="F269" s="483"/>
      <c r="G269" s="179"/>
      <c r="H269" s="159"/>
      <c r="I269" s="159"/>
      <c r="J269" s="159"/>
      <c r="K269" s="159"/>
      <c r="L269" s="482" t="str">
        <f t="shared" si="264"/>
        <v/>
      </c>
      <c r="M269" s="482" t="str">
        <f t="shared" si="255"/>
        <v/>
      </c>
      <c r="N269" s="159"/>
      <c r="O269" s="482" t="str">
        <f t="shared" si="256"/>
        <v/>
      </c>
      <c r="P269" s="482" t="str">
        <f t="shared" si="257"/>
        <v/>
      </c>
      <c r="Q269" s="159"/>
      <c r="R269" s="482" t="str">
        <f t="shared" si="258"/>
        <v/>
      </c>
      <c r="S269" s="482" t="str">
        <f t="shared" si="249"/>
        <v>n/a</v>
      </c>
      <c r="T269" s="159"/>
      <c r="U269" s="482" t="str">
        <f t="shared" si="259"/>
        <v/>
      </c>
      <c r="V269" s="482" t="str">
        <f t="shared" si="250"/>
        <v>n/a</v>
      </c>
      <c r="W269" s="159"/>
      <c r="X269" s="482" t="str">
        <f t="shared" si="260"/>
        <v/>
      </c>
      <c r="Y269" s="482" t="str">
        <f t="shared" si="251"/>
        <v>n/a</v>
      </c>
      <c r="Z269" s="159"/>
      <c r="AA269" s="482" t="str">
        <f t="shared" si="261"/>
        <v/>
      </c>
      <c r="AB269" s="482" t="str">
        <f t="shared" si="252"/>
        <v>n/a</v>
      </c>
      <c r="AC269" s="159"/>
      <c r="AD269" s="482" t="str">
        <f t="shared" si="262"/>
        <v/>
      </c>
      <c r="AE269" s="482" t="str">
        <f t="shared" si="253"/>
        <v>n/a</v>
      </c>
      <c r="AF269" s="159"/>
      <c r="AG269" s="482" t="str">
        <f t="shared" si="263"/>
        <v/>
      </c>
      <c r="AH269" s="482" t="str">
        <f t="shared" si="254"/>
        <v>n/a</v>
      </c>
      <c r="AI269" s="180"/>
      <c r="AJ269" s="483"/>
    </row>
    <row r="270" spans="1:36" ht="16.5" x14ac:dyDescent="0.3">
      <c r="A270" s="155">
        <f>IFERROR(IF(A269+1&lt;MAX(D041_ClassFeatures!$A$2:$A$2033),A269+1,""),"")</f>
        <v>267</v>
      </c>
      <c r="B270" s="153" t="str">
        <f>IFERROR(INDEX(D041_ClassFeatures!$B$2:$B$2033,MATCH(C_Variables!A270,D041_ClassFeatures!$A$2:$A$2033,0),1),"")</f>
        <v>Relentless Avenger</v>
      </c>
      <c r="C270" s="153">
        <f>IF(B270="",0,IF(IFERROR(MATCH(B270,C_Input!$BC$160:$BC$239,0),0)&gt;0,1,0))</f>
        <v>0</v>
      </c>
      <c r="F270" s="483"/>
      <c r="G270" s="179"/>
      <c r="H270" s="159"/>
      <c r="I270" s="159"/>
      <c r="J270" s="159"/>
      <c r="K270" s="159"/>
      <c r="L270" s="482" t="str">
        <f t="shared" si="264"/>
        <v/>
      </c>
      <c r="M270" s="482" t="str">
        <f t="shared" si="255"/>
        <v/>
      </c>
      <c r="N270" s="159"/>
      <c r="O270" s="482" t="str">
        <f t="shared" si="256"/>
        <v/>
      </c>
      <c r="P270" s="482" t="str">
        <f t="shared" si="257"/>
        <v/>
      </c>
      <c r="Q270" s="159"/>
      <c r="R270" s="482" t="str">
        <f t="shared" si="258"/>
        <v/>
      </c>
      <c r="S270" s="482" t="str">
        <f t="shared" si="249"/>
        <v>n/a</v>
      </c>
      <c r="T270" s="159"/>
      <c r="U270" s="482" t="str">
        <f t="shared" si="259"/>
        <v/>
      </c>
      <c r="V270" s="482" t="str">
        <f t="shared" si="250"/>
        <v>n/a</v>
      </c>
      <c r="W270" s="159"/>
      <c r="X270" s="482" t="str">
        <f t="shared" si="260"/>
        <v/>
      </c>
      <c r="Y270" s="482" t="str">
        <f t="shared" si="251"/>
        <v>n/a</v>
      </c>
      <c r="Z270" s="159"/>
      <c r="AA270" s="482" t="str">
        <f t="shared" si="261"/>
        <v/>
      </c>
      <c r="AB270" s="482" t="str">
        <f t="shared" si="252"/>
        <v>n/a</v>
      </c>
      <c r="AC270" s="159"/>
      <c r="AD270" s="482" t="str">
        <f t="shared" si="262"/>
        <v/>
      </c>
      <c r="AE270" s="482" t="str">
        <f t="shared" si="253"/>
        <v>n/a</v>
      </c>
      <c r="AF270" s="159"/>
      <c r="AG270" s="482" t="str">
        <f t="shared" si="263"/>
        <v/>
      </c>
      <c r="AH270" s="482" t="str">
        <f t="shared" si="254"/>
        <v>n/a</v>
      </c>
      <c r="AI270" s="180"/>
      <c r="AJ270" s="483"/>
    </row>
    <row r="271" spans="1:36" ht="16.5" x14ac:dyDescent="0.3">
      <c r="A271" s="155">
        <f>IFERROR(IF(A270+1&lt;MAX(D041_ClassFeatures!$A$2:$A$2033),A270+1,""),"")</f>
        <v>268</v>
      </c>
      <c r="B271" s="153" t="str">
        <f>IFERROR(INDEX(D041_ClassFeatures!$B$2:$B$2033,MATCH(C_Variables!A271,D041_ClassFeatures!$A$2:$A$2033,0),1),"")</f>
        <v>Soul of Vengeance</v>
      </c>
      <c r="C271" s="153">
        <f>IF(B271="",0,IF(IFERROR(MATCH(B271,C_Input!$BC$160:$BC$239,0),0)&gt;0,1,0))</f>
        <v>0</v>
      </c>
      <c r="F271" s="483"/>
      <c r="G271" s="179"/>
      <c r="H271" s="159"/>
      <c r="I271" s="159"/>
      <c r="J271" s="159"/>
      <c r="K271" s="159"/>
      <c r="L271" s="482" t="str">
        <f t="shared" si="264"/>
        <v/>
      </c>
      <c r="M271" s="482" t="str">
        <f t="shared" si="255"/>
        <v/>
      </c>
      <c r="N271" s="159"/>
      <c r="O271" s="482" t="str">
        <f t="shared" si="256"/>
        <v/>
      </c>
      <c r="P271" s="482" t="str">
        <f t="shared" si="257"/>
        <v/>
      </c>
      <c r="Q271" s="159"/>
      <c r="R271" s="482" t="str">
        <f t="shared" si="258"/>
        <v/>
      </c>
      <c r="S271" s="482" t="str">
        <f t="shared" si="249"/>
        <v>n/a</v>
      </c>
      <c r="T271" s="159"/>
      <c r="U271" s="482" t="str">
        <f t="shared" si="259"/>
        <v/>
      </c>
      <c r="V271" s="482" t="str">
        <f t="shared" si="250"/>
        <v>n/a</v>
      </c>
      <c r="W271" s="159"/>
      <c r="X271" s="482" t="str">
        <f t="shared" si="260"/>
        <v/>
      </c>
      <c r="Y271" s="482" t="str">
        <f t="shared" si="251"/>
        <v>n/a</v>
      </c>
      <c r="Z271" s="159"/>
      <c r="AA271" s="482" t="str">
        <f t="shared" si="261"/>
        <v/>
      </c>
      <c r="AB271" s="482" t="str">
        <f t="shared" si="252"/>
        <v>n/a</v>
      </c>
      <c r="AC271" s="159"/>
      <c r="AD271" s="482" t="str">
        <f t="shared" si="262"/>
        <v/>
      </c>
      <c r="AE271" s="482" t="str">
        <f t="shared" si="253"/>
        <v>n/a</v>
      </c>
      <c r="AF271" s="159"/>
      <c r="AG271" s="482" t="str">
        <f t="shared" si="263"/>
        <v/>
      </c>
      <c r="AH271" s="482" t="str">
        <f t="shared" si="254"/>
        <v>n/a</v>
      </c>
      <c r="AI271" s="180"/>
      <c r="AJ271" s="483"/>
    </row>
    <row r="272" spans="1:36" ht="16.5" x14ac:dyDescent="0.3">
      <c r="A272" s="155">
        <f>IFERROR(IF(A271+1&lt;MAX(D041_ClassFeatures!$A$2:$A$2033),A271+1,""),"")</f>
        <v>269</v>
      </c>
      <c r="B272" s="153" t="str">
        <f>IFERROR(INDEX(D041_ClassFeatures!$B$2:$B$2033,MATCH(C_Variables!A272,D041_ClassFeatures!$A$2:$A$2033,0),1),"")</f>
        <v>Avenging Angel</v>
      </c>
      <c r="C272" s="153">
        <f>IF(B272="",0,IF(IFERROR(MATCH(B272,C_Input!$BC$160:$BC$239,0),0)&gt;0,1,0))</f>
        <v>0</v>
      </c>
      <c r="F272" s="483"/>
      <c r="G272" s="179"/>
      <c r="H272" s="159"/>
      <c r="I272" s="159"/>
      <c r="J272" s="159"/>
      <c r="K272" s="159"/>
      <c r="L272" s="482" t="str">
        <f t="shared" si="264"/>
        <v/>
      </c>
      <c r="M272" s="482" t="str">
        <f t="shared" si="255"/>
        <v/>
      </c>
      <c r="N272" s="159"/>
      <c r="O272" s="482" t="str">
        <f t="shared" si="256"/>
        <v/>
      </c>
      <c r="P272" s="482" t="str">
        <f t="shared" si="257"/>
        <v/>
      </c>
      <c r="Q272" s="159"/>
      <c r="R272" s="482" t="str">
        <f t="shared" si="258"/>
        <v/>
      </c>
      <c r="S272" s="482" t="str">
        <f t="shared" si="249"/>
        <v>n/a</v>
      </c>
      <c r="T272" s="159"/>
      <c r="U272" s="482" t="str">
        <f t="shared" si="259"/>
        <v/>
      </c>
      <c r="V272" s="482" t="str">
        <f t="shared" si="250"/>
        <v>n/a</v>
      </c>
      <c r="W272" s="159"/>
      <c r="X272" s="482" t="str">
        <f t="shared" si="260"/>
        <v/>
      </c>
      <c r="Y272" s="482" t="str">
        <f t="shared" si="251"/>
        <v>n/a</v>
      </c>
      <c r="Z272" s="159"/>
      <c r="AA272" s="482" t="str">
        <f t="shared" si="261"/>
        <v/>
      </c>
      <c r="AB272" s="482" t="str">
        <f t="shared" si="252"/>
        <v>n/a</v>
      </c>
      <c r="AC272" s="159"/>
      <c r="AD272" s="482" t="str">
        <f t="shared" si="262"/>
        <v/>
      </c>
      <c r="AE272" s="482" t="str">
        <f t="shared" si="253"/>
        <v>n/a</v>
      </c>
      <c r="AF272" s="159"/>
      <c r="AG272" s="482" t="str">
        <f t="shared" si="263"/>
        <v/>
      </c>
      <c r="AH272" s="482" t="str">
        <f t="shared" si="254"/>
        <v>n/a</v>
      </c>
      <c r="AI272" s="180"/>
      <c r="AJ272" s="483"/>
    </row>
    <row r="273" spans="1:57" ht="16.5" x14ac:dyDescent="0.3">
      <c r="A273" s="155">
        <f>IFERROR(IF(A272+1&lt;MAX(D041_ClassFeatures!$A$2:$A$2033),A272+1,""),"")</f>
        <v>270</v>
      </c>
      <c r="B273" s="153" t="str">
        <f>IFERROR(INDEX(D041_ClassFeatures!$B$2:$B$2033,MATCH(C_Variables!A273,D041_ClassFeatures!$A$2:$A$2033,0),1),"")</f>
        <v>Hunter's Prey</v>
      </c>
      <c r="C273" s="153">
        <f>IF(B273="",0,IF(IFERROR(MATCH(B273,C_Input!$BC$160:$BC$239,0),0)&gt;0,1,0))</f>
        <v>0</v>
      </c>
      <c r="F273" s="483"/>
      <c r="G273" s="179"/>
      <c r="H273" s="159"/>
      <c r="I273" s="159"/>
      <c r="J273" s="159"/>
      <c r="K273" s="159"/>
      <c r="L273" s="482" t="str">
        <f t="shared" si="264"/>
        <v/>
      </c>
      <c r="M273" s="482" t="str">
        <f t="shared" si="255"/>
        <v/>
      </c>
      <c r="N273" s="159"/>
      <c r="O273" s="482" t="str">
        <f t="shared" si="256"/>
        <v/>
      </c>
      <c r="P273" s="482" t="str">
        <f t="shared" si="257"/>
        <v/>
      </c>
      <c r="Q273" s="159"/>
      <c r="R273" s="482" t="str">
        <f t="shared" si="258"/>
        <v/>
      </c>
      <c r="S273" s="482" t="str">
        <f t="shared" si="249"/>
        <v>n/a</v>
      </c>
      <c r="T273" s="159"/>
      <c r="U273" s="482" t="str">
        <f t="shared" si="259"/>
        <v/>
      </c>
      <c r="V273" s="482" t="str">
        <f t="shared" si="250"/>
        <v>n/a</v>
      </c>
      <c r="W273" s="159"/>
      <c r="X273" s="482" t="str">
        <f t="shared" si="260"/>
        <v/>
      </c>
      <c r="Y273" s="482" t="str">
        <f t="shared" si="251"/>
        <v>n/a</v>
      </c>
      <c r="Z273" s="159"/>
      <c r="AA273" s="482" t="str">
        <f t="shared" si="261"/>
        <v/>
      </c>
      <c r="AB273" s="482" t="str">
        <f t="shared" si="252"/>
        <v>n/a</v>
      </c>
      <c r="AC273" s="159"/>
      <c r="AD273" s="482" t="str">
        <f t="shared" si="262"/>
        <v/>
      </c>
      <c r="AE273" s="482" t="str">
        <f t="shared" si="253"/>
        <v>n/a</v>
      </c>
      <c r="AF273" s="159"/>
      <c r="AG273" s="482" t="str">
        <f t="shared" si="263"/>
        <v/>
      </c>
      <c r="AH273" s="482" t="str">
        <f t="shared" si="254"/>
        <v>n/a</v>
      </c>
      <c r="AI273" s="180"/>
      <c r="AJ273" s="483"/>
    </row>
    <row r="274" spans="1:57" ht="16.5" x14ac:dyDescent="0.3">
      <c r="A274" s="155">
        <f>IFERROR(IF(A273+1&lt;MAX(D041_ClassFeatures!$A$2:$A$2033),A273+1,""),"")</f>
        <v>271</v>
      </c>
      <c r="B274" s="153" t="str">
        <f>IFERROR(INDEX(D041_ClassFeatures!$B$2:$B$2033,MATCH(C_Variables!A274,D041_ClassFeatures!$A$2:$A$2033,0),1),"")</f>
        <v>Defensive Tactics</v>
      </c>
      <c r="C274" s="153">
        <f>IF(B274="",0,IF(IFERROR(MATCH(B274,C_Input!$BC$160:$BC$239,0),0)&gt;0,1,0))</f>
        <v>0</v>
      </c>
      <c r="F274" s="483"/>
      <c r="G274" s="179"/>
      <c r="H274" s="159"/>
      <c r="I274" s="159"/>
      <c r="J274" s="159"/>
      <c r="K274" s="159"/>
      <c r="L274" s="482" t="str">
        <f t="shared" si="264"/>
        <v/>
      </c>
      <c r="M274" s="482" t="str">
        <f t="shared" si="255"/>
        <v/>
      </c>
      <c r="N274" s="159"/>
      <c r="O274" s="482" t="str">
        <f t="shared" si="256"/>
        <v/>
      </c>
      <c r="P274" s="482" t="str">
        <f t="shared" si="257"/>
        <v/>
      </c>
      <c r="Q274" s="159"/>
      <c r="R274" s="482" t="str">
        <f t="shared" si="258"/>
        <v/>
      </c>
      <c r="S274" s="482" t="str">
        <f t="shared" si="249"/>
        <v>n/a</v>
      </c>
      <c r="T274" s="159"/>
      <c r="U274" s="482" t="str">
        <f t="shared" si="259"/>
        <v/>
      </c>
      <c r="V274" s="482" t="str">
        <f t="shared" si="250"/>
        <v>n/a</v>
      </c>
      <c r="W274" s="159"/>
      <c r="X274" s="482" t="str">
        <f t="shared" si="260"/>
        <v/>
      </c>
      <c r="Y274" s="482" t="str">
        <f t="shared" si="251"/>
        <v>n/a</v>
      </c>
      <c r="Z274" s="159"/>
      <c r="AA274" s="482" t="str">
        <f t="shared" si="261"/>
        <v/>
      </c>
      <c r="AB274" s="482" t="str">
        <f t="shared" si="252"/>
        <v>n/a</v>
      </c>
      <c r="AC274" s="159"/>
      <c r="AD274" s="482" t="str">
        <f t="shared" si="262"/>
        <v/>
      </c>
      <c r="AE274" s="482" t="str">
        <f t="shared" si="253"/>
        <v>n/a</v>
      </c>
      <c r="AF274" s="159"/>
      <c r="AG274" s="482" t="str">
        <f t="shared" si="263"/>
        <v/>
      </c>
      <c r="AH274" s="482" t="str">
        <f t="shared" si="254"/>
        <v>n/a</v>
      </c>
      <c r="AI274" s="180"/>
      <c r="AJ274" s="483"/>
    </row>
    <row r="275" spans="1:57" ht="16.5" x14ac:dyDescent="0.3">
      <c r="A275" s="155">
        <f>IFERROR(IF(A274+1&lt;MAX(D041_ClassFeatures!$A$2:$A$2033),A274+1,""),"")</f>
        <v>272</v>
      </c>
      <c r="B275" s="153" t="str">
        <f>IFERROR(INDEX(D041_ClassFeatures!$B$2:$B$2033,MATCH(C_Variables!A275,D041_ClassFeatures!$A$2:$A$2033,0),1),"")</f>
        <v>Multiattack</v>
      </c>
      <c r="C275" s="153">
        <f>IF(B275="",0,IF(IFERROR(MATCH(B275,C_Input!$BC$160:$BC$239,0),0)&gt;0,1,0))</f>
        <v>0</v>
      </c>
      <c r="F275" s="483"/>
      <c r="G275" s="179"/>
      <c r="H275" s="159"/>
      <c r="I275" s="159"/>
      <c r="J275" s="159"/>
      <c r="K275" s="159"/>
      <c r="L275" s="482" t="str">
        <f t="shared" si="264"/>
        <v/>
      </c>
      <c r="M275" s="482" t="str">
        <f t="shared" si="255"/>
        <v/>
      </c>
      <c r="N275" s="159"/>
      <c r="O275" s="482" t="str">
        <f t="shared" si="256"/>
        <v/>
      </c>
      <c r="P275" s="482" t="str">
        <f t="shared" si="257"/>
        <v/>
      </c>
      <c r="Q275" s="159"/>
      <c r="R275" s="482" t="str">
        <f t="shared" si="258"/>
        <v/>
      </c>
      <c r="S275" s="482" t="str">
        <f t="shared" si="249"/>
        <v>n/a</v>
      </c>
      <c r="T275" s="159"/>
      <c r="U275" s="482" t="str">
        <f t="shared" si="259"/>
        <v/>
      </c>
      <c r="V275" s="482" t="str">
        <f t="shared" si="250"/>
        <v>n/a</v>
      </c>
      <c r="W275" s="159"/>
      <c r="X275" s="482" t="str">
        <f t="shared" si="260"/>
        <v/>
      </c>
      <c r="Y275" s="482" t="str">
        <f t="shared" si="251"/>
        <v>n/a</v>
      </c>
      <c r="Z275" s="159"/>
      <c r="AA275" s="482" t="str">
        <f t="shared" si="261"/>
        <v/>
      </c>
      <c r="AB275" s="482" t="str">
        <f t="shared" si="252"/>
        <v>n/a</v>
      </c>
      <c r="AC275" s="159"/>
      <c r="AD275" s="482" t="str">
        <f t="shared" si="262"/>
        <v/>
      </c>
      <c r="AE275" s="482" t="str">
        <f t="shared" si="253"/>
        <v>n/a</v>
      </c>
      <c r="AF275" s="159"/>
      <c r="AG275" s="482" t="str">
        <f t="shared" si="263"/>
        <v/>
      </c>
      <c r="AH275" s="482" t="str">
        <f t="shared" si="254"/>
        <v>n/a</v>
      </c>
      <c r="AI275" s="180"/>
      <c r="AJ275" s="483"/>
    </row>
    <row r="276" spans="1:57" ht="16.5" x14ac:dyDescent="0.3">
      <c r="A276" s="155">
        <f>IFERROR(IF(A275+1&lt;MAX(D041_ClassFeatures!$A$2:$A$2033),A275+1,""),"")</f>
        <v>273</v>
      </c>
      <c r="B276" s="153" t="str">
        <f>IFERROR(INDEX(D041_ClassFeatures!$B$2:$B$2033,MATCH(C_Variables!A276,D041_ClassFeatures!$A$2:$A$2033,0),1),"")</f>
        <v>Superior Hunter's Defense</v>
      </c>
      <c r="C276" s="153">
        <f>IF(B276="",0,IF(IFERROR(MATCH(B276,C_Input!$BC$160:$BC$239,0),0)&gt;0,1,0))</f>
        <v>0</v>
      </c>
      <c r="F276" s="483"/>
      <c r="G276" s="179"/>
      <c r="H276" s="159"/>
      <c r="I276" s="159"/>
      <c r="J276" s="159"/>
      <c r="K276" s="159"/>
      <c r="L276" s="482" t="str">
        <f t="shared" si="264"/>
        <v/>
      </c>
      <c r="M276" s="482" t="str">
        <f t="shared" si="255"/>
        <v/>
      </c>
      <c r="N276" s="159"/>
      <c r="O276" s="482" t="str">
        <f t="shared" si="256"/>
        <v/>
      </c>
      <c r="P276" s="482" t="str">
        <f t="shared" si="257"/>
        <v/>
      </c>
      <c r="Q276" s="159"/>
      <c r="R276" s="482" t="str">
        <f t="shared" si="258"/>
        <v/>
      </c>
      <c r="S276" s="482" t="str">
        <f t="shared" si="249"/>
        <v>n/a</v>
      </c>
      <c r="T276" s="159"/>
      <c r="U276" s="482" t="str">
        <f t="shared" si="259"/>
        <v/>
      </c>
      <c r="V276" s="482" t="str">
        <f t="shared" si="250"/>
        <v>n/a</v>
      </c>
      <c r="W276" s="159"/>
      <c r="X276" s="482" t="str">
        <f t="shared" si="260"/>
        <v/>
      </c>
      <c r="Y276" s="482" t="str">
        <f t="shared" si="251"/>
        <v>n/a</v>
      </c>
      <c r="Z276" s="159"/>
      <c r="AA276" s="482" t="str">
        <f t="shared" si="261"/>
        <v/>
      </c>
      <c r="AB276" s="482" t="str">
        <f t="shared" si="252"/>
        <v>n/a</v>
      </c>
      <c r="AC276" s="159"/>
      <c r="AD276" s="482" t="str">
        <f t="shared" si="262"/>
        <v/>
      </c>
      <c r="AE276" s="482" t="str">
        <f t="shared" si="253"/>
        <v>n/a</v>
      </c>
      <c r="AF276" s="159"/>
      <c r="AG276" s="482" t="str">
        <f t="shared" si="263"/>
        <v/>
      </c>
      <c r="AH276" s="482" t="str">
        <f t="shared" si="254"/>
        <v>n/a</v>
      </c>
      <c r="AI276" s="180"/>
      <c r="AJ276" s="483"/>
    </row>
    <row r="277" spans="1:57" ht="16.5" x14ac:dyDescent="0.3">
      <c r="A277" s="155">
        <f>IFERROR(IF(A276+1&lt;MAX(D041_ClassFeatures!$A$2:$A$2033),A276+1,""),"")</f>
        <v>274</v>
      </c>
      <c r="B277" s="153" t="str">
        <f>IFERROR(INDEX(D041_ClassFeatures!$B$2:$B$2033,MATCH(C_Variables!A277,D041_ClassFeatures!$A$2:$A$2033,0),1),"")</f>
        <v>Ranger's Companion</v>
      </c>
      <c r="C277" s="153">
        <f>IF(B277="",0,IF(IFERROR(MATCH(B277,C_Input!$BC$160:$BC$239,0),0)&gt;0,1,0))</f>
        <v>0</v>
      </c>
      <c r="F277" s="483"/>
      <c r="G277" s="179"/>
      <c r="H277" s="159"/>
      <c r="I277" s="159"/>
      <c r="J277" s="159"/>
      <c r="K277" s="159"/>
      <c r="L277" s="482" t="str">
        <f t="shared" si="264"/>
        <v/>
      </c>
      <c r="M277" s="482" t="str">
        <f t="shared" si="255"/>
        <v/>
      </c>
      <c r="N277" s="159"/>
      <c r="O277" s="482" t="str">
        <f t="shared" si="256"/>
        <v/>
      </c>
      <c r="P277" s="482" t="str">
        <f t="shared" si="257"/>
        <v/>
      </c>
      <c r="Q277" s="159"/>
      <c r="R277" s="482" t="str">
        <f t="shared" si="258"/>
        <v/>
      </c>
      <c r="S277" s="482" t="str">
        <f t="shared" si="249"/>
        <v>n/a</v>
      </c>
      <c r="T277" s="159"/>
      <c r="U277" s="482" t="str">
        <f t="shared" si="259"/>
        <v/>
      </c>
      <c r="V277" s="482" t="str">
        <f t="shared" si="250"/>
        <v>n/a</v>
      </c>
      <c r="W277" s="159"/>
      <c r="X277" s="482" t="str">
        <f t="shared" si="260"/>
        <v/>
      </c>
      <c r="Y277" s="482" t="str">
        <f t="shared" si="251"/>
        <v>n/a</v>
      </c>
      <c r="Z277" s="159"/>
      <c r="AA277" s="482" t="str">
        <f t="shared" si="261"/>
        <v/>
      </c>
      <c r="AB277" s="482" t="str">
        <f t="shared" si="252"/>
        <v>n/a</v>
      </c>
      <c r="AC277" s="159"/>
      <c r="AD277" s="482" t="str">
        <f t="shared" si="262"/>
        <v/>
      </c>
      <c r="AE277" s="482" t="str">
        <f t="shared" si="253"/>
        <v>n/a</v>
      </c>
      <c r="AF277" s="159"/>
      <c r="AG277" s="482" t="str">
        <f t="shared" si="263"/>
        <v/>
      </c>
      <c r="AH277" s="482" t="str">
        <f t="shared" si="254"/>
        <v>n/a</v>
      </c>
      <c r="AI277" s="180"/>
      <c r="AJ277" s="483"/>
    </row>
    <row r="278" spans="1:57" ht="16.5" x14ac:dyDescent="0.3">
      <c r="A278" s="155">
        <f>IFERROR(IF(A277+1&lt;MAX(D041_ClassFeatures!$A$2:$A$2033),A277+1,""),"")</f>
        <v>275</v>
      </c>
      <c r="B278" s="153" t="str">
        <f>IFERROR(INDEX(D041_ClassFeatures!$B$2:$B$2033,MATCH(C_Variables!A278,D041_ClassFeatures!$A$2:$A$2033,0),1),"")</f>
        <v>Exceptional Training</v>
      </c>
      <c r="C278" s="153">
        <f>IF(B278="",0,IF(IFERROR(MATCH(B278,C_Input!$BC$160:$BC$239,0),0)&gt;0,1,0))</f>
        <v>0</v>
      </c>
      <c r="F278" s="483"/>
      <c r="G278" s="179"/>
      <c r="H278" s="159"/>
      <c r="I278" s="159"/>
      <c r="J278" s="159"/>
      <c r="K278" s="159"/>
      <c r="L278" s="482" t="str">
        <f t="shared" si="264"/>
        <v/>
      </c>
      <c r="M278" s="482" t="str">
        <f t="shared" si="255"/>
        <v/>
      </c>
      <c r="N278" s="159"/>
      <c r="O278" s="482" t="str">
        <f t="shared" si="256"/>
        <v/>
      </c>
      <c r="P278" s="482" t="str">
        <f t="shared" si="257"/>
        <v/>
      </c>
      <c r="Q278" s="159"/>
      <c r="R278" s="482" t="str">
        <f t="shared" si="258"/>
        <v/>
      </c>
      <c r="S278" s="482" t="str">
        <f t="shared" si="249"/>
        <v>n/a</v>
      </c>
      <c r="T278" s="159"/>
      <c r="U278" s="482" t="str">
        <f t="shared" si="259"/>
        <v/>
      </c>
      <c r="V278" s="482" t="str">
        <f t="shared" si="250"/>
        <v>n/a</v>
      </c>
      <c r="W278" s="159"/>
      <c r="X278" s="482" t="str">
        <f t="shared" si="260"/>
        <v/>
      </c>
      <c r="Y278" s="482" t="str">
        <f t="shared" si="251"/>
        <v>n/a</v>
      </c>
      <c r="Z278" s="159"/>
      <c r="AA278" s="482" t="str">
        <f t="shared" si="261"/>
        <v/>
      </c>
      <c r="AB278" s="482" t="str">
        <f t="shared" si="252"/>
        <v>n/a</v>
      </c>
      <c r="AC278" s="159"/>
      <c r="AD278" s="482" t="str">
        <f t="shared" si="262"/>
        <v/>
      </c>
      <c r="AE278" s="482" t="str">
        <f t="shared" si="253"/>
        <v>n/a</v>
      </c>
      <c r="AF278" s="159"/>
      <c r="AG278" s="482" t="str">
        <f t="shared" si="263"/>
        <v/>
      </c>
      <c r="AH278" s="482" t="str">
        <f t="shared" si="254"/>
        <v>n/a</v>
      </c>
      <c r="AI278" s="180"/>
      <c r="AJ278" s="483"/>
    </row>
    <row r="279" spans="1:57" ht="16.5" x14ac:dyDescent="0.3">
      <c r="A279" s="155">
        <f>IFERROR(IF(A278+1&lt;MAX(D041_ClassFeatures!$A$2:$A$2033),A278+1,""),"")</f>
        <v>276</v>
      </c>
      <c r="B279" s="153" t="str">
        <f>IFERROR(INDEX(D041_ClassFeatures!$B$2:$B$2033,MATCH(C_Variables!A279,D041_ClassFeatures!$A$2:$A$2033,0),1),"")</f>
        <v>Bestial Fury</v>
      </c>
      <c r="C279" s="153">
        <f>IF(B279="",0,IF(IFERROR(MATCH(B279,C_Input!$BC$160:$BC$239,0),0)&gt;0,1,0))</f>
        <v>0</v>
      </c>
      <c r="F279" s="483"/>
      <c r="G279" s="179"/>
      <c r="H279" s="159"/>
      <c r="I279" s="159"/>
      <c r="J279" s="159"/>
      <c r="K279" s="159"/>
      <c r="L279" s="482" t="str">
        <f t="shared" si="264"/>
        <v/>
      </c>
      <c r="M279" s="482" t="str">
        <f t="shared" si="255"/>
        <v/>
      </c>
      <c r="N279" s="159"/>
      <c r="O279" s="482" t="str">
        <f t="shared" si="256"/>
        <v/>
      </c>
      <c r="P279" s="482" t="str">
        <f t="shared" si="257"/>
        <v/>
      </c>
      <c r="Q279" s="159"/>
      <c r="R279" s="482" t="str">
        <f t="shared" si="258"/>
        <v/>
      </c>
      <c r="S279" s="482" t="str">
        <f t="shared" si="249"/>
        <v>n/a</v>
      </c>
      <c r="T279" s="159"/>
      <c r="U279" s="482" t="str">
        <f t="shared" si="259"/>
        <v/>
      </c>
      <c r="V279" s="482" t="str">
        <f t="shared" si="250"/>
        <v>n/a</v>
      </c>
      <c r="W279" s="159"/>
      <c r="X279" s="482" t="str">
        <f t="shared" si="260"/>
        <v/>
      </c>
      <c r="Y279" s="482" t="str">
        <f t="shared" si="251"/>
        <v>n/a</v>
      </c>
      <c r="Z279" s="159"/>
      <c r="AA279" s="482" t="str">
        <f t="shared" si="261"/>
        <v/>
      </c>
      <c r="AB279" s="482" t="str">
        <f t="shared" si="252"/>
        <v>n/a</v>
      </c>
      <c r="AC279" s="159"/>
      <c r="AD279" s="482" t="str">
        <f t="shared" si="262"/>
        <v/>
      </c>
      <c r="AE279" s="482" t="str">
        <f t="shared" si="253"/>
        <v>n/a</v>
      </c>
      <c r="AF279" s="159"/>
      <c r="AG279" s="482" t="str">
        <f t="shared" si="263"/>
        <v/>
      </c>
      <c r="AH279" s="482" t="str">
        <f t="shared" si="254"/>
        <v>n/a</v>
      </c>
      <c r="AI279" s="180"/>
      <c r="AJ279" s="483"/>
    </row>
    <row r="280" spans="1:57" ht="16.5" x14ac:dyDescent="0.3">
      <c r="A280" s="155">
        <f>IFERROR(IF(A279+1&lt;MAX(D041_ClassFeatures!$A$2:$A$2033),A279+1,""),"")</f>
        <v>277</v>
      </c>
      <c r="B280" s="153" t="str">
        <f>IFERROR(INDEX(D041_ClassFeatures!$B$2:$B$2033,MATCH(C_Variables!A280,D041_ClassFeatures!$A$2:$A$2033,0),1),"")</f>
        <v>Share Spells</v>
      </c>
      <c r="C280" s="153">
        <f>IF(B280="",0,IF(IFERROR(MATCH(B280,C_Input!$BC$160:$BC$239,0),0)&gt;0,1,0))</f>
        <v>0</v>
      </c>
      <c r="F280" s="483"/>
      <c r="G280" s="179"/>
      <c r="H280" s="159"/>
      <c r="I280" s="159"/>
      <c r="J280" s="159"/>
      <c r="K280" s="159"/>
      <c r="L280" s="482" t="str">
        <f t="shared" si="264"/>
        <v/>
      </c>
      <c r="M280" s="482" t="str">
        <f t="shared" si="255"/>
        <v/>
      </c>
      <c r="N280" s="159"/>
      <c r="O280" s="482" t="str">
        <f t="shared" si="256"/>
        <v/>
      </c>
      <c r="P280" s="482" t="str">
        <f t="shared" si="257"/>
        <v/>
      </c>
      <c r="Q280" s="159"/>
      <c r="R280" s="482" t="str">
        <f t="shared" si="258"/>
        <v/>
      </c>
      <c r="S280" s="482" t="str">
        <f t="shared" si="249"/>
        <v>n/a</v>
      </c>
      <c r="T280" s="159"/>
      <c r="U280" s="482" t="str">
        <f t="shared" si="259"/>
        <v/>
      </c>
      <c r="V280" s="482" t="str">
        <f t="shared" si="250"/>
        <v>n/a</v>
      </c>
      <c r="W280" s="159"/>
      <c r="X280" s="482" t="str">
        <f t="shared" si="260"/>
        <v/>
      </c>
      <c r="Y280" s="482" t="str">
        <f t="shared" si="251"/>
        <v>n/a</v>
      </c>
      <c r="Z280" s="159"/>
      <c r="AA280" s="482" t="str">
        <f t="shared" si="261"/>
        <v/>
      </c>
      <c r="AB280" s="482" t="str">
        <f t="shared" si="252"/>
        <v>n/a</v>
      </c>
      <c r="AC280" s="159"/>
      <c r="AD280" s="482" t="str">
        <f t="shared" si="262"/>
        <v/>
      </c>
      <c r="AE280" s="482" t="str">
        <f t="shared" si="253"/>
        <v>n/a</v>
      </c>
      <c r="AF280" s="159"/>
      <c r="AG280" s="482" t="str">
        <f t="shared" si="263"/>
        <v/>
      </c>
      <c r="AH280" s="482" t="str">
        <f t="shared" si="254"/>
        <v>n/a</v>
      </c>
      <c r="AI280" s="180"/>
      <c r="AJ280" s="483"/>
    </row>
    <row r="281" spans="1:57" ht="16.5" x14ac:dyDescent="0.3">
      <c r="A281" s="155">
        <f>IFERROR(IF(A280+1&lt;MAX(D041_ClassFeatures!$A$2:$A$2033),A280+1,""),"")</f>
        <v>278</v>
      </c>
      <c r="B281" s="153" t="str">
        <f>IFERROR(INDEX(D041_ClassFeatures!$B$2:$B$2033,MATCH(C_Variables!A281,D041_ClassFeatures!$A$2:$A$2033,0),1),"")</f>
        <v>Fast Hands</v>
      </c>
      <c r="C281" s="153">
        <f>IF(B281="",0,IF(IFERROR(MATCH(B281,C_Input!$BC$160:$BC$239,0),0)&gt;0,1,0))</f>
        <v>0</v>
      </c>
      <c r="F281" s="483"/>
      <c r="G281" s="179"/>
      <c r="H281" s="159"/>
      <c r="I281" s="159"/>
      <c r="J281" s="159"/>
      <c r="K281" s="159"/>
      <c r="L281" s="482" t="str">
        <f t="shared" si="264"/>
        <v/>
      </c>
      <c r="M281" s="482" t="str">
        <f t="shared" si="255"/>
        <v/>
      </c>
      <c r="N281" s="159"/>
      <c r="O281" s="482" t="str">
        <f t="shared" si="256"/>
        <v/>
      </c>
      <c r="P281" s="482" t="str">
        <f t="shared" si="257"/>
        <v/>
      </c>
      <c r="Q281" s="159"/>
      <c r="R281" s="482" t="str">
        <f t="shared" si="258"/>
        <v/>
      </c>
      <c r="S281" s="482" t="str">
        <f t="shared" si="249"/>
        <v>n/a</v>
      </c>
      <c r="T281" s="159"/>
      <c r="U281" s="482" t="str">
        <f t="shared" si="259"/>
        <v/>
      </c>
      <c r="V281" s="482" t="str">
        <f t="shared" si="250"/>
        <v>n/a</v>
      </c>
      <c r="W281" s="159"/>
      <c r="X281" s="482" t="str">
        <f t="shared" si="260"/>
        <v/>
      </c>
      <c r="Y281" s="482" t="str">
        <f t="shared" si="251"/>
        <v>n/a</v>
      </c>
      <c r="Z281" s="159"/>
      <c r="AA281" s="482" t="str">
        <f t="shared" si="261"/>
        <v/>
      </c>
      <c r="AB281" s="482" t="str">
        <f t="shared" si="252"/>
        <v>n/a</v>
      </c>
      <c r="AC281" s="159"/>
      <c r="AD281" s="482" t="str">
        <f t="shared" si="262"/>
        <v/>
      </c>
      <c r="AE281" s="482" t="str">
        <f t="shared" si="253"/>
        <v>n/a</v>
      </c>
      <c r="AF281" s="159"/>
      <c r="AG281" s="482" t="str">
        <f t="shared" si="263"/>
        <v/>
      </c>
      <c r="AH281" s="482" t="str">
        <f t="shared" si="254"/>
        <v>n/a</v>
      </c>
      <c r="AI281" s="180"/>
      <c r="AJ281" s="483"/>
    </row>
    <row r="282" spans="1:57" ht="16.5" x14ac:dyDescent="0.3">
      <c r="A282" s="155">
        <f>IFERROR(IF(A281+1&lt;MAX(D041_ClassFeatures!$A$2:$A$2033),A281+1,""),"")</f>
        <v>279</v>
      </c>
      <c r="B282" s="153" t="str">
        <f>IFERROR(INDEX(D041_ClassFeatures!$B$2:$B$2033,MATCH(C_Variables!A282,D041_ClassFeatures!$A$2:$A$2033,0),1),"")</f>
        <v>Second-Story Work</v>
      </c>
      <c r="C282" s="153">
        <f>IF(B282="",0,IF(IFERROR(MATCH(B282,C_Input!$BC$160:$BC$239,0),0)&gt;0,1,0))</f>
        <v>0</v>
      </c>
      <c r="F282" s="483"/>
      <c r="G282" s="179"/>
      <c r="H282" s="159"/>
      <c r="I282" s="159"/>
      <c r="J282" s="159"/>
      <c r="K282" s="159"/>
      <c r="L282" s="159"/>
      <c r="M282" s="159"/>
      <c r="N282" s="159"/>
      <c r="O282" s="159"/>
      <c r="P282" s="159"/>
      <c r="Q282" s="159"/>
      <c r="R282" s="159"/>
      <c r="S282" s="159"/>
      <c r="T282" s="159"/>
      <c r="U282" s="159"/>
      <c r="V282" s="159"/>
      <c r="W282" s="159"/>
      <c r="X282" s="159"/>
      <c r="Y282" s="159"/>
      <c r="Z282" s="159"/>
      <c r="AA282" s="159"/>
      <c r="AB282" s="159"/>
      <c r="AC282" s="159"/>
      <c r="AD282" s="159"/>
      <c r="AE282" s="159"/>
      <c r="AF282" s="159"/>
      <c r="AG282" s="159"/>
      <c r="AH282" s="159"/>
      <c r="AI282" s="180"/>
      <c r="AJ282" s="483"/>
    </row>
    <row r="283" spans="1:57" ht="17.25" thickBot="1" x14ac:dyDescent="0.35">
      <c r="A283" s="155">
        <f>IFERROR(IF(A282+1&lt;MAX(D041_ClassFeatures!$A$2:$A$2033),A282+1,""),"")</f>
        <v>280</v>
      </c>
      <c r="B283" s="153" t="str">
        <f>IFERROR(INDEX(D041_ClassFeatures!$B$2:$B$2033,MATCH(C_Variables!A283,D041_ClassFeatures!$A$2:$A$2033,0),1),"")</f>
        <v>Supreme Sneak</v>
      </c>
      <c r="C283" s="153">
        <f>IF(B283="",0,IF(IFERROR(MATCH(B283,C_Input!$BC$160:$BC$239,0),0)&gt;0,1,0))</f>
        <v>0</v>
      </c>
      <c r="F283" s="483"/>
      <c r="G283" s="181"/>
      <c r="H283" s="182"/>
      <c r="I283" s="182"/>
      <c r="J283" s="182"/>
      <c r="K283" s="182"/>
      <c r="L283" s="182"/>
      <c r="M283" s="182"/>
      <c r="N283" s="182"/>
      <c r="O283" s="182"/>
      <c r="P283" s="182"/>
      <c r="Q283" s="182"/>
      <c r="R283" s="182"/>
      <c r="S283" s="182"/>
      <c r="T283" s="182"/>
      <c r="U283" s="182"/>
      <c r="V283" s="182"/>
      <c r="W283" s="182"/>
      <c r="X283" s="182"/>
      <c r="Y283" s="182"/>
      <c r="Z283" s="182"/>
      <c r="AA283" s="182"/>
      <c r="AB283" s="182"/>
      <c r="AC283" s="182"/>
      <c r="AD283" s="182"/>
      <c r="AE283" s="182"/>
      <c r="AF283" s="182"/>
      <c r="AG283" s="182"/>
      <c r="AH283" s="182"/>
      <c r="AI283" s="183"/>
      <c r="AJ283" s="483"/>
    </row>
    <row r="284" spans="1:57" ht="17.25" thickBot="1" x14ac:dyDescent="0.35">
      <c r="A284" s="155">
        <f>IFERROR(IF(A283+1&lt;MAX(D041_ClassFeatures!$A$2:$A$2033),A283+1,""),"")</f>
        <v>281</v>
      </c>
      <c r="B284" s="153" t="str">
        <f>IFERROR(INDEX(D041_ClassFeatures!$B$2:$B$2033,MATCH(C_Variables!A284,D041_ClassFeatures!$A$2:$A$2033,0),1),"")</f>
        <v>Use Magic Device</v>
      </c>
      <c r="C284" s="153">
        <f>IF(B284="",0,IF(IFERROR(MATCH(B284,C_Input!$BC$160:$BC$239,0),0)&gt;0,1,0))</f>
        <v>0</v>
      </c>
      <c r="F284" s="483"/>
      <c r="G284" s="483"/>
      <c r="H284" s="483"/>
      <c r="I284" s="483"/>
      <c r="J284" s="483"/>
      <c r="K284" s="483"/>
      <c r="L284" s="483"/>
      <c r="M284" s="483"/>
      <c r="N284" s="483"/>
      <c r="O284" s="483"/>
      <c r="P284" s="483"/>
      <c r="Q284" s="483"/>
      <c r="R284" s="483"/>
      <c r="S284" s="483"/>
      <c r="T284" s="483"/>
      <c r="U284" s="483"/>
      <c r="V284" s="483"/>
      <c r="W284" s="483"/>
      <c r="X284" s="483"/>
      <c r="Y284" s="483"/>
      <c r="Z284" s="483"/>
      <c r="AA284" s="483"/>
      <c r="AB284" s="483"/>
      <c r="AC284" s="483"/>
      <c r="AD284" s="483"/>
      <c r="AE284" s="483"/>
      <c r="AF284" s="483"/>
      <c r="AG284" s="483"/>
      <c r="AH284" s="483"/>
      <c r="AI284" s="483"/>
      <c r="AJ284" s="483"/>
    </row>
    <row r="285" spans="1:57" ht="17.25" thickBot="1" x14ac:dyDescent="0.35">
      <c r="A285" s="155">
        <f>IFERROR(IF(A284+1&lt;MAX(D041_ClassFeatures!$A$2:$A$2033),A284+1,""),"")</f>
        <v>282</v>
      </c>
      <c r="B285" s="153" t="str">
        <f>IFERROR(INDEX(D041_ClassFeatures!$B$2:$B$2033,MATCH(C_Variables!A285,D041_ClassFeatures!$A$2:$A$2033,0),1),"")</f>
        <v>Thief's Reflexes</v>
      </c>
      <c r="C285" s="153">
        <f>IF(B285="",0,IF(IFERROR(MATCH(B285,C_Input!$BC$160:$BC$239,0),0)&gt;0,1,0))</f>
        <v>0</v>
      </c>
      <c r="F285" s="176"/>
      <c r="G285" s="177"/>
      <c r="H285" s="177"/>
      <c r="I285" s="177"/>
      <c r="J285" s="177"/>
      <c r="K285" s="177" t="s">
        <v>605</v>
      </c>
      <c r="L285" s="177" t="s">
        <v>605</v>
      </c>
      <c r="M285" s="177" t="s">
        <v>605</v>
      </c>
      <c r="N285" s="177"/>
      <c r="O285" s="177"/>
      <c r="P285" s="177"/>
      <c r="Q285" s="177"/>
      <c r="R285" s="490">
        <v>1</v>
      </c>
      <c r="S285" s="989" t="s">
        <v>4961</v>
      </c>
      <c r="T285" s="989"/>
      <c r="U285" s="989"/>
      <c r="V285" s="990"/>
      <c r="W285" s="490">
        <v>2</v>
      </c>
      <c r="X285" s="989" t="s">
        <v>4962</v>
      </c>
      <c r="Y285" s="989"/>
      <c r="Z285" s="989"/>
      <c r="AA285" s="990"/>
      <c r="AB285" s="490">
        <v>3</v>
      </c>
      <c r="AC285" s="989" t="s">
        <v>4963</v>
      </c>
      <c r="AD285" s="989"/>
      <c r="AE285" s="989"/>
      <c r="AF285" s="990"/>
      <c r="AG285" s="490">
        <f>AB285+1</f>
        <v>4</v>
      </c>
      <c r="AH285" s="989" t="s">
        <v>4964</v>
      </c>
      <c r="AI285" s="989"/>
      <c r="AJ285" s="989"/>
      <c r="AK285" s="990"/>
      <c r="AL285" s="490">
        <f>AG285+1</f>
        <v>5</v>
      </c>
      <c r="AM285" s="989" t="s">
        <v>4965</v>
      </c>
      <c r="AN285" s="989"/>
      <c r="AO285" s="989"/>
      <c r="AP285" s="990"/>
      <c r="AQ285" s="490">
        <f>AL285+1</f>
        <v>6</v>
      </c>
      <c r="AR285" s="989" t="s">
        <v>4966</v>
      </c>
      <c r="AS285" s="989"/>
      <c r="AT285" s="989"/>
      <c r="AU285" s="990"/>
      <c r="AV285" s="490">
        <f>AQ285+1</f>
        <v>7</v>
      </c>
      <c r="AW285" s="989" t="s">
        <v>4967</v>
      </c>
      <c r="AX285" s="989"/>
      <c r="AY285" s="989"/>
      <c r="AZ285" s="990"/>
      <c r="BA285" s="490">
        <f>AV285+1</f>
        <v>8</v>
      </c>
      <c r="BB285" s="989" t="s">
        <v>4968</v>
      </c>
      <c r="BC285" s="989"/>
      <c r="BD285" s="989"/>
      <c r="BE285" s="990"/>
    </row>
    <row r="286" spans="1:57" ht="16.5" x14ac:dyDescent="0.3">
      <c r="A286" s="155">
        <f>IFERROR(IF(A285+1&lt;MAX(D041_ClassFeatures!$A$2:$A$2033),A285+1,""),"")</f>
        <v>283</v>
      </c>
      <c r="B286" s="153" t="str">
        <f>IFERROR(INDEX(D041_ClassFeatures!$B$2:$B$2033,MATCH(C_Variables!A286,D041_ClassFeatures!$A$2:$A$2033,0),1),"")</f>
        <v>Assassin: Bonus Proficiencies</v>
      </c>
      <c r="C286" s="153">
        <f>IF(B286="",0,IF(IFERROR(MATCH(B286,C_Input!$BC$160:$BC$239,0),0)&gt;0,1,0))</f>
        <v>0</v>
      </c>
      <c r="F286" s="179"/>
      <c r="G286" s="159" t="s">
        <v>6854</v>
      </c>
      <c r="H286" s="159">
        <v>1</v>
      </c>
      <c r="I286" s="159"/>
      <c r="J286" s="159" t="str">
        <f>D03_Skills!V3</f>
        <v>Common</v>
      </c>
      <c r="K286" s="159">
        <f t="shared" ref="K286:K311" si="265">IF(Language1=$J286,1,0)</f>
        <v>1</v>
      </c>
      <c r="L286" s="159">
        <f t="shared" ref="L286:L311" si="266">IF(Language2=$J286,1,0)</f>
        <v>0</v>
      </c>
      <c r="M286" s="159">
        <f t="shared" ref="M286:M311" si="267">IF(Language3=$J286,1,0)</f>
        <v>0</v>
      </c>
      <c r="N286" s="159"/>
      <c r="O286" s="159"/>
      <c r="P286" s="159"/>
      <c r="Q286" s="159"/>
      <c r="R286" s="484">
        <f>IF(1-K286-L286-M286-N286-O286&gt;0,1,0)</f>
        <v>0</v>
      </c>
      <c r="S286" s="485">
        <f>IF(R$286=0,0,1)</f>
        <v>0</v>
      </c>
      <c r="T286" s="485">
        <v>1</v>
      </c>
      <c r="U286" s="485" t="str">
        <f t="shared" ref="U286:U311" si="268">IF(LanguagesKnown&lt;R285,"n/a",IFERROR(INDEX($J$286:$J$311,MATCH(T286,S$286:S$311,0),1),""))</f>
        <v>n/a</v>
      </c>
      <c r="V286" s="486">
        <f t="shared" ref="V286:V311" si="269">IF(Language6=$J286,1,0)</f>
        <v>0</v>
      </c>
      <c r="W286" s="484">
        <f>IF(R286-V286&gt;0,1,0)</f>
        <v>0</v>
      </c>
      <c r="X286" s="485">
        <f>IF(W$286=0,0,1)</f>
        <v>0</v>
      </c>
      <c r="Y286" s="485">
        <v>1</v>
      </c>
      <c r="Z286" s="485" t="str">
        <f t="shared" ref="Z286:Z311" si="270">IF(LanguagesKnown&lt;W285,"n/a",IFERROR(INDEX($J$286:$J$311,MATCH(Y286,X$286:X$311,0),1),""))</f>
        <v>n/a</v>
      </c>
      <c r="AA286" s="486">
        <f t="shared" ref="AA286:AA311" si="271">IF(Language7=$J286,1,0)</f>
        <v>0</v>
      </c>
      <c r="AB286" s="484">
        <f>IF(W286-AA286&gt;0,1,0)</f>
        <v>0</v>
      </c>
      <c r="AC286" s="485">
        <f>IF(AB$286=0,0,1)</f>
        <v>0</v>
      </c>
      <c r="AD286" s="485">
        <v>1</v>
      </c>
      <c r="AE286" s="485" t="str">
        <f t="shared" ref="AE286:AE311" si="272">IF(LanguagesKnown&lt;AB285,"n/a",IFERROR(INDEX($J$286:$J$311,MATCH(AD286,AC$286:AC$311,0),1),""))</f>
        <v>n/a</v>
      </c>
      <c r="AF286" s="486">
        <f t="shared" ref="AF286:AF311" si="273">IF(Language8=$J286,1,0)</f>
        <v>0</v>
      </c>
      <c r="AG286" s="484">
        <f>IF(AB286-AF286&gt;0,1,0)</f>
        <v>0</v>
      </c>
      <c r="AH286" s="485">
        <f>IF(AG$286=0,0,1)</f>
        <v>0</v>
      </c>
      <c r="AI286" s="485">
        <v>1</v>
      </c>
      <c r="AJ286" s="485" t="str">
        <f t="shared" ref="AJ286:AJ311" si="274">IF(LanguagesKnown&lt;AG285,"n/a",IFERROR(INDEX($J$286:$J$311,MATCH(AI286,AH$286:AH$311,0),1),""))</f>
        <v>n/a</v>
      </c>
      <c r="AK286" s="486">
        <f t="shared" ref="AK286:AK311" si="275">IF(Language9=$J286,1,0)</f>
        <v>0</v>
      </c>
      <c r="AL286" s="484">
        <f>IF(AG286-AK286&gt;0,1,0)</f>
        <v>0</v>
      </c>
      <c r="AM286" s="485">
        <f>IF(AL$286=0,0,1)</f>
        <v>0</v>
      </c>
      <c r="AN286" s="485">
        <v>1</v>
      </c>
      <c r="AO286" s="485" t="str">
        <f t="shared" ref="AO286:AO311" si="276">IF(LanguagesKnown&lt;AL285,"n/a",IFERROR(INDEX($J$286:$J$311,MATCH(AN286,AM$286:AM$311,0),1),""))</f>
        <v>n/a</v>
      </c>
      <c r="AP286" s="486">
        <f t="shared" ref="AP286:AP311" si="277">IF(Language10=$J286,1,0)</f>
        <v>0</v>
      </c>
      <c r="AQ286" s="484">
        <f>IF(AL286-AP286&gt;0,1,0)</f>
        <v>0</v>
      </c>
      <c r="AR286" s="485">
        <f>IF(AQ$286=0,0,1)</f>
        <v>0</v>
      </c>
      <c r="AS286" s="485">
        <v>1</v>
      </c>
      <c r="AT286" s="485" t="str">
        <f t="shared" ref="AT286:AT311" si="278">IF(LanguagesKnown&lt;AQ285,"n/a",IFERROR(INDEX($J$286:$J$311,MATCH(AS286,AR$286:AR$311,0),1),""))</f>
        <v>n/a</v>
      </c>
      <c r="AU286" s="486">
        <f t="shared" ref="AU286:AU311" si="279">IF(Language11=$J286,1,0)</f>
        <v>0</v>
      </c>
      <c r="AV286" s="484">
        <f>IF(AQ286-AU286&gt;0,1,0)</f>
        <v>0</v>
      </c>
      <c r="AW286" s="485">
        <f>IF(AV$286=0,0,1)</f>
        <v>0</v>
      </c>
      <c r="AX286" s="485">
        <v>1</v>
      </c>
      <c r="AY286" s="485" t="str">
        <f t="shared" ref="AY286:AY311" si="280">IF(LanguagesKnown&lt;AV285,"n/a",IFERROR(INDEX($J$286:$J$311,MATCH(AX286,AW$286:AW$311,0),1),""))</f>
        <v>n/a</v>
      </c>
      <c r="AZ286" s="486">
        <f t="shared" ref="AZ286:AZ311" si="281">IF(Language12=$J286,1,0)</f>
        <v>0</v>
      </c>
      <c r="BA286" s="484">
        <f>IF(AV286-AZ286&gt;0,1,0)</f>
        <v>0</v>
      </c>
      <c r="BB286" s="485">
        <f>IF(BA$286=0,0,1)</f>
        <v>0</v>
      </c>
      <c r="BC286" s="485">
        <v>1</v>
      </c>
      <c r="BD286" s="485" t="str">
        <f t="shared" ref="BD286:BD311" si="282">IF(LanguagesKnown&lt;BA285,"n/a",IFERROR(INDEX($J$286:$J$311,MATCH(BC286,BB$286:BB$311,0),1),""))</f>
        <v>n/a</v>
      </c>
      <c r="BE286" s="486">
        <f t="shared" ref="BE286:BE311" si="283">IF(Language13=$J286,1,0)</f>
        <v>0</v>
      </c>
    </row>
    <row r="287" spans="1:57" ht="16.5" x14ac:dyDescent="0.3">
      <c r="A287" s="155">
        <f>IFERROR(IF(A286+1&lt;MAX(D041_ClassFeatures!$A$2:$A$2033),A286+1,""),"")</f>
        <v>284</v>
      </c>
      <c r="B287" s="153" t="str">
        <f>IFERROR(INDEX(D041_ClassFeatures!$B$2:$B$2033,MATCH(C_Variables!A287,D041_ClassFeatures!$A$2:$A$2033,0),1),"")</f>
        <v>assassinate</v>
      </c>
      <c r="C287" s="153">
        <f>IF(B287="",0,IF(IFERROR(MATCH(B287,C_Input!$BC$160:$BC$239,0),0)&gt;0,1,0))</f>
        <v>0</v>
      </c>
      <c r="F287" s="179"/>
      <c r="G287" s="159"/>
      <c r="H287" s="159">
        <v>2</v>
      </c>
      <c r="I287" s="159"/>
      <c r="J287" s="159" t="str">
        <f>D03_Skills!V4</f>
        <v>Elvish</v>
      </c>
      <c r="K287" s="159">
        <f t="shared" si="265"/>
        <v>0</v>
      </c>
      <c r="L287" s="159">
        <f t="shared" si="266"/>
        <v>0</v>
      </c>
      <c r="M287" s="159">
        <f t="shared" si="267"/>
        <v>0</v>
      </c>
      <c r="N287" s="159"/>
      <c r="O287" s="159"/>
      <c r="P287" s="159"/>
      <c r="Q287" s="159"/>
      <c r="R287" s="484">
        <f t="shared" ref="R287:R311" si="284">IF(1-K287-L287-M287-N287-O287&gt;0,1,0)</f>
        <v>1</v>
      </c>
      <c r="S287" s="485">
        <f>IF(R287&gt;0,1+COUNTIF(S$286:S286,"&gt;0"),0)</f>
        <v>1</v>
      </c>
      <c r="T287" s="485" t="str">
        <f t="shared" ref="T287:T311" si="285">IF(LanguagesKnown&lt;R285,"",IFERROR(IF(T286&lt;MAX(S$286:S$311),T286+1,""),""))</f>
        <v/>
      </c>
      <c r="U287" s="485" t="str">
        <f t="shared" si="268"/>
        <v/>
      </c>
      <c r="V287" s="486">
        <f t="shared" si="269"/>
        <v>0</v>
      </c>
      <c r="W287" s="484">
        <f t="shared" ref="W287:W311" si="286">IF(R287-V287&gt;0,1,0)</f>
        <v>1</v>
      </c>
      <c r="X287" s="485">
        <f>IF(W287&gt;0,1+COUNTIF(X$286:X286,"&gt;0"),0)</f>
        <v>1</v>
      </c>
      <c r="Y287" s="485" t="str">
        <f t="shared" ref="Y287:Y311" si="287">IF(LanguagesKnown&lt;W285,"",IFERROR(IF(Y286&lt;MAX(X$286:X$311),Y286+1,""),""))</f>
        <v/>
      </c>
      <c r="Z287" s="485" t="str">
        <f t="shared" si="270"/>
        <v/>
      </c>
      <c r="AA287" s="486">
        <f t="shared" si="271"/>
        <v>0</v>
      </c>
      <c r="AB287" s="484">
        <f t="shared" ref="AB287:AB311" si="288">IF(W287-AA287&gt;0,1,0)</f>
        <v>1</v>
      </c>
      <c r="AC287" s="485">
        <f>IF(AB287&gt;0,1+COUNTIF(AC$286:AC286,"&gt;0"),0)</f>
        <v>1</v>
      </c>
      <c r="AD287" s="485" t="str">
        <f t="shared" ref="AD287:AD311" si="289">IF(LanguagesKnown&lt;AB285,"",IFERROR(IF(AD286&lt;MAX(AC$286:AC$311),AD286+1,""),""))</f>
        <v/>
      </c>
      <c r="AE287" s="485" t="str">
        <f t="shared" si="272"/>
        <v/>
      </c>
      <c r="AF287" s="486">
        <f t="shared" si="273"/>
        <v>0</v>
      </c>
      <c r="AG287" s="484">
        <f t="shared" ref="AG287:AG311" si="290">IF(AB287-AF287&gt;0,1,0)</f>
        <v>1</v>
      </c>
      <c r="AH287" s="485">
        <f>IF(AG287&gt;0,1+COUNTIF(AH$286:AH286,"&gt;0"),0)</f>
        <v>1</v>
      </c>
      <c r="AI287" s="485" t="str">
        <f t="shared" ref="AI287:AI311" si="291">IF(LanguagesKnown&lt;AG285,"",IFERROR(IF(AI286&lt;MAX(AH$286:AH$311),AI286+1,""),""))</f>
        <v/>
      </c>
      <c r="AJ287" s="485" t="str">
        <f t="shared" si="274"/>
        <v/>
      </c>
      <c r="AK287" s="486">
        <f t="shared" si="275"/>
        <v>0</v>
      </c>
      <c r="AL287" s="484">
        <f t="shared" ref="AL287:AL311" si="292">IF(AG287-AK287&gt;0,1,0)</f>
        <v>1</v>
      </c>
      <c r="AM287" s="485">
        <f>IF(AL287&gt;0,1+COUNTIF(AM$286:AM286,"&gt;0"),0)</f>
        <v>1</v>
      </c>
      <c r="AN287" s="485" t="str">
        <f t="shared" ref="AN287:AN311" si="293">IF(LanguagesKnown&lt;AL285,"",IFERROR(IF(AN286&lt;MAX(AM$286:AM$311),AN286+1,""),""))</f>
        <v/>
      </c>
      <c r="AO287" s="485" t="str">
        <f t="shared" si="276"/>
        <v/>
      </c>
      <c r="AP287" s="486">
        <f t="shared" si="277"/>
        <v>0</v>
      </c>
      <c r="AQ287" s="484">
        <f t="shared" ref="AQ287:AQ311" si="294">IF(AL287-AP287&gt;0,1,0)</f>
        <v>1</v>
      </c>
      <c r="AR287" s="485">
        <f>IF(AQ287&gt;0,1+COUNTIF(AR$286:AR286,"&gt;0"),0)</f>
        <v>1</v>
      </c>
      <c r="AS287" s="485" t="str">
        <f t="shared" ref="AS287:AS311" si="295">IF(LanguagesKnown&lt;AQ285,"",IFERROR(IF(AS286&lt;MAX(AR$286:AR$311),AS286+1,""),""))</f>
        <v/>
      </c>
      <c r="AT287" s="485" t="str">
        <f t="shared" si="278"/>
        <v/>
      </c>
      <c r="AU287" s="486">
        <f t="shared" si="279"/>
        <v>0</v>
      </c>
      <c r="AV287" s="484">
        <f t="shared" ref="AV287:AV311" si="296">IF(AQ287-AU287&gt;0,1,0)</f>
        <v>1</v>
      </c>
      <c r="AW287" s="485">
        <f>IF(AV287&gt;0,1+COUNTIF(AW$286:AW286,"&gt;0"),0)</f>
        <v>1</v>
      </c>
      <c r="AX287" s="485" t="str">
        <f t="shared" ref="AX287:AX311" si="297">IF(LanguagesKnown&lt;AV285,"",IFERROR(IF(AX286&lt;MAX(AW$286:AW$311),AX286+1,""),""))</f>
        <v/>
      </c>
      <c r="AY287" s="485" t="str">
        <f t="shared" si="280"/>
        <v/>
      </c>
      <c r="AZ287" s="486">
        <f t="shared" si="281"/>
        <v>0</v>
      </c>
      <c r="BA287" s="484">
        <f t="shared" ref="BA287:BA311" si="298">IF(AV287-AZ287&gt;0,1,0)</f>
        <v>1</v>
      </c>
      <c r="BB287" s="485">
        <f>IF(BA287&gt;0,1+COUNTIF(BB$286:BB286,"&gt;0"),0)</f>
        <v>1</v>
      </c>
      <c r="BC287" s="485" t="str">
        <f t="shared" ref="BC287:BC311" si="299">IF(LanguagesKnown&lt;BA285,"",IFERROR(IF(BC286&lt;MAX(BB$286:BB$311),BC286+1,""),""))</f>
        <v/>
      </c>
      <c r="BD287" s="485" t="str">
        <f t="shared" si="282"/>
        <v/>
      </c>
      <c r="BE287" s="486">
        <f t="shared" si="283"/>
        <v>0</v>
      </c>
    </row>
    <row r="288" spans="1:57" ht="16.5" x14ac:dyDescent="0.3">
      <c r="A288" s="155">
        <f>IFERROR(IF(A287+1&lt;MAX(D041_ClassFeatures!$A$2:$A$2033),A287+1,""),"")</f>
        <v>285</v>
      </c>
      <c r="B288" s="153" t="str">
        <f>IFERROR(INDEX(D041_ClassFeatures!$B$2:$B$2033,MATCH(C_Variables!A288,D041_ClassFeatures!$A$2:$A$2033,0),1),"")</f>
        <v>Infiltration Expertise</v>
      </c>
      <c r="C288" s="153">
        <f>IF(B288="",0,IF(IFERROR(MATCH(B288,C_Input!$BC$160:$BC$239,0),0)&gt;0,1,0))</f>
        <v>0</v>
      </c>
      <c r="F288" s="179"/>
      <c r="G288" s="159"/>
      <c r="H288" s="159">
        <v>3</v>
      </c>
      <c r="I288" s="159"/>
      <c r="J288" s="159" t="str">
        <f>D03_Skills!V5</f>
        <v>Dwarvish</v>
      </c>
      <c r="K288" s="159">
        <f t="shared" si="265"/>
        <v>0</v>
      </c>
      <c r="L288" s="159">
        <f t="shared" si="266"/>
        <v>0</v>
      </c>
      <c r="M288" s="159">
        <f t="shared" si="267"/>
        <v>0</v>
      </c>
      <c r="N288" s="159"/>
      <c r="O288" s="159"/>
      <c r="P288" s="159"/>
      <c r="Q288" s="159"/>
      <c r="R288" s="484">
        <f t="shared" si="284"/>
        <v>1</v>
      </c>
      <c r="S288" s="485">
        <f>IF(R288&gt;0,1+COUNTIF(S$286:S287,"&gt;0"),0)</f>
        <v>2</v>
      </c>
      <c r="T288" s="485" t="str">
        <f t="shared" si="285"/>
        <v/>
      </c>
      <c r="U288" s="485" t="str">
        <f t="shared" si="268"/>
        <v>n/a</v>
      </c>
      <c r="V288" s="486">
        <f t="shared" si="269"/>
        <v>0</v>
      </c>
      <c r="W288" s="484">
        <f t="shared" si="286"/>
        <v>1</v>
      </c>
      <c r="X288" s="485">
        <f>IF(W288&gt;0,1+COUNTIF(X$286:X287,"&gt;0"),0)</f>
        <v>2</v>
      </c>
      <c r="Y288" s="485" t="str">
        <f t="shared" si="287"/>
        <v/>
      </c>
      <c r="Z288" s="485" t="str">
        <f t="shared" si="270"/>
        <v>n/a</v>
      </c>
      <c r="AA288" s="486">
        <f t="shared" si="271"/>
        <v>0</v>
      </c>
      <c r="AB288" s="484">
        <f t="shared" si="288"/>
        <v>1</v>
      </c>
      <c r="AC288" s="485">
        <f>IF(AB288&gt;0,1+COUNTIF(AC$286:AC287,"&gt;0"),0)</f>
        <v>2</v>
      </c>
      <c r="AD288" s="485" t="str">
        <f t="shared" si="289"/>
        <v/>
      </c>
      <c r="AE288" s="485" t="str">
        <f t="shared" si="272"/>
        <v>n/a</v>
      </c>
      <c r="AF288" s="486">
        <f t="shared" si="273"/>
        <v>0</v>
      </c>
      <c r="AG288" s="484">
        <f t="shared" si="290"/>
        <v>1</v>
      </c>
      <c r="AH288" s="485">
        <f>IF(AG288&gt;0,1+COUNTIF(AH$286:AH287,"&gt;0"),0)</f>
        <v>2</v>
      </c>
      <c r="AI288" s="485" t="str">
        <f t="shared" si="291"/>
        <v/>
      </c>
      <c r="AJ288" s="485" t="str">
        <f t="shared" si="274"/>
        <v>n/a</v>
      </c>
      <c r="AK288" s="486">
        <f t="shared" si="275"/>
        <v>0</v>
      </c>
      <c r="AL288" s="484">
        <f t="shared" si="292"/>
        <v>1</v>
      </c>
      <c r="AM288" s="485">
        <f>IF(AL288&gt;0,1+COUNTIF(AM$286:AM287,"&gt;0"),0)</f>
        <v>2</v>
      </c>
      <c r="AN288" s="485" t="str">
        <f t="shared" si="293"/>
        <v/>
      </c>
      <c r="AO288" s="485" t="str">
        <f t="shared" si="276"/>
        <v>n/a</v>
      </c>
      <c r="AP288" s="486">
        <f t="shared" si="277"/>
        <v>0</v>
      </c>
      <c r="AQ288" s="484">
        <f t="shared" si="294"/>
        <v>1</v>
      </c>
      <c r="AR288" s="485">
        <f>IF(AQ288&gt;0,1+COUNTIF(AR$286:AR287,"&gt;0"),0)</f>
        <v>2</v>
      </c>
      <c r="AS288" s="485" t="str">
        <f t="shared" si="295"/>
        <v/>
      </c>
      <c r="AT288" s="485" t="str">
        <f t="shared" si="278"/>
        <v>n/a</v>
      </c>
      <c r="AU288" s="486">
        <f t="shared" si="279"/>
        <v>0</v>
      </c>
      <c r="AV288" s="484">
        <f t="shared" si="296"/>
        <v>1</v>
      </c>
      <c r="AW288" s="485">
        <f>IF(AV288&gt;0,1+COUNTIF(AW$286:AW287,"&gt;0"),0)</f>
        <v>2</v>
      </c>
      <c r="AX288" s="485" t="str">
        <f t="shared" si="297"/>
        <v/>
      </c>
      <c r="AY288" s="485" t="str">
        <f t="shared" si="280"/>
        <v>n/a</v>
      </c>
      <c r="AZ288" s="486">
        <f t="shared" si="281"/>
        <v>0</v>
      </c>
      <c r="BA288" s="484">
        <f t="shared" si="298"/>
        <v>1</v>
      </c>
      <c r="BB288" s="485">
        <f>IF(BA288&gt;0,1+COUNTIF(BB$286:BB287,"&gt;0"),0)</f>
        <v>2</v>
      </c>
      <c r="BC288" s="485" t="str">
        <f t="shared" si="299"/>
        <v/>
      </c>
      <c r="BD288" s="485" t="str">
        <f t="shared" si="282"/>
        <v>n/a</v>
      </c>
      <c r="BE288" s="486">
        <f t="shared" si="283"/>
        <v>0</v>
      </c>
    </row>
    <row r="289" spans="1:57" ht="16.5" x14ac:dyDescent="0.3">
      <c r="A289" s="155">
        <f>IFERROR(IF(A288+1&lt;MAX(D041_ClassFeatures!$A$2:$A$2033),A288+1,""),"")</f>
        <v>286</v>
      </c>
      <c r="B289" s="153" t="str">
        <f>IFERROR(INDEX(D041_ClassFeatures!$B$2:$B$2033,MATCH(C_Variables!A289,D041_ClassFeatures!$A$2:$A$2033,0),1),"")</f>
        <v>Impostor</v>
      </c>
      <c r="C289" s="153">
        <f>IF(B289="",0,IF(IFERROR(MATCH(B289,C_Input!$BC$160:$BC$239,0),0)&gt;0,1,0))</f>
        <v>0</v>
      </c>
      <c r="F289" s="179"/>
      <c r="G289" s="159" t="s">
        <v>6857</v>
      </c>
      <c r="H289" s="159">
        <v>1</v>
      </c>
      <c r="I289" s="159"/>
      <c r="J289" s="159" t="str">
        <f>D03_Skills!V6</f>
        <v>Giant</v>
      </c>
      <c r="K289" s="159">
        <f t="shared" si="265"/>
        <v>0</v>
      </c>
      <c r="L289" s="159">
        <f t="shared" si="266"/>
        <v>0</v>
      </c>
      <c r="M289" s="159">
        <f t="shared" si="267"/>
        <v>0</v>
      </c>
      <c r="N289" s="159"/>
      <c r="O289" s="159"/>
      <c r="P289" s="159"/>
      <c r="Q289" s="159"/>
      <c r="R289" s="484">
        <f t="shared" si="284"/>
        <v>1</v>
      </c>
      <c r="S289" s="485">
        <f>IF(R289&gt;0,1+COUNTIF(S$286:S288,"&gt;0"),0)</f>
        <v>3</v>
      </c>
      <c r="T289" s="485" t="str">
        <f t="shared" si="285"/>
        <v/>
      </c>
      <c r="U289" s="485" t="str">
        <f t="shared" si="268"/>
        <v>n/a</v>
      </c>
      <c r="V289" s="486">
        <f t="shared" si="269"/>
        <v>0</v>
      </c>
      <c r="W289" s="484">
        <f t="shared" si="286"/>
        <v>1</v>
      </c>
      <c r="X289" s="485">
        <f>IF(W289&gt;0,1+COUNTIF(X$286:X288,"&gt;0"),0)</f>
        <v>3</v>
      </c>
      <c r="Y289" s="485" t="str">
        <f t="shared" si="287"/>
        <v/>
      </c>
      <c r="Z289" s="485" t="str">
        <f t="shared" si="270"/>
        <v>n/a</v>
      </c>
      <c r="AA289" s="486">
        <f t="shared" si="271"/>
        <v>0</v>
      </c>
      <c r="AB289" s="484">
        <f t="shared" si="288"/>
        <v>1</v>
      </c>
      <c r="AC289" s="485">
        <f>IF(AB289&gt;0,1+COUNTIF(AC$286:AC288,"&gt;0"),0)</f>
        <v>3</v>
      </c>
      <c r="AD289" s="485" t="str">
        <f t="shared" si="289"/>
        <v/>
      </c>
      <c r="AE289" s="485" t="str">
        <f t="shared" si="272"/>
        <v>n/a</v>
      </c>
      <c r="AF289" s="486">
        <f t="shared" si="273"/>
        <v>0</v>
      </c>
      <c r="AG289" s="484">
        <f t="shared" si="290"/>
        <v>1</v>
      </c>
      <c r="AH289" s="485">
        <f>IF(AG289&gt;0,1+COUNTIF(AH$286:AH288,"&gt;0"),0)</f>
        <v>3</v>
      </c>
      <c r="AI289" s="485" t="str">
        <f t="shared" si="291"/>
        <v/>
      </c>
      <c r="AJ289" s="485" t="str">
        <f t="shared" si="274"/>
        <v>n/a</v>
      </c>
      <c r="AK289" s="486">
        <f t="shared" si="275"/>
        <v>0</v>
      </c>
      <c r="AL289" s="484">
        <f t="shared" si="292"/>
        <v>1</v>
      </c>
      <c r="AM289" s="485">
        <f>IF(AL289&gt;0,1+COUNTIF(AM$286:AM288,"&gt;0"),0)</f>
        <v>3</v>
      </c>
      <c r="AN289" s="485" t="str">
        <f t="shared" si="293"/>
        <v/>
      </c>
      <c r="AO289" s="485" t="str">
        <f t="shared" si="276"/>
        <v>n/a</v>
      </c>
      <c r="AP289" s="486">
        <f t="shared" si="277"/>
        <v>0</v>
      </c>
      <c r="AQ289" s="484">
        <f t="shared" si="294"/>
        <v>1</v>
      </c>
      <c r="AR289" s="485">
        <f>IF(AQ289&gt;0,1+COUNTIF(AR$286:AR288,"&gt;0"),0)</f>
        <v>3</v>
      </c>
      <c r="AS289" s="485" t="str">
        <f t="shared" si="295"/>
        <v/>
      </c>
      <c r="AT289" s="485" t="str">
        <f t="shared" si="278"/>
        <v>n/a</v>
      </c>
      <c r="AU289" s="486">
        <f t="shared" si="279"/>
        <v>0</v>
      </c>
      <c r="AV289" s="484">
        <f t="shared" si="296"/>
        <v>1</v>
      </c>
      <c r="AW289" s="485">
        <f>IF(AV289&gt;0,1+COUNTIF(AW$286:AW288,"&gt;0"),0)</f>
        <v>3</v>
      </c>
      <c r="AX289" s="485" t="str">
        <f t="shared" si="297"/>
        <v/>
      </c>
      <c r="AY289" s="485" t="str">
        <f t="shared" si="280"/>
        <v>n/a</v>
      </c>
      <c r="AZ289" s="486">
        <f t="shared" si="281"/>
        <v>0</v>
      </c>
      <c r="BA289" s="484">
        <f t="shared" si="298"/>
        <v>1</v>
      </c>
      <c r="BB289" s="485">
        <f>IF(BA289&gt;0,1+COUNTIF(BB$286:BB288,"&gt;0"),0)</f>
        <v>3</v>
      </c>
      <c r="BC289" s="485" t="str">
        <f t="shared" si="299"/>
        <v/>
      </c>
      <c r="BD289" s="485" t="str">
        <f t="shared" si="282"/>
        <v>n/a</v>
      </c>
      <c r="BE289" s="486">
        <f t="shared" si="283"/>
        <v>0</v>
      </c>
    </row>
    <row r="290" spans="1:57" ht="16.5" x14ac:dyDescent="0.3">
      <c r="A290" s="155">
        <f>IFERROR(IF(A289+1&lt;MAX(D041_ClassFeatures!$A$2:$A$2033),A289+1,""),"")</f>
        <v>287</v>
      </c>
      <c r="B290" s="153" t="str">
        <f>IFERROR(INDEX(D041_ClassFeatures!$B$2:$B$2033,MATCH(C_Variables!A290,D041_ClassFeatures!$A$2:$A$2033,0),1),"")</f>
        <v>Death Strike</v>
      </c>
      <c r="C290" s="153">
        <f>IF(B290="",0,IF(IFERROR(MATCH(B290,C_Input!$BC$160:$BC$239,0),0)&gt;0,1,0))</f>
        <v>0</v>
      </c>
      <c r="F290" s="179"/>
      <c r="G290" s="159"/>
      <c r="H290" s="159">
        <v>2</v>
      </c>
      <c r="I290" s="159"/>
      <c r="J290" s="159" t="str">
        <f>D03_Skills!V7</f>
        <v>Gnomish</v>
      </c>
      <c r="K290" s="159">
        <f t="shared" si="265"/>
        <v>0</v>
      </c>
      <c r="L290" s="159">
        <f t="shared" si="266"/>
        <v>0</v>
      </c>
      <c r="M290" s="159">
        <f t="shared" si="267"/>
        <v>0</v>
      </c>
      <c r="N290" s="159"/>
      <c r="O290" s="159"/>
      <c r="P290" s="159"/>
      <c r="Q290" s="159"/>
      <c r="R290" s="484">
        <f t="shared" si="284"/>
        <v>1</v>
      </c>
      <c r="S290" s="485">
        <f>IF(R290&gt;0,1+COUNTIF(S$286:S289,"&gt;0"),0)</f>
        <v>4</v>
      </c>
      <c r="T290" s="485" t="str">
        <f t="shared" si="285"/>
        <v/>
      </c>
      <c r="U290" s="485" t="str">
        <f t="shared" si="268"/>
        <v>n/a</v>
      </c>
      <c r="V290" s="486">
        <f t="shared" si="269"/>
        <v>0</v>
      </c>
      <c r="W290" s="484">
        <f t="shared" si="286"/>
        <v>1</v>
      </c>
      <c r="X290" s="485">
        <f>IF(W290&gt;0,1+COUNTIF(X$286:X289,"&gt;0"),0)</f>
        <v>4</v>
      </c>
      <c r="Y290" s="485" t="str">
        <f t="shared" si="287"/>
        <v/>
      </c>
      <c r="Z290" s="485" t="str">
        <f t="shared" si="270"/>
        <v>n/a</v>
      </c>
      <c r="AA290" s="486">
        <f t="shared" si="271"/>
        <v>0</v>
      </c>
      <c r="AB290" s="484">
        <f t="shared" si="288"/>
        <v>1</v>
      </c>
      <c r="AC290" s="485">
        <f>IF(AB290&gt;0,1+COUNTIF(AC$286:AC289,"&gt;0"),0)</f>
        <v>4</v>
      </c>
      <c r="AD290" s="485" t="str">
        <f t="shared" si="289"/>
        <v/>
      </c>
      <c r="AE290" s="485" t="str">
        <f t="shared" si="272"/>
        <v>n/a</v>
      </c>
      <c r="AF290" s="486">
        <f t="shared" si="273"/>
        <v>0</v>
      </c>
      <c r="AG290" s="484">
        <f t="shared" si="290"/>
        <v>1</v>
      </c>
      <c r="AH290" s="485">
        <f>IF(AG290&gt;0,1+COUNTIF(AH$286:AH289,"&gt;0"),0)</f>
        <v>4</v>
      </c>
      <c r="AI290" s="485" t="str">
        <f t="shared" si="291"/>
        <v/>
      </c>
      <c r="AJ290" s="485" t="str">
        <f t="shared" si="274"/>
        <v>n/a</v>
      </c>
      <c r="AK290" s="486">
        <f t="shared" si="275"/>
        <v>0</v>
      </c>
      <c r="AL290" s="484">
        <f t="shared" si="292"/>
        <v>1</v>
      </c>
      <c r="AM290" s="485">
        <f>IF(AL290&gt;0,1+COUNTIF(AM$286:AM289,"&gt;0"),0)</f>
        <v>4</v>
      </c>
      <c r="AN290" s="485" t="str">
        <f t="shared" si="293"/>
        <v/>
      </c>
      <c r="AO290" s="485" t="str">
        <f t="shared" si="276"/>
        <v>n/a</v>
      </c>
      <c r="AP290" s="486">
        <f t="shared" si="277"/>
        <v>0</v>
      </c>
      <c r="AQ290" s="484">
        <f t="shared" si="294"/>
        <v>1</v>
      </c>
      <c r="AR290" s="485">
        <f>IF(AQ290&gt;0,1+COUNTIF(AR$286:AR289,"&gt;0"),0)</f>
        <v>4</v>
      </c>
      <c r="AS290" s="485" t="str">
        <f t="shared" si="295"/>
        <v/>
      </c>
      <c r="AT290" s="485" t="str">
        <f t="shared" si="278"/>
        <v>n/a</v>
      </c>
      <c r="AU290" s="486">
        <f t="shared" si="279"/>
        <v>0</v>
      </c>
      <c r="AV290" s="484">
        <f t="shared" si="296"/>
        <v>1</v>
      </c>
      <c r="AW290" s="485">
        <f>IF(AV290&gt;0,1+COUNTIF(AW$286:AW289,"&gt;0"),0)</f>
        <v>4</v>
      </c>
      <c r="AX290" s="485" t="str">
        <f t="shared" si="297"/>
        <v/>
      </c>
      <c r="AY290" s="485" t="str">
        <f t="shared" si="280"/>
        <v>n/a</v>
      </c>
      <c r="AZ290" s="486">
        <f t="shared" si="281"/>
        <v>0</v>
      </c>
      <c r="BA290" s="484">
        <f t="shared" si="298"/>
        <v>1</v>
      </c>
      <c r="BB290" s="485">
        <f>IF(BA290&gt;0,1+COUNTIF(BB$286:BB289,"&gt;0"),0)</f>
        <v>4</v>
      </c>
      <c r="BC290" s="485" t="str">
        <f t="shared" si="299"/>
        <v/>
      </c>
      <c r="BD290" s="485" t="str">
        <f t="shared" si="282"/>
        <v>n/a</v>
      </c>
      <c r="BE290" s="486">
        <f t="shared" si="283"/>
        <v>0</v>
      </c>
    </row>
    <row r="291" spans="1:57" ht="16.5" x14ac:dyDescent="0.3">
      <c r="A291" s="155">
        <f>IFERROR(IF(A290+1&lt;MAX(D041_ClassFeatures!$A$2:$A$2033),A290+1,""),"")</f>
        <v>288</v>
      </c>
      <c r="B291" s="153" t="str">
        <f>IFERROR(INDEX(D041_ClassFeatures!$B$2:$B$2033,MATCH(C_Variables!A291,D041_ClassFeatures!$A$2:$A$2033,0),1),"")</f>
        <v>Spellcasting (AT)</v>
      </c>
      <c r="C291" s="153">
        <f>IF(B291="",0,IF(IFERROR(MATCH(B291,C_Input!$BC$160:$BC$239,0),0)&gt;0,1,0))</f>
        <v>0</v>
      </c>
      <c r="F291" s="179"/>
      <c r="G291" s="159" t="s">
        <v>6858</v>
      </c>
      <c r="H291" s="159">
        <v>1</v>
      </c>
      <c r="I291" s="159"/>
      <c r="J291" s="159" t="str">
        <f>D03_Skills!V8</f>
        <v>Goblin</v>
      </c>
      <c r="K291" s="159">
        <f t="shared" si="265"/>
        <v>0</v>
      </c>
      <c r="L291" s="159">
        <f t="shared" si="266"/>
        <v>0</v>
      </c>
      <c r="M291" s="159">
        <f t="shared" si="267"/>
        <v>0</v>
      </c>
      <c r="N291" s="159"/>
      <c r="O291" s="159"/>
      <c r="P291" s="159"/>
      <c r="Q291" s="159"/>
      <c r="R291" s="484">
        <f t="shared" si="284"/>
        <v>1</v>
      </c>
      <c r="S291" s="485">
        <f>IF(R291&gt;0,1+COUNTIF(S$286:S290,"&gt;0"),0)</f>
        <v>5</v>
      </c>
      <c r="T291" s="485" t="str">
        <f t="shared" si="285"/>
        <v/>
      </c>
      <c r="U291" s="485" t="str">
        <f t="shared" si="268"/>
        <v>n/a</v>
      </c>
      <c r="V291" s="486">
        <f t="shared" si="269"/>
        <v>0</v>
      </c>
      <c r="W291" s="484">
        <f t="shared" si="286"/>
        <v>1</v>
      </c>
      <c r="X291" s="485">
        <f>IF(W291&gt;0,1+COUNTIF(X$286:X290,"&gt;0"),0)</f>
        <v>5</v>
      </c>
      <c r="Y291" s="485" t="str">
        <f t="shared" si="287"/>
        <v/>
      </c>
      <c r="Z291" s="485" t="str">
        <f t="shared" si="270"/>
        <v>n/a</v>
      </c>
      <c r="AA291" s="486">
        <f t="shared" si="271"/>
        <v>0</v>
      </c>
      <c r="AB291" s="484">
        <f t="shared" si="288"/>
        <v>1</v>
      </c>
      <c r="AC291" s="485">
        <f>IF(AB291&gt;0,1+COUNTIF(AC$286:AC290,"&gt;0"),0)</f>
        <v>5</v>
      </c>
      <c r="AD291" s="485" t="str">
        <f t="shared" si="289"/>
        <v/>
      </c>
      <c r="AE291" s="485" t="str">
        <f t="shared" si="272"/>
        <v>n/a</v>
      </c>
      <c r="AF291" s="486">
        <f t="shared" si="273"/>
        <v>0</v>
      </c>
      <c r="AG291" s="484">
        <f t="shared" si="290"/>
        <v>1</v>
      </c>
      <c r="AH291" s="485">
        <f>IF(AG291&gt;0,1+COUNTIF(AH$286:AH290,"&gt;0"),0)</f>
        <v>5</v>
      </c>
      <c r="AI291" s="485" t="str">
        <f t="shared" si="291"/>
        <v/>
      </c>
      <c r="AJ291" s="485" t="str">
        <f t="shared" si="274"/>
        <v>n/a</v>
      </c>
      <c r="AK291" s="486">
        <f t="shared" si="275"/>
        <v>0</v>
      </c>
      <c r="AL291" s="484">
        <f t="shared" si="292"/>
        <v>1</v>
      </c>
      <c r="AM291" s="485">
        <f>IF(AL291&gt;0,1+COUNTIF(AM$286:AM290,"&gt;0"),0)</f>
        <v>5</v>
      </c>
      <c r="AN291" s="485" t="str">
        <f t="shared" si="293"/>
        <v/>
      </c>
      <c r="AO291" s="485" t="str">
        <f t="shared" si="276"/>
        <v>n/a</v>
      </c>
      <c r="AP291" s="486">
        <f t="shared" si="277"/>
        <v>0</v>
      </c>
      <c r="AQ291" s="484">
        <f t="shared" si="294"/>
        <v>1</v>
      </c>
      <c r="AR291" s="485">
        <f>IF(AQ291&gt;0,1+COUNTIF(AR$286:AR290,"&gt;0"),0)</f>
        <v>5</v>
      </c>
      <c r="AS291" s="485" t="str">
        <f t="shared" si="295"/>
        <v/>
      </c>
      <c r="AT291" s="485" t="str">
        <f t="shared" si="278"/>
        <v>n/a</v>
      </c>
      <c r="AU291" s="486">
        <f t="shared" si="279"/>
        <v>0</v>
      </c>
      <c r="AV291" s="484">
        <f t="shared" si="296"/>
        <v>1</v>
      </c>
      <c r="AW291" s="485">
        <f>IF(AV291&gt;0,1+COUNTIF(AW$286:AW290,"&gt;0"),0)</f>
        <v>5</v>
      </c>
      <c r="AX291" s="485" t="str">
        <f t="shared" si="297"/>
        <v/>
      </c>
      <c r="AY291" s="485" t="str">
        <f t="shared" si="280"/>
        <v>n/a</v>
      </c>
      <c r="AZ291" s="486">
        <f t="shared" si="281"/>
        <v>0</v>
      </c>
      <c r="BA291" s="484">
        <f t="shared" si="298"/>
        <v>1</v>
      </c>
      <c r="BB291" s="485">
        <f>IF(BA291&gt;0,1+COUNTIF(BB$286:BB290,"&gt;0"),0)</f>
        <v>5</v>
      </c>
      <c r="BC291" s="485" t="str">
        <f t="shared" si="299"/>
        <v/>
      </c>
      <c r="BD291" s="485" t="str">
        <f t="shared" si="282"/>
        <v>n/a</v>
      </c>
      <c r="BE291" s="486">
        <f t="shared" si="283"/>
        <v>0</v>
      </c>
    </row>
    <row r="292" spans="1:57" ht="16.5" x14ac:dyDescent="0.3">
      <c r="A292" s="155">
        <f>IFERROR(IF(A291+1&lt;MAX(D041_ClassFeatures!$A$2:$A$2033),A291+1,""),"")</f>
        <v>289</v>
      </c>
      <c r="B292" s="153" t="str">
        <f>IFERROR(INDEX(D041_ClassFeatures!$B$2:$B$2033,MATCH(C_Variables!A292,D041_ClassFeatures!$A$2:$A$2033,0),1),"")</f>
        <v>Mage Hand Legerdemain</v>
      </c>
      <c r="C292" s="153">
        <f>IF(B292="",0,IF(IFERROR(MATCH(B292,C_Input!$BC$160:$BC$239,0),0)&gt;0,1,0))</f>
        <v>0</v>
      </c>
      <c r="F292" s="179"/>
      <c r="G292" s="159" t="s">
        <v>6859</v>
      </c>
      <c r="H292" s="159">
        <v>1</v>
      </c>
      <c r="I292" s="159"/>
      <c r="J292" s="159" t="str">
        <f>D03_Skills!V9</f>
        <v>Halfling</v>
      </c>
      <c r="K292" s="159">
        <f t="shared" si="265"/>
        <v>0</v>
      </c>
      <c r="L292" s="159">
        <f t="shared" si="266"/>
        <v>0</v>
      </c>
      <c r="M292" s="159">
        <f t="shared" si="267"/>
        <v>0</v>
      </c>
      <c r="N292" s="159"/>
      <c r="O292" s="159"/>
      <c r="P292" s="159"/>
      <c r="Q292" s="159"/>
      <c r="R292" s="484">
        <f t="shared" si="284"/>
        <v>1</v>
      </c>
      <c r="S292" s="485">
        <f>IF(R292&gt;0,1+COUNTIF(S$286:S291,"&gt;0"),0)</f>
        <v>6</v>
      </c>
      <c r="T292" s="485" t="str">
        <f t="shared" si="285"/>
        <v/>
      </c>
      <c r="U292" s="485" t="str">
        <f t="shared" si="268"/>
        <v>n/a</v>
      </c>
      <c r="V292" s="486">
        <f t="shared" si="269"/>
        <v>0</v>
      </c>
      <c r="W292" s="484">
        <f t="shared" si="286"/>
        <v>1</v>
      </c>
      <c r="X292" s="485">
        <f>IF(W292&gt;0,1+COUNTIF(X$286:X291,"&gt;0"),0)</f>
        <v>6</v>
      </c>
      <c r="Y292" s="485" t="str">
        <f t="shared" si="287"/>
        <v/>
      </c>
      <c r="Z292" s="485" t="str">
        <f t="shared" si="270"/>
        <v>n/a</v>
      </c>
      <c r="AA292" s="486">
        <f t="shared" si="271"/>
        <v>0</v>
      </c>
      <c r="AB292" s="484">
        <f t="shared" si="288"/>
        <v>1</v>
      </c>
      <c r="AC292" s="485">
        <f>IF(AB292&gt;0,1+COUNTIF(AC$286:AC291,"&gt;0"),0)</f>
        <v>6</v>
      </c>
      <c r="AD292" s="485" t="str">
        <f t="shared" si="289"/>
        <v/>
      </c>
      <c r="AE292" s="485" t="str">
        <f t="shared" si="272"/>
        <v>n/a</v>
      </c>
      <c r="AF292" s="486">
        <f t="shared" si="273"/>
        <v>0</v>
      </c>
      <c r="AG292" s="484">
        <f t="shared" si="290"/>
        <v>1</v>
      </c>
      <c r="AH292" s="485">
        <f>IF(AG292&gt;0,1+COUNTIF(AH$286:AH291,"&gt;0"),0)</f>
        <v>6</v>
      </c>
      <c r="AI292" s="485" t="str">
        <f t="shared" si="291"/>
        <v/>
      </c>
      <c r="AJ292" s="485" t="str">
        <f t="shared" si="274"/>
        <v>n/a</v>
      </c>
      <c r="AK292" s="486">
        <f t="shared" si="275"/>
        <v>0</v>
      </c>
      <c r="AL292" s="484">
        <f t="shared" si="292"/>
        <v>1</v>
      </c>
      <c r="AM292" s="485">
        <f>IF(AL292&gt;0,1+COUNTIF(AM$286:AM291,"&gt;0"),0)</f>
        <v>6</v>
      </c>
      <c r="AN292" s="485" t="str">
        <f t="shared" si="293"/>
        <v/>
      </c>
      <c r="AO292" s="485" t="str">
        <f t="shared" si="276"/>
        <v>n/a</v>
      </c>
      <c r="AP292" s="486">
        <f t="shared" si="277"/>
        <v>0</v>
      </c>
      <c r="AQ292" s="484">
        <f t="shared" si="294"/>
        <v>1</v>
      </c>
      <c r="AR292" s="485">
        <f>IF(AQ292&gt;0,1+COUNTIF(AR$286:AR291,"&gt;0"),0)</f>
        <v>6</v>
      </c>
      <c r="AS292" s="485" t="str">
        <f t="shared" si="295"/>
        <v/>
      </c>
      <c r="AT292" s="485" t="str">
        <f t="shared" si="278"/>
        <v>n/a</v>
      </c>
      <c r="AU292" s="486">
        <f t="shared" si="279"/>
        <v>0</v>
      </c>
      <c r="AV292" s="484">
        <f t="shared" si="296"/>
        <v>1</v>
      </c>
      <c r="AW292" s="485">
        <f>IF(AV292&gt;0,1+COUNTIF(AW$286:AW291,"&gt;0"),0)</f>
        <v>6</v>
      </c>
      <c r="AX292" s="485" t="str">
        <f t="shared" si="297"/>
        <v/>
      </c>
      <c r="AY292" s="485" t="str">
        <f t="shared" si="280"/>
        <v>n/a</v>
      </c>
      <c r="AZ292" s="486">
        <f t="shared" si="281"/>
        <v>0</v>
      </c>
      <c r="BA292" s="484">
        <f t="shared" si="298"/>
        <v>1</v>
      </c>
      <c r="BB292" s="485">
        <f>IF(BA292&gt;0,1+COUNTIF(BB$286:BB291,"&gt;0"),0)</f>
        <v>6</v>
      </c>
      <c r="BC292" s="485" t="str">
        <f t="shared" si="299"/>
        <v/>
      </c>
      <c r="BD292" s="485" t="str">
        <f t="shared" si="282"/>
        <v>n/a</v>
      </c>
      <c r="BE292" s="486">
        <f t="shared" si="283"/>
        <v>0</v>
      </c>
    </row>
    <row r="293" spans="1:57" ht="16.5" x14ac:dyDescent="0.3">
      <c r="A293" s="155">
        <f>IFERROR(IF(A292+1&lt;MAX(D041_ClassFeatures!$A$2:$A$2033),A292+1,""),"")</f>
        <v>290</v>
      </c>
      <c r="B293" s="153" t="str">
        <f>IFERROR(INDEX(D041_ClassFeatures!$B$2:$B$2033,MATCH(C_Variables!A293,D041_ClassFeatures!$A$2:$A$2033,0),1),"")</f>
        <v>Magical Ambush</v>
      </c>
      <c r="C293" s="153">
        <f>IF(B293="",0,IF(IFERROR(MATCH(B293,C_Input!$BC$160:$BC$239,0),0)&gt;0,1,0))</f>
        <v>0</v>
      </c>
      <c r="F293" s="179"/>
      <c r="G293" s="159" t="s">
        <v>2278</v>
      </c>
      <c r="H293" s="159">
        <v>1</v>
      </c>
      <c r="I293" s="159"/>
      <c r="J293" s="159" t="str">
        <f>D03_Skills!V10</f>
        <v>Orc</v>
      </c>
      <c r="K293" s="159">
        <f t="shared" si="265"/>
        <v>0</v>
      </c>
      <c r="L293" s="159">
        <f t="shared" si="266"/>
        <v>0</v>
      </c>
      <c r="M293" s="159">
        <f t="shared" si="267"/>
        <v>0</v>
      </c>
      <c r="N293" s="159"/>
      <c r="O293" s="159"/>
      <c r="P293" s="159"/>
      <c r="Q293" s="159"/>
      <c r="R293" s="484">
        <f t="shared" si="284"/>
        <v>1</v>
      </c>
      <c r="S293" s="485">
        <f>IF(R293&gt;0,1+COUNTIF(S$286:S292,"&gt;0"),0)</f>
        <v>7</v>
      </c>
      <c r="T293" s="485" t="str">
        <f t="shared" si="285"/>
        <v/>
      </c>
      <c r="U293" s="485" t="str">
        <f t="shared" si="268"/>
        <v>n/a</v>
      </c>
      <c r="V293" s="486">
        <f t="shared" si="269"/>
        <v>0</v>
      </c>
      <c r="W293" s="484">
        <f t="shared" si="286"/>
        <v>1</v>
      </c>
      <c r="X293" s="485">
        <f>IF(W293&gt;0,1+COUNTIF(X$286:X292,"&gt;0"),0)</f>
        <v>7</v>
      </c>
      <c r="Y293" s="485" t="str">
        <f t="shared" si="287"/>
        <v/>
      </c>
      <c r="Z293" s="485" t="str">
        <f t="shared" si="270"/>
        <v>n/a</v>
      </c>
      <c r="AA293" s="486">
        <f t="shared" si="271"/>
        <v>0</v>
      </c>
      <c r="AB293" s="484">
        <f t="shared" si="288"/>
        <v>1</v>
      </c>
      <c r="AC293" s="485">
        <f>IF(AB293&gt;0,1+COUNTIF(AC$286:AC292,"&gt;0"),0)</f>
        <v>7</v>
      </c>
      <c r="AD293" s="485" t="str">
        <f t="shared" si="289"/>
        <v/>
      </c>
      <c r="AE293" s="485" t="str">
        <f t="shared" si="272"/>
        <v>n/a</v>
      </c>
      <c r="AF293" s="486">
        <f t="shared" si="273"/>
        <v>0</v>
      </c>
      <c r="AG293" s="484">
        <f t="shared" si="290"/>
        <v>1</v>
      </c>
      <c r="AH293" s="485">
        <f>IF(AG293&gt;0,1+COUNTIF(AH$286:AH292,"&gt;0"),0)</f>
        <v>7</v>
      </c>
      <c r="AI293" s="485" t="str">
        <f t="shared" si="291"/>
        <v/>
      </c>
      <c r="AJ293" s="485" t="str">
        <f t="shared" si="274"/>
        <v>n/a</v>
      </c>
      <c r="AK293" s="486">
        <f t="shared" si="275"/>
        <v>0</v>
      </c>
      <c r="AL293" s="484">
        <f t="shared" si="292"/>
        <v>1</v>
      </c>
      <c r="AM293" s="485">
        <f>IF(AL293&gt;0,1+COUNTIF(AM$286:AM292,"&gt;0"),0)</f>
        <v>7</v>
      </c>
      <c r="AN293" s="485" t="str">
        <f t="shared" si="293"/>
        <v/>
      </c>
      <c r="AO293" s="485" t="str">
        <f t="shared" si="276"/>
        <v>n/a</v>
      </c>
      <c r="AP293" s="486">
        <f t="shared" si="277"/>
        <v>0</v>
      </c>
      <c r="AQ293" s="484">
        <f t="shared" si="294"/>
        <v>1</v>
      </c>
      <c r="AR293" s="485">
        <f>IF(AQ293&gt;0,1+COUNTIF(AR$286:AR292,"&gt;0"),0)</f>
        <v>7</v>
      </c>
      <c r="AS293" s="485" t="str">
        <f t="shared" si="295"/>
        <v/>
      </c>
      <c r="AT293" s="485" t="str">
        <f t="shared" si="278"/>
        <v>n/a</v>
      </c>
      <c r="AU293" s="486">
        <f t="shared" si="279"/>
        <v>0</v>
      </c>
      <c r="AV293" s="484">
        <f t="shared" si="296"/>
        <v>1</v>
      </c>
      <c r="AW293" s="485">
        <f>IF(AV293&gt;0,1+COUNTIF(AW$286:AW292,"&gt;0"),0)</f>
        <v>7</v>
      </c>
      <c r="AX293" s="485" t="str">
        <f t="shared" si="297"/>
        <v/>
      </c>
      <c r="AY293" s="485" t="str">
        <f t="shared" si="280"/>
        <v>n/a</v>
      </c>
      <c r="AZ293" s="486">
        <f t="shared" si="281"/>
        <v>0</v>
      </c>
      <c r="BA293" s="484">
        <f t="shared" si="298"/>
        <v>1</v>
      </c>
      <c r="BB293" s="485">
        <f>IF(BA293&gt;0,1+COUNTIF(BB$286:BB292,"&gt;0"),0)</f>
        <v>7</v>
      </c>
      <c r="BC293" s="485" t="str">
        <f t="shared" si="299"/>
        <v/>
      </c>
      <c r="BD293" s="485" t="str">
        <f t="shared" si="282"/>
        <v>n/a</v>
      </c>
      <c r="BE293" s="486">
        <f t="shared" si="283"/>
        <v>0</v>
      </c>
    </row>
    <row r="294" spans="1:57" ht="16.5" x14ac:dyDescent="0.3">
      <c r="A294" s="155">
        <f>IFERROR(IF(A293+1&lt;MAX(D041_ClassFeatures!$A$2:$A$2033),A293+1,""),"")</f>
        <v>291</v>
      </c>
      <c r="B294" s="153" t="str">
        <f>IFERROR(INDEX(D041_ClassFeatures!$B$2:$B$2033,MATCH(C_Variables!A294,D041_ClassFeatures!$A$2:$A$2033,0),1),"")</f>
        <v>Versatile Trickster</v>
      </c>
      <c r="C294" s="153">
        <f>IF(B294="",0,IF(IFERROR(MATCH(B294,C_Input!$BC$160:$BC$239,0),0)&gt;0,1,0))</f>
        <v>0</v>
      </c>
      <c r="F294" s="179"/>
      <c r="G294" s="159"/>
      <c r="H294" s="159">
        <v>2</v>
      </c>
      <c r="I294" s="159"/>
      <c r="J294" s="159" t="str">
        <f>D03_Skills!V11</f>
        <v>Abyssal</v>
      </c>
      <c r="K294" s="159">
        <f t="shared" si="265"/>
        <v>0</v>
      </c>
      <c r="L294" s="159">
        <f t="shared" si="266"/>
        <v>0</v>
      </c>
      <c r="M294" s="159">
        <f t="shared" si="267"/>
        <v>0</v>
      </c>
      <c r="N294" s="159"/>
      <c r="O294" s="159"/>
      <c r="P294" s="159"/>
      <c r="Q294" s="159"/>
      <c r="R294" s="484">
        <f t="shared" si="284"/>
        <v>1</v>
      </c>
      <c r="S294" s="485">
        <f>IF(R294&gt;0,1+COUNTIF(S$286:S293,"&gt;0"),0)</f>
        <v>8</v>
      </c>
      <c r="T294" s="485" t="str">
        <f t="shared" si="285"/>
        <v/>
      </c>
      <c r="U294" s="485" t="str">
        <f t="shared" si="268"/>
        <v>n/a</v>
      </c>
      <c r="V294" s="486">
        <f t="shared" si="269"/>
        <v>0</v>
      </c>
      <c r="W294" s="484">
        <f t="shared" si="286"/>
        <v>1</v>
      </c>
      <c r="X294" s="485">
        <f>IF(W294&gt;0,1+COUNTIF(X$286:X293,"&gt;0"),0)</f>
        <v>8</v>
      </c>
      <c r="Y294" s="485" t="str">
        <f t="shared" si="287"/>
        <v/>
      </c>
      <c r="Z294" s="485" t="str">
        <f t="shared" si="270"/>
        <v>n/a</v>
      </c>
      <c r="AA294" s="486">
        <f t="shared" si="271"/>
        <v>0</v>
      </c>
      <c r="AB294" s="484">
        <f t="shared" si="288"/>
        <v>1</v>
      </c>
      <c r="AC294" s="485">
        <f>IF(AB294&gt;0,1+COUNTIF(AC$286:AC293,"&gt;0"),0)</f>
        <v>8</v>
      </c>
      <c r="AD294" s="485" t="str">
        <f t="shared" si="289"/>
        <v/>
      </c>
      <c r="AE294" s="485" t="str">
        <f t="shared" si="272"/>
        <v>n/a</v>
      </c>
      <c r="AF294" s="486">
        <f t="shared" si="273"/>
        <v>0</v>
      </c>
      <c r="AG294" s="484">
        <f t="shared" si="290"/>
        <v>1</v>
      </c>
      <c r="AH294" s="485">
        <f>IF(AG294&gt;0,1+COUNTIF(AH$286:AH293,"&gt;0"),0)</f>
        <v>8</v>
      </c>
      <c r="AI294" s="485" t="str">
        <f t="shared" si="291"/>
        <v/>
      </c>
      <c r="AJ294" s="485" t="str">
        <f t="shared" si="274"/>
        <v>n/a</v>
      </c>
      <c r="AK294" s="486">
        <f t="shared" si="275"/>
        <v>0</v>
      </c>
      <c r="AL294" s="484">
        <f t="shared" si="292"/>
        <v>1</v>
      </c>
      <c r="AM294" s="485">
        <f>IF(AL294&gt;0,1+COUNTIF(AM$286:AM293,"&gt;0"),0)</f>
        <v>8</v>
      </c>
      <c r="AN294" s="485" t="str">
        <f t="shared" si="293"/>
        <v/>
      </c>
      <c r="AO294" s="485" t="str">
        <f t="shared" si="276"/>
        <v>n/a</v>
      </c>
      <c r="AP294" s="486">
        <f t="shared" si="277"/>
        <v>0</v>
      </c>
      <c r="AQ294" s="484">
        <f t="shared" si="294"/>
        <v>1</v>
      </c>
      <c r="AR294" s="485">
        <f>IF(AQ294&gt;0,1+COUNTIF(AR$286:AR293,"&gt;0"),0)</f>
        <v>8</v>
      </c>
      <c r="AS294" s="485" t="str">
        <f t="shared" si="295"/>
        <v/>
      </c>
      <c r="AT294" s="485" t="str">
        <f t="shared" si="278"/>
        <v>n/a</v>
      </c>
      <c r="AU294" s="486">
        <f t="shared" si="279"/>
        <v>0</v>
      </c>
      <c r="AV294" s="484">
        <f t="shared" si="296"/>
        <v>1</v>
      </c>
      <c r="AW294" s="485">
        <f>IF(AV294&gt;0,1+COUNTIF(AW$286:AW293,"&gt;0"),0)</f>
        <v>8</v>
      </c>
      <c r="AX294" s="485" t="str">
        <f t="shared" si="297"/>
        <v/>
      </c>
      <c r="AY294" s="485" t="str">
        <f t="shared" si="280"/>
        <v>n/a</v>
      </c>
      <c r="AZ294" s="486">
        <f t="shared" si="281"/>
        <v>0</v>
      </c>
      <c r="BA294" s="484">
        <f t="shared" si="298"/>
        <v>1</v>
      </c>
      <c r="BB294" s="485">
        <f>IF(BA294&gt;0,1+COUNTIF(BB$286:BB293,"&gt;0"),0)</f>
        <v>8</v>
      </c>
      <c r="BC294" s="485" t="str">
        <f t="shared" si="299"/>
        <v/>
      </c>
      <c r="BD294" s="485" t="str">
        <f t="shared" si="282"/>
        <v>n/a</v>
      </c>
      <c r="BE294" s="486">
        <f t="shared" si="283"/>
        <v>0</v>
      </c>
    </row>
    <row r="295" spans="1:57" ht="16.5" x14ac:dyDescent="0.3">
      <c r="A295" s="155">
        <f>IFERROR(IF(A294+1&lt;MAX(D041_ClassFeatures!$A$2:$A$2033),A294+1,""),"")</f>
        <v>292</v>
      </c>
      <c r="B295" s="153" t="str">
        <f>IFERROR(INDEX(D041_ClassFeatures!$B$2:$B$2033,MATCH(C_Variables!A295,D041_ClassFeatures!$A$2:$A$2033,0),1),"")</f>
        <v>Spell Thief</v>
      </c>
      <c r="C295" s="153">
        <f>IF(B295="",0,IF(IFERROR(MATCH(B295,C_Input!$BC$160:$BC$239,0),0)&gt;0,1,0))</f>
        <v>0</v>
      </c>
      <c r="F295" s="179"/>
      <c r="G295" s="159"/>
      <c r="H295" s="159">
        <v>3</v>
      </c>
      <c r="I295" s="159"/>
      <c r="J295" s="159" t="str">
        <f>D03_Skills!V12</f>
        <v>Celestial</v>
      </c>
      <c r="K295" s="159">
        <f t="shared" si="265"/>
        <v>0</v>
      </c>
      <c r="L295" s="159">
        <f t="shared" si="266"/>
        <v>0</v>
      </c>
      <c r="M295" s="159">
        <f t="shared" si="267"/>
        <v>0</v>
      </c>
      <c r="N295" s="159"/>
      <c r="O295" s="159"/>
      <c r="P295" s="159"/>
      <c r="Q295" s="159"/>
      <c r="R295" s="484">
        <f t="shared" si="284"/>
        <v>1</v>
      </c>
      <c r="S295" s="485">
        <f>IF(R295&gt;0,1+COUNTIF(S$286:S294,"&gt;0"),0)</f>
        <v>9</v>
      </c>
      <c r="T295" s="485" t="str">
        <f t="shared" si="285"/>
        <v/>
      </c>
      <c r="U295" s="485" t="str">
        <f t="shared" si="268"/>
        <v>n/a</v>
      </c>
      <c r="V295" s="486">
        <f t="shared" si="269"/>
        <v>0</v>
      </c>
      <c r="W295" s="484">
        <f t="shared" si="286"/>
        <v>1</v>
      </c>
      <c r="X295" s="485">
        <f>IF(W295&gt;0,1+COUNTIF(X$286:X294,"&gt;0"),0)</f>
        <v>9</v>
      </c>
      <c r="Y295" s="485" t="str">
        <f t="shared" si="287"/>
        <v/>
      </c>
      <c r="Z295" s="485" t="str">
        <f t="shared" si="270"/>
        <v>n/a</v>
      </c>
      <c r="AA295" s="486">
        <f t="shared" si="271"/>
        <v>0</v>
      </c>
      <c r="AB295" s="484">
        <f t="shared" si="288"/>
        <v>1</v>
      </c>
      <c r="AC295" s="485">
        <f>IF(AB295&gt;0,1+COUNTIF(AC$286:AC294,"&gt;0"),0)</f>
        <v>9</v>
      </c>
      <c r="AD295" s="485" t="str">
        <f t="shared" si="289"/>
        <v/>
      </c>
      <c r="AE295" s="485" t="str">
        <f t="shared" si="272"/>
        <v>n/a</v>
      </c>
      <c r="AF295" s="486">
        <f t="shared" si="273"/>
        <v>0</v>
      </c>
      <c r="AG295" s="484">
        <f t="shared" si="290"/>
        <v>1</v>
      </c>
      <c r="AH295" s="485">
        <f>IF(AG295&gt;0,1+COUNTIF(AH$286:AH294,"&gt;0"),0)</f>
        <v>9</v>
      </c>
      <c r="AI295" s="485" t="str">
        <f t="shared" si="291"/>
        <v/>
      </c>
      <c r="AJ295" s="485" t="str">
        <f t="shared" si="274"/>
        <v>n/a</v>
      </c>
      <c r="AK295" s="486">
        <f t="shared" si="275"/>
        <v>0</v>
      </c>
      <c r="AL295" s="484">
        <f t="shared" si="292"/>
        <v>1</v>
      </c>
      <c r="AM295" s="485">
        <f>IF(AL295&gt;0,1+COUNTIF(AM$286:AM294,"&gt;0"),0)</f>
        <v>9</v>
      </c>
      <c r="AN295" s="485" t="str">
        <f t="shared" si="293"/>
        <v/>
      </c>
      <c r="AO295" s="485" t="str">
        <f t="shared" si="276"/>
        <v>n/a</v>
      </c>
      <c r="AP295" s="486">
        <f t="shared" si="277"/>
        <v>0</v>
      </c>
      <c r="AQ295" s="484">
        <f t="shared" si="294"/>
        <v>1</v>
      </c>
      <c r="AR295" s="485">
        <f>IF(AQ295&gt;0,1+COUNTIF(AR$286:AR294,"&gt;0"),0)</f>
        <v>9</v>
      </c>
      <c r="AS295" s="485" t="str">
        <f t="shared" si="295"/>
        <v/>
      </c>
      <c r="AT295" s="485" t="str">
        <f t="shared" si="278"/>
        <v>n/a</v>
      </c>
      <c r="AU295" s="486">
        <f t="shared" si="279"/>
        <v>0</v>
      </c>
      <c r="AV295" s="484">
        <f t="shared" si="296"/>
        <v>1</v>
      </c>
      <c r="AW295" s="485">
        <f>IF(AV295&gt;0,1+COUNTIF(AW$286:AW294,"&gt;0"),0)</f>
        <v>9</v>
      </c>
      <c r="AX295" s="485" t="str">
        <f t="shared" si="297"/>
        <v/>
      </c>
      <c r="AY295" s="485" t="str">
        <f t="shared" si="280"/>
        <v>n/a</v>
      </c>
      <c r="AZ295" s="486">
        <f t="shared" si="281"/>
        <v>0</v>
      </c>
      <c r="BA295" s="484">
        <f t="shared" si="298"/>
        <v>1</v>
      </c>
      <c r="BB295" s="485">
        <f>IF(BA295&gt;0,1+COUNTIF(BB$286:BB294,"&gt;0"),0)</f>
        <v>9</v>
      </c>
      <c r="BC295" s="485" t="str">
        <f t="shared" si="299"/>
        <v/>
      </c>
      <c r="BD295" s="485" t="str">
        <f t="shared" si="282"/>
        <v>n/a</v>
      </c>
      <c r="BE295" s="486">
        <f t="shared" si="283"/>
        <v>0</v>
      </c>
    </row>
    <row r="296" spans="1:57" ht="16.5" x14ac:dyDescent="0.3">
      <c r="A296" s="155">
        <f>IFERROR(IF(A295+1&lt;MAX(D041_ClassFeatures!$A$2:$A$2033),A295+1,""),"")</f>
        <v>293</v>
      </c>
      <c r="B296" s="153" t="str">
        <f>IFERROR(INDEX(D041_ClassFeatures!$B$2:$B$2033,MATCH(C_Variables!A296,D041_ClassFeatures!$A$2:$A$2033,0),1),"")</f>
        <v>Dragon Ancestor</v>
      </c>
      <c r="C296" s="153">
        <f>IF(B296="",0,IF(IFERROR(MATCH(B296,C_Input!$BC$160:$BC$239,0),0)&gt;0,1,0))</f>
        <v>0</v>
      </c>
      <c r="F296" s="179"/>
      <c r="G296" s="159"/>
      <c r="H296" s="159"/>
      <c r="I296" s="159"/>
      <c r="J296" s="159" t="str">
        <f>D03_Skills!V13</f>
        <v>Draconic</v>
      </c>
      <c r="K296" s="159">
        <f t="shared" si="265"/>
        <v>0</v>
      </c>
      <c r="L296" s="159">
        <f t="shared" si="266"/>
        <v>0</v>
      </c>
      <c r="M296" s="159">
        <f t="shared" si="267"/>
        <v>0</v>
      </c>
      <c r="N296" s="159"/>
      <c r="O296" s="159"/>
      <c r="P296" s="159"/>
      <c r="Q296" s="159"/>
      <c r="R296" s="484">
        <f t="shared" si="284"/>
        <v>1</v>
      </c>
      <c r="S296" s="485">
        <f>IF(R296&gt;0,1+COUNTIF(S$286:S295,"&gt;0"),0)</f>
        <v>10</v>
      </c>
      <c r="T296" s="485" t="str">
        <f t="shared" si="285"/>
        <v/>
      </c>
      <c r="U296" s="485" t="str">
        <f t="shared" si="268"/>
        <v>n/a</v>
      </c>
      <c r="V296" s="486">
        <f t="shared" si="269"/>
        <v>0</v>
      </c>
      <c r="W296" s="484">
        <f t="shared" si="286"/>
        <v>1</v>
      </c>
      <c r="X296" s="485">
        <f>IF(W296&gt;0,1+COUNTIF(X$286:X295,"&gt;0"),0)</f>
        <v>10</v>
      </c>
      <c r="Y296" s="485" t="str">
        <f t="shared" si="287"/>
        <v/>
      </c>
      <c r="Z296" s="485" t="str">
        <f t="shared" si="270"/>
        <v>n/a</v>
      </c>
      <c r="AA296" s="486">
        <f t="shared" si="271"/>
        <v>0</v>
      </c>
      <c r="AB296" s="484">
        <f t="shared" si="288"/>
        <v>1</v>
      </c>
      <c r="AC296" s="485">
        <f>IF(AB296&gt;0,1+COUNTIF(AC$286:AC295,"&gt;0"),0)</f>
        <v>10</v>
      </c>
      <c r="AD296" s="485" t="str">
        <f t="shared" si="289"/>
        <v/>
      </c>
      <c r="AE296" s="485" t="str">
        <f t="shared" si="272"/>
        <v>n/a</v>
      </c>
      <c r="AF296" s="486">
        <f t="shared" si="273"/>
        <v>0</v>
      </c>
      <c r="AG296" s="484">
        <f t="shared" si="290"/>
        <v>1</v>
      </c>
      <c r="AH296" s="485">
        <f>IF(AG296&gt;0,1+COUNTIF(AH$286:AH295,"&gt;0"),0)</f>
        <v>10</v>
      </c>
      <c r="AI296" s="485" t="str">
        <f t="shared" si="291"/>
        <v/>
      </c>
      <c r="AJ296" s="485" t="str">
        <f t="shared" si="274"/>
        <v>n/a</v>
      </c>
      <c r="AK296" s="486">
        <f t="shared" si="275"/>
        <v>0</v>
      </c>
      <c r="AL296" s="484">
        <f t="shared" si="292"/>
        <v>1</v>
      </c>
      <c r="AM296" s="485">
        <f>IF(AL296&gt;0,1+COUNTIF(AM$286:AM295,"&gt;0"),0)</f>
        <v>10</v>
      </c>
      <c r="AN296" s="485" t="str">
        <f t="shared" si="293"/>
        <v/>
      </c>
      <c r="AO296" s="485" t="str">
        <f t="shared" si="276"/>
        <v>n/a</v>
      </c>
      <c r="AP296" s="486">
        <f t="shared" si="277"/>
        <v>0</v>
      </c>
      <c r="AQ296" s="484">
        <f t="shared" si="294"/>
        <v>1</v>
      </c>
      <c r="AR296" s="485">
        <f>IF(AQ296&gt;0,1+COUNTIF(AR$286:AR295,"&gt;0"),0)</f>
        <v>10</v>
      </c>
      <c r="AS296" s="485" t="str">
        <f t="shared" si="295"/>
        <v/>
      </c>
      <c r="AT296" s="485" t="str">
        <f t="shared" si="278"/>
        <v>n/a</v>
      </c>
      <c r="AU296" s="486">
        <f t="shared" si="279"/>
        <v>0</v>
      </c>
      <c r="AV296" s="484">
        <f t="shared" si="296"/>
        <v>1</v>
      </c>
      <c r="AW296" s="485">
        <f>IF(AV296&gt;0,1+COUNTIF(AW$286:AW295,"&gt;0"),0)</f>
        <v>10</v>
      </c>
      <c r="AX296" s="485" t="str">
        <f t="shared" si="297"/>
        <v/>
      </c>
      <c r="AY296" s="485" t="str">
        <f t="shared" si="280"/>
        <v>n/a</v>
      </c>
      <c r="AZ296" s="486">
        <f t="shared" si="281"/>
        <v>0</v>
      </c>
      <c r="BA296" s="484">
        <f t="shared" si="298"/>
        <v>1</v>
      </c>
      <c r="BB296" s="485">
        <f>IF(BA296&gt;0,1+COUNTIF(BB$286:BB295,"&gt;0"),0)</f>
        <v>10</v>
      </c>
      <c r="BC296" s="485" t="str">
        <f t="shared" si="299"/>
        <v/>
      </c>
      <c r="BD296" s="485" t="str">
        <f t="shared" si="282"/>
        <v>n/a</v>
      </c>
      <c r="BE296" s="486">
        <f t="shared" si="283"/>
        <v>0</v>
      </c>
    </row>
    <row r="297" spans="1:57" ht="16.5" x14ac:dyDescent="0.3">
      <c r="A297" s="155">
        <f>IFERROR(IF(A296+1&lt;MAX(D041_ClassFeatures!$A$2:$A$2033),A296+1,""),"")</f>
        <v>294</v>
      </c>
      <c r="B297" s="153" t="str">
        <f>IFERROR(INDEX(D041_ClassFeatures!$B$2:$B$2033,MATCH(C_Variables!A297,D041_ClassFeatures!$A$2:$A$2033,0),1),"")</f>
        <v>Draconic Resilence</v>
      </c>
      <c r="C297" s="153">
        <f>IF(B297="",0,IF(IFERROR(MATCH(B297,C_Input!$BC$160:$BC$239,0),0)&gt;0,1,0))</f>
        <v>0</v>
      </c>
      <c r="F297" s="179"/>
      <c r="G297" s="159"/>
      <c r="H297" s="159"/>
      <c r="I297" s="159"/>
      <c r="J297" s="159" t="str">
        <f>D03_Skills!V14</f>
        <v>Deep Speech</v>
      </c>
      <c r="K297" s="159">
        <f t="shared" si="265"/>
        <v>0</v>
      </c>
      <c r="L297" s="159">
        <f t="shared" si="266"/>
        <v>0</v>
      </c>
      <c r="M297" s="159">
        <f t="shared" si="267"/>
        <v>0</v>
      </c>
      <c r="N297" s="159"/>
      <c r="O297" s="159"/>
      <c r="P297" s="159"/>
      <c r="Q297" s="159"/>
      <c r="R297" s="484">
        <f t="shared" si="284"/>
        <v>1</v>
      </c>
      <c r="S297" s="485">
        <f>IF(R297&gt;0,1+COUNTIF(S$286:S296,"&gt;0"),0)</f>
        <v>11</v>
      </c>
      <c r="T297" s="485" t="str">
        <f t="shared" si="285"/>
        <v/>
      </c>
      <c r="U297" s="485" t="str">
        <f t="shared" si="268"/>
        <v>n/a</v>
      </c>
      <c r="V297" s="486">
        <f t="shared" si="269"/>
        <v>0</v>
      </c>
      <c r="W297" s="484">
        <f t="shared" si="286"/>
        <v>1</v>
      </c>
      <c r="X297" s="485">
        <f>IF(W297&gt;0,1+COUNTIF(X$286:X296,"&gt;0"),0)</f>
        <v>11</v>
      </c>
      <c r="Y297" s="485" t="str">
        <f t="shared" si="287"/>
        <v/>
      </c>
      <c r="Z297" s="485" t="str">
        <f t="shared" si="270"/>
        <v>n/a</v>
      </c>
      <c r="AA297" s="486">
        <f t="shared" si="271"/>
        <v>0</v>
      </c>
      <c r="AB297" s="484">
        <f t="shared" si="288"/>
        <v>1</v>
      </c>
      <c r="AC297" s="485">
        <f>IF(AB297&gt;0,1+COUNTIF(AC$286:AC296,"&gt;0"),0)</f>
        <v>11</v>
      </c>
      <c r="AD297" s="485" t="str">
        <f t="shared" si="289"/>
        <v/>
      </c>
      <c r="AE297" s="485" t="str">
        <f t="shared" si="272"/>
        <v>n/a</v>
      </c>
      <c r="AF297" s="486">
        <f t="shared" si="273"/>
        <v>0</v>
      </c>
      <c r="AG297" s="484">
        <f t="shared" si="290"/>
        <v>1</v>
      </c>
      <c r="AH297" s="485">
        <f>IF(AG297&gt;0,1+COUNTIF(AH$286:AH296,"&gt;0"),0)</f>
        <v>11</v>
      </c>
      <c r="AI297" s="485" t="str">
        <f t="shared" si="291"/>
        <v/>
      </c>
      <c r="AJ297" s="485" t="str">
        <f t="shared" si="274"/>
        <v>n/a</v>
      </c>
      <c r="AK297" s="486">
        <f t="shared" si="275"/>
        <v>0</v>
      </c>
      <c r="AL297" s="484">
        <f t="shared" si="292"/>
        <v>1</v>
      </c>
      <c r="AM297" s="485">
        <f>IF(AL297&gt;0,1+COUNTIF(AM$286:AM296,"&gt;0"),0)</f>
        <v>11</v>
      </c>
      <c r="AN297" s="485" t="str">
        <f t="shared" si="293"/>
        <v/>
      </c>
      <c r="AO297" s="485" t="str">
        <f t="shared" si="276"/>
        <v>n/a</v>
      </c>
      <c r="AP297" s="486">
        <f t="shared" si="277"/>
        <v>0</v>
      </c>
      <c r="AQ297" s="484">
        <f t="shared" si="294"/>
        <v>1</v>
      </c>
      <c r="AR297" s="485">
        <f>IF(AQ297&gt;0,1+COUNTIF(AR$286:AR296,"&gt;0"),0)</f>
        <v>11</v>
      </c>
      <c r="AS297" s="485" t="str">
        <f t="shared" si="295"/>
        <v/>
      </c>
      <c r="AT297" s="485" t="str">
        <f t="shared" si="278"/>
        <v>n/a</v>
      </c>
      <c r="AU297" s="486">
        <f t="shared" si="279"/>
        <v>0</v>
      </c>
      <c r="AV297" s="484">
        <f t="shared" si="296"/>
        <v>1</v>
      </c>
      <c r="AW297" s="485">
        <f>IF(AV297&gt;0,1+COUNTIF(AW$286:AW296,"&gt;0"),0)</f>
        <v>11</v>
      </c>
      <c r="AX297" s="485" t="str">
        <f t="shared" si="297"/>
        <v/>
      </c>
      <c r="AY297" s="485" t="str">
        <f t="shared" si="280"/>
        <v>n/a</v>
      </c>
      <c r="AZ297" s="486">
        <f t="shared" si="281"/>
        <v>0</v>
      </c>
      <c r="BA297" s="484">
        <f t="shared" si="298"/>
        <v>1</v>
      </c>
      <c r="BB297" s="485">
        <f>IF(BA297&gt;0,1+COUNTIF(BB$286:BB296,"&gt;0"),0)</f>
        <v>11</v>
      </c>
      <c r="BC297" s="485" t="str">
        <f t="shared" si="299"/>
        <v/>
      </c>
      <c r="BD297" s="485" t="str">
        <f t="shared" si="282"/>
        <v>n/a</v>
      </c>
      <c r="BE297" s="486">
        <f t="shared" si="283"/>
        <v>0</v>
      </c>
    </row>
    <row r="298" spans="1:57" ht="16.5" x14ac:dyDescent="0.3">
      <c r="A298" s="155">
        <f>IFERROR(IF(A297+1&lt;MAX(D041_ClassFeatures!$A$2:$A$2033),A297+1,""),"")</f>
        <v>295</v>
      </c>
      <c r="B298" s="153" t="str">
        <f>IFERROR(INDEX(D041_ClassFeatures!$B$2:$B$2033,MATCH(C_Variables!A298,D041_ClassFeatures!$A$2:$A$2033,0),1),"")</f>
        <v>Elemental Affinity</v>
      </c>
      <c r="C298" s="153">
        <f>IF(B298="",0,IF(IFERROR(MATCH(B298,C_Input!$BC$160:$BC$239,0),0)&gt;0,1,0))</f>
        <v>0</v>
      </c>
      <c r="F298" s="179"/>
      <c r="G298" s="159"/>
      <c r="H298" s="159"/>
      <c r="I298" s="159"/>
      <c r="J298" s="159" t="str">
        <f>D03_Skills!V15</f>
        <v>Infernal</v>
      </c>
      <c r="K298" s="159">
        <f t="shared" si="265"/>
        <v>0</v>
      </c>
      <c r="L298" s="159">
        <f t="shared" si="266"/>
        <v>0</v>
      </c>
      <c r="M298" s="159">
        <f t="shared" si="267"/>
        <v>0</v>
      </c>
      <c r="N298" s="159"/>
      <c r="O298" s="159"/>
      <c r="P298" s="159"/>
      <c r="Q298" s="159"/>
      <c r="R298" s="484">
        <f t="shared" si="284"/>
        <v>1</v>
      </c>
      <c r="S298" s="485">
        <f>IF(R298&gt;0,1+COUNTIF(S$286:S297,"&gt;0"),0)</f>
        <v>12</v>
      </c>
      <c r="T298" s="485" t="str">
        <f t="shared" si="285"/>
        <v/>
      </c>
      <c r="U298" s="485" t="str">
        <f t="shared" si="268"/>
        <v>n/a</v>
      </c>
      <c r="V298" s="486">
        <f t="shared" si="269"/>
        <v>0</v>
      </c>
      <c r="W298" s="484">
        <f t="shared" si="286"/>
        <v>1</v>
      </c>
      <c r="X298" s="485">
        <f>IF(W298&gt;0,1+COUNTIF(X$286:X297,"&gt;0"),0)</f>
        <v>12</v>
      </c>
      <c r="Y298" s="485" t="str">
        <f t="shared" si="287"/>
        <v/>
      </c>
      <c r="Z298" s="485" t="str">
        <f t="shared" si="270"/>
        <v>n/a</v>
      </c>
      <c r="AA298" s="486">
        <f t="shared" si="271"/>
        <v>0</v>
      </c>
      <c r="AB298" s="484">
        <f t="shared" si="288"/>
        <v>1</v>
      </c>
      <c r="AC298" s="485">
        <f>IF(AB298&gt;0,1+COUNTIF(AC$286:AC297,"&gt;0"),0)</f>
        <v>12</v>
      </c>
      <c r="AD298" s="485" t="str">
        <f t="shared" si="289"/>
        <v/>
      </c>
      <c r="AE298" s="485" t="str">
        <f t="shared" si="272"/>
        <v>n/a</v>
      </c>
      <c r="AF298" s="486">
        <f t="shared" si="273"/>
        <v>0</v>
      </c>
      <c r="AG298" s="484">
        <f t="shared" si="290"/>
        <v>1</v>
      </c>
      <c r="AH298" s="485">
        <f>IF(AG298&gt;0,1+COUNTIF(AH$286:AH297,"&gt;0"),0)</f>
        <v>12</v>
      </c>
      <c r="AI298" s="485" t="str">
        <f t="shared" si="291"/>
        <v/>
      </c>
      <c r="AJ298" s="485" t="str">
        <f t="shared" si="274"/>
        <v>n/a</v>
      </c>
      <c r="AK298" s="486">
        <f t="shared" si="275"/>
        <v>0</v>
      </c>
      <c r="AL298" s="484">
        <f t="shared" si="292"/>
        <v>1</v>
      </c>
      <c r="AM298" s="485">
        <f>IF(AL298&gt;0,1+COUNTIF(AM$286:AM297,"&gt;0"),0)</f>
        <v>12</v>
      </c>
      <c r="AN298" s="485" t="str">
        <f t="shared" si="293"/>
        <v/>
      </c>
      <c r="AO298" s="485" t="str">
        <f t="shared" si="276"/>
        <v>n/a</v>
      </c>
      <c r="AP298" s="486">
        <f t="shared" si="277"/>
        <v>0</v>
      </c>
      <c r="AQ298" s="484">
        <f t="shared" si="294"/>
        <v>1</v>
      </c>
      <c r="AR298" s="485">
        <f>IF(AQ298&gt;0,1+COUNTIF(AR$286:AR297,"&gt;0"),0)</f>
        <v>12</v>
      </c>
      <c r="AS298" s="485" t="str">
        <f t="shared" si="295"/>
        <v/>
      </c>
      <c r="AT298" s="485" t="str">
        <f t="shared" si="278"/>
        <v>n/a</v>
      </c>
      <c r="AU298" s="486">
        <f t="shared" si="279"/>
        <v>0</v>
      </c>
      <c r="AV298" s="484">
        <f t="shared" si="296"/>
        <v>1</v>
      </c>
      <c r="AW298" s="485">
        <f>IF(AV298&gt;0,1+COUNTIF(AW$286:AW297,"&gt;0"),0)</f>
        <v>12</v>
      </c>
      <c r="AX298" s="485" t="str">
        <f t="shared" si="297"/>
        <v/>
      </c>
      <c r="AY298" s="485" t="str">
        <f t="shared" si="280"/>
        <v>n/a</v>
      </c>
      <c r="AZ298" s="486">
        <f t="shared" si="281"/>
        <v>0</v>
      </c>
      <c r="BA298" s="484">
        <f t="shared" si="298"/>
        <v>1</v>
      </c>
      <c r="BB298" s="485">
        <f>IF(BA298&gt;0,1+COUNTIF(BB$286:BB297,"&gt;0"),0)</f>
        <v>12</v>
      </c>
      <c r="BC298" s="485" t="str">
        <f t="shared" si="299"/>
        <v/>
      </c>
      <c r="BD298" s="485" t="str">
        <f t="shared" si="282"/>
        <v>n/a</v>
      </c>
      <c r="BE298" s="486">
        <f t="shared" si="283"/>
        <v>0</v>
      </c>
    </row>
    <row r="299" spans="1:57" ht="16.5" x14ac:dyDescent="0.3">
      <c r="A299" s="155">
        <f>IFERROR(IF(A298+1&lt;MAX(D041_ClassFeatures!$A$2:$A$2033),A298+1,""),"")</f>
        <v>296</v>
      </c>
      <c r="B299" s="153" t="str">
        <f>IFERROR(INDEX(D041_ClassFeatures!$B$2:$B$2033,MATCH(C_Variables!A299,D041_ClassFeatures!$A$2:$A$2033,0),1),"")</f>
        <v>Dragon Wings</v>
      </c>
      <c r="C299" s="153">
        <f>IF(B299="",0,IF(IFERROR(MATCH(B299,C_Input!$BC$160:$BC$239,0),0)&gt;0,1,0))</f>
        <v>0</v>
      </c>
      <c r="F299" s="179"/>
      <c r="G299" s="159"/>
      <c r="H299" s="159"/>
      <c r="I299" s="159"/>
      <c r="J299" s="159" t="str">
        <f>D03_Skills!V16</f>
        <v>Primordial</v>
      </c>
      <c r="K299" s="159">
        <f t="shared" si="265"/>
        <v>0</v>
      </c>
      <c r="L299" s="159">
        <f t="shared" si="266"/>
        <v>0</v>
      </c>
      <c r="M299" s="159">
        <f t="shared" si="267"/>
        <v>0</v>
      </c>
      <c r="N299" s="159"/>
      <c r="O299" s="159"/>
      <c r="P299" s="159"/>
      <c r="Q299" s="159"/>
      <c r="R299" s="484">
        <f t="shared" si="284"/>
        <v>1</v>
      </c>
      <c r="S299" s="485">
        <f>IF(R299&gt;0,1+COUNTIF(S$286:S298,"&gt;0"),0)</f>
        <v>13</v>
      </c>
      <c r="T299" s="485" t="str">
        <f t="shared" si="285"/>
        <v/>
      </c>
      <c r="U299" s="485" t="str">
        <f t="shared" si="268"/>
        <v>n/a</v>
      </c>
      <c r="V299" s="486">
        <f t="shared" si="269"/>
        <v>0</v>
      </c>
      <c r="W299" s="484">
        <f t="shared" si="286"/>
        <v>1</v>
      </c>
      <c r="X299" s="485">
        <f>IF(W299&gt;0,1+COUNTIF(X$286:X298,"&gt;0"),0)</f>
        <v>13</v>
      </c>
      <c r="Y299" s="485" t="str">
        <f t="shared" si="287"/>
        <v/>
      </c>
      <c r="Z299" s="485" t="str">
        <f t="shared" si="270"/>
        <v>n/a</v>
      </c>
      <c r="AA299" s="486">
        <f t="shared" si="271"/>
        <v>0</v>
      </c>
      <c r="AB299" s="484">
        <f t="shared" si="288"/>
        <v>1</v>
      </c>
      <c r="AC299" s="485">
        <f>IF(AB299&gt;0,1+COUNTIF(AC$286:AC298,"&gt;0"),0)</f>
        <v>13</v>
      </c>
      <c r="AD299" s="485" t="str">
        <f t="shared" si="289"/>
        <v/>
      </c>
      <c r="AE299" s="485" t="str">
        <f t="shared" si="272"/>
        <v>n/a</v>
      </c>
      <c r="AF299" s="486">
        <f t="shared" si="273"/>
        <v>0</v>
      </c>
      <c r="AG299" s="484">
        <f t="shared" si="290"/>
        <v>1</v>
      </c>
      <c r="AH299" s="485">
        <f>IF(AG299&gt;0,1+COUNTIF(AH$286:AH298,"&gt;0"),0)</f>
        <v>13</v>
      </c>
      <c r="AI299" s="485" t="str">
        <f t="shared" si="291"/>
        <v/>
      </c>
      <c r="AJ299" s="485" t="str">
        <f t="shared" si="274"/>
        <v>n/a</v>
      </c>
      <c r="AK299" s="486">
        <f t="shared" si="275"/>
        <v>0</v>
      </c>
      <c r="AL299" s="484">
        <f t="shared" si="292"/>
        <v>1</v>
      </c>
      <c r="AM299" s="485">
        <f>IF(AL299&gt;0,1+COUNTIF(AM$286:AM298,"&gt;0"),0)</f>
        <v>13</v>
      </c>
      <c r="AN299" s="485" t="str">
        <f t="shared" si="293"/>
        <v/>
      </c>
      <c r="AO299" s="485" t="str">
        <f t="shared" si="276"/>
        <v>n/a</v>
      </c>
      <c r="AP299" s="486">
        <f t="shared" si="277"/>
        <v>0</v>
      </c>
      <c r="AQ299" s="484">
        <f t="shared" si="294"/>
        <v>1</v>
      </c>
      <c r="AR299" s="485">
        <f>IF(AQ299&gt;0,1+COUNTIF(AR$286:AR298,"&gt;0"),0)</f>
        <v>13</v>
      </c>
      <c r="AS299" s="485" t="str">
        <f t="shared" si="295"/>
        <v/>
      </c>
      <c r="AT299" s="485" t="str">
        <f t="shared" si="278"/>
        <v>n/a</v>
      </c>
      <c r="AU299" s="486">
        <f t="shared" si="279"/>
        <v>0</v>
      </c>
      <c r="AV299" s="484">
        <f t="shared" si="296"/>
        <v>1</v>
      </c>
      <c r="AW299" s="485">
        <f>IF(AV299&gt;0,1+COUNTIF(AW$286:AW298,"&gt;0"),0)</f>
        <v>13</v>
      </c>
      <c r="AX299" s="485" t="str">
        <f t="shared" si="297"/>
        <v/>
      </c>
      <c r="AY299" s="485" t="str">
        <f t="shared" si="280"/>
        <v>n/a</v>
      </c>
      <c r="AZ299" s="486">
        <f t="shared" si="281"/>
        <v>0</v>
      </c>
      <c r="BA299" s="484">
        <f t="shared" si="298"/>
        <v>1</v>
      </c>
      <c r="BB299" s="485">
        <f>IF(BA299&gt;0,1+COUNTIF(BB$286:BB298,"&gt;0"),0)</f>
        <v>13</v>
      </c>
      <c r="BC299" s="485" t="str">
        <f t="shared" si="299"/>
        <v/>
      </c>
      <c r="BD299" s="485" t="str">
        <f t="shared" si="282"/>
        <v>n/a</v>
      </c>
      <c r="BE299" s="486">
        <f t="shared" si="283"/>
        <v>0</v>
      </c>
    </row>
    <row r="300" spans="1:57" ht="16.5" x14ac:dyDescent="0.3">
      <c r="A300" s="155">
        <f>IFERROR(IF(A299+1&lt;MAX(D041_ClassFeatures!$A$2:$A$2033),A299+1,""),"")</f>
        <v>297</v>
      </c>
      <c r="B300" s="153" t="str">
        <f>IFERROR(INDEX(D041_ClassFeatures!$B$2:$B$2033,MATCH(C_Variables!A300,D041_ClassFeatures!$A$2:$A$2033,0),1),"")</f>
        <v>Draconic Presence</v>
      </c>
      <c r="C300" s="153">
        <f>IF(B300="",0,IF(IFERROR(MATCH(B300,C_Input!$BC$160:$BC$239,0),0)&gt;0,1,0))</f>
        <v>0</v>
      </c>
      <c r="F300" s="179"/>
      <c r="G300" s="159"/>
      <c r="H300" s="159"/>
      <c r="I300" s="159"/>
      <c r="J300" s="159" t="str">
        <f>D03_Skills!V17</f>
        <v>Sylvan</v>
      </c>
      <c r="K300" s="159">
        <f t="shared" si="265"/>
        <v>0</v>
      </c>
      <c r="L300" s="159">
        <f t="shared" si="266"/>
        <v>0</v>
      </c>
      <c r="M300" s="159">
        <f t="shared" si="267"/>
        <v>0</v>
      </c>
      <c r="N300" s="159"/>
      <c r="O300" s="159"/>
      <c r="P300" s="159"/>
      <c r="Q300" s="159"/>
      <c r="R300" s="484">
        <f t="shared" si="284"/>
        <v>1</v>
      </c>
      <c r="S300" s="485">
        <f>IF(R300&gt;0,1+COUNTIF(S$286:S299,"&gt;0"),0)</f>
        <v>14</v>
      </c>
      <c r="T300" s="485" t="str">
        <f t="shared" si="285"/>
        <v/>
      </c>
      <c r="U300" s="485" t="str">
        <f t="shared" si="268"/>
        <v>n/a</v>
      </c>
      <c r="V300" s="486">
        <f t="shared" si="269"/>
        <v>0</v>
      </c>
      <c r="W300" s="484">
        <f t="shared" si="286"/>
        <v>1</v>
      </c>
      <c r="X300" s="485">
        <f>IF(W300&gt;0,1+COUNTIF(X$286:X299,"&gt;0"),0)</f>
        <v>14</v>
      </c>
      <c r="Y300" s="485" t="str">
        <f t="shared" si="287"/>
        <v/>
      </c>
      <c r="Z300" s="485" t="str">
        <f t="shared" si="270"/>
        <v>n/a</v>
      </c>
      <c r="AA300" s="486">
        <f t="shared" si="271"/>
        <v>0</v>
      </c>
      <c r="AB300" s="484">
        <f t="shared" si="288"/>
        <v>1</v>
      </c>
      <c r="AC300" s="485">
        <f>IF(AB300&gt;0,1+COUNTIF(AC$286:AC299,"&gt;0"),0)</f>
        <v>14</v>
      </c>
      <c r="AD300" s="485" t="str">
        <f t="shared" si="289"/>
        <v/>
      </c>
      <c r="AE300" s="485" t="str">
        <f t="shared" si="272"/>
        <v>n/a</v>
      </c>
      <c r="AF300" s="486">
        <f t="shared" si="273"/>
        <v>0</v>
      </c>
      <c r="AG300" s="484">
        <f t="shared" si="290"/>
        <v>1</v>
      </c>
      <c r="AH300" s="485">
        <f>IF(AG300&gt;0,1+COUNTIF(AH$286:AH299,"&gt;0"),0)</f>
        <v>14</v>
      </c>
      <c r="AI300" s="485" t="str">
        <f t="shared" si="291"/>
        <v/>
      </c>
      <c r="AJ300" s="485" t="str">
        <f t="shared" si="274"/>
        <v>n/a</v>
      </c>
      <c r="AK300" s="486">
        <f t="shared" si="275"/>
        <v>0</v>
      </c>
      <c r="AL300" s="484">
        <f t="shared" si="292"/>
        <v>1</v>
      </c>
      <c r="AM300" s="485">
        <f>IF(AL300&gt;0,1+COUNTIF(AM$286:AM299,"&gt;0"),0)</f>
        <v>14</v>
      </c>
      <c r="AN300" s="485" t="str">
        <f t="shared" si="293"/>
        <v/>
      </c>
      <c r="AO300" s="485" t="str">
        <f t="shared" si="276"/>
        <v>n/a</v>
      </c>
      <c r="AP300" s="486">
        <f t="shared" si="277"/>
        <v>0</v>
      </c>
      <c r="AQ300" s="484">
        <f t="shared" si="294"/>
        <v>1</v>
      </c>
      <c r="AR300" s="485">
        <f>IF(AQ300&gt;0,1+COUNTIF(AR$286:AR299,"&gt;0"),0)</f>
        <v>14</v>
      </c>
      <c r="AS300" s="485" t="str">
        <f t="shared" si="295"/>
        <v/>
      </c>
      <c r="AT300" s="485" t="str">
        <f t="shared" si="278"/>
        <v>n/a</v>
      </c>
      <c r="AU300" s="486">
        <f t="shared" si="279"/>
        <v>0</v>
      </c>
      <c r="AV300" s="484">
        <f t="shared" si="296"/>
        <v>1</v>
      </c>
      <c r="AW300" s="485">
        <f>IF(AV300&gt;0,1+COUNTIF(AW$286:AW299,"&gt;0"),0)</f>
        <v>14</v>
      </c>
      <c r="AX300" s="485" t="str">
        <f t="shared" si="297"/>
        <v/>
      </c>
      <c r="AY300" s="485" t="str">
        <f t="shared" si="280"/>
        <v>n/a</v>
      </c>
      <c r="AZ300" s="486">
        <f t="shared" si="281"/>
        <v>0</v>
      </c>
      <c r="BA300" s="484">
        <f t="shared" si="298"/>
        <v>1</v>
      </c>
      <c r="BB300" s="485">
        <f>IF(BA300&gt;0,1+COUNTIF(BB$286:BB299,"&gt;0"),0)</f>
        <v>14</v>
      </c>
      <c r="BC300" s="485" t="str">
        <f t="shared" si="299"/>
        <v/>
      </c>
      <c r="BD300" s="485" t="str">
        <f t="shared" si="282"/>
        <v>n/a</v>
      </c>
      <c r="BE300" s="486">
        <f t="shared" si="283"/>
        <v>0</v>
      </c>
    </row>
    <row r="301" spans="1:57" ht="16.5" x14ac:dyDescent="0.3">
      <c r="A301" s="155">
        <f>IFERROR(IF(A300+1&lt;MAX(D041_ClassFeatures!$A$2:$A$2033),A300+1,""),"")</f>
        <v>298</v>
      </c>
      <c r="B301" s="153" t="str">
        <f>IFERROR(INDEX(D041_ClassFeatures!$B$2:$B$2033,MATCH(C_Variables!A301,D041_ClassFeatures!$A$2:$A$2033,0),1),"")</f>
        <v>Wild Magic Surge</v>
      </c>
      <c r="C301" s="153">
        <f>IF(B301="",0,IF(IFERROR(MATCH(B301,C_Input!$BC$160:$BC$239,0),0)&gt;0,1,0))</f>
        <v>0</v>
      </c>
      <c r="F301" s="179"/>
      <c r="G301" s="159"/>
      <c r="H301" s="159"/>
      <c r="I301" s="159"/>
      <c r="J301" s="159" t="str">
        <f>D03_Skills!V18</f>
        <v>Undercommon</v>
      </c>
      <c r="K301" s="159">
        <f t="shared" si="265"/>
        <v>0</v>
      </c>
      <c r="L301" s="159">
        <f t="shared" si="266"/>
        <v>1</v>
      </c>
      <c r="M301" s="159">
        <f t="shared" si="267"/>
        <v>0</v>
      </c>
      <c r="N301" s="159"/>
      <c r="O301" s="159"/>
      <c r="P301" s="159"/>
      <c r="Q301" s="159"/>
      <c r="R301" s="484">
        <f t="shared" si="284"/>
        <v>0</v>
      </c>
      <c r="S301" s="485">
        <f>IF(R301&gt;0,1+COUNTIF(S$286:S300,"&gt;0"),0)</f>
        <v>0</v>
      </c>
      <c r="T301" s="485" t="str">
        <f t="shared" si="285"/>
        <v/>
      </c>
      <c r="U301" s="485" t="str">
        <f t="shared" si="268"/>
        <v>n/a</v>
      </c>
      <c r="V301" s="486">
        <f t="shared" si="269"/>
        <v>0</v>
      </c>
      <c r="W301" s="484">
        <f t="shared" si="286"/>
        <v>0</v>
      </c>
      <c r="X301" s="485">
        <f>IF(W301&gt;0,1+COUNTIF(X$286:X300,"&gt;0"),0)</f>
        <v>0</v>
      </c>
      <c r="Y301" s="485" t="str">
        <f t="shared" si="287"/>
        <v/>
      </c>
      <c r="Z301" s="485" t="str">
        <f t="shared" si="270"/>
        <v>n/a</v>
      </c>
      <c r="AA301" s="486">
        <f t="shared" si="271"/>
        <v>0</v>
      </c>
      <c r="AB301" s="484">
        <f t="shared" si="288"/>
        <v>0</v>
      </c>
      <c r="AC301" s="485">
        <f>IF(AB301&gt;0,1+COUNTIF(AC$286:AC300,"&gt;0"),0)</f>
        <v>0</v>
      </c>
      <c r="AD301" s="485" t="str">
        <f t="shared" si="289"/>
        <v/>
      </c>
      <c r="AE301" s="485" t="str">
        <f t="shared" si="272"/>
        <v>n/a</v>
      </c>
      <c r="AF301" s="486">
        <f t="shared" si="273"/>
        <v>0</v>
      </c>
      <c r="AG301" s="484">
        <f t="shared" si="290"/>
        <v>0</v>
      </c>
      <c r="AH301" s="485">
        <f>IF(AG301&gt;0,1+COUNTIF(AH$286:AH300,"&gt;0"),0)</f>
        <v>0</v>
      </c>
      <c r="AI301" s="485" t="str">
        <f t="shared" si="291"/>
        <v/>
      </c>
      <c r="AJ301" s="485" t="str">
        <f t="shared" si="274"/>
        <v>n/a</v>
      </c>
      <c r="AK301" s="486">
        <f t="shared" si="275"/>
        <v>0</v>
      </c>
      <c r="AL301" s="484">
        <f t="shared" si="292"/>
        <v>0</v>
      </c>
      <c r="AM301" s="485">
        <f>IF(AL301&gt;0,1+COUNTIF(AM$286:AM300,"&gt;0"),0)</f>
        <v>0</v>
      </c>
      <c r="AN301" s="485" t="str">
        <f t="shared" si="293"/>
        <v/>
      </c>
      <c r="AO301" s="485" t="str">
        <f t="shared" si="276"/>
        <v>n/a</v>
      </c>
      <c r="AP301" s="486">
        <f t="shared" si="277"/>
        <v>0</v>
      </c>
      <c r="AQ301" s="484">
        <f t="shared" si="294"/>
        <v>0</v>
      </c>
      <c r="AR301" s="485">
        <f>IF(AQ301&gt;0,1+COUNTIF(AR$286:AR300,"&gt;0"),0)</f>
        <v>0</v>
      </c>
      <c r="AS301" s="485" t="str">
        <f t="shared" si="295"/>
        <v/>
      </c>
      <c r="AT301" s="485" t="str">
        <f t="shared" si="278"/>
        <v>n/a</v>
      </c>
      <c r="AU301" s="486">
        <f t="shared" si="279"/>
        <v>0</v>
      </c>
      <c r="AV301" s="484">
        <f t="shared" si="296"/>
        <v>0</v>
      </c>
      <c r="AW301" s="485">
        <f>IF(AV301&gt;0,1+COUNTIF(AW$286:AW300,"&gt;0"),0)</f>
        <v>0</v>
      </c>
      <c r="AX301" s="485" t="str">
        <f t="shared" si="297"/>
        <v/>
      </c>
      <c r="AY301" s="485" t="str">
        <f t="shared" si="280"/>
        <v>n/a</v>
      </c>
      <c r="AZ301" s="486">
        <f t="shared" si="281"/>
        <v>0</v>
      </c>
      <c r="BA301" s="484">
        <f t="shared" si="298"/>
        <v>0</v>
      </c>
      <c r="BB301" s="485">
        <f>IF(BA301&gt;0,1+COUNTIF(BB$286:BB300,"&gt;0"),0)</f>
        <v>0</v>
      </c>
      <c r="BC301" s="485" t="str">
        <f t="shared" si="299"/>
        <v/>
      </c>
      <c r="BD301" s="485" t="str">
        <f t="shared" si="282"/>
        <v>n/a</v>
      </c>
      <c r="BE301" s="486">
        <f t="shared" si="283"/>
        <v>0</v>
      </c>
    </row>
    <row r="302" spans="1:57" ht="16.5" x14ac:dyDescent="0.3">
      <c r="A302" s="155">
        <f>IFERROR(IF(A301+1&lt;MAX(D041_ClassFeatures!$A$2:$A$2033),A301+1,""),"")</f>
        <v>299</v>
      </c>
      <c r="B302" s="153" t="str">
        <f>IFERROR(INDEX(D041_ClassFeatures!$B$2:$B$2033,MATCH(C_Variables!A302,D041_ClassFeatures!$A$2:$A$2033,0),1),"")</f>
        <v>Tides of Chaos</v>
      </c>
      <c r="C302" s="153">
        <f>IF(B302="",0,IF(IFERROR(MATCH(B302,C_Input!$BC$160:$BC$239,0),0)&gt;0,1,0))</f>
        <v>0</v>
      </c>
      <c r="F302" s="179"/>
      <c r="G302" s="159"/>
      <c r="H302" s="159"/>
      <c r="I302" s="159"/>
      <c r="J302" s="159" t="str">
        <f>D03_Skills!V19</f>
        <v>Giant</v>
      </c>
      <c r="K302" s="159">
        <f t="shared" si="265"/>
        <v>0</v>
      </c>
      <c r="L302" s="159">
        <f t="shared" si="266"/>
        <v>0</v>
      </c>
      <c r="M302" s="159">
        <f t="shared" si="267"/>
        <v>0</v>
      </c>
      <c r="N302" s="159"/>
      <c r="O302" s="159"/>
      <c r="P302" s="159"/>
      <c r="Q302" s="159"/>
      <c r="R302" s="484">
        <f t="shared" si="284"/>
        <v>1</v>
      </c>
      <c r="S302" s="485">
        <f>IF(R302&gt;0,1+COUNTIF(S$286:S301,"&gt;0"),0)</f>
        <v>15</v>
      </c>
      <c r="T302" s="485" t="str">
        <f t="shared" si="285"/>
        <v/>
      </c>
      <c r="U302" s="485" t="str">
        <f t="shared" si="268"/>
        <v/>
      </c>
      <c r="V302" s="486">
        <f t="shared" si="269"/>
        <v>0</v>
      </c>
      <c r="W302" s="484">
        <f t="shared" si="286"/>
        <v>1</v>
      </c>
      <c r="X302" s="485">
        <f>IF(W302&gt;0,1+COUNTIF(X$286:X301,"&gt;0"),0)</f>
        <v>15</v>
      </c>
      <c r="Y302" s="485" t="str">
        <f t="shared" si="287"/>
        <v/>
      </c>
      <c r="Z302" s="485" t="str">
        <f t="shared" si="270"/>
        <v/>
      </c>
      <c r="AA302" s="486">
        <f t="shared" si="271"/>
        <v>0</v>
      </c>
      <c r="AB302" s="484">
        <f t="shared" si="288"/>
        <v>1</v>
      </c>
      <c r="AC302" s="485">
        <f>IF(AB302&gt;0,1+COUNTIF(AC$286:AC301,"&gt;0"),0)</f>
        <v>15</v>
      </c>
      <c r="AD302" s="485" t="str">
        <f t="shared" si="289"/>
        <v/>
      </c>
      <c r="AE302" s="485" t="str">
        <f t="shared" si="272"/>
        <v/>
      </c>
      <c r="AF302" s="486">
        <f t="shared" si="273"/>
        <v>0</v>
      </c>
      <c r="AG302" s="484">
        <f t="shared" si="290"/>
        <v>1</v>
      </c>
      <c r="AH302" s="485">
        <f>IF(AG302&gt;0,1+COUNTIF(AH$286:AH301,"&gt;0"),0)</f>
        <v>15</v>
      </c>
      <c r="AI302" s="485" t="str">
        <f t="shared" si="291"/>
        <v/>
      </c>
      <c r="AJ302" s="485" t="str">
        <f t="shared" si="274"/>
        <v/>
      </c>
      <c r="AK302" s="486">
        <f t="shared" si="275"/>
        <v>0</v>
      </c>
      <c r="AL302" s="484">
        <f t="shared" si="292"/>
        <v>1</v>
      </c>
      <c r="AM302" s="485">
        <f>IF(AL302&gt;0,1+COUNTIF(AM$286:AM301,"&gt;0"),0)</f>
        <v>15</v>
      </c>
      <c r="AN302" s="485" t="str">
        <f t="shared" si="293"/>
        <v/>
      </c>
      <c r="AO302" s="485" t="str">
        <f t="shared" si="276"/>
        <v/>
      </c>
      <c r="AP302" s="486">
        <f t="shared" si="277"/>
        <v>0</v>
      </c>
      <c r="AQ302" s="484">
        <f t="shared" si="294"/>
        <v>1</v>
      </c>
      <c r="AR302" s="485">
        <f>IF(AQ302&gt;0,1+COUNTIF(AR$286:AR301,"&gt;0"),0)</f>
        <v>15</v>
      </c>
      <c r="AS302" s="485" t="str">
        <f t="shared" si="295"/>
        <v/>
      </c>
      <c r="AT302" s="485" t="str">
        <f t="shared" si="278"/>
        <v/>
      </c>
      <c r="AU302" s="486">
        <f t="shared" si="279"/>
        <v>0</v>
      </c>
      <c r="AV302" s="484">
        <f t="shared" si="296"/>
        <v>1</v>
      </c>
      <c r="AW302" s="485">
        <f>IF(AV302&gt;0,1+COUNTIF(AW$286:AW301,"&gt;0"),0)</f>
        <v>15</v>
      </c>
      <c r="AX302" s="485" t="str">
        <f t="shared" si="297"/>
        <v/>
      </c>
      <c r="AY302" s="485" t="str">
        <f t="shared" si="280"/>
        <v/>
      </c>
      <c r="AZ302" s="486">
        <f t="shared" si="281"/>
        <v>0</v>
      </c>
      <c r="BA302" s="484">
        <f t="shared" si="298"/>
        <v>1</v>
      </c>
      <c r="BB302" s="485">
        <f>IF(BA302&gt;0,1+COUNTIF(BB$286:BB301,"&gt;0"),0)</f>
        <v>15</v>
      </c>
      <c r="BC302" s="485" t="str">
        <f t="shared" si="299"/>
        <v/>
      </c>
      <c r="BD302" s="485" t="str">
        <f t="shared" si="282"/>
        <v/>
      </c>
      <c r="BE302" s="486">
        <f t="shared" si="283"/>
        <v>0</v>
      </c>
    </row>
    <row r="303" spans="1:57" ht="16.5" x14ac:dyDescent="0.3">
      <c r="A303" s="155">
        <f>IFERROR(IF(A302+1&lt;MAX(D041_ClassFeatures!$A$2:$A$2033),A302+1,""),"")</f>
        <v>300</v>
      </c>
      <c r="B303" s="153" t="str">
        <f>IFERROR(INDEX(D041_ClassFeatures!$B$2:$B$2033,MATCH(C_Variables!A303,D041_ClassFeatures!$A$2:$A$2033,0),1),"")</f>
        <v>Bend Luck</v>
      </c>
      <c r="C303" s="153">
        <f>IF(B303="",0,IF(IFERROR(MATCH(B303,C_Input!$BC$160:$BC$239,0),0)&gt;0,1,0))</f>
        <v>0</v>
      </c>
      <c r="F303" s="179"/>
      <c r="G303" s="159"/>
      <c r="H303" s="159"/>
      <c r="I303" s="159"/>
      <c r="J303" s="159" t="str">
        <f>D03_Skills!V20</f>
        <v>Druidic</v>
      </c>
      <c r="K303" s="159">
        <f t="shared" si="265"/>
        <v>0</v>
      </c>
      <c r="L303" s="159">
        <f t="shared" si="266"/>
        <v>0</v>
      </c>
      <c r="M303" s="159">
        <f t="shared" si="267"/>
        <v>0</v>
      </c>
      <c r="N303" s="159"/>
      <c r="O303" s="159"/>
      <c r="P303" s="159"/>
      <c r="Q303" s="159"/>
      <c r="R303" s="491">
        <v>0</v>
      </c>
      <c r="S303" s="485">
        <f>IF(R303&gt;0,1+COUNTIF(S$286:S302,"&gt;0"),0)</f>
        <v>0</v>
      </c>
      <c r="T303" s="485" t="str">
        <f t="shared" si="285"/>
        <v/>
      </c>
      <c r="U303" s="485" t="str">
        <f t="shared" si="268"/>
        <v>n/a</v>
      </c>
      <c r="V303" s="486">
        <f t="shared" si="269"/>
        <v>0</v>
      </c>
      <c r="W303" s="484">
        <f t="shared" si="286"/>
        <v>0</v>
      </c>
      <c r="X303" s="485">
        <f>IF(W303&gt;0,1+COUNTIF(X$286:X302,"&gt;0"),0)</f>
        <v>0</v>
      </c>
      <c r="Y303" s="485" t="str">
        <f t="shared" si="287"/>
        <v/>
      </c>
      <c r="Z303" s="485" t="str">
        <f t="shared" si="270"/>
        <v>n/a</v>
      </c>
      <c r="AA303" s="486">
        <f t="shared" si="271"/>
        <v>0</v>
      </c>
      <c r="AB303" s="484">
        <f t="shared" si="288"/>
        <v>0</v>
      </c>
      <c r="AC303" s="485">
        <f>IF(AB303&gt;0,1+COUNTIF(AC$286:AC302,"&gt;0"),0)</f>
        <v>0</v>
      </c>
      <c r="AD303" s="485" t="str">
        <f t="shared" si="289"/>
        <v/>
      </c>
      <c r="AE303" s="485" t="str">
        <f t="shared" si="272"/>
        <v>n/a</v>
      </c>
      <c r="AF303" s="486">
        <f t="shared" si="273"/>
        <v>0</v>
      </c>
      <c r="AG303" s="484">
        <f t="shared" si="290"/>
        <v>0</v>
      </c>
      <c r="AH303" s="485">
        <f>IF(AG303&gt;0,1+COUNTIF(AH$286:AH302,"&gt;0"),0)</f>
        <v>0</v>
      </c>
      <c r="AI303" s="485" t="str">
        <f t="shared" si="291"/>
        <v/>
      </c>
      <c r="AJ303" s="485" t="str">
        <f t="shared" si="274"/>
        <v>n/a</v>
      </c>
      <c r="AK303" s="486">
        <f t="shared" si="275"/>
        <v>0</v>
      </c>
      <c r="AL303" s="484">
        <f t="shared" si="292"/>
        <v>0</v>
      </c>
      <c r="AM303" s="485">
        <f>IF(AL303&gt;0,1+COUNTIF(AM$286:AM302,"&gt;0"),0)</f>
        <v>0</v>
      </c>
      <c r="AN303" s="485" t="str">
        <f t="shared" si="293"/>
        <v/>
      </c>
      <c r="AO303" s="485" t="str">
        <f t="shared" si="276"/>
        <v>n/a</v>
      </c>
      <c r="AP303" s="486">
        <f t="shared" si="277"/>
        <v>0</v>
      </c>
      <c r="AQ303" s="484">
        <f t="shared" si="294"/>
        <v>0</v>
      </c>
      <c r="AR303" s="485">
        <f>IF(AQ303&gt;0,1+COUNTIF(AR$286:AR302,"&gt;0"),0)</f>
        <v>0</v>
      </c>
      <c r="AS303" s="485" t="str">
        <f t="shared" si="295"/>
        <v/>
      </c>
      <c r="AT303" s="485" t="str">
        <f t="shared" si="278"/>
        <v>n/a</v>
      </c>
      <c r="AU303" s="486">
        <f t="shared" si="279"/>
        <v>0</v>
      </c>
      <c r="AV303" s="484">
        <f t="shared" si="296"/>
        <v>0</v>
      </c>
      <c r="AW303" s="485">
        <f>IF(AV303&gt;0,1+COUNTIF(AW$286:AW302,"&gt;0"),0)</f>
        <v>0</v>
      </c>
      <c r="AX303" s="485" t="str">
        <f t="shared" si="297"/>
        <v/>
      </c>
      <c r="AY303" s="485" t="str">
        <f t="shared" si="280"/>
        <v>n/a</v>
      </c>
      <c r="AZ303" s="486">
        <f t="shared" si="281"/>
        <v>0</v>
      </c>
      <c r="BA303" s="484">
        <f t="shared" si="298"/>
        <v>0</v>
      </c>
      <c r="BB303" s="485">
        <f>IF(BA303&gt;0,1+COUNTIF(BB$286:BB302,"&gt;0"),0)</f>
        <v>0</v>
      </c>
      <c r="BC303" s="485" t="str">
        <f t="shared" si="299"/>
        <v/>
      </c>
      <c r="BD303" s="485" t="str">
        <f t="shared" si="282"/>
        <v>n/a</v>
      </c>
      <c r="BE303" s="486">
        <f t="shared" si="283"/>
        <v>0</v>
      </c>
    </row>
    <row r="304" spans="1:57" ht="16.5" x14ac:dyDescent="0.3">
      <c r="A304" s="155">
        <f>IFERROR(IF(A303+1&lt;MAX(D041_ClassFeatures!$A$2:$A$2033),A303+1,""),"")</f>
        <v>301</v>
      </c>
      <c r="B304" s="153" t="str">
        <f>IFERROR(INDEX(D041_ClassFeatures!$B$2:$B$2033,MATCH(C_Variables!A304,D041_ClassFeatures!$A$2:$A$2033,0),1),"")</f>
        <v>Controlled Chaos</v>
      </c>
      <c r="C304" s="153">
        <f>IF(B304="",0,IF(IFERROR(MATCH(B304,C_Input!$BC$160:$BC$239,0),0)&gt;0,1,0))</f>
        <v>0</v>
      </c>
      <c r="F304" s="179"/>
      <c r="G304" s="159"/>
      <c r="H304" s="159"/>
      <c r="I304" s="159"/>
      <c r="J304" s="159" t="str">
        <f>D03_Skills!V21</f>
        <v>Thieve's Cant</v>
      </c>
      <c r="K304" s="159">
        <f t="shared" si="265"/>
        <v>0</v>
      </c>
      <c r="L304" s="159">
        <f t="shared" si="266"/>
        <v>0</v>
      </c>
      <c r="M304" s="159">
        <f t="shared" si="267"/>
        <v>0</v>
      </c>
      <c r="N304" s="159"/>
      <c r="O304" s="159"/>
      <c r="P304" s="159"/>
      <c r="Q304" s="159"/>
      <c r="R304" s="491">
        <v>0</v>
      </c>
      <c r="S304" s="485">
        <f>IF(R304&gt;0,1+COUNTIF(S$286:S303,"&gt;0"),0)</f>
        <v>0</v>
      </c>
      <c r="T304" s="485" t="str">
        <f t="shared" si="285"/>
        <v/>
      </c>
      <c r="U304" s="485" t="str">
        <f t="shared" si="268"/>
        <v/>
      </c>
      <c r="V304" s="486">
        <f t="shared" si="269"/>
        <v>0</v>
      </c>
      <c r="W304" s="484">
        <f t="shared" si="286"/>
        <v>0</v>
      </c>
      <c r="X304" s="485">
        <f>IF(W304&gt;0,1+COUNTIF(X$286:X303,"&gt;0"),0)</f>
        <v>0</v>
      </c>
      <c r="Y304" s="485" t="str">
        <f t="shared" si="287"/>
        <v/>
      </c>
      <c r="Z304" s="485" t="str">
        <f t="shared" si="270"/>
        <v/>
      </c>
      <c r="AA304" s="486">
        <f t="shared" si="271"/>
        <v>0</v>
      </c>
      <c r="AB304" s="484">
        <f t="shared" si="288"/>
        <v>0</v>
      </c>
      <c r="AC304" s="485">
        <f>IF(AB304&gt;0,1+COUNTIF(AC$286:AC303,"&gt;0"),0)</f>
        <v>0</v>
      </c>
      <c r="AD304" s="485" t="str">
        <f t="shared" si="289"/>
        <v/>
      </c>
      <c r="AE304" s="485" t="str">
        <f t="shared" si="272"/>
        <v/>
      </c>
      <c r="AF304" s="486">
        <f t="shared" si="273"/>
        <v>0</v>
      </c>
      <c r="AG304" s="484">
        <f t="shared" si="290"/>
        <v>0</v>
      </c>
      <c r="AH304" s="485">
        <f>IF(AG304&gt;0,1+COUNTIF(AH$286:AH303,"&gt;0"),0)</f>
        <v>0</v>
      </c>
      <c r="AI304" s="485" t="str">
        <f t="shared" si="291"/>
        <v/>
      </c>
      <c r="AJ304" s="485" t="str">
        <f t="shared" si="274"/>
        <v/>
      </c>
      <c r="AK304" s="486">
        <f t="shared" si="275"/>
        <v>0</v>
      </c>
      <c r="AL304" s="484">
        <f t="shared" si="292"/>
        <v>0</v>
      </c>
      <c r="AM304" s="485">
        <f>IF(AL304&gt;0,1+COUNTIF(AM$286:AM303,"&gt;0"),0)</f>
        <v>0</v>
      </c>
      <c r="AN304" s="485" t="str">
        <f t="shared" si="293"/>
        <v/>
      </c>
      <c r="AO304" s="485" t="str">
        <f t="shared" si="276"/>
        <v/>
      </c>
      <c r="AP304" s="486">
        <f t="shared" si="277"/>
        <v>0</v>
      </c>
      <c r="AQ304" s="484">
        <f t="shared" si="294"/>
        <v>0</v>
      </c>
      <c r="AR304" s="485">
        <f>IF(AQ304&gt;0,1+COUNTIF(AR$286:AR303,"&gt;0"),0)</f>
        <v>0</v>
      </c>
      <c r="AS304" s="485" t="str">
        <f t="shared" si="295"/>
        <v/>
      </c>
      <c r="AT304" s="485" t="str">
        <f t="shared" si="278"/>
        <v/>
      </c>
      <c r="AU304" s="486">
        <f t="shared" si="279"/>
        <v>0</v>
      </c>
      <c r="AV304" s="484">
        <f t="shared" si="296"/>
        <v>0</v>
      </c>
      <c r="AW304" s="485">
        <f>IF(AV304&gt;0,1+COUNTIF(AW$286:AW303,"&gt;0"),0)</f>
        <v>0</v>
      </c>
      <c r="AX304" s="485" t="str">
        <f t="shared" si="297"/>
        <v/>
      </c>
      <c r="AY304" s="485" t="str">
        <f t="shared" si="280"/>
        <v/>
      </c>
      <c r="AZ304" s="486">
        <f t="shared" si="281"/>
        <v>0</v>
      </c>
      <c r="BA304" s="484">
        <f t="shared" si="298"/>
        <v>0</v>
      </c>
      <c r="BB304" s="485">
        <f>IF(BA304&gt;0,1+COUNTIF(BB$286:BB303,"&gt;0"),0)</f>
        <v>0</v>
      </c>
      <c r="BC304" s="485" t="str">
        <f t="shared" si="299"/>
        <v/>
      </c>
      <c r="BD304" s="485" t="str">
        <f t="shared" si="282"/>
        <v/>
      </c>
      <c r="BE304" s="486">
        <f t="shared" si="283"/>
        <v>0</v>
      </c>
    </row>
    <row r="305" spans="1:129" ht="16.5" x14ac:dyDescent="0.3">
      <c r="A305" s="155">
        <f>IFERROR(IF(A304+1&lt;MAX(D041_ClassFeatures!$A$2:$A$2033),A304+1,""),"")</f>
        <v>302</v>
      </c>
      <c r="B305" s="153" t="str">
        <f>IFERROR(INDEX(D041_ClassFeatures!$B$2:$B$2033,MATCH(C_Variables!A305,D041_ClassFeatures!$A$2:$A$2033,0),1),"")</f>
        <v>Spell Bombardment</v>
      </c>
      <c r="C305" s="153">
        <f>IF(B305="",0,IF(IFERROR(MATCH(B305,C_Input!$BC$160:$BC$239,0),0)&gt;0,1,0))</f>
        <v>0</v>
      </c>
      <c r="F305" s="179"/>
      <c r="G305" s="159"/>
      <c r="H305" s="159"/>
      <c r="I305" s="159"/>
      <c r="J305" s="159">
        <f>D03_Skills!V22</f>
        <v>0</v>
      </c>
      <c r="K305" s="159">
        <f t="shared" si="265"/>
        <v>0</v>
      </c>
      <c r="L305" s="159">
        <f t="shared" si="266"/>
        <v>0</v>
      </c>
      <c r="M305" s="159">
        <f t="shared" si="267"/>
        <v>0</v>
      </c>
      <c r="N305" s="159"/>
      <c r="O305" s="159"/>
      <c r="P305" s="159"/>
      <c r="Q305" s="159"/>
      <c r="R305" s="484">
        <f t="shared" si="284"/>
        <v>1</v>
      </c>
      <c r="S305" s="485">
        <f>IF(R305&gt;0,1+COUNTIF(S$286:S304,"&gt;0"),0)</f>
        <v>16</v>
      </c>
      <c r="T305" s="485" t="str">
        <f t="shared" si="285"/>
        <v/>
      </c>
      <c r="U305" s="485" t="str">
        <f t="shared" si="268"/>
        <v/>
      </c>
      <c r="V305" s="486">
        <f t="shared" si="269"/>
        <v>1</v>
      </c>
      <c r="W305" s="484">
        <f t="shared" si="286"/>
        <v>0</v>
      </c>
      <c r="X305" s="485">
        <f>IF(W305&gt;0,1+COUNTIF(X$286:X304,"&gt;0"),0)</f>
        <v>0</v>
      </c>
      <c r="Y305" s="485" t="str">
        <f t="shared" si="287"/>
        <v/>
      </c>
      <c r="Z305" s="485" t="str">
        <f t="shared" si="270"/>
        <v/>
      </c>
      <c r="AA305" s="486">
        <f t="shared" si="271"/>
        <v>1</v>
      </c>
      <c r="AB305" s="484">
        <f t="shared" si="288"/>
        <v>0</v>
      </c>
      <c r="AC305" s="485">
        <f>IF(AB305&gt;0,1+COUNTIF(AC$286:AC304,"&gt;0"),0)</f>
        <v>0</v>
      </c>
      <c r="AD305" s="485" t="str">
        <f t="shared" si="289"/>
        <v/>
      </c>
      <c r="AE305" s="485" t="str">
        <f t="shared" si="272"/>
        <v/>
      </c>
      <c r="AF305" s="486">
        <f t="shared" si="273"/>
        <v>1</v>
      </c>
      <c r="AG305" s="484">
        <f t="shared" si="290"/>
        <v>0</v>
      </c>
      <c r="AH305" s="485">
        <f>IF(AG305&gt;0,1+COUNTIF(AH$286:AH304,"&gt;0"),0)</f>
        <v>0</v>
      </c>
      <c r="AI305" s="485" t="str">
        <f t="shared" si="291"/>
        <v/>
      </c>
      <c r="AJ305" s="485" t="str">
        <f t="shared" si="274"/>
        <v/>
      </c>
      <c r="AK305" s="486">
        <f t="shared" si="275"/>
        <v>1</v>
      </c>
      <c r="AL305" s="484">
        <f t="shared" si="292"/>
        <v>0</v>
      </c>
      <c r="AM305" s="485">
        <f>IF(AL305&gt;0,1+COUNTIF(AM$286:AM304,"&gt;0"),0)</f>
        <v>0</v>
      </c>
      <c r="AN305" s="485" t="str">
        <f t="shared" si="293"/>
        <v/>
      </c>
      <c r="AO305" s="485" t="str">
        <f t="shared" si="276"/>
        <v/>
      </c>
      <c r="AP305" s="486">
        <f t="shared" si="277"/>
        <v>1</v>
      </c>
      <c r="AQ305" s="484">
        <f t="shared" si="294"/>
        <v>0</v>
      </c>
      <c r="AR305" s="485">
        <f>IF(AQ305&gt;0,1+COUNTIF(AR$286:AR304,"&gt;0"),0)</f>
        <v>0</v>
      </c>
      <c r="AS305" s="485" t="str">
        <f t="shared" si="295"/>
        <v/>
      </c>
      <c r="AT305" s="485" t="str">
        <f t="shared" si="278"/>
        <v/>
      </c>
      <c r="AU305" s="486">
        <f t="shared" si="279"/>
        <v>1</v>
      </c>
      <c r="AV305" s="484">
        <f t="shared" si="296"/>
        <v>0</v>
      </c>
      <c r="AW305" s="485">
        <f>IF(AV305&gt;0,1+COUNTIF(AW$286:AW304,"&gt;0"),0)</f>
        <v>0</v>
      </c>
      <c r="AX305" s="485" t="str">
        <f t="shared" si="297"/>
        <v/>
      </c>
      <c r="AY305" s="485" t="str">
        <f t="shared" si="280"/>
        <v/>
      </c>
      <c r="AZ305" s="486">
        <f t="shared" si="281"/>
        <v>1</v>
      </c>
      <c r="BA305" s="484">
        <f t="shared" si="298"/>
        <v>0</v>
      </c>
      <c r="BB305" s="485">
        <f>IF(BA305&gt;0,1+COUNTIF(BB$286:BB304,"&gt;0"),0)</f>
        <v>0</v>
      </c>
      <c r="BC305" s="485" t="str">
        <f t="shared" si="299"/>
        <v/>
      </c>
      <c r="BD305" s="485" t="str">
        <f t="shared" si="282"/>
        <v/>
      </c>
      <c r="BE305" s="486">
        <f t="shared" si="283"/>
        <v>1</v>
      </c>
    </row>
    <row r="306" spans="1:129" ht="16.5" x14ac:dyDescent="0.3">
      <c r="A306" s="155">
        <f>IFERROR(IF(A305+1&lt;MAX(D041_ClassFeatures!$A$2:$A$2033),A305+1,""),"")</f>
        <v>303</v>
      </c>
      <c r="B306" s="153" t="str">
        <f>IFERROR(INDEX(D041_ClassFeatures!$B$2:$B$2033,MATCH(C_Variables!A306,D041_ClassFeatures!$A$2:$A$2033,0),1),"")</f>
        <v>Abjuration Savant</v>
      </c>
      <c r="C306" s="153">
        <f>IF(B306="",0,IF(IFERROR(MATCH(B306,C_Input!$BC$160:$BC$239,0),0)&gt;0,1,0))</f>
        <v>0</v>
      </c>
      <c r="F306" s="179"/>
      <c r="G306" s="159"/>
      <c r="H306" s="159"/>
      <c r="I306" s="159"/>
      <c r="J306" s="159">
        <f>D03_Skills!V23</f>
        <v>0</v>
      </c>
      <c r="K306" s="159">
        <f t="shared" si="265"/>
        <v>0</v>
      </c>
      <c r="L306" s="159">
        <f t="shared" si="266"/>
        <v>0</v>
      </c>
      <c r="M306" s="159">
        <f t="shared" si="267"/>
        <v>0</v>
      </c>
      <c r="N306" s="159"/>
      <c r="O306" s="159"/>
      <c r="P306" s="159"/>
      <c r="Q306" s="159"/>
      <c r="R306" s="484">
        <f t="shared" si="284"/>
        <v>1</v>
      </c>
      <c r="S306" s="485">
        <f>IF(R306&gt;0,1+COUNTIF(S$286:S305,"&gt;0"),0)</f>
        <v>17</v>
      </c>
      <c r="T306" s="485" t="str">
        <f t="shared" si="285"/>
        <v/>
      </c>
      <c r="U306" s="485" t="str">
        <f t="shared" si="268"/>
        <v>n/a</v>
      </c>
      <c r="V306" s="486">
        <f t="shared" si="269"/>
        <v>1</v>
      </c>
      <c r="W306" s="484">
        <f t="shared" si="286"/>
        <v>0</v>
      </c>
      <c r="X306" s="485">
        <f>IF(W306&gt;0,1+COUNTIF(X$286:X305,"&gt;0"),0)</f>
        <v>0</v>
      </c>
      <c r="Y306" s="485" t="str">
        <f t="shared" si="287"/>
        <v/>
      </c>
      <c r="Z306" s="485" t="str">
        <f t="shared" si="270"/>
        <v/>
      </c>
      <c r="AA306" s="486">
        <f t="shared" si="271"/>
        <v>1</v>
      </c>
      <c r="AB306" s="484">
        <f t="shared" si="288"/>
        <v>0</v>
      </c>
      <c r="AC306" s="485">
        <f>IF(AB306&gt;0,1+COUNTIF(AC$286:AC305,"&gt;0"),0)</f>
        <v>0</v>
      </c>
      <c r="AD306" s="485" t="str">
        <f t="shared" si="289"/>
        <v/>
      </c>
      <c r="AE306" s="485" t="str">
        <f t="shared" si="272"/>
        <v/>
      </c>
      <c r="AF306" s="486">
        <f t="shared" si="273"/>
        <v>1</v>
      </c>
      <c r="AG306" s="484">
        <f t="shared" si="290"/>
        <v>0</v>
      </c>
      <c r="AH306" s="485">
        <f>IF(AG306&gt;0,1+COUNTIF(AH$286:AH305,"&gt;0"),0)</f>
        <v>0</v>
      </c>
      <c r="AI306" s="485" t="str">
        <f t="shared" si="291"/>
        <v/>
      </c>
      <c r="AJ306" s="485" t="str">
        <f t="shared" si="274"/>
        <v/>
      </c>
      <c r="AK306" s="486">
        <f t="shared" si="275"/>
        <v>1</v>
      </c>
      <c r="AL306" s="484">
        <f t="shared" si="292"/>
        <v>0</v>
      </c>
      <c r="AM306" s="485">
        <f>IF(AL306&gt;0,1+COUNTIF(AM$286:AM305,"&gt;0"),0)</f>
        <v>0</v>
      </c>
      <c r="AN306" s="485" t="str">
        <f t="shared" si="293"/>
        <v/>
      </c>
      <c r="AO306" s="485" t="str">
        <f t="shared" si="276"/>
        <v/>
      </c>
      <c r="AP306" s="486">
        <f t="shared" si="277"/>
        <v>1</v>
      </c>
      <c r="AQ306" s="484">
        <f t="shared" si="294"/>
        <v>0</v>
      </c>
      <c r="AR306" s="485">
        <f>IF(AQ306&gt;0,1+COUNTIF(AR$286:AR305,"&gt;0"),0)</f>
        <v>0</v>
      </c>
      <c r="AS306" s="485" t="str">
        <f t="shared" si="295"/>
        <v/>
      </c>
      <c r="AT306" s="485" t="str">
        <f t="shared" si="278"/>
        <v/>
      </c>
      <c r="AU306" s="486">
        <f t="shared" si="279"/>
        <v>1</v>
      </c>
      <c r="AV306" s="484">
        <f t="shared" si="296"/>
        <v>0</v>
      </c>
      <c r="AW306" s="485">
        <f>IF(AV306&gt;0,1+COUNTIF(AW$286:AW305,"&gt;0"),0)</f>
        <v>0</v>
      </c>
      <c r="AX306" s="485" t="str">
        <f t="shared" si="297"/>
        <v/>
      </c>
      <c r="AY306" s="485" t="str">
        <f t="shared" si="280"/>
        <v/>
      </c>
      <c r="AZ306" s="486">
        <f t="shared" si="281"/>
        <v>1</v>
      </c>
      <c r="BA306" s="484">
        <f t="shared" si="298"/>
        <v>0</v>
      </c>
      <c r="BB306" s="485">
        <f>IF(BA306&gt;0,1+COUNTIF(BB$286:BB305,"&gt;0"),0)</f>
        <v>0</v>
      </c>
      <c r="BC306" s="485" t="str">
        <f t="shared" si="299"/>
        <v/>
      </c>
      <c r="BD306" s="485" t="str">
        <f t="shared" si="282"/>
        <v/>
      </c>
      <c r="BE306" s="486">
        <f t="shared" si="283"/>
        <v>1</v>
      </c>
    </row>
    <row r="307" spans="1:129" ht="16.5" x14ac:dyDescent="0.3">
      <c r="A307" s="155">
        <f>IFERROR(IF(A306+1&lt;MAX(D041_ClassFeatures!$A$2:$A$2033),A306+1,""),"")</f>
        <v>304</v>
      </c>
      <c r="B307" s="153" t="str">
        <f>IFERROR(INDEX(D041_ClassFeatures!$B$2:$B$2033,MATCH(C_Variables!A307,D041_ClassFeatures!$A$2:$A$2033,0),1),"")</f>
        <v>Arcane Ward</v>
      </c>
      <c r="C307" s="153">
        <f>IF(B307="",0,IF(IFERROR(MATCH(B307,C_Input!$BC$160:$BC$239,0),0)&gt;0,1,0))</f>
        <v>0</v>
      </c>
      <c r="F307" s="179"/>
      <c r="G307" s="159"/>
      <c r="H307" s="159"/>
      <c r="I307" s="159"/>
      <c r="J307" s="159">
        <f>D03_Skills!V24</f>
        <v>0</v>
      </c>
      <c r="K307" s="159">
        <f t="shared" si="265"/>
        <v>0</v>
      </c>
      <c r="L307" s="159">
        <f t="shared" si="266"/>
        <v>0</v>
      </c>
      <c r="M307" s="159">
        <f t="shared" si="267"/>
        <v>0</v>
      </c>
      <c r="N307" s="159"/>
      <c r="O307" s="159"/>
      <c r="P307" s="159"/>
      <c r="Q307" s="159"/>
      <c r="R307" s="484">
        <f t="shared" si="284"/>
        <v>1</v>
      </c>
      <c r="S307" s="485">
        <f>IF(R307&gt;0,1+COUNTIF(S$286:S306,"&gt;0"),0)</f>
        <v>18</v>
      </c>
      <c r="T307" s="485" t="str">
        <f t="shared" si="285"/>
        <v/>
      </c>
      <c r="U307" s="485" t="str">
        <f t="shared" si="268"/>
        <v>n/a</v>
      </c>
      <c r="V307" s="486">
        <f t="shared" si="269"/>
        <v>1</v>
      </c>
      <c r="W307" s="484">
        <f t="shared" si="286"/>
        <v>0</v>
      </c>
      <c r="X307" s="485">
        <f>IF(W307&gt;0,1+COUNTIF(X$286:X306,"&gt;0"),0)</f>
        <v>0</v>
      </c>
      <c r="Y307" s="485" t="str">
        <f t="shared" si="287"/>
        <v/>
      </c>
      <c r="Z307" s="485" t="str">
        <f t="shared" si="270"/>
        <v/>
      </c>
      <c r="AA307" s="486">
        <f t="shared" si="271"/>
        <v>1</v>
      </c>
      <c r="AB307" s="484">
        <f t="shared" si="288"/>
        <v>0</v>
      </c>
      <c r="AC307" s="485">
        <f>IF(AB307&gt;0,1+COUNTIF(AC$286:AC306,"&gt;0"),0)</f>
        <v>0</v>
      </c>
      <c r="AD307" s="485" t="str">
        <f t="shared" si="289"/>
        <v/>
      </c>
      <c r="AE307" s="485" t="str">
        <f t="shared" si="272"/>
        <v/>
      </c>
      <c r="AF307" s="486">
        <f t="shared" si="273"/>
        <v>1</v>
      </c>
      <c r="AG307" s="484">
        <f t="shared" si="290"/>
        <v>0</v>
      </c>
      <c r="AH307" s="485">
        <f>IF(AG307&gt;0,1+COUNTIF(AH$286:AH306,"&gt;0"),0)</f>
        <v>0</v>
      </c>
      <c r="AI307" s="485" t="str">
        <f t="shared" si="291"/>
        <v/>
      </c>
      <c r="AJ307" s="485" t="str">
        <f t="shared" si="274"/>
        <v/>
      </c>
      <c r="AK307" s="486">
        <f t="shared" si="275"/>
        <v>1</v>
      </c>
      <c r="AL307" s="484">
        <f t="shared" si="292"/>
        <v>0</v>
      </c>
      <c r="AM307" s="485">
        <f>IF(AL307&gt;0,1+COUNTIF(AM$286:AM306,"&gt;0"),0)</f>
        <v>0</v>
      </c>
      <c r="AN307" s="485" t="str">
        <f t="shared" si="293"/>
        <v/>
      </c>
      <c r="AO307" s="485" t="str">
        <f t="shared" si="276"/>
        <v/>
      </c>
      <c r="AP307" s="486">
        <f t="shared" si="277"/>
        <v>1</v>
      </c>
      <c r="AQ307" s="484">
        <f t="shared" si="294"/>
        <v>0</v>
      </c>
      <c r="AR307" s="485">
        <f>IF(AQ307&gt;0,1+COUNTIF(AR$286:AR306,"&gt;0"),0)</f>
        <v>0</v>
      </c>
      <c r="AS307" s="485" t="str">
        <f t="shared" si="295"/>
        <v/>
      </c>
      <c r="AT307" s="485" t="str">
        <f t="shared" si="278"/>
        <v/>
      </c>
      <c r="AU307" s="486">
        <f t="shared" si="279"/>
        <v>1</v>
      </c>
      <c r="AV307" s="484">
        <f t="shared" si="296"/>
        <v>0</v>
      </c>
      <c r="AW307" s="485">
        <f>IF(AV307&gt;0,1+COUNTIF(AW$286:AW306,"&gt;0"),0)</f>
        <v>0</v>
      </c>
      <c r="AX307" s="485" t="str">
        <f t="shared" si="297"/>
        <v/>
      </c>
      <c r="AY307" s="485" t="str">
        <f t="shared" si="280"/>
        <v/>
      </c>
      <c r="AZ307" s="486">
        <f t="shared" si="281"/>
        <v>1</v>
      </c>
      <c r="BA307" s="484">
        <f t="shared" si="298"/>
        <v>0</v>
      </c>
      <c r="BB307" s="485">
        <f>IF(BA307&gt;0,1+COUNTIF(BB$286:BB306,"&gt;0"),0)</f>
        <v>0</v>
      </c>
      <c r="BC307" s="485" t="str">
        <f t="shared" si="299"/>
        <v/>
      </c>
      <c r="BD307" s="485" t="str">
        <f t="shared" si="282"/>
        <v/>
      </c>
      <c r="BE307" s="486">
        <f t="shared" si="283"/>
        <v>1</v>
      </c>
    </row>
    <row r="308" spans="1:129" ht="16.5" x14ac:dyDescent="0.3">
      <c r="A308" s="155">
        <f>IFERROR(IF(A307+1&lt;MAX(D041_ClassFeatures!$A$2:$A$2033),A307+1,""),"")</f>
        <v>305</v>
      </c>
      <c r="B308" s="153" t="str">
        <f>IFERROR(INDEX(D041_ClassFeatures!$B$2:$B$2033,MATCH(C_Variables!A308,D041_ClassFeatures!$A$2:$A$2033,0),1),"")</f>
        <v>Projected Ward</v>
      </c>
      <c r="C308" s="153">
        <f>IF(B308="",0,IF(IFERROR(MATCH(B308,C_Input!$BC$160:$BC$239,0),0)&gt;0,1,0))</f>
        <v>0</v>
      </c>
      <c r="F308" s="179"/>
      <c r="G308" s="159"/>
      <c r="H308" s="159"/>
      <c r="I308" s="159"/>
      <c r="J308" s="159">
        <f>D03_Skills!V25</f>
        <v>0</v>
      </c>
      <c r="K308" s="159">
        <f t="shared" si="265"/>
        <v>0</v>
      </c>
      <c r="L308" s="159">
        <f t="shared" si="266"/>
        <v>0</v>
      </c>
      <c r="M308" s="159">
        <f t="shared" si="267"/>
        <v>0</v>
      </c>
      <c r="N308" s="159"/>
      <c r="O308" s="159"/>
      <c r="P308" s="159"/>
      <c r="Q308" s="159"/>
      <c r="R308" s="484">
        <f t="shared" si="284"/>
        <v>1</v>
      </c>
      <c r="S308" s="485">
        <f>IF(R308&gt;0,1+COUNTIF(S$286:S307,"&gt;0"),0)</f>
        <v>19</v>
      </c>
      <c r="T308" s="485" t="str">
        <f t="shared" si="285"/>
        <v/>
      </c>
      <c r="U308" s="485" t="str">
        <f t="shared" si="268"/>
        <v>n/a</v>
      </c>
      <c r="V308" s="486">
        <f t="shared" si="269"/>
        <v>1</v>
      </c>
      <c r="W308" s="484">
        <f t="shared" si="286"/>
        <v>0</v>
      </c>
      <c r="X308" s="485">
        <f>IF(W308&gt;0,1+COUNTIF(X$286:X307,"&gt;0"),0)</f>
        <v>0</v>
      </c>
      <c r="Y308" s="485" t="str">
        <f t="shared" si="287"/>
        <v/>
      </c>
      <c r="Z308" s="485" t="str">
        <f t="shared" si="270"/>
        <v/>
      </c>
      <c r="AA308" s="486">
        <f t="shared" si="271"/>
        <v>1</v>
      </c>
      <c r="AB308" s="484">
        <f t="shared" si="288"/>
        <v>0</v>
      </c>
      <c r="AC308" s="485">
        <f>IF(AB308&gt;0,1+COUNTIF(AC$286:AC307,"&gt;0"),0)</f>
        <v>0</v>
      </c>
      <c r="AD308" s="485" t="str">
        <f t="shared" si="289"/>
        <v/>
      </c>
      <c r="AE308" s="485" t="str">
        <f t="shared" si="272"/>
        <v/>
      </c>
      <c r="AF308" s="486">
        <f t="shared" si="273"/>
        <v>1</v>
      </c>
      <c r="AG308" s="484">
        <f t="shared" si="290"/>
        <v>0</v>
      </c>
      <c r="AH308" s="485">
        <f>IF(AG308&gt;0,1+COUNTIF(AH$286:AH307,"&gt;0"),0)</f>
        <v>0</v>
      </c>
      <c r="AI308" s="485" t="str">
        <f t="shared" si="291"/>
        <v/>
      </c>
      <c r="AJ308" s="485" t="str">
        <f t="shared" si="274"/>
        <v/>
      </c>
      <c r="AK308" s="486">
        <f t="shared" si="275"/>
        <v>1</v>
      </c>
      <c r="AL308" s="484">
        <f t="shared" si="292"/>
        <v>0</v>
      </c>
      <c r="AM308" s="485">
        <f>IF(AL308&gt;0,1+COUNTIF(AM$286:AM307,"&gt;0"),0)</f>
        <v>0</v>
      </c>
      <c r="AN308" s="485" t="str">
        <f t="shared" si="293"/>
        <v/>
      </c>
      <c r="AO308" s="485" t="str">
        <f t="shared" si="276"/>
        <v/>
      </c>
      <c r="AP308" s="486">
        <f t="shared" si="277"/>
        <v>1</v>
      </c>
      <c r="AQ308" s="484">
        <f t="shared" si="294"/>
        <v>0</v>
      </c>
      <c r="AR308" s="485">
        <f>IF(AQ308&gt;0,1+COUNTIF(AR$286:AR307,"&gt;0"),0)</f>
        <v>0</v>
      </c>
      <c r="AS308" s="485" t="str">
        <f t="shared" si="295"/>
        <v/>
      </c>
      <c r="AT308" s="485" t="str">
        <f t="shared" si="278"/>
        <v/>
      </c>
      <c r="AU308" s="486">
        <f t="shared" si="279"/>
        <v>1</v>
      </c>
      <c r="AV308" s="484">
        <f t="shared" si="296"/>
        <v>0</v>
      </c>
      <c r="AW308" s="485">
        <f>IF(AV308&gt;0,1+COUNTIF(AW$286:AW307,"&gt;0"),0)</f>
        <v>0</v>
      </c>
      <c r="AX308" s="485" t="str">
        <f t="shared" si="297"/>
        <v/>
      </c>
      <c r="AY308" s="485" t="str">
        <f t="shared" si="280"/>
        <v/>
      </c>
      <c r="AZ308" s="486">
        <f t="shared" si="281"/>
        <v>1</v>
      </c>
      <c r="BA308" s="484">
        <f t="shared" si="298"/>
        <v>0</v>
      </c>
      <c r="BB308" s="485">
        <f>IF(BA308&gt;0,1+COUNTIF(BB$286:BB307,"&gt;0"),0)</f>
        <v>0</v>
      </c>
      <c r="BC308" s="485" t="str">
        <f t="shared" si="299"/>
        <v/>
      </c>
      <c r="BD308" s="485" t="str">
        <f t="shared" si="282"/>
        <v/>
      </c>
      <c r="BE308" s="486">
        <f t="shared" si="283"/>
        <v>1</v>
      </c>
    </row>
    <row r="309" spans="1:129" ht="16.5" x14ac:dyDescent="0.3">
      <c r="A309" s="155">
        <f>IFERROR(IF(A308+1&lt;MAX(D041_ClassFeatures!$A$2:$A$2033),A308+1,""),"")</f>
        <v>306</v>
      </c>
      <c r="B309" s="153" t="str">
        <f>IFERROR(INDEX(D041_ClassFeatures!$B$2:$B$2033,MATCH(C_Variables!A309,D041_ClassFeatures!$A$2:$A$2033,0),1),"")</f>
        <v>Improved Abjuration</v>
      </c>
      <c r="C309" s="153">
        <f>IF(B309="",0,IF(IFERROR(MATCH(B309,C_Input!$BC$160:$BC$239,0),0)&gt;0,1,0))</f>
        <v>0</v>
      </c>
      <c r="F309" s="179"/>
      <c r="G309" s="159"/>
      <c r="H309" s="159"/>
      <c r="I309" s="159"/>
      <c r="J309" s="159">
        <f>D03_Skills!V26</f>
        <v>0</v>
      </c>
      <c r="K309" s="159">
        <f t="shared" si="265"/>
        <v>0</v>
      </c>
      <c r="L309" s="159">
        <f t="shared" si="266"/>
        <v>0</v>
      </c>
      <c r="M309" s="159">
        <f t="shared" si="267"/>
        <v>0</v>
      </c>
      <c r="N309" s="159"/>
      <c r="O309" s="159"/>
      <c r="P309" s="159"/>
      <c r="Q309" s="159"/>
      <c r="R309" s="484">
        <f t="shared" si="284"/>
        <v>1</v>
      </c>
      <c r="S309" s="485">
        <f>IF(R309&gt;0,1+COUNTIF(S$286:S308,"&gt;0"),0)</f>
        <v>20</v>
      </c>
      <c r="T309" s="485" t="str">
        <f t="shared" si="285"/>
        <v/>
      </c>
      <c r="U309" s="485" t="str">
        <f t="shared" si="268"/>
        <v>n/a</v>
      </c>
      <c r="V309" s="486">
        <f t="shared" si="269"/>
        <v>1</v>
      </c>
      <c r="W309" s="484">
        <f t="shared" si="286"/>
        <v>0</v>
      </c>
      <c r="X309" s="485">
        <f>IF(W309&gt;0,1+COUNTIF(X$286:X308,"&gt;0"),0)</f>
        <v>0</v>
      </c>
      <c r="Y309" s="485" t="str">
        <f t="shared" si="287"/>
        <v/>
      </c>
      <c r="Z309" s="485" t="str">
        <f t="shared" si="270"/>
        <v/>
      </c>
      <c r="AA309" s="486">
        <f t="shared" si="271"/>
        <v>1</v>
      </c>
      <c r="AB309" s="484">
        <f t="shared" si="288"/>
        <v>0</v>
      </c>
      <c r="AC309" s="485">
        <f>IF(AB309&gt;0,1+COUNTIF(AC$286:AC308,"&gt;0"),0)</f>
        <v>0</v>
      </c>
      <c r="AD309" s="485" t="str">
        <f t="shared" si="289"/>
        <v/>
      </c>
      <c r="AE309" s="485" t="str">
        <f t="shared" si="272"/>
        <v/>
      </c>
      <c r="AF309" s="486">
        <f t="shared" si="273"/>
        <v>1</v>
      </c>
      <c r="AG309" s="484">
        <f t="shared" si="290"/>
        <v>0</v>
      </c>
      <c r="AH309" s="485">
        <f>IF(AG309&gt;0,1+COUNTIF(AH$286:AH308,"&gt;0"),0)</f>
        <v>0</v>
      </c>
      <c r="AI309" s="485" t="str">
        <f t="shared" si="291"/>
        <v/>
      </c>
      <c r="AJ309" s="485" t="str">
        <f t="shared" si="274"/>
        <v/>
      </c>
      <c r="AK309" s="486">
        <f t="shared" si="275"/>
        <v>1</v>
      </c>
      <c r="AL309" s="484">
        <f t="shared" si="292"/>
        <v>0</v>
      </c>
      <c r="AM309" s="485">
        <f>IF(AL309&gt;0,1+COUNTIF(AM$286:AM308,"&gt;0"),0)</f>
        <v>0</v>
      </c>
      <c r="AN309" s="485" t="str">
        <f t="shared" si="293"/>
        <v/>
      </c>
      <c r="AO309" s="485" t="str">
        <f t="shared" si="276"/>
        <v/>
      </c>
      <c r="AP309" s="486">
        <f t="shared" si="277"/>
        <v>1</v>
      </c>
      <c r="AQ309" s="484">
        <f t="shared" si="294"/>
        <v>0</v>
      </c>
      <c r="AR309" s="485">
        <f>IF(AQ309&gt;0,1+COUNTIF(AR$286:AR308,"&gt;0"),0)</f>
        <v>0</v>
      </c>
      <c r="AS309" s="485" t="str">
        <f t="shared" si="295"/>
        <v/>
      </c>
      <c r="AT309" s="485" t="str">
        <f t="shared" si="278"/>
        <v/>
      </c>
      <c r="AU309" s="486">
        <f t="shared" si="279"/>
        <v>1</v>
      </c>
      <c r="AV309" s="484">
        <f t="shared" si="296"/>
        <v>0</v>
      </c>
      <c r="AW309" s="485">
        <f>IF(AV309&gt;0,1+COUNTIF(AW$286:AW308,"&gt;0"),0)</f>
        <v>0</v>
      </c>
      <c r="AX309" s="485" t="str">
        <f t="shared" si="297"/>
        <v/>
      </c>
      <c r="AY309" s="485" t="str">
        <f t="shared" si="280"/>
        <v/>
      </c>
      <c r="AZ309" s="486">
        <f t="shared" si="281"/>
        <v>1</v>
      </c>
      <c r="BA309" s="484">
        <f t="shared" si="298"/>
        <v>0</v>
      </c>
      <c r="BB309" s="485">
        <f>IF(BA309&gt;0,1+COUNTIF(BB$286:BB308,"&gt;0"),0)</f>
        <v>0</v>
      </c>
      <c r="BC309" s="485" t="str">
        <f t="shared" si="299"/>
        <v/>
      </c>
      <c r="BD309" s="485" t="str">
        <f t="shared" si="282"/>
        <v/>
      </c>
      <c r="BE309" s="486">
        <f t="shared" si="283"/>
        <v>1</v>
      </c>
    </row>
    <row r="310" spans="1:129" ht="16.5" x14ac:dyDescent="0.3">
      <c r="A310" s="155">
        <f>IFERROR(IF(A309+1&lt;MAX(D041_ClassFeatures!$A$2:$A$2033),A309+1,""),"")</f>
        <v>307</v>
      </c>
      <c r="B310" s="153" t="str">
        <f>IFERROR(INDEX(D041_ClassFeatures!$B$2:$B$2033,MATCH(C_Variables!A310,D041_ClassFeatures!$A$2:$A$2033,0),1),"")</f>
        <v>Spell Resistance</v>
      </c>
      <c r="C310" s="153">
        <f>IF(B310="",0,IF(IFERROR(MATCH(B310,C_Input!$BC$160:$BC$239,0),0)&gt;0,1,0))</f>
        <v>0</v>
      </c>
      <c r="F310" s="179"/>
      <c r="G310" s="159"/>
      <c r="H310" s="159"/>
      <c r="I310" s="159"/>
      <c r="J310" s="159">
        <f>D03_Skills!V27</f>
        <v>0</v>
      </c>
      <c r="K310" s="159">
        <f t="shared" si="265"/>
        <v>0</v>
      </c>
      <c r="L310" s="159">
        <f t="shared" si="266"/>
        <v>0</v>
      </c>
      <c r="M310" s="159">
        <f t="shared" si="267"/>
        <v>0</v>
      </c>
      <c r="N310" s="159"/>
      <c r="O310" s="159"/>
      <c r="P310" s="159"/>
      <c r="Q310" s="159"/>
      <c r="R310" s="484">
        <f t="shared" si="284"/>
        <v>1</v>
      </c>
      <c r="S310" s="485">
        <f>IF(R310&gt;0,1+COUNTIF(S$286:S309,"&gt;0"),0)</f>
        <v>21</v>
      </c>
      <c r="T310" s="485" t="str">
        <f t="shared" si="285"/>
        <v/>
      </c>
      <c r="U310" s="485" t="str">
        <f t="shared" si="268"/>
        <v>n/a</v>
      </c>
      <c r="V310" s="486">
        <f t="shared" si="269"/>
        <v>1</v>
      </c>
      <c r="W310" s="484">
        <f t="shared" si="286"/>
        <v>0</v>
      </c>
      <c r="X310" s="485">
        <f>IF(W310&gt;0,1+COUNTIF(X$286:X309,"&gt;0"),0)</f>
        <v>0</v>
      </c>
      <c r="Y310" s="485" t="str">
        <f t="shared" si="287"/>
        <v/>
      </c>
      <c r="Z310" s="485" t="str">
        <f t="shared" si="270"/>
        <v/>
      </c>
      <c r="AA310" s="486">
        <f t="shared" si="271"/>
        <v>1</v>
      </c>
      <c r="AB310" s="484">
        <f t="shared" si="288"/>
        <v>0</v>
      </c>
      <c r="AC310" s="485">
        <f>IF(AB310&gt;0,1+COUNTIF(AC$286:AC309,"&gt;0"),0)</f>
        <v>0</v>
      </c>
      <c r="AD310" s="485" t="str">
        <f t="shared" si="289"/>
        <v/>
      </c>
      <c r="AE310" s="485" t="str">
        <f t="shared" si="272"/>
        <v/>
      </c>
      <c r="AF310" s="486">
        <f t="shared" si="273"/>
        <v>1</v>
      </c>
      <c r="AG310" s="484">
        <f t="shared" si="290"/>
        <v>0</v>
      </c>
      <c r="AH310" s="485">
        <f>IF(AG310&gt;0,1+COUNTIF(AH$286:AH309,"&gt;0"),0)</f>
        <v>0</v>
      </c>
      <c r="AI310" s="485" t="str">
        <f t="shared" si="291"/>
        <v/>
      </c>
      <c r="AJ310" s="485" t="str">
        <f t="shared" si="274"/>
        <v/>
      </c>
      <c r="AK310" s="486">
        <f t="shared" si="275"/>
        <v>1</v>
      </c>
      <c r="AL310" s="484">
        <f t="shared" si="292"/>
        <v>0</v>
      </c>
      <c r="AM310" s="485">
        <f>IF(AL310&gt;0,1+COUNTIF(AM$286:AM309,"&gt;0"),0)</f>
        <v>0</v>
      </c>
      <c r="AN310" s="485" t="str">
        <f t="shared" si="293"/>
        <v/>
      </c>
      <c r="AO310" s="485" t="str">
        <f t="shared" si="276"/>
        <v/>
      </c>
      <c r="AP310" s="486">
        <f t="shared" si="277"/>
        <v>1</v>
      </c>
      <c r="AQ310" s="484">
        <f t="shared" si="294"/>
        <v>0</v>
      </c>
      <c r="AR310" s="485">
        <f>IF(AQ310&gt;0,1+COUNTIF(AR$286:AR309,"&gt;0"),0)</f>
        <v>0</v>
      </c>
      <c r="AS310" s="485" t="str">
        <f t="shared" si="295"/>
        <v/>
      </c>
      <c r="AT310" s="485" t="str">
        <f t="shared" si="278"/>
        <v/>
      </c>
      <c r="AU310" s="486">
        <f t="shared" si="279"/>
        <v>1</v>
      </c>
      <c r="AV310" s="484">
        <f t="shared" si="296"/>
        <v>0</v>
      </c>
      <c r="AW310" s="485">
        <f>IF(AV310&gt;0,1+COUNTIF(AW$286:AW309,"&gt;0"),0)</f>
        <v>0</v>
      </c>
      <c r="AX310" s="485" t="str">
        <f t="shared" si="297"/>
        <v/>
      </c>
      <c r="AY310" s="485" t="str">
        <f t="shared" si="280"/>
        <v/>
      </c>
      <c r="AZ310" s="486">
        <f t="shared" si="281"/>
        <v>1</v>
      </c>
      <c r="BA310" s="484">
        <f t="shared" si="298"/>
        <v>0</v>
      </c>
      <c r="BB310" s="485">
        <f>IF(BA310&gt;0,1+COUNTIF(BB$286:BB309,"&gt;0"),0)</f>
        <v>0</v>
      </c>
      <c r="BC310" s="485" t="str">
        <f t="shared" si="299"/>
        <v/>
      </c>
      <c r="BD310" s="485" t="str">
        <f t="shared" si="282"/>
        <v/>
      </c>
      <c r="BE310" s="486">
        <f t="shared" si="283"/>
        <v>1</v>
      </c>
    </row>
    <row r="311" spans="1:129" ht="17.25" thickBot="1" x14ac:dyDescent="0.35">
      <c r="A311" s="155">
        <f>IFERROR(IF(A310+1&lt;MAX(D041_ClassFeatures!$A$2:$A$2033),A310+1,""),"")</f>
        <v>308</v>
      </c>
      <c r="B311" s="153" t="str">
        <f>IFERROR(INDEX(D041_ClassFeatures!$B$2:$B$2033,MATCH(C_Variables!A311,D041_ClassFeatures!$A$2:$A$2033,0),1),"")</f>
        <v xml:space="preserve">Conjuration Savant </v>
      </c>
      <c r="C311" s="153">
        <f>IF(B311="",0,IF(IFERROR(MATCH(B311,C_Input!$BC$160:$BC$239,0),0)&gt;0,1,0))</f>
        <v>0</v>
      </c>
      <c r="F311" s="181"/>
      <c r="G311" s="182"/>
      <c r="H311" s="182"/>
      <c r="I311" s="182"/>
      <c r="J311" s="182">
        <f>D03_Skills!V28</f>
        <v>0</v>
      </c>
      <c r="K311" s="182">
        <f t="shared" si="265"/>
        <v>0</v>
      </c>
      <c r="L311" s="182">
        <f t="shared" si="266"/>
        <v>0</v>
      </c>
      <c r="M311" s="182">
        <f t="shared" si="267"/>
        <v>0</v>
      </c>
      <c r="N311" s="182"/>
      <c r="O311" s="182"/>
      <c r="P311" s="182"/>
      <c r="Q311" s="182"/>
      <c r="R311" s="487">
        <f t="shared" si="284"/>
        <v>1</v>
      </c>
      <c r="S311" s="488">
        <f>IF(R311&gt;0,1+COUNTIF(S$286:S310,"&gt;0"),0)</f>
        <v>22</v>
      </c>
      <c r="T311" s="488" t="str">
        <f t="shared" si="285"/>
        <v/>
      </c>
      <c r="U311" s="488" t="str">
        <f t="shared" si="268"/>
        <v>n/a</v>
      </c>
      <c r="V311" s="489">
        <f t="shared" si="269"/>
        <v>1</v>
      </c>
      <c r="W311" s="487">
        <f t="shared" si="286"/>
        <v>0</v>
      </c>
      <c r="X311" s="488">
        <f>IF(W311&gt;0,1+COUNTIF(X$286:X310,"&gt;0"),0)</f>
        <v>0</v>
      </c>
      <c r="Y311" s="488" t="str">
        <f t="shared" si="287"/>
        <v/>
      </c>
      <c r="Z311" s="488" t="str">
        <f t="shared" si="270"/>
        <v/>
      </c>
      <c r="AA311" s="489">
        <f t="shared" si="271"/>
        <v>1</v>
      </c>
      <c r="AB311" s="487">
        <f t="shared" si="288"/>
        <v>0</v>
      </c>
      <c r="AC311" s="488">
        <f>IF(AB311&gt;0,1+COUNTIF(AC$286:AC310,"&gt;0"),0)</f>
        <v>0</v>
      </c>
      <c r="AD311" s="488" t="str">
        <f t="shared" si="289"/>
        <v/>
      </c>
      <c r="AE311" s="488" t="str">
        <f t="shared" si="272"/>
        <v/>
      </c>
      <c r="AF311" s="489">
        <f t="shared" si="273"/>
        <v>1</v>
      </c>
      <c r="AG311" s="487">
        <f t="shared" si="290"/>
        <v>0</v>
      </c>
      <c r="AH311" s="488">
        <f>IF(AG311&gt;0,1+COUNTIF(AH$286:AH310,"&gt;0"),0)</f>
        <v>0</v>
      </c>
      <c r="AI311" s="488" t="str">
        <f t="shared" si="291"/>
        <v/>
      </c>
      <c r="AJ311" s="488" t="str">
        <f t="shared" si="274"/>
        <v/>
      </c>
      <c r="AK311" s="489">
        <f t="shared" si="275"/>
        <v>1</v>
      </c>
      <c r="AL311" s="487">
        <f t="shared" si="292"/>
        <v>0</v>
      </c>
      <c r="AM311" s="488">
        <f>IF(AL311&gt;0,1+COUNTIF(AM$286:AM310,"&gt;0"),0)</f>
        <v>0</v>
      </c>
      <c r="AN311" s="488" t="str">
        <f t="shared" si="293"/>
        <v/>
      </c>
      <c r="AO311" s="488" t="str">
        <f t="shared" si="276"/>
        <v/>
      </c>
      <c r="AP311" s="489">
        <f t="shared" si="277"/>
        <v>1</v>
      </c>
      <c r="AQ311" s="487">
        <f t="shared" si="294"/>
        <v>0</v>
      </c>
      <c r="AR311" s="488">
        <f>IF(AQ311&gt;0,1+COUNTIF(AR$286:AR310,"&gt;0"),0)</f>
        <v>0</v>
      </c>
      <c r="AS311" s="488" t="str">
        <f t="shared" si="295"/>
        <v/>
      </c>
      <c r="AT311" s="488" t="str">
        <f t="shared" si="278"/>
        <v/>
      </c>
      <c r="AU311" s="489">
        <f t="shared" si="279"/>
        <v>1</v>
      </c>
      <c r="AV311" s="487">
        <f t="shared" si="296"/>
        <v>0</v>
      </c>
      <c r="AW311" s="488">
        <f>IF(AV311&gt;0,1+COUNTIF(AW$286:AW310,"&gt;0"),0)</f>
        <v>0</v>
      </c>
      <c r="AX311" s="488" t="str">
        <f t="shared" si="297"/>
        <v/>
      </c>
      <c r="AY311" s="488" t="str">
        <f t="shared" si="280"/>
        <v/>
      </c>
      <c r="AZ311" s="489">
        <f t="shared" si="281"/>
        <v>1</v>
      </c>
      <c r="BA311" s="487">
        <f t="shared" si="298"/>
        <v>0</v>
      </c>
      <c r="BB311" s="488">
        <f>IF(BA311&gt;0,1+COUNTIF(BB$286:BB310,"&gt;0"),0)</f>
        <v>0</v>
      </c>
      <c r="BC311" s="488" t="str">
        <f t="shared" si="299"/>
        <v/>
      </c>
      <c r="BD311" s="488" t="str">
        <f t="shared" si="282"/>
        <v/>
      </c>
      <c r="BE311" s="489">
        <f t="shared" si="283"/>
        <v>1</v>
      </c>
    </row>
    <row r="312" spans="1:129" ht="17.25" thickBot="1" x14ac:dyDescent="0.35">
      <c r="A312" s="155">
        <f>IFERROR(IF(A311+1&lt;MAX(D041_ClassFeatures!$A$2:$A$2033),A311+1,""),"")</f>
        <v>309</v>
      </c>
      <c r="B312" s="153" t="str">
        <f>IFERROR(INDEX(D041_ClassFeatures!$B$2:$B$2033,MATCH(C_Variables!A312,D041_ClassFeatures!$A$2:$A$2033,0),1),"")</f>
        <v>Minor Conjuration</v>
      </c>
      <c r="C312" s="153">
        <f>IF(B312="",0,IF(IFERROR(MATCH(B312,C_Input!$BC$160:$BC$239,0),0)&gt;0,1,0))</f>
        <v>0</v>
      </c>
      <c r="E312" s="501"/>
      <c r="F312" s="501"/>
      <c r="G312" s="501"/>
      <c r="H312" s="501"/>
      <c r="I312" s="501"/>
      <c r="J312" s="501"/>
      <c r="K312" s="501"/>
      <c r="L312" s="501"/>
      <c r="M312" s="501"/>
      <c r="N312" s="501"/>
      <c r="O312" s="501"/>
      <c r="P312" s="501"/>
      <c r="Q312" s="501"/>
      <c r="R312" s="501"/>
      <c r="S312" s="501"/>
      <c r="T312" s="501"/>
      <c r="U312" s="501"/>
      <c r="V312" s="501"/>
      <c r="W312" s="501"/>
      <c r="X312" s="501"/>
      <c r="Y312" s="501"/>
      <c r="Z312" s="501"/>
      <c r="AA312" s="501"/>
      <c r="AB312" s="501"/>
      <c r="AC312" s="501"/>
      <c r="AD312" s="501"/>
      <c r="AE312" s="501"/>
      <c r="AF312" s="501"/>
      <c r="AG312" s="501"/>
      <c r="AH312" s="501"/>
      <c r="AI312" s="501"/>
      <c r="AJ312" s="501"/>
      <c r="AK312" s="501"/>
      <c r="AL312" s="501"/>
      <c r="AM312" s="501"/>
      <c r="AN312" s="501"/>
      <c r="AO312" s="501"/>
      <c r="AP312" s="501"/>
      <c r="AQ312" s="501"/>
      <c r="AR312" s="501"/>
      <c r="AS312" s="501"/>
      <c r="AT312" s="501"/>
      <c r="AU312" s="501"/>
      <c r="AV312" s="501"/>
      <c r="AW312" s="501"/>
      <c r="AX312" s="501"/>
      <c r="AY312" s="501"/>
      <c r="AZ312" s="501"/>
      <c r="BA312" s="501"/>
      <c r="BB312" s="501"/>
      <c r="BC312" s="501"/>
      <c r="BD312" s="501"/>
      <c r="BE312" s="501"/>
      <c r="BF312" s="501"/>
      <c r="BG312" s="501"/>
      <c r="BH312" s="501"/>
      <c r="BI312" s="501"/>
      <c r="BJ312" s="501"/>
      <c r="BK312" s="501"/>
      <c r="BL312" s="501"/>
      <c r="BM312" s="501"/>
      <c r="BN312" s="501"/>
      <c r="BO312" s="501"/>
      <c r="BP312" s="501"/>
      <c r="BQ312" s="501"/>
      <c r="BR312" s="501"/>
      <c r="BS312" s="501"/>
      <c r="BT312" s="501"/>
      <c r="BU312" s="501"/>
      <c r="BV312" s="501"/>
      <c r="BW312" s="501"/>
      <c r="BX312" s="501"/>
      <c r="BY312" s="501"/>
      <c r="BZ312" s="501"/>
      <c r="CA312" s="501"/>
      <c r="CB312" s="501"/>
      <c r="CC312" s="501"/>
      <c r="CD312" s="501"/>
      <c r="CE312" s="501"/>
      <c r="CF312" s="501"/>
      <c r="CG312" s="501"/>
      <c r="CH312" s="501"/>
      <c r="CI312" s="501"/>
      <c r="CJ312" s="501"/>
      <c r="CK312" s="501"/>
      <c r="CL312" s="501"/>
      <c r="CM312" s="501"/>
      <c r="CN312" s="501"/>
      <c r="CO312" s="501"/>
      <c r="CP312" s="501"/>
      <c r="CQ312" s="501"/>
      <c r="CR312" s="501"/>
      <c r="CS312" s="501"/>
      <c r="CT312" s="501"/>
      <c r="CU312" s="501"/>
      <c r="CV312" s="501"/>
      <c r="CW312" s="501"/>
      <c r="CX312" s="501"/>
      <c r="CY312" s="501"/>
      <c r="CZ312" s="501"/>
      <c r="DA312" s="501"/>
      <c r="DB312" s="501"/>
      <c r="DC312" s="501"/>
      <c r="DD312" s="501"/>
      <c r="DE312" s="501"/>
      <c r="DF312" s="501"/>
      <c r="DG312" s="501"/>
      <c r="DH312" s="501"/>
      <c r="DI312" s="501"/>
      <c r="DJ312" s="501"/>
      <c r="DK312" s="501"/>
      <c r="DL312" s="501"/>
      <c r="DM312" s="501"/>
      <c r="DN312" s="501"/>
      <c r="DO312" s="501"/>
      <c r="DP312" s="501"/>
      <c r="DQ312" s="501"/>
      <c r="DR312" s="501"/>
      <c r="DS312" s="501"/>
      <c r="DT312" s="501"/>
      <c r="DU312" s="501"/>
      <c r="DV312" s="501"/>
      <c r="DW312" s="501"/>
      <c r="DX312" s="501"/>
      <c r="DY312" s="501"/>
    </row>
    <row r="313" spans="1:129" ht="17.25" thickBot="1" x14ac:dyDescent="0.35">
      <c r="A313" s="155">
        <f>IFERROR(IF(A312+1&lt;MAX(D041_ClassFeatures!$A$2:$A$2033),A312+1,""),"")</f>
        <v>310</v>
      </c>
      <c r="B313" s="153" t="str">
        <f>IFERROR(INDEX(D041_ClassFeatures!$B$2:$B$2033,MATCH(C_Variables!A313,D041_ClassFeatures!$A$2:$A$2033,0),1),"")</f>
        <v>Benign Transposition</v>
      </c>
      <c r="C313" s="153">
        <f>IF(B313="",0,IF(IFERROR(MATCH(B313,C_Input!$BC$160:$BC$239,0),0)&gt;0,1,0))</f>
        <v>0</v>
      </c>
      <c r="E313" s="501"/>
      <c r="F313" s="501"/>
      <c r="G313" t="s">
        <v>6910</v>
      </c>
      <c r="H313" t="str">
        <f>INDEX(D01_Races!BA2:BA101,SelectedRaceID,1)</f>
        <v/>
      </c>
      <c r="I313" s="987">
        <v>1</v>
      </c>
      <c r="J313" s="988"/>
      <c r="K313" s="988" t="str">
        <f>"Tools"&amp;I313</f>
        <v>Tools1</v>
      </c>
      <c r="L313" s="988"/>
      <c r="M313" s="988"/>
      <c r="N313" s="493" t="str">
        <f>IFERROR(INDEX($AE$360:$AE$379,MATCH(I313,$AD$360:$AD$379,0),1),"")</f>
        <v>Gaming set</v>
      </c>
      <c r="O313" s="987">
        <f>I313+1</f>
        <v>2</v>
      </c>
      <c r="P313" s="988"/>
      <c r="Q313" s="988" t="str">
        <f>"Tools"&amp;O313</f>
        <v>Tools2</v>
      </c>
      <c r="R313" s="988"/>
      <c r="S313" s="988"/>
      <c r="T313" s="493" t="str">
        <f>IFERROR(INDEX($AE$360:$AE$379,MATCH(O313,$AD$360:$AD$379,0),1),"")</f>
        <v>Artisan's Tools</v>
      </c>
      <c r="U313" s="987">
        <f>O313+1</f>
        <v>3</v>
      </c>
      <c r="V313" s="988"/>
      <c r="W313" s="988" t="str">
        <f>"Tools"&amp;U313</f>
        <v>Tools3</v>
      </c>
      <c r="X313" s="988"/>
      <c r="Y313" s="988"/>
      <c r="Z313" s="493" t="str">
        <f>IFERROR(INDEX($AE$360:$AE$379,MATCH(U313,$AD$360:$AD$379,0),1),"")</f>
        <v>Artisan's Tools</v>
      </c>
      <c r="AA313" s="987">
        <f>U313+1</f>
        <v>4</v>
      </c>
      <c r="AB313" s="988"/>
      <c r="AC313" s="988" t="str">
        <f>"Tools"&amp;AA313</f>
        <v>Tools4</v>
      </c>
      <c r="AD313" s="988"/>
      <c r="AE313" s="988"/>
      <c r="AF313" s="493" t="str">
        <f>IFERROR(INDEX($AE$360:$AE$379,MATCH(AA313,$AD$360:$AD$379,0),1),"")</f>
        <v>Artisan's Tools</v>
      </c>
      <c r="AG313" s="987">
        <f>AA313+1</f>
        <v>5</v>
      </c>
      <c r="AH313" s="988"/>
      <c r="AI313" s="988" t="str">
        <f>"Tools"&amp;AG313</f>
        <v>Tools5</v>
      </c>
      <c r="AJ313" s="988"/>
      <c r="AK313" s="988"/>
      <c r="AL313" s="493" t="str">
        <f>IFERROR(INDEX($AE$360:$AE$379,MATCH(AG313,$AD$360:$AD$379,0),1),"")</f>
        <v>Gaming set</v>
      </c>
      <c r="AM313" s="987">
        <f>AG313+1</f>
        <v>6</v>
      </c>
      <c r="AN313" s="988"/>
      <c r="AO313" s="988" t="str">
        <f>"Tools"&amp;AM313</f>
        <v>Tools6</v>
      </c>
      <c r="AP313" s="988"/>
      <c r="AQ313" s="988"/>
      <c r="AR313" s="493" t="str">
        <f>IFERROR(INDEX($AE$360:$AE$379,MATCH(AM313,$AD$360:$AD$379,0),1),"")</f>
        <v>Navigator’s tools</v>
      </c>
      <c r="AS313" s="987">
        <f>AM313+1</f>
        <v>7</v>
      </c>
      <c r="AT313" s="988"/>
      <c r="AU313" s="988" t="str">
        <f>"Tools"&amp;AS313</f>
        <v>Tools7</v>
      </c>
      <c r="AV313" s="988"/>
      <c r="AW313" s="988"/>
      <c r="AX313" s="493" t="str">
        <f>IFERROR(INDEX($AE$360:$AE$379,MATCH(AS313,$AD$360:$AD$379,0),1),"")</f>
        <v>Poisoner’s kit</v>
      </c>
      <c r="AY313" s="987">
        <f>AS313+1</f>
        <v>8</v>
      </c>
      <c r="AZ313" s="988"/>
      <c r="BA313" s="988" t="str">
        <f>"Tools"&amp;AY313</f>
        <v>Tools8</v>
      </c>
      <c r="BB313" s="988"/>
      <c r="BC313" s="988"/>
      <c r="BD313" s="493" t="str">
        <f>IFERROR(INDEX($AE$360:$AE$379,MATCH(AY313,$AD$360:$AD$379,0),1),"")</f>
        <v>Artisan's Tools</v>
      </c>
      <c r="BE313" s="987">
        <f>AY313+1</f>
        <v>9</v>
      </c>
      <c r="BF313" s="988"/>
      <c r="BG313" s="988" t="str">
        <f>"Tools"&amp;BE313</f>
        <v>Tools9</v>
      </c>
      <c r="BH313" s="988"/>
      <c r="BI313" s="988"/>
      <c r="BJ313" s="493" t="str">
        <f>IFERROR(INDEX($AE$360:$AE$379,MATCH(BE313,$AD$360:$AD$379,0),1),"")</f>
        <v>Artisan's Tools</v>
      </c>
      <c r="BK313" s="987">
        <f>BE313+1</f>
        <v>10</v>
      </c>
      <c r="BL313" s="988"/>
      <c r="BM313" s="988" t="str">
        <f>"Tools"&amp;BK313</f>
        <v>Tools10</v>
      </c>
      <c r="BN313" s="988"/>
      <c r="BO313" s="988"/>
      <c r="BP313" s="493" t="str">
        <f>IFERROR(INDEX($AE$360:$AE$379,MATCH(BK313,$AD$360:$AD$379,0),1),"")</f>
        <v>Artisan's Tools</v>
      </c>
      <c r="BQ313" s="987">
        <f>BK313+1</f>
        <v>11</v>
      </c>
      <c r="BR313" s="988"/>
      <c r="BS313" s="988" t="str">
        <f>"Tools"&amp;BQ313</f>
        <v>Tools11</v>
      </c>
      <c r="BT313" s="988"/>
      <c r="BU313" s="988"/>
      <c r="BV313" s="493" t="str">
        <f>IFERROR(INDEX($AE$360:$AE$379,MATCH(BQ313,$AD$360:$AD$379,0),1),"")</f>
        <v>Artisan's Tools</v>
      </c>
      <c r="BW313" s="987">
        <f>BQ313+1</f>
        <v>12</v>
      </c>
      <c r="BX313" s="988"/>
      <c r="BY313" s="988" t="str">
        <f>"Tools"&amp;BW313</f>
        <v>Tools12</v>
      </c>
      <c r="BZ313" s="988"/>
      <c r="CA313" s="988"/>
      <c r="CB313" s="493" t="str">
        <f>IFERROR(INDEX($AE$360:$AE$379,MATCH(BW313,$AD$360:$AD$379,0),1),"")</f>
        <v>Artisan's Tools</v>
      </c>
      <c r="CC313" s="987">
        <f>BW313+1</f>
        <v>13</v>
      </c>
      <c r="CD313" s="988"/>
      <c r="CE313" s="988" t="str">
        <f>"Tools"&amp;CC313</f>
        <v>Tools13</v>
      </c>
      <c r="CF313" s="988"/>
      <c r="CG313" s="988"/>
      <c r="CH313" s="493" t="str">
        <f>IFERROR(INDEX($AE$360:$AE$379,MATCH(CC313,$AD$360:$AD$379,0),1),"")</f>
        <v/>
      </c>
      <c r="CI313" s="987">
        <f>CC313+1</f>
        <v>14</v>
      </c>
      <c r="CJ313" s="988"/>
      <c r="CK313" s="988" t="str">
        <f>"Tools"&amp;CI313</f>
        <v>Tools14</v>
      </c>
      <c r="CL313" s="988"/>
      <c r="CM313" s="988"/>
      <c r="CN313" s="493" t="str">
        <f>IFERROR(INDEX($AE$360:$AE$379,MATCH(CI313,$AD$360:$AD$379,0),1),"")</f>
        <v/>
      </c>
      <c r="CO313" s="987">
        <f>CI313+1</f>
        <v>15</v>
      </c>
      <c r="CP313" s="988"/>
      <c r="CQ313" s="988" t="str">
        <f>"Tools"&amp;CO313</f>
        <v>Tools15</v>
      </c>
      <c r="CR313" s="988"/>
      <c r="CS313" s="988"/>
      <c r="CT313" s="493" t="str">
        <f>IFERROR(INDEX($AE$360:$AE$379,MATCH(CO313,$AD$360:$AD$379,0),1),"")</f>
        <v/>
      </c>
      <c r="CU313" s="987">
        <f>CO313+1</f>
        <v>16</v>
      </c>
      <c r="CV313" s="988"/>
      <c r="CW313" s="988" t="str">
        <f>"Tools"&amp;CU313</f>
        <v>Tools16</v>
      </c>
      <c r="CX313" s="988"/>
      <c r="CY313" s="988"/>
      <c r="CZ313" s="493" t="str">
        <f>IFERROR(INDEX($AE$360:$AE$379,MATCH(CU313,$AD$360:$AD$379,0),1),"")</f>
        <v/>
      </c>
      <c r="DA313" s="987">
        <f>CU313+1</f>
        <v>17</v>
      </c>
      <c r="DB313" s="988"/>
      <c r="DC313" s="988" t="str">
        <f>"Tools"&amp;DA313</f>
        <v>Tools17</v>
      </c>
      <c r="DD313" s="988"/>
      <c r="DE313" s="988"/>
      <c r="DF313" s="493" t="str">
        <f>IFERROR(INDEX($AE$360:$AE$379,MATCH(DA313,$AD$360:$AD$379,0),1),"")</f>
        <v/>
      </c>
      <c r="DG313" s="987">
        <f>DA313+1</f>
        <v>18</v>
      </c>
      <c r="DH313" s="988"/>
      <c r="DI313" s="988" t="str">
        <f>"Tools"&amp;DG313</f>
        <v>Tools18</v>
      </c>
      <c r="DJ313" s="988"/>
      <c r="DK313" s="988"/>
      <c r="DL313" s="493" t="str">
        <f>IFERROR(INDEX($AE$360:$AE$379,MATCH(DG313,$AD$360:$AD$379,0),1),"")</f>
        <v/>
      </c>
      <c r="DM313" s="987">
        <f>DG313+1</f>
        <v>19</v>
      </c>
      <c r="DN313" s="988"/>
      <c r="DO313" s="988" t="str">
        <f>"Tools"&amp;DM313</f>
        <v>Tools19</v>
      </c>
      <c r="DP313" s="988"/>
      <c r="DQ313" s="988"/>
      <c r="DR313" s="493" t="str">
        <f>IFERROR(INDEX($AE$360:$AE$379,MATCH(DM313,$AD$360:$AD$379,0),1),"")</f>
        <v/>
      </c>
      <c r="DS313" s="987">
        <f>DM313+1</f>
        <v>20</v>
      </c>
      <c r="DT313" s="988"/>
      <c r="DU313" s="988" t="str">
        <f>"Tools"&amp;DS313</f>
        <v>Tools20</v>
      </c>
      <c r="DV313" s="988"/>
      <c r="DW313" s="988"/>
      <c r="DX313" s="493" t="str">
        <f>IFERROR(INDEX($AE$360:$AE$379,MATCH(DS313,$AD$360:$AD$379,0),1),"")</f>
        <v/>
      </c>
      <c r="DY313" s="501"/>
    </row>
    <row r="314" spans="1:129" ht="16.5" x14ac:dyDescent="0.3">
      <c r="A314" s="155">
        <f>IFERROR(IF(A313+1&lt;MAX(D041_ClassFeatures!$A$2:$A$2033),A313+1,""),"")</f>
        <v>311</v>
      </c>
      <c r="B314" s="153" t="str">
        <f>IFERROR(INDEX(D041_ClassFeatures!$B$2:$B$2033,MATCH(C_Variables!A314,D041_ClassFeatures!$A$2:$A$2033,0),1),"")</f>
        <v>Focused Conjuration</v>
      </c>
      <c r="C314" s="153">
        <f>IF(B314="",0,IF(IFERROR(MATCH(B314,C_Input!$BC$160:$BC$239,0),0)&gt;0,1,0))</f>
        <v>0</v>
      </c>
      <c r="E314" s="501"/>
      <c r="F314" s="501"/>
      <c r="G314" t="s">
        <v>6911</v>
      </c>
      <c r="H314" t="str">
        <f>INDEX(D02_Background!J2:J101,SelectedBackgroundId,1)</f>
        <v>Gaming set</v>
      </c>
      <c r="I314" s="494">
        <f>INDEX(D03_Skills!$AA$3:$BU$41,MATCH(C_Variables!$G320,D03_Skills!$Z$3:$Z$41,0),MATCH(C_Variables!N$313,D03_Skills!$AA$2:$BU$2,0))</f>
        <v>0</v>
      </c>
      <c r="J314" s="495">
        <f>I314</f>
        <v>0</v>
      </c>
      <c r="K314" s="495">
        <f>IF(J$314=0,0,1)</f>
        <v>0</v>
      </c>
      <c r="L314" s="495">
        <v>1</v>
      </c>
      <c r="M314" s="495" t="str">
        <f t="shared" ref="M314:M352" si="300">IF(ToolsProficiencyNumber&lt;I313,"n/a",IFERROR(INDEX($G$320:$G$358,MATCH(L314,K$314:K$355,0),1),""))</f>
        <v>n/a</v>
      </c>
      <c r="N314" s="496">
        <f t="shared" ref="N314:N352" si="301">IF(Tools1=$G320,1,0)</f>
        <v>0</v>
      </c>
      <c r="O314" s="494">
        <f>INDEX(D03_Skills!$AA$3:$BU$41,MATCH(C_Variables!$G320,D03_Skills!$Z$3:$Z$41,0),MATCH(C_Variables!T$313,D03_Skills!$AA$2:$BU$2,0))</f>
        <v>1</v>
      </c>
      <c r="P314" s="495">
        <f>IF(O314-N314&gt;0,1,0)</f>
        <v>1</v>
      </c>
      <c r="Q314" s="495">
        <f>IF(P$314=0,0,1)</f>
        <v>1</v>
      </c>
      <c r="R314" s="495">
        <v>1</v>
      </c>
      <c r="S314" s="495" t="str">
        <f t="shared" ref="S314:S352" si="302">IF(ToolsProficiencyNumber&lt;O313,"n/a",IFERROR(INDEX($G$320:$G$358,MATCH(R314,Q$314:Q$355,0),1),""))</f>
        <v>n/a</v>
      </c>
      <c r="T314" s="496">
        <f t="shared" ref="T314:T352" si="303">IF(Tools2=$G320,1,0)</f>
        <v>0</v>
      </c>
      <c r="U314" s="494">
        <f>INDEX(D03_Skills!$AA$3:$BU$41,MATCH(C_Variables!$G320,D03_Skills!$Z$3:$Z$41,0),MATCH(C_Variables!Z$313,D03_Skills!$AA$2:$BU$2,0))</f>
        <v>1</v>
      </c>
      <c r="V314" s="495">
        <f>IF(U314-T314-N314&gt;0,1,0)</f>
        <v>1</v>
      </c>
      <c r="W314" s="495">
        <f>IF(V$314=0,0,1)</f>
        <v>1</v>
      </c>
      <c r="X314" s="495">
        <v>1</v>
      </c>
      <c r="Y314" s="495" t="str">
        <f t="shared" ref="Y314:Y352" si="304">IF(ToolsProficiencyNumber&lt;U313,"n/a",IFERROR(INDEX($G$320:$G$358,MATCH(X314,W$314:W$355,0),1),""))</f>
        <v>n/a</v>
      </c>
      <c r="Z314" s="496">
        <f t="shared" ref="Z314:Z352" si="305">IF(Tools3=$G320,1,0)</f>
        <v>0</v>
      </c>
      <c r="AA314" s="494">
        <f>INDEX(D03_Skills!$AA$3:$BU$41,MATCH(C_Variables!$G320,D03_Skills!$Z$3:$Z$41,0),MATCH(C_Variables!AF$313,D03_Skills!$AA$2:$BU$2,0))</f>
        <v>1</v>
      </c>
      <c r="AB314" s="495">
        <f>IF(AA314-Z314-T314-N314&gt;0,1,0)</f>
        <v>1</v>
      </c>
      <c r="AC314" s="495">
        <f>IF(AB$314=0,0,1)</f>
        <v>1</v>
      </c>
      <c r="AD314" s="495">
        <v>1</v>
      </c>
      <c r="AE314" s="495" t="str">
        <f t="shared" ref="AE314:AE352" si="306">IF(ToolsProficiencyNumber&lt;AA313,"n/a",IFERROR(INDEX($G$320:$G$358,MATCH(AD314,AC$314:AC$355,0),1),""))</f>
        <v>n/a</v>
      </c>
      <c r="AF314" s="496">
        <f t="shared" ref="AF314:AF352" si="307">IF(Tools2=$G320,1,0)</f>
        <v>0</v>
      </c>
      <c r="AG314" s="494">
        <f>INDEX(D03_Skills!$AA$3:$BU$41,MATCH(C_Variables!$G320,D03_Skills!$Z$3:$Z$41,0),MATCH(C_Variables!AL$313,D03_Skills!$AA$2:$BU$2,0))</f>
        <v>0</v>
      </c>
      <c r="AH314" s="495">
        <f>IF(AG314-AF314-Z314-T314-N314&gt;0,1,0)</f>
        <v>0</v>
      </c>
      <c r="AI314" s="495">
        <f>IF(AH$314=0,0,1)</f>
        <v>0</v>
      </c>
      <c r="AJ314" s="495">
        <v>1</v>
      </c>
      <c r="AK314" s="495" t="str">
        <f t="shared" ref="AK314:AK352" si="308">IF(ToolsProficiencyNumber&lt;AG313,"n/a",IFERROR(INDEX($G$320:$G$358,MATCH(AJ314,AI$314:AI$355,0),1),""))</f>
        <v>n/a</v>
      </c>
      <c r="AL314" s="496">
        <f t="shared" ref="AL314:AL352" si="309">IF(Tools2=$G320,1,0)</f>
        <v>0</v>
      </c>
      <c r="AM314" s="494">
        <f>INDEX(D03_Skills!$AA$3:$BU$41,MATCH(C_Variables!$G320,D03_Skills!$Z$3:$Z$41,0),MATCH(C_Variables!AR$313,D03_Skills!$AA$2:$BU$2,0))</f>
        <v>0</v>
      </c>
      <c r="AN314" s="495">
        <f>IF(AM314-AL314-AF314-Z314-T314-N314&gt;0,1,0)</f>
        <v>0</v>
      </c>
      <c r="AO314" s="495">
        <f>IF(AN$314=0,0,1)</f>
        <v>0</v>
      </c>
      <c r="AP314" s="495">
        <v>1</v>
      </c>
      <c r="AQ314" s="495" t="str">
        <f t="shared" ref="AQ314:AQ352" si="310">IF(ToolsProficiencyNumber&lt;AM313,"n/a",IFERROR(INDEX($G$320:$G$358,MATCH(AP314,AO$314:AO$355,0),1),""))</f>
        <v>n/a</v>
      </c>
      <c r="AR314" s="496">
        <f t="shared" ref="AR314:AR352" si="311">IF(Tools2=$G320,1,0)</f>
        <v>0</v>
      </c>
      <c r="AS314" s="494">
        <f>INDEX(D03_Skills!$AA$3:$BU$41,MATCH(C_Variables!$G320,D03_Skills!$Z$3:$Z$41,0),MATCH(C_Variables!AX$313,D03_Skills!$AA$2:$BU$2,0))</f>
        <v>0</v>
      </c>
      <c r="AT314" s="495">
        <f>IF(AS314-AR314-AL314-AF314-Z314-T314&gt;0,1,0)</f>
        <v>0</v>
      </c>
      <c r="AU314" s="495">
        <f>IF(AT$314=0,0,1)</f>
        <v>0</v>
      </c>
      <c r="AV314" s="495">
        <v>1</v>
      </c>
      <c r="AW314" s="495" t="str">
        <f t="shared" ref="AW314:AW352" si="312">IF(ToolsProficiencyNumber&lt;AS313,"n/a",IFERROR(INDEX($G$320:$G$358,MATCH(AV314,AU$314:AU$355,0),1),""))</f>
        <v>n/a</v>
      </c>
      <c r="AX314" s="496">
        <f t="shared" ref="AX314:AX352" si="313">IF(Tools2=$G320,1,0)</f>
        <v>0</v>
      </c>
      <c r="AY314" s="494">
        <f>INDEX(D03_Skills!$AA$3:$BU$41,MATCH(C_Variables!$G320,D03_Skills!$Z$3:$Z$41,0),MATCH(C_Variables!BD$313,D03_Skills!$AA$2:$BU$2,0))</f>
        <v>1</v>
      </c>
      <c r="AZ314" s="495">
        <f>IF(AY314-AX314-AR314-AL314-AF314-Z314&gt;0,1,0)</f>
        <v>1</v>
      </c>
      <c r="BA314" s="495">
        <f>IF(AZ$314=0,0,1)</f>
        <v>1</v>
      </c>
      <c r="BB314" s="495">
        <v>1</v>
      </c>
      <c r="BC314" s="495" t="str">
        <f t="shared" ref="BC314:BC352" si="314">IF(ToolsProficiencyNumber&lt;AY313,"n/a",IFERROR(INDEX($G$320:$G$358,MATCH(BB314,BA$314:BA$355,0),1),""))</f>
        <v>n/a</v>
      </c>
      <c r="BD314" s="496">
        <f t="shared" ref="BD314:BD352" si="315">IF(Tools2=$G320,1,0)</f>
        <v>0</v>
      </c>
      <c r="BE314" s="494">
        <f>INDEX(D03_Skills!$AA$3:$BU$41,MATCH(C_Variables!$G320,D03_Skills!$Z$3:$Z$41,0),MATCH(C_Variables!BJ$313,D03_Skills!$AA$2:$BU$2,0))</f>
        <v>1</v>
      </c>
      <c r="BF314" s="495">
        <f>IF(BE314-BD314-AX314-AR314-AL314-AF314&gt;0,1,0)</f>
        <v>1</v>
      </c>
      <c r="BG314" s="495">
        <f>IF(BF$314=0,0,1)</f>
        <v>1</v>
      </c>
      <c r="BH314" s="495">
        <v>1</v>
      </c>
      <c r="BI314" s="495" t="str">
        <f t="shared" ref="BI314:BI352" si="316">IF(ToolsProficiencyNumber&lt;BE313,"n/a",IFERROR(INDEX($G$320:$G$358,MATCH(BH314,BG$314:BG$355,0),1),""))</f>
        <v>n/a</v>
      </c>
      <c r="BJ314" s="496">
        <f t="shared" ref="BJ314:BJ352" si="317">IF(Tools2=$G320,1,0)</f>
        <v>0</v>
      </c>
      <c r="BK314" s="494">
        <f>INDEX(D03_Skills!$AA$3:$BU$41,MATCH(C_Variables!$G320,D03_Skills!$Z$3:$Z$41,0),MATCH(C_Variables!BP$313,D03_Skills!$AA$2:$BU$2,0))</f>
        <v>1</v>
      </c>
      <c r="BL314" s="495">
        <f>IF(BK314-BJ314-BD314-AX314-AR314-AL314&gt;0,1,0)</f>
        <v>1</v>
      </c>
      <c r="BM314" s="495">
        <f>IF(BL$314=0,0,1)</f>
        <v>1</v>
      </c>
      <c r="BN314" s="495">
        <v>1</v>
      </c>
      <c r="BO314" s="495" t="str">
        <f t="shared" ref="BO314:BO352" si="318">IF(ToolsProficiencyNumber&lt;BK313,"n/a",IFERROR(INDEX($G$320:$G$358,MATCH(BN314,BM$314:BM$355,0),1),""))</f>
        <v>n/a</v>
      </c>
      <c r="BP314" s="496">
        <f t="shared" ref="BP314:BP352" si="319">IF(Tools2=$G320,1,0)</f>
        <v>0</v>
      </c>
      <c r="BQ314" s="494">
        <f>INDEX(D03_Skills!$AA$3:$BU$41,MATCH(C_Variables!$G320,D03_Skills!$Z$3:$Z$41,0),MATCH(C_Variables!BV$313,D03_Skills!$AA$2:$BU$2,0))</f>
        <v>1</v>
      </c>
      <c r="BR314" s="495">
        <f>IF(BQ314-BP314-BJ314-BD314-AX314-AR314&gt;0,1,0)</f>
        <v>1</v>
      </c>
      <c r="BS314" s="495">
        <f>IF(BR$314=0,0,1)</f>
        <v>1</v>
      </c>
      <c r="BT314" s="495">
        <v>1</v>
      </c>
      <c r="BU314" s="495" t="str">
        <f t="shared" ref="BU314:BU352" si="320">IF(ToolsProficiencyNumber&lt;BQ313,"n/a",IFERROR(INDEX($G$320:$G$358,MATCH(BT314,BS$314:BS$355,0),1),""))</f>
        <v>n/a</v>
      </c>
      <c r="BV314" s="496">
        <f t="shared" ref="BV314:BV352" si="321">IF(Tools2=$G320,1,0)</f>
        <v>0</v>
      </c>
      <c r="BW314" s="494">
        <f>INDEX(D03_Skills!$AA$3:$BU$41,MATCH(C_Variables!$G320,D03_Skills!$Z$3:$Z$41,0),MATCH(C_Variables!CB$313,D03_Skills!$AA$2:$BU$2,0))</f>
        <v>1</v>
      </c>
      <c r="BX314" s="495">
        <f>IF(BW314-BV314-BP314-BJ314-BD314-AX314&gt;0,1,0)</f>
        <v>1</v>
      </c>
      <c r="BY314" s="495">
        <f>IF(BX$314=0,0,1)</f>
        <v>1</v>
      </c>
      <c r="BZ314" s="495">
        <v>1</v>
      </c>
      <c r="CA314" s="495" t="str">
        <f t="shared" ref="CA314:CA352" si="322">IF(ToolsProficiencyNumber&lt;BW313,"n/a",IFERROR(INDEX($G$320:$G$358,MATCH(BZ314,BY$314:BY$355,0),1),""))</f>
        <v>n/a</v>
      </c>
      <c r="CB314" s="496">
        <f t="shared" ref="CB314:CB352" si="323">IF(Tools2=$G320,1,0)</f>
        <v>0</v>
      </c>
      <c r="CC314" s="494" t="e">
        <f>INDEX(D03_Skills!$AA$3:$BU$41,MATCH(C_Variables!$G320,D03_Skills!$Z$3:$Z$41,0),MATCH(C_Variables!CH$313,D03_Skills!$AA$2:$BU$2,0))</f>
        <v>#N/A</v>
      </c>
      <c r="CD314" s="495" t="e">
        <f>IF(CC314-CB314-BV314-BP314-BJ314-BD314&gt;0,1,0)</f>
        <v>#N/A</v>
      </c>
      <c r="CE314" s="495" t="e">
        <f>IF(CD$314=0,0,1)</f>
        <v>#N/A</v>
      </c>
      <c r="CF314" s="495">
        <v>1</v>
      </c>
      <c r="CG314" s="495" t="str">
        <f t="shared" ref="CG314:CG352" si="324">IF(ToolsProficiencyNumber&lt;CC313,"n/a",IFERROR(INDEX($G$320:$G$358,MATCH(CF314,CE$314:CE$355,0),1),""))</f>
        <v>n/a</v>
      </c>
      <c r="CH314" s="496">
        <f t="shared" ref="CH314:CH352" si="325">IF(Tools2=$G320,1,0)</f>
        <v>0</v>
      </c>
      <c r="CI314" s="494" t="e">
        <f>INDEX(D03_Skills!$AA$3:$BU$41,MATCH(C_Variables!$G320,D03_Skills!$Z$3:$Z$41,0),MATCH(C_Variables!CN$313,D03_Skills!$AA$2:$BU$2,0))</f>
        <v>#N/A</v>
      </c>
      <c r="CJ314" s="495" t="e">
        <f>IF(CI314-CH314-CB314-BV314-BP314-BJ314&gt;0,1,0)</f>
        <v>#N/A</v>
      </c>
      <c r="CK314" s="495" t="e">
        <f>IF(CJ$314=0,0,1)</f>
        <v>#N/A</v>
      </c>
      <c r="CL314" s="495">
        <v>1</v>
      </c>
      <c r="CM314" s="495" t="str">
        <f t="shared" ref="CM314:CM352" si="326">IF(ToolsProficiencyNumber&lt;CI313,"n/a",IFERROR(INDEX($G$320:$G$358,MATCH(CL314,CK$314:CK$355,0),1),""))</f>
        <v>n/a</v>
      </c>
      <c r="CN314" s="496">
        <f t="shared" ref="CN314:CN352" si="327">IF(Tools2=$G320,1,0)</f>
        <v>0</v>
      </c>
      <c r="CO314" s="494" t="e">
        <f>INDEX(D03_Skills!$AA$3:$BU$41,MATCH(C_Variables!$G320,D03_Skills!$Z$3:$Z$41,0),MATCH(C_Variables!CT$313,D03_Skills!$AA$2:$BU$2,0))</f>
        <v>#N/A</v>
      </c>
      <c r="CP314" s="495" t="e">
        <f>IF(CO314-CN314-CH314-CB314-BV314-BP314&gt;0,1,0)</f>
        <v>#N/A</v>
      </c>
      <c r="CQ314" s="495" t="e">
        <f>IF(CP$314=0,0,1)</f>
        <v>#N/A</v>
      </c>
      <c r="CR314" s="495">
        <v>1</v>
      </c>
      <c r="CS314" s="495" t="str">
        <f t="shared" ref="CS314:CS352" si="328">IF(ToolsProficiencyNumber&lt;CO313,"n/a",IFERROR(INDEX($G$320:$G$358,MATCH(CR314,CQ$314:CQ$355,0),1),""))</f>
        <v>n/a</v>
      </c>
      <c r="CT314" s="496">
        <f t="shared" ref="CT314:CT352" si="329">IF(Tools2=$G320,1,0)</f>
        <v>0</v>
      </c>
      <c r="CU314" s="494" t="e">
        <f>INDEX(D03_Skills!$AA$3:$BU$41,MATCH(C_Variables!$G320,D03_Skills!$Z$3:$Z$41,0),MATCH(C_Variables!CZ$313,D03_Skills!$AA$2:$BU$2,0))</f>
        <v>#N/A</v>
      </c>
      <c r="CV314" s="495" t="e">
        <f>IF(CU314-CT314-CN314-CH314-CB314-BV314&gt;0,1,0)</f>
        <v>#N/A</v>
      </c>
      <c r="CW314" s="495" t="e">
        <f>IF(CV$314=0,0,1)</f>
        <v>#N/A</v>
      </c>
      <c r="CX314" s="495">
        <v>1</v>
      </c>
      <c r="CY314" s="495" t="str">
        <f t="shared" ref="CY314:CY352" si="330">IF(ToolsProficiencyNumber&lt;CU313,"n/a",IFERROR(INDEX($G$320:$G$358,MATCH(CX314,CW$314:CW$355,0),1),""))</f>
        <v>n/a</v>
      </c>
      <c r="CZ314" s="496">
        <f t="shared" ref="CZ314:CZ352" si="331">IF(Tools2=$G320,1,0)</f>
        <v>0</v>
      </c>
      <c r="DA314" s="494" t="e">
        <f>INDEX(D03_Skills!$AA$3:$BU$41,MATCH(C_Variables!$G320,D03_Skills!$Z$3:$Z$41,0),MATCH(C_Variables!DF$313,D03_Skills!$AA$2:$BU$2,0))</f>
        <v>#N/A</v>
      </c>
      <c r="DB314" s="495" t="e">
        <f>IF(DA314-CZ314-CT314-CN314-CH314-CB314&gt;0,1,0)</f>
        <v>#N/A</v>
      </c>
      <c r="DC314" s="495" t="e">
        <f>IF(DB$314=0,0,1)</f>
        <v>#N/A</v>
      </c>
      <c r="DD314" s="495">
        <v>1</v>
      </c>
      <c r="DE314" s="495" t="str">
        <f t="shared" ref="DE314:DE352" si="332">IF(ToolsProficiencyNumber&lt;DA313,"n/a",IFERROR(INDEX($G$320:$G$358,MATCH(DD314,DC$314:DC$355,0),1),""))</f>
        <v>n/a</v>
      </c>
      <c r="DF314" s="496">
        <f t="shared" ref="DF314:DF352" si="333">IF(Tools2=$G320,1,0)</f>
        <v>0</v>
      </c>
      <c r="DG314" s="494" t="e">
        <f>INDEX(D03_Skills!$AA$3:$BU$41,MATCH(C_Variables!$G320,D03_Skills!$Z$3:$Z$41,0),MATCH(C_Variables!DL$313,D03_Skills!$AA$2:$BU$2,0))</f>
        <v>#N/A</v>
      </c>
      <c r="DH314" s="495" t="e">
        <f>IF(DG314-DF314-CZ314-CT314-CN314-CH314&gt;0,1,0)</f>
        <v>#N/A</v>
      </c>
      <c r="DI314" s="495" t="e">
        <f>IF(DH$314=0,0,1)</f>
        <v>#N/A</v>
      </c>
      <c r="DJ314" s="495">
        <v>1</v>
      </c>
      <c r="DK314" s="495" t="str">
        <f t="shared" ref="DK314:DK352" si="334">IF(ToolsProficiencyNumber&lt;DG313,"n/a",IFERROR(INDEX($G$320:$G$358,MATCH(DJ314,DI$314:DI$355,0),1),""))</f>
        <v>n/a</v>
      </c>
      <c r="DL314" s="496">
        <f t="shared" ref="DL314:DL352" si="335">IF(Tools2=$G320,1,0)</f>
        <v>0</v>
      </c>
      <c r="DM314" s="494" t="e">
        <f>INDEX(D03_Skills!$AA$3:$BU$41,MATCH(C_Variables!$G320,D03_Skills!$Z$3:$Z$41,0),MATCH(C_Variables!DR$313,D03_Skills!$AA$2:$BU$2,0))</f>
        <v>#N/A</v>
      </c>
      <c r="DN314" s="495" t="e">
        <f>IF(DM314-DL314-DF314-CZ314-CT314-CN314&gt;0,1,0)</f>
        <v>#N/A</v>
      </c>
      <c r="DO314" s="495" t="e">
        <f>IF(DN$314=0,0,1)</f>
        <v>#N/A</v>
      </c>
      <c r="DP314" s="495">
        <v>1</v>
      </c>
      <c r="DQ314" s="495" t="str">
        <f t="shared" ref="DQ314:DQ352" si="336">IF(ToolsProficiencyNumber&lt;DM313,"n/a",IFERROR(INDEX($G$320:$G$358,MATCH(DP314,DO$314:DO$355,0),1),""))</f>
        <v>n/a</v>
      </c>
      <c r="DR314" s="496">
        <f t="shared" ref="DR314:DR352" si="337">IF(Tools2=$G320,1,0)</f>
        <v>0</v>
      </c>
      <c r="DS314" s="494" t="e">
        <f>INDEX(D03_Skills!$AA$3:$BU$41,MATCH(C_Variables!$G320,D03_Skills!$Z$3:$Z$41,0),MATCH(C_Variables!DX$313,D03_Skills!$AA$2:$BU$2,0))</f>
        <v>#N/A</v>
      </c>
      <c r="DT314" s="495" t="e">
        <f>IF(DS314-DR314-DL314-DF314-CZ314-CT314&gt;0,1,0)</f>
        <v>#N/A</v>
      </c>
      <c r="DU314" s="495" t="e">
        <f>IF(DT$314=0,0,1)</f>
        <v>#N/A</v>
      </c>
      <c r="DV314" s="495">
        <v>1</v>
      </c>
      <c r="DW314" s="495" t="str">
        <f t="shared" ref="DW314:DW352" si="338">IF(ToolsProficiencyNumber&lt;DS313,"n/a",IFERROR(INDEX($G$320:$G$358,MATCH(DV314,DU$314:DU$355,0),1),""))</f>
        <v>n/a</v>
      </c>
      <c r="DX314" s="496">
        <f t="shared" ref="DX314:DX352" si="339">IF(Tools2=$G320,1,0)</f>
        <v>0</v>
      </c>
      <c r="DY314" s="501"/>
    </row>
    <row r="315" spans="1:129" ht="16.5" x14ac:dyDescent="0.3">
      <c r="A315" s="155">
        <f>IFERROR(IF(A314+1&lt;MAX(D041_ClassFeatures!$A$2:$A$2033),A314+1,""),"")</f>
        <v>312</v>
      </c>
      <c r="B315" s="153" t="str">
        <f>IFERROR(INDEX(D041_ClassFeatures!$B$2:$B$2033,MATCH(C_Variables!A315,D041_ClassFeatures!$A$2:$A$2033,0),1),"")</f>
        <v>Durable Summons</v>
      </c>
      <c r="C315" s="153">
        <f>IF(B315="",0,IF(IFERROR(MATCH(B315,C_Input!$BC$160:$BC$239,0),0)&gt;0,1,0))</f>
        <v>0</v>
      </c>
      <c r="E315" s="501"/>
      <c r="F315" s="501"/>
      <c r="G315" t="s">
        <v>6912</v>
      </c>
      <c r="H315" t="str">
        <f>INDEX(D02_Background!K2:K101,SelectedBackgroundId,1)</f>
        <v>Thieve's tools</v>
      </c>
      <c r="I315" s="494">
        <f>INDEX(D03_Skills!$AA$3:$BU$41,MATCH(C_Variables!$G321,D03_Skills!$Z$3:$Z$41,0),MATCH(C_Variables!N$313,D03_Skills!$AA$2:$BU$2,0))</f>
        <v>0</v>
      </c>
      <c r="J315" s="495">
        <f t="shared" ref="J315:J352" si="340">I315</f>
        <v>0</v>
      </c>
      <c r="K315" s="495">
        <f>IF(I315&gt;0,1+COUNTIF(K$314:K314,"&gt;0"),0)</f>
        <v>0</v>
      </c>
      <c r="L315" s="495" t="str">
        <f t="shared" ref="L315:L352" si="341">IF(ToolsProficiencyNumber&lt;I313,"",IFERROR(IF(L314&lt;MAX(K$314:K$355),L314+1,""),""))</f>
        <v/>
      </c>
      <c r="M315" s="495" t="str">
        <f t="shared" si="300"/>
        <v/>
      </c>
      <c r="N315" s="496">
        <f t="shared" si="301"/>
        <v>0</v>
      </c>
      <c r="O315" s="494">
        <f>INDEX(D03_Skills!$AA$3:$BU$41,MATCH(C_Variables!$G321,D03_Skills!$Z$3:$Z$41,0),MATCH(C_Variables!T$313,D03_Skills!$AA$2:$BU$2,0))</f>
        <v>1</v>
      </c>
      <c r="P315" s="495">
        <f t="shared" ref="P315:P352" si="342">IF(O315-N315&gt;0,1,0)</f>
        <v>1</v>
      </c>
      <c r="Q315" s="495">
        <f>IF(P315&gt;0,1+COUNTIF(Q$314:Q314,"&gt;0"),0)</f>
        <v>2</v>
      </c>
      <c r="R315" s="495" t="str">
        <f t="shared" ref="R315:R352" si="343">IF(ToolsProficiencyNumber&lt;O313,"",IFERROR(IF(R314&lt;MAX(Q$314:Q$355),R314+1,""),""))</f>
        <v/>
      </c>
      <c r="S315" s="495" t="str">
        <f t="shared" si="302"/>
        <v>n/a</v>
      </c>
      <c r="T315" s="496">
        <f t="shared" si="303"/>
        <v>0</v>
      </c>
      <c r="U315" s="494">
        <f>INDEX(D03_Skills!$AA$3:$BU$41,MATCH(C_Variables!$G321,D03_Skills!$Z$3:$Z$41,0),MATCH(C_Variables!Z$313,D03_Skills!$AA$2:$BU$2,0))</f>
        <v>1</v>
      </c>
      <c r="V315" s="495">
        <f t="shared" ref="V315:V352" si="344">IF(U315-T315-N315&gt;0,1,0)</f>
        <v>1</v>
      </c>
      <c r="W315" s="495">
        <f>IF(V315&gt;0,1+COUNTIF(W$314:W314,"&gt;0"),0)</f>
        <v>2</v>
      </c>
      <c r="X315" s="495" t="str">
        <f t="shared" ref="X315:X352" si="345">IF(ToolsProficiencyNumber&lt;U313,"",IFERROR(IF(X314&lt;MAX(W$314:W$355),X314+1,""),""))</f>
        <v/>
      </c>
      <c r="Y315" s="495" t="str">
        <f t="shared" si="304"/>
        <v>n/a</v>
      </c>
      <c r="Z315" s="496">
        <f t="shared" si="305"/>
        <v>0</v>
      </c>
      <c r="AA315" s="494">
        <f>INDEX(D03_Skills!$AA$3:$BU$41,MATCH(C_Variables!$G321,D03_Skills!$Z$3:$Z$41,0),MATCH(C_Variables!AF$313,D03_Skills!$AA$2:$BU$2,0))</f>
        <v>1</v>
      </c>
      <c r="AB315" s="495">
        <f t="shared" ref="AB315:AB352" si="346">IF(AA315-Z315-T315-N315&gt;0,1,0)</f>
        <v>1</v>
      </c>
      <c r="AC315" s="495">
        <f>IF(AB315&gt;0,1+COUNTIF(AC$314:AC314,"&gt;0"),0)</f>
        <v>2</v>
      </c>
      <c r="AD315" s="495" t="str">
        <f t="shared" ref="AD315:AD352" si="347">IF(ToolsProficiencyNumber&lt;AA313,"",IFERROR(IF(AD314&lt;MAX(AC$314:AC$355),AD314+1,""),""))</f>
        <v/>
      </c>
      <c r="AE315" s="495" t="str">
        <f t="shared" si="306"/>
        <v>n/a</v>
      </c>
      <c r="AF315" s="496">
        <f t="shared" si="307"/>
        <v>0</v>
      </c>
      <c r="AG315" s="494">
        <f>INDEX(D03_Skills!$AA$3:$BU$41,MATCH(C_Variables!$G321,D03_Skills!$Z$3:$Z$41,0),MATCH(C_Variables!AL$313,D03_Skills!$AA$2:$BU$2,0))</f>
        <v>0</v>
      </c>
      <c r="AH315" s="495">
        <f t="shared" ref="AH315:AH352" si="348">IF(AG315-AF315-Z315-T315-N315&gt;0,1,0)</f>
        <v>0</v>
      </c>
      <c r="AI315" s="495">
        <f>IF(AH315&gt;0,1+COUNTIF(AI$314:AI314,"&gt;0"),0)</f>
        <v>0</v>
      </c>
      <c r="AJ315" s="495" t="str">
        <f t="shared" ref="AJ315:AJ352" si="349">IF(ToolsProficiencyNumber&lt;AG313,"",IFERROR(IF(AJ314&lt;MAX(AI$314:AI$355),AJ314+1,""),""))</f>
        <v/>
      </c>
      <c r="AK315" s="495" t="str">
        <f t="shared" si="308"/>
        <v/>
      </c>
      <c r="AL315" s="496">
        <f t="shared" si="309"/>
        <v>0</v>
      </c>
      <c r="AM315" s="494">
        <f>INDEX(D03_Skills!$AA$3:$BU$41,MATCH(C_Variables!$G321,D03_Skills!$Z$3:$Z$41,0),MATCH(C_Variables!AR$313,D03_Skills!$AA$2:$BU$2,0))</f>
        <v>0</v>
      </c>
      <c r="AN315" s="495">
        <f t="shared" ref="AN315:AN352" si="350">IF(AM315-AL315-AF315-Z315-T315-N315&gt;0,1,0)</f>
        <v>0</v>
      </c>
      <c r="AO315" s="495">
        <f>IF(AN315&gt;0,1+COUNTIF(AO$314:AO314,"&gt;0"),0)</f>
        <v>0</v>
      </c>
      <c r="AP315" s="495" t="str">
        <f t="shared" ref="AP315:AP352" si="351">IF(ToolsProficiencyNumber&lt;AM313,"",IFERROR(IF(AP314&lt;MAX(AO$314:AO$355),AP314+1,""),""))</f>
        <v/>
      </c>
      <c r="AQ315" s="495" t="str">
        <f t="shared" si="310"/>
        <v/>
      </c>
      <c r="AR315" s="496">
        <f t="shared" si="311"/>
        <v>0</v>
      </c>
      <c r="AS315" s="494">
        <f>INDEX(D03_Skills!$AA$3:$BU$41,MATCH(C_Variables!$G321,D03_Skills!$Z$3:$Z$41,0),MATCH(C_Variables!AX$313,D03_Skills!$AA$2:$BU$2,0))</f>
        <v>0</v>
      </c>
      <c r="AT315" s="495">
        <f t="shared" ref="AT315:AT352" si="352">IF(AS315-AR315-AL315-AF315-Z315-T315&gt;0,1,0)</f>
        <v>0</v>
      </c>
      <c r="AU315" s="495">
        <f>IF(AT315&gt;0,1+COUNTIF(AU$314:AU314,"&gt;0"),0)</f>
        <v>0</v>
      </c>
      <c r="AV315" s="495" t="str">
        <f t="shared" ref="AV315:AV352" si="353">IF(ToolsProficiencyNumber&lt;AS313,"",IFERROR(IF(AV314&lt;MAX(AU$314:AU$355),AV314+1,""),""))</f>
        <v/>
      </c>
      <c r="AW315" s="495" t="str">
        <f t="shared" si="312"/>
        <v/>
      </c>
      <c r="AX315" s="496">
        <f t="shared" si="313"/>
        <v>0</v>
      </c>
      <c r="AY315" s="494">
        <f>INDEX(D03_Skills!$AA$3:$BU$41,MATCH(C_Variables!$G321,D03_Skills!$Z$3:$Z$41,0),MATCH(C_Variables!BD$313,D03_Skills!$AA$2:$BU$2,0))</f>
        <v>1</v>
      </c>
      <c r="AZ315" s="495">
        <f t="shared" ref="AZ315:AZ352" si="354">IF(AY315-AX315-AR315-AL315-AF315-Z315&gt;0,1,0)</f>
        <v>1</v>
      </c>
      <c r="BA315" s="495">
        <f>IF(AZ315&gt;0,1+COUNTIF(BA$314:BA314,"&gt;0"),0)</f>
        <v>2</v>
      </c>
      <c r="BB315" s="495" t="str">
        <f t="shared" ref="BB315:BB352" si="355">IF(ToolsProficiencyNumber&lt;AY313,"",IFERROR(IF(BB314&lt;MAX(BA$314:BA$355),BB314+1,""),""))</f>
        <v/>
      </c>
      <c r="BC315" s="495" t="str">
        <f t="shared" si="314"/>
        <v>n/a</v>
      </c>
      <c r="BD315" s="496">
        <f t="shared" si="315"/>
        <v>0</v>
      </c>
      <c r="BE315" s="494">
        <f>INDEX(D03_Skills!$AA$3:$BU$41,MATCH(C_Variables!$G321,D03_Skills!$Z$3:$Z$41,0),MATCH(C_Variables!BJ$313,D03_Skills!$AA$2:$BU$2,0))</f>
        <v>1</v>
      </c>
      <c r="BF315" s="495">
        <f t="shared" ref="BF315:BF352" si="356">IF(BE315-BD315-AX315-AR315-AL315-AF315&gt;0,1,0)</f>
        <v>1</v>
      </c>
      <c r="BG315" s="495">
        <f>IF(BF315&gt;0,1+COUNTIF(BG$314:BG314,"&gt;0"),0)</f>
        <v>2</v>
      </c>
      <c r="BH315" s="495" t="str">
        <f t="shared" ref="BH315:BH352" si="357">IF(ToolsProficiencyNumber&lt;BE313,"",IFERROR(IF(BH314&lt;MAX(BG$314:BG$355),BH314+1,""),""))</f>
        <v/>
      </c>
      <c r="BI315" s="495" t="str">
        <f t="shared" si="316"/>
        <v>n/a</v>
      </c>
      <c r="BJ315" s="496">
        <f t="shared" si="317"/>
        <v>0</v>
      </c>
      <c r="BK315" s="494">
        <f>INDEX(D03_Skills!$AA$3:$BU$41,MATCH(C_Variables!$G321,D03_Skills!$Z$3:$Z$41,0),MATCH(C_Variables!BP$313,D03_Skills!$AA$2:$BU$2,0))</f>
        <v>1</v>
      </c>
      <c r="BL315" s="495">
        <f t="shared" ref="BL315:BL352" si="358">IF(BK315-BJ315-BD315-AX315-AR315-AL315&gt;0,1,0)</f>
        <v>1</v>
      </c>
      <c r="BM315" s="495">
        <f>IF(BL315&gt;0,1+COUNTIF(BM$314:BM314,"&gt;0"),0)</f>
        <v>2</v>
      </c>
      <c r="BN315" s="495" t="str">
        <f t="shared" ref="BN315:BN352" si="359">IF(ToolsProficiencyNumber&lt;BK313,"",IFERROR(IF(BN314&lt;MAX(BM$314:BM$355),BN314+1,""),""))</f>
        <v/>
      </c>
      <c r="BO315" s="495" t="str">
        <f t="shared" si="318"/>
        <v>n/a</v>
      </c>
      <c r="BP315" s="496">
        <f t="shared" si="319"/>
        <v>0</v>
      </c>
      <c r="BQ315" s="494">
        <f>INDEX(D03_Skills!$AA$3:$BU$41,MATCH(C_Variables!$G321,D03_Skills!$Z$3:$Z$41,0),MATCH(C_Variables!BV$313,D03_Skills!$AA$2:$BU$2,0))</f>
        <v>1</v>
      </c>
      <c r="BR315" s="495">
        <f t="shared" ref="BR315:BR352" si="360">IF(BQ315-BP315-BJ315-BD315-AX315-AR315&gt;0,1,0)</f>
        <v>1</v>
      </c>
      <c r="BS315" s="495">
        <f>IF(BR315&gt;0,1+COUNTIF(BS$314:BS314,"&gt;0"),0)</f>
        <v>2</v>
      </c>
      <c r="BT315" s="495" t="str">
        <f t="shared" ref="BT315:BT352" si="361">IF(ToolsProficiencyNumber&lt;BQ313,"",IFERROR(IF(BT314&lt;MAX(BS$314:BS$355),BT314+1,""),""))</f>
        <v/>
      </c>
      <c r="BU315" s="495" t="str">
        <f t="shared" si="320"/>
        <v>n/a</v>
      </c>
      <c r="BV315" s="496">
        <f t="shared" si="321"/>
        <v>0</v>
      </c>
      <c r="BW315" s="494">
        <f>INDEX(D03_Skills!$AA$3:$BU$41,MATCH(C_Variables!$G321,D03_Skills!$Z$3:$Z$41,0),MATCH(C_Variables!CB$313,D03_Skills!$AA$2:$BU$2,0))</f>
        <v>1</v>
      </c>
      <c r="BX315" s="495">
        <f t="shared" ref="BX315:BX352" si="362">IF(BW315-BV315-BP315-BJ315-BD315-AX315&gt;0,1,0)</f>
        <v>1</v>
      </c>
      <c r="BY315" s="495">
        <f>IF(BX315&gt;0,1+COUNTIF(BY$314:BY314,"&gt;0"),0)</f>
        <v>2</v>
      </c>
      <c r="BZ315" s="495" t="str">
        <f t="shared" ref="BZ315:BZ352" si="363">IF(ToolsProficiencyNumber&lt;BW313,"",IFERROR(IF(BZ314&lt;MAX(BY$314:BY$355),BZ314+1,""),""))</f>
        <v/>
      </c>
      <c r="CA315" s="495" t="str">
        <f t="shared" si="322"/>
        <v>n/a</v>
      </c>
      <c r="CB315" s="496">
        <f t="shared" si="323"/>
        <v>0</v>
      </c>
      <c r="CC315" s="494" t="e">
        <f>INDEX(D03_Skills!$AA$3:$BU$41,MATCH(C_Variables!$G321,D03_Skills!$Z$3:$Z$41,0),MATCH(C_Variables!CH$313,D03_Skills!$AA$2:$BU$2,0))</f>
        <v>#N/A</v>
      </c>
      <c r="CD315" s="495" t="e">
        <f t="shared" ref="CD315:CD352" si="364">IF(CC315-CB315-BV315-BP315-BJ315-BD315&gt;0,1,0)</f>
        <v>#N/A</v>
      </c>
      <c r="CE315" s="495" t="e">
        <f>IF(CD315&gt;0,1+COUNTIF(CE$314:CE314,"&gt;0"),0)</f>
        <v>#N/A</v>
      </c>
      <c r="CF315" s="495" t="str">
        <f t="shared" ref="CF315:CF352" si="365">IF(ToolsProficiencyNumber&lt;CC313,"",IFERROR(IF(CF314&lt;MAX(CE$314:CE$355),CF314+1,""),""))</f>
        <v/>
      </c>
      <c r="CG315" s="495" t="e">
        <f t="shared" si="324"/>
        <v>#N/A</v>
      </c>
      <c r="CH315" s="496">
        <f t="shared" si="325"/>
        <v>0</v>
      </c>
      <c r="CI315" s="494" t="e">
        <f>INDEX(D03_Skills!$AA$3:$BU$41,MATCH(C_Variables!$G321,D03_Skills!$Z$3:$Z$41,0),MATCH(C_Variables!CN$313,D03_Skills!$AA$2:$BU$2,0))</f>
        <v>#N/A</v>
      </c>
      <c r="CJ315" s="495" t="e">
        <f t="shared" ref="CJ315:CJ352" si="366">IF(CI315-CH315-CB315-BV315-BP315-BJ315&gt;0,1,0)</f>
        <v>#N/A</v>
      </c>
      <c r="CK315" s="495" t="e">
        <f>IF(CJ315&gt;0,1+COUNTIF(CK$314:CK314,"&gt;0"),0)</f>
        <v>#N/A</v>
      </c>
      <c r="CL315" s="495" t="str">
        <f t="shared" ref="CL315:CL352" si="367">IF(ToolsProficiencyNumber&lt;CI313,"",IFERROR(IF(CL314&lt;MAX(CK$314:CK$355),CL314+1,""),""))</f>
        <v/>
      </c>
      <c r="CM315" s="495" t="e">
        <f t="shared" si="326"/>
        <v>#N/A</v>
      </c>
      <c r="CN315" s="496">
        <f t="shared" si="327"/>
        <v>0</v>
      </c>
      <c r="CO315" s="494" t="e">
        <f>INDEX(D03_Skills!$AA$3:$BU$41,MATCH(C_Variables!$G321,D03_Skills!$Z$3:$Z$41,0),MATCH(C_Variables!CT$313,D03_Skills!$AA$2:$BU$2,0))</f>
        <v>#N/A</v>
      </c>
      <c r="CP315" s="495" t="e">
        <f t="shared" ref="CP315:CP352" si="368">IF(CO315-CN315-CH315-CB315-BV315-BP315&gt;0,1,0)</f>
        <v>#N/A</v>
      </c>
      <c r="CQ315" s="495" t="e">
        <f>IF(CP315&gt;0,1+COUNTIF(CQ$314:CQ314,"&gt;0"),0)</f>
        <v>#N/A</v>
      </c>
      <c r="CR315" s="495" t="str">
        <f t="shared" ref="CR315:CR352" si="369">IF(ToolsProficiencyNumber&lt;CO313,"",IFERROR(IF(CR314&lt;MAX(CQ$314:CQ$355),CR314+1,""),""))</f>
        <v/>
      </c>
      <c r="CS315" s="495" t="e">
        <f t="shared" si="328"/>
        <v>#N/A</v>
      </c>
      <c r="CT315" s="496">
        <f t="shared" si="329"/>
        <v>0</v>
      </c>
      <c r="CU315" s="494" t="e">
        <f>INDEX(D03_Skills!$AA$3:$BU$41,MATCH(C_Variables!$G321,D03_Skills!$Z$3:$Z$41,0),MATCH(C_Variables!CZ$313,D03_Skills!$AA$2:$BU$2,0))</f>
        <v>#N/A</v>
      </c>
      <c r="CV315" s="495" t="e">
        <f t="shared" ref="CV315:CV352" si="370">IF(CU315-CT315-CN315-CH315-CB315-BV315&gt;0,1,0)</f>
        <v>#N/A</v>
      </c>
      <c r="CW315" s="495" t="e">
        <f>IF(CV315&gt;0,1+COUNTIF(CW$314:CW314,"&gt;0"),0)</f>
        <v>#N/A</v>
      </c>
      <c r="CX315" s="495" t="str">
        <f t="shared" ref="CX315:CX352" si="371">IF(ToolsProficiencyNumber&lt;CU313,"",IFERROR(IF(CX314&lt;MAX(CW$314:CW$355),CX314+1,""),""))</f>
        <v/>
      </c>
      <c r="CY315" s="495" t="e">
        <f t="shared" si="330"/>
        <v>#N/A</v>
      </c>
      <c r="CZ315" s="496">
        <f t="shared" si="331"/>
        <v>0</v>
      </c>
      <c r="DA315" s="494" t="e">
        <f>INDEX(D03_Skills!$AA$3:$BU$41,MATCH(C_Variables!$G321,D03_Skills!$Z$3:$Z$41,0),MATCH(C_Variables!DF$313,D03_Skills!$AA$2:$BU$2,0))</f>
        <v>#N/A</v>
      </c>
      <c r="DB315" s="495" t="e">
        <f t="shared" ref="DB315:DB352" si="372">IF(DA315-CZ315-CT315-CN315-CH315-CB315&gt;0,1,0)</f>
        <v>#N/A</v>
      </c>
      <c r="DC315" s="495" t="e">
        <f>IF(DB315&gt;0,1+COUNTIF(DC$314:DC314,"&gt;0"),0)</f>
        <v>#N/A</v>
      </c>
      <c r="DD315" s="495" t="str">
        <f t="shared" ref="DD315:DD352" si="373">IF(ToolsProficiencyNumber&lt;DA313,"",IFERROR(IF(DD314&lt;MAX(DC$314:DC$355),DD314+1,""),""))</f>
        <v/>
      </c>
      <c r="DE315" s="495" t="e">
        <f t="shared" si="332"/>
        <v>#N/A</v>
      </c>
      <c r="DF315" s="496">
        <f t="shared" si="333"/>
        <v>0</v>
      </c>
      <c r="DG315" s="494" t="e">
        <f>INDEX(D03_Skills!$AA$3:$BU$41,MATCH(C_Variables!$G321,D03_Skills!$Z$3:$Z$41,0),MATCH(C_Variables!DL$313,D03_Skills!$AA$2:$BU$2,0))</f>
        <v>#N/A</v>
      </c>
      <c r="DH315" s="495" t="e">
        <f t="shared" ref="DH315:DH352" si="374">IF(DG315-DF315-CZ315-CT315-CN315-CH315&gt;0,1,0)</f>
        <v>#N/A</v>
      </c>
      <c r="DI315" s="495" t="e">
        <f>IF(DH315&gt;0,1+COUNTIF(DI$314:DI314,"&gt;0"),0)</f>
        <v>#N/A</v>
      </c>
      <c r="DJ315" s="495" t="str">
        <f t="shared" ref="DJ315:DJ352" si="375">IF(ToolsProficiencyNumber&lt;DG313,"",IFERROR(IF(DJ314&lt;MAX(DI$314:DI$355),DJ314+1,""),""))</f>
        <v/>
      </c>
      <c r="DK315" s="495" t="e">
        <f t="shared" si="334"/>
        <v>#N/A</v>
      </c>
      <c r="DL315" s="496">
        <f t="shared" si="335"/>
        <v>0</v>
      </c>
      <c r="DM315" s="494" t="e">
        <f>INDEX(D03_Skills!$AA$3:$BU$41,MATCH(C_Variables!$G321,D03_Skills!$Z$3:$Z$41,0),MATCH(C_Variables!DR$313,D03_Skills!$AA$2:$BU$2,0))</f>
        <v>#N/A</v>
      </c>
      <c r="DN315" s="495" t="e">
        <f t="shared" ref="DN315:DN352" si="376">IF(DM315-DL315-DF315-CZ315-CT315-CN315&gt;0,1,0)</f>
        <v>#N/A</v>
      </c>
      <c r="DO315" s="495" t="e">
        <f>IF(DN315&gt;0,1+COUNTIF(DO$314:DO314,"&gt;0"),0)</f>
        <v>#N/A</v>
      </c>
      <c r="DP315" s="495" t="str">
        <f t="shared" ref="DP315:DP352" si="377">IF(ToolsProficiencyNumber&lt;DM313,"",IFERROR(IF(DP314&lt;MAX(DO$314:DO$355),DP314+1,""),""))</f>
        <v/>
      </c>
      <c r="DQ315" s="495" t="e">
        <f t="shared" si="336"/>
        <v>#N/A</v>
      </c>
      <c r="DR315" s="496">
        <f t="shared" si="337"/>
        <v>0</v>
      </c>
      <c r="DS315" s="494" t="e">
        <f>INDEX(D03_Skills!$AA$3:$BU$41,MATCH(C_Variables!$G321,D03_Skills!$Z$3:$Z$41,0),MATCH(C_Variables!DX$313,D03_Skills!$AA$2:$BU$2,0))</f>
        <v>#N/A</v>
      </c>
      <c r="DT315" s="495" t="e">
        <f t="shared" ref="DT315:DT352" si="378">IF(DS315-DR315-DL315-DF315-CZ315-CT315&gt;0,1,0)</f>
        <v>#N/A</v>
      </c>
      <c r="DU315" s="495" t="e">
        <f>IF(DT315&gt;0,1+COUNTIF(DU$314:DU314,"&gt;0"),0)</f>
        <v>#N/A</v>
      </c>
      <c r="DV315" s="495" t="str">
        <f t="shared" ref="DV315:DV352" si="379">IF(ToolsProficiencyNumber&lt;DS313,"",IFERROR(IF(DV314&lt;MAX(DU$314:DU$355),DV314+1,""),""))</f>
        <v/>
      </c>
      <c r="DW315" s="495" t="e">
        <f t="shared" si="338"/>
        <v>#N/A</v>
      </c>
      <c r="DX315" s="496">
        <f t="shared" si="339"/>
        <v>0</v>
      </c>
      <c r="DY315" s="501"/>
    </row>
    <row r="316" spans="1:129" ht="16.5" x14ac:dyDescent="0.3">
      <c r="A316" s="155">
        <f>IFERROR(IF(A315+1&lt;MAX(D041_ClassFeatures!$A$2:$A$2033),A315+1,""),"")</f>
        <v>313</v>
      </c>
      <c r="B316" s="153" t="str">
        <f>IFERROR(INDEX(D041_ClassFeatures!$B$2:$B$2033,MATCH(C_Variables!A316,D041_ClassFeatures!$A$2:$A$2033,0),1),"")</f>
        <v xml:space="preserve">Divination Savant </v>
      </c>
      <c r="C316" s="153">
        <f>IF(B316="",0,IF(IFERROR(MATCH(B316,C_Input!$BC$160:$BC$239,0),0)&gt;0,1,0))</f>
        <v>0</v>
      </c>
      <c r="E316" s="501"/>
      <c r="F316" s="501"/>
      <c r="G316" t="s">
        <v>6913</v>
      </c>
      <c r="H316" t="e">
        <f>INDEX(D04_Classes!J3:K102,SelectedClassID,1)</f>
        <v>#N/A</v>
      </c>
      <c r="I316" s="494">
        <f>INDEX(D03_Skills!$AA$3:$BU$41,MATCH(C_Variables!$G322,D03_Skills!$Z$3:$Z$41,0),MATCH(C_Variables!N$313,D03_Skills!$AA$2:$BU$2,0))</f>
        <v>0</v>
      </c>
      <c r="J316" s="495">
        <f t="shared" si="340"/>
        <v>0</v>
      </c>
      <c r="K316" s="495">
        <f>IF(I316&gt;0,1+COUNTIF(K$314:K315,"&gt;0"),0)</f>
        <v>0</v>
      </c>
      <c r="L316" s="495" t="str">
        <f t="shared" si="341"/>
        <v/>
      </c>
      <c r="M316" s="495" t="str">
        <f t="shared" si="300"/>
        <v/>
      </c>
      <c r="N316" s="496">
        <f t="shared" si="301"/>
        <v>0</v>
      </c>
      <c r="O316" s="494">
        <f>INDEX(D03_Skills!$AA$3:$BU$41,MATCH(C_Variables!$G322,D03_Skills!$Z$3:$Z$41,0),MATCH(C_Variables!T$313,D03_Skills!$AA$2:$BU$2,0))</f>
        <v>1</v>
      </c>
      <c r="P316" s="495">
        <f t="shared" si="342"/>
        <v>1</v>
      </c>
      <c r="Q316" s="495">
        <f>IF(P316&gt;0,1+COUNTIF(Q$314:Q315,"&gt;0"),0)</f>
        <v>3</v>
      </c>
      <c r="R316" s="495" t="str">
        <f t="shared" si="343"/>
        <v/>
      </c>
      <c r="S316" s="495" t="str">
        <f t="shared" si="302"/>
        <v>n/a</v>
      </c>
      <c r="T316" s="496">
        <f t="shared" si="303"/>
        <v>0</v>
      </c>
      <c r="U316" s="494">
        <f>INDEX(D03_Skills!$AA$3:$BU$41,MATCH(C_Variables!$G322,D03_Skills!$Z$3:$Z$41,0),MATCH(C_Variables!Z$313,D03_Skills!$AA$2:$BU$2,0))</f>
        <v>1</v>
      </c>
      <c r="V316" s="495">
        <f t="shared" si="344"/>
        <v>1</v>
      </c>
      <c r="W316" s="495">
        <f>IF(V316&gt;0,1+COUNTIF(W$314:W315,"&gt;0"),0)</f>
        <v>3</v>
      </c>
      <c r="X316" s="495" t="str">
        <f t="shared" si="345"/>
        <v/>
      </c>
      <c r="Y316" s="495" t="str">
        <f t="shared" si="304"/>
        <v>n/a</v>
      </c>
      <c r="Z316" s="496">
        <f t="shared" si="305"/>
        <v>0</v>
      </c>
      <c r="AA316" s="494">
        <f>INDEX(D03_Skills!$AA$3:$BU$41,MATCH(C_Variables!$G322,D03_Skills!$Z$3:$Z$41,0),MATCH(C_Variables!AF$313,D03_Skills!$AA$2:$BU$2,0))</f>
        <v>1</v>
      </c>
      <c r="AB316" s="495">
        <f t="shared" si="346"/>
        <v>1</v>
      </c>
      <c r="AC316" s="495">
        <f>IF(AB316&gt;0,1+COUNTIF(AC$314:AC315,"&gt;0"),0)</f>
        <v>3</v>
      </c>
      <c r="AD316" s="495" t="str">
        <f t="shared" si="347"/>
        <v/>
      </c>
      <c r="AE316" s="495" t="str">
        <f t="shared" si="306"/>
        <v>n/a</v>
      </c>
      <c r="AF316" s="496">
        <f t="shared" si="307"/>
        <v>0</v>
      </c>
      <c r="AG316" s="494">
        <f>INDEX(D03_Skills!$AA$3:$BU$41,MATCH(C_Variables!$G322,D03_Skills!$Z$3:$Z$41,0),MATCH(C_Variables!AL$313,D03_Skills!$AA$2:$BU$2,0))</f>
        <v>0</v>
      </c>
      <c r="AH316" s="495">
        <f t="shared" si="348"/>
        <v>0</v>
      </c>
      <c r="AI316" s="495">
        <f>IF(AH316&gt;0,1+COUNTIF(AI$314:AI315,"&gt;0"),0)</f>
        <v>0</v>
      </c>
      <c r="AJ316" s="495" t="str">
        <f t="shared" si="349"/>
        <v/>
      </c>
      <c r="AK316" s="495" t="str">
        <f t="shared" si="308"/>
        <v/>
      </c>
      <c r="AL316" s="496">
        <f t="shared" si="309"/>
        <v>0</v>
      </c>
      <c r="AM316" s="494">
        <f>INDEX(D03_Skills!$AA$3:$BU$41,MATCH(C_Variables!$G322,D03_Skills!$Z$3:$Z$41,0),MATCH(C_Variables!AR$313,D03_Skills!$AA$2:$BU$2,0))</f>
        <v>0</v>
      </c>
      <c r="AN316" s="495">
        <f t="shared" si="350"/>
        <v>0</v>
      </c>
      <c r="AO316" s="495">
        <f>IF(AN316&gt;0,1+COUNTIF(AO$314:AO315,"&gt;0"),0)</f>
        <v>0</v>
      </c>
      <c r="AP316" s="495" t="str">
        <f t="shared" si="351"/>
        <v/>
      </c>
      <c r="AQ316" s="495" t="str">
        <f t="shared" si="310"/>
        <v/>
      </c>
      <c r="AR316" s="496">
        <f t="shared" si="311"/>
        <v>0</v>
      </c>
      <c r="AS316" s="494">
        <f>INDEX(D03_Skills!$AA$3:$BU$41,MATCH(C_Variables!$G322,D03_Skills!$Z$3:$Z$41,0),MATCH(C_Variables!AX$313,D03_Skills!$AA$2:$BU$2,0))</f>
        <v>0</v>
      </c>
      <c r="AT316" s="495">
        <f t="shared" si="352"/>
        <v>0</v>
      </c>
      <c r="AU316" s="495">
        <f>IF(AT316&gt;0,1+COUNTIF(AU$314:AU315,"&gt;0"),0)</f>
        <v>0</v>
      </c>
      <c r="AV316" s="495" t="str">
        <f t="shared" si="353"/>
        <v/>
      </c>
      <c r="AW316" s="495" t="str">
        <f t="shared" si="312"/>
        <v/>
      </c>
      <c r="AX316" s="496">
        <f t="shared" si="313"/>
        <v>0</v>
      </c>
      <c r="AY316" s="494">
        <f>INDEX(D03_Skills!$AA$3:$BU$41,MATCH(C_Variables!$G322,D03_Skills!$Z$3:$Z$41,0),MATCH(C_Variables!BD$313,D03_Skills!$AA$2:$BU$2,0))</f>
        <v>1</v>
      </c>
      <c r="AZ316" s="495">
        <f t="shared" si="354"/>
        <v>1</v>
      </c>
      <c r="BA316" s="495">
        <f>IF(AZ316&gt;0,1+COUNTIF(BA$314:BA315,"&gt;0"),0)</f>
        <v>3</v>
      </c>
      <c r="BB316" s="495" t="str">
        <f t="shared" si="355"/>
        <v/>
      </c>
      <c r="BC316" s="495" t="str">
        <f t="shared" si="314"/>
        <v>n/a</v>
      </c>
      <c r="BD316" s="496">
        <f t="shared" si="315"/>
        <v>0</v>
      </c>
      <c r="BE316" s="494">
        <f>INDEX(D03_Skills!$AA$3:$BU$41,MATCH(C_Variables!$G322,D03_Skills!$Z$3:$Z$41,0),MATCH(C_Variables!BJ$313,D03_Skills!$AA$2:$BU$2,0))</f>
        <v>1</v>
      </c>
      <c r="BF316" s="495">
        <f t="shared" si="356"/>
        <v>1</v>
      </c>
      <c r="BG316" s="495">
        <f>IF(BF316&gt;0,1+COUNTIF(BG$314:BG315,"&gt;0"),0)</f>
        <v>3</v>
      </c>
      <c r="BH316" s="495" t="str">
        <f t="shared" si="357"/>
        <v/>
      </c>
      <c r="BI316" s="495" t="str">
        <f t="shared" si="316"/>
        <v>n/a</v>
      </c>
      <c r="BJ316" s="496">
        <f t="shared" si="317"/>
        <v>0</v>
      </c>
      <c r="BK316" s="494">
        <f>INDEX(D03_Skills!$AA$3:$BU$41,MATCH(C_Variables!$G322,D03_Skills!$Z$3:$Z$41,0),MATCH(C_Variables!BP$313,D03_Skills!$AA$2:$BU$2,0))</f>
        <v>1</v>
      </c>
      <c r="BL316" s="495">
        <f t="shared" si="358"/>
        <v>1</v>
      </c>
      <c r="BM316" s="495">
        <f>IF(BL316&gt;0,1+COUNTIF(BM$314:BM315,"&gt;0"),0)</f>
        <v>3</v>
      </c>
      <c r="BN316" s="495" t="str">
        <f t="shared" si="359"/>
        <v/>
      </c>
      <c r="BO316" s="495" t="str">
        <f t="shared" si="318"/>
        <v>n/a</v>
      </c>
      <c r="BP316" s="496">
        <f t="shared" si="319"/>
        <v>0</v>
      </c>
      <c r="BQ316" s="494">
        <f>INDEX(D03_Skills!$AA$3:$BU$41,MATCH(C_Variables!$G322,D03_Skills!$Z$3:$Z$41,0),MATCH(C_Variables!BV$313,D03_Skills!$AA$2:$BU$2,0))</f>
        <v>1</v>
      </c>
      <c r="BR316" s="495">
        <f t="shared" si="360"/>
        <v>1</v>
      </c>
      <c r="BS316" s="495">
        <f>IF(BR316&gt;0,1+COUNTIF(BS$314:BS315,"&gt;0"),0)</f>
        <v>3</v>
      </c>
      <c r="BT316" s="495" t="str">
        <f t="shared" si="361"/>
        <v/>
      </c>
      <c r="BU316" s="495" t="str">
        <f t="shared" si="320"/>
        <v>n/a</v>
      </c>
      <c r="BV316" s="496">
        <f t="shared" si="321"/>
        <v>0</v>
      </c>
      <c r="BW316" s="494">
        <f>INDEX(D03_Skills!$AA$3:$BU$41,MATCH(C_Variables!$G322,D03_Skills!$Z$3:$Z$41,0),MATCH(C_Variables!CB$313,D03_Skills!$AA$2:$BU$2,0))</f>
        <v>1</v>
      </c>
      <c r="BX316" s="495">
        <f t="shared" si="362"/>
        <v>1</v>
      </c>
      <c r="BY316" s="495">
        <f>IF(BX316&gt;0,1+COUNTIF(BY$314:BY315,"&gt;0"),0)</f>
        <v>3</v>
      </c>
      <c r="BZ316" s="495" t="str">
        <f t="shared" si="363"/>
        <v/>
      </c>
      <c r="CA316" s="495" t="str">
        <f t="shared" si="322"/>
        <v>n/a</v>
      </c>
      <c r="CB316" s="496">
        <f t="shared" si="323"/>
        <v>0</v>
      </c>
      <c r="CC316" s="494" t="e">
        <f>INDEX(D03_Skills!$AA$3:$BU$41,MATCH(C_Variables!$G322,D03_Skills!$Z$3:$Z$41,0),MATCH(C_Variables!CH$313,D03_Skills!$AA$2:$BU$2,0))</f>
        <v>#N/A</v>
      </c>
      <c r="CD316" s="495" t="e">
        <f t="shared" si="364"/>
        <v>#N/A</v>
      </c>
      <c r="CE316" s="495" t="e">
        <f>IF(CD316&gt;0,1+COUNTIF(CE$314:CE315,"&gt;0"),0)</f>
        <v>#N/A</v>
      </c>
      <c r="CF316" s="495" t="e">
        <f t="shared" si="365"/>
        <v>#N/A</v>
      </c>
      <c r="CG316" s="495" t="e">
        <f t="shared" si="324"/>
        <v>#N/A</v>
      </c>
      <c r="CH316" s="496">
        <f t="shared" si="325"/>
        <v>0</v>
      </c>
      <c r="CI316" s="494" t="e">
        <f>INDEX(D03_Skills!$AA$3:$BU$41,MATCH(C_Variables!$G322,D03_Skills!$Z$3:$Z$41,0),MATCH(C_Variables!CN$313,D03_Skills!$AA$2:$BU$2,0))</f>
        <v>#N/A</v>
      </c>
      <c r="CJ316" s="495" t="e">
        <f t="shared" si="366"/>
        <v>#N/A</v>
      </c>
      <c r="CK316" s="495" t="e">
        <f>IF(CJ316&gt;0,1+COUNTIF(CK$314:CK315,"&gt;0"),0)</f>
        <v>#N/A</v>
      </c>
      <c r="CL316" s="495" t="e">
        <f t="shared" si="367"/>
        <v>#N/A</v>
      </c>
      <c r="CM316" s="495" t="e">
        <f t="shared" si="326"/>
        <v>#N/A</v>
      </c>
      <c r="CN316" s="496">
        <f t="shared" si="327"/>
        <v>0</v>
      </c>
      <c r="CO316" s="494" t="e">
        <f>INDEX(D03_Skills!$AA$3:$BU$41,MATCH(C_Variables!$G322,D03_Skills!$Z$3:$Z$41,0),MATCH(C_Variables!CT$313,D03_Skills!$AA$2:$BU$2,0))</f>
        <v>#N/A</v>
      </c>
      <c r="CP316" s="495" t="e">
        <f t="shared" si="368"/>
        <v>#N/A</v>
      </c>
      <c r="CQ316" s="495" t="e">
        <f>IF(CP316&gt;0,1+COUNTIF(CQ$314:CQ315,"&gt;0"),0)</f>
        <v>#N/A</v>
      </c>
      <c r="CR316" s="495" t="e">
        <f t="shared" si="369"/>
        <v>#N/A</v>
      </c>
      <c r="CS316" s="495" t="e">
        <f t="shared" si="328"/>
        <v>#N/A</v>
      </c>
      <c r="CT316" s="496">
        <f t="shared" si="329"/>
        <v>0</v>
      </c>
      <c r="CU316" s="494" t="e">
        <f>INDEX(D03_Skills!$AA$3:$BU$41,MATCH(C_Variables!$G322,D03_Skills!$Z$3:$Z$41,0),MATCH(C_Variables!CZ$313,D03_Skills!$AA$2:$BU$2,0))</f>
        <v>#N/A</v>
      </c>
      <c r="CV316" s="495" t="e">
        <f t="shared" si="370"/>
        <v>#N/A</v>
      </c>
      <c r="CW316" s="495" t="e">
        <f>IF(CV316&gt;0,1+COUNTIF(CW$314:CW315,"&gt;0"),0)</f>
        <v>#N/A</v>
      </c>
      <c r="CX316" s="495" t="e">
        <f t="shared" si="371"/>
        <v>#N/A</v>
      </c>
      <c r="CY316" s="495" t="e">
        <f t="shared" si="330"/>
        <v>#N/A</v>
      </c>
      <c r="CZ316" s="496">
        <f t="shared" si="331"/>
        <v>0</v>
      </c>
      <c r="DA316" s="494" t="e">
        <f>INDEX(D03_Skills!$AA$3:$BU$41,MATCH(C_Variables!$G322,D03_Skills!$Z$3:$Z$41,0),MATCH(C_Variables!DF$313,D03_Skills!$AA$2:$BU$2,0))</f>
        <v>#N/A</v>
      </c>
      <c r="DB316" s="495" t="e">
        <f t="shared" si="372"/>
        <v>#N/A</v>
      </c>
      <c r="DC316" s="495" t="e">
        <f>IF(DB316&gt;0,1+COUNTIF(DC$314:DC315,"&gt;0"),0)</f>
        <v>#N/A</v>
      </c>
      <c r="DD316" s="495" t="e">
        <f t="shared" si="373"/>
        <v>#N/A</v>
      </c>
      <c r="DE316" s="495" t="e">
        <f t="shared" si="332"/>
        <v>#N/A</v>
      </c>
      <c r="DF316" s="496">
        <f t="shared" si="333"/>
        <v>0</v>
      </c>
      <c r="DG316" s="494" t="e">
        <f>INDEX(D03_Skills!$AA$3:$BU$41,MATCH(C_Variables!$G322,D03_Skills!$Z$3:$Z$41,0),MATCH(C_Variables!DL$313,D03_Skills!$AA$2:$BU$2,0))</f>
        <v>#N/A</v>
      </c>
      <c r="DH316" s="495" t="e">
        <f t="shared" si="374"/>
        <v>#N/A</v>
      </c>
      <c r="DI316" s="495" t="e">
        <f>IF(DH316&gt;0,1+COUNTIF(DI$314:DI315,"&gt;0"),0)</f>
        <v>#N/A</v>
      </c>
      <c r="DJ316" s="495" t="e">
        <f t="shared" si="375"/>
        <v>#N/A</v>
      </c>
      <c r="DK316" s="495" t="e">
        <f t="shared" si="334"/>
        <v>#N/A</v>
      </c>
      <c r="DL316" s="496">
        <f t="shared" si="335"/>
        <v>0</v>
      </c>
      <c r="DM316" s="494" t="e">
        <f>INDEX(D03_Skills!$AA$3:$BU$41,MATCH(C_Variables!$G322,D03_Skills!$Z$3:$Z$41,0),MATCH(C_Variables!DR$313,D03_Skills!$AA$2:$BU$2,0))</f>
        <v>#N/A</v>
      </c>
      <c r="DN316" s="495" t="e">
        <f t="shared" si="376"/>
        <v>#N/A</v>
      </c>
      <c r="DO316" s="495" t="e">
        <f>IF(DN316&gt;0,1+COUNTIF(DO$314:DO315,"&gt;0"),0)</f>
        <v>#N/A</v>
      </c>
      <c r="DP316" s="495" t="e">
        <f t="shared" si="377"/>
        <v>#N/A</v>
      </c>
      <c r="DQ316" s="495" t="e">
        <f t="shared" si="336"/>
        <v>#N/A</v>
      </c>
      <c r="DR316" s="496">
        <f t="shared" si="337"/>
        <v>0</v>
      </c>
      <c r="DS316" s="494" t="e">
        <f>INDEX(D03_Skills!$AA$3:$BU$41,MATCH(C_Variables!$G322,D03_Skills!$Z$3:$Z$41,0),MATCH(C_Variables!DX$313,D03_Skills!$AA$2:$BU$2,0))</f>
        <v>#N/A</v>
      </c>
      <c r="DT316" s="495" t="e">
        <f t="shared" si="378"/>
        <v>#N/A</v>
      </c>
      <c r="DU316" s="495" t="e">
        <f>IF(DT316&gt;0,1+COUNTIF(DU$314:DU315,"&gt;0"),0)</f>
        <v>#N/A</v>
      </c>
      <c r="DV316" s="495" t="e">
        <f t="shared" si="379"/>
        <v>#N/A</v>
      </c>
      <c r="DW316" s="495" t="e">
        <f t="shared" si="338"/>
        <v>#N/A</v>
      </c>
      <c r="DX316" s="496">
        <f t="shared" si="339"/>
        <v>0</v>
      </c>
      <c r="DY316" s="501"/>
    </row>
    <row r="317" spans="1:129" ht="16.5" x14ac:dyDescent="0.3">
      <c r="A317" s="155">
        <f>IFERROR(IF(A316+1&lt;MAX(D041_ClassFeatures!$A$2:$A$2033),A316+1,""),"")</f>
        <v>314</v>
      </c>
      <c r="B317" s="153" t="str">
        <f>IFERROR(INDEX(D041_ClassFeatures!$B$2:$B$2033,MATCH(C_Variables!A317,D041_ClassFeatures!$A$2:$A$2033,0),1),"")</f>
        <v>Portent 2d20</v>
      </c>
      <c r="C317" s="153">
        <f>IF(B317="",0,IF(IFERROR(MATCH(B317,C_Input!$BC$160:$BC$239,0),0)&gt;0,1,0))</f>
        <v>0</v>
      </c>
      <c r="E317" s="501"/>
      <c r="F317" s="501"/>
      <c r="G317" t="s">
        <v>6914</v>
      </c>
      <c r="H317" t="e">
        <f>INDEX(D04_Classes!J3:K102,SelectedClassID,2)</f>
        <v>#N/A</v>
      </c>
      <c r="I317" s="494">
        <f>INDEX(D03_Skills!$AA$3:$BU$41,MATCH(C_Variables!$G323,D03_Skills!$Z$3:$Z$41,0),MATCH(C_Variables!N$313,D03_Skills!$AA$2:$BU$2,0))</f>
        <v>0</v>
      </c>
      <c r="J317" s="495">
        <f t="shared" si="340"/>
        <v>0</v>
      </c>
      <c r="K317" s="495">
        <f>IF(I317&gt;0,1+COUNTIF(K$314:K316,"&gt;0"),0)</f>
        <v>0</v>
      </c>
      <c r="L317" s="495" t="str">
        <f t="shared" si="341"/>
        <v/>
      </c>
      <c r="M317" s="495" t="str">
        <f t="shared" si="300"/>
        <v/>
      </c>
      <c r="N317" s="496">
        <f t="shared" si="301"/>
        <v>0</v>
      </c>
      <c r="O317" s="494">
        <f>INDEX(D03_Skills!$AA$3:$BU$41,MATCH(C_Variables!$G323,D03_Skills!$Z$3:$Z$41,0),MATCH(C_Variables!T$313,D03_Skills!$AA$2:$BU$2,0))</f>
        <v>1</v>
      </c>
      <c r="P317" s="495">
        <f t="shared" si="342"/>
        <v>1</v>
      </c>
      <c r="Q317" s="495">
        <f>IF(P317&gt;0,1+COUNTIF(Q$314:Q316,"&gt;0"),0)</f>
        <v>4</v>
      </c>
      <c r="R317" s="495" t="str">
        <f t="shared" si="343"/>
        <v/>
      </c>
      <c r="S317" s="495" t="str">
        <f t="shared" si="302"/>
        <v>n/a</v>
      </c>
      <c r="T317" s="496">
        <f t="shared" si="303"/>
        <v>0</v>
      </c>
      <c r="U317" s="494">
        <f>INDEX(D03_Skills!$AA$3:$BU$41,MATCH(C_Variables!$G323,D03_Skills!$Z$3:$Z$41,0),MATCH(C_Variables!Z$313,D03_Skills!$AA$2:$BU$2,0))</f>
        <v>1</v>
      </c>
      <c r="V317" s="495">
        <f t="shared" si="344"/>
        <v>1</v>
      </c>
      <c r="W317" s="495">
        <f>IF(V317&gt;0,1+COUNTIF(W$314:W316,"&gt;0"),0)</f>
        <v>4</v>
      </c>
      <c r="X317" s="495" t="str">
        <f t="shared" si="345"/>
        <v/>
      </c>
      <c r="Y317" s="495" t="str">
        <f t="shared" si="304"/>
        <v>n/a</v>
      </c>
      <c r="Z317" s="496">
        <f t="shared" si="305"/>
        <v>0</v>
      </c>
      <c r="AA317" s="494">
        <f>INDEX(D03_Skills!$AA$3:$BU$41,MATCH(C_Variables!$G323,D03_Skills!$Z$3:$Z$41,0),MATCH(C_Variables!AF$313,D03_Skills!$AA$2:$BU$2,0))</f>
        <v>1</v>
      </c>
      <c r="AB317" s="495">
        <f t="shared" si="346"/>
        <v>1</v>
      </c>
      <c r="AC317" s="495">
        <f>IF(AB317&gt;0,1+COUNTIF(AC$314:AC316,"&gt;0"),0)</f>
        <v>4</v>
      </c>
      <c r="AD317" s="495" t="str">
        <f t="shared" si="347"/>
        <v/>
      </c>
      <c r="AE317" s="495" t="str">
        <f t="shared" si="306"/>
        <v>n/a</v>
      </c>
      <c r="AF317" s="496">
        <f t="shared" si="307"/>
        <v>0</v>
      </c>
      <c r="AG317" s="494">
        <f>INDEX(D03_Skills!$AA$3:$BU$41,MATCH(C_Variables!$G323,D03_Skills!$Z$3:$Z$41,0),MATCH(C_Variables!AL$313,D03_Skills!$AA$2:$BU$2,0))</f>
        <v>0</v>
      </c>
      <c r="AH317" s="495">
        <f t="shared" si="348"/>
        <v>0</v>
      </c>
      <c r="AI317" s="495">
        <f>IF(AH317&gt;0,1+COUNTIF(AI$314:AI316,"&gt;0"),0)</f>
        <v>0</v>
      </c>
      <c r="AJ317" s="495" t="str">
        <f t="shared" si="349"/>
        <v/>
      </c>
      <c r="AK317" s="495" t="str">
        <f t="shared" si="308"/>
        <v/>
      </c>
      <c r="AL317" s="496">
        <f t="shared" si="309"/>
        <v>0</v>
      </c>
      <c r="AM317" s="494">
        <f>INDEX(D03_Skills!$AA$3:$BU$41,MATCH(C_Variables!$G323,D03_Skills!$Z$3:$Z$41,0),MATCH(C_Variables!AR$313,D03_Skills!$AA$2:$BU$2,0))</f>
        <v>0</v>
      </c>
      <c r="AN317" s="495">
        <f t="shared" si="350"/>
        <v>0</v>
      </c>
      <c r="AO317" s="495">
        <f>IF(AN317&gt;0,1+COUNTIF(AO$314:AO316,"&gt;0"),0)</f>
        <v>0</v>
      </c>
      <c r="AP317" s="495" t="str">
        <f t="shared" si="351"/>
        <v/>
      </c>
      <c r="AQ317" s="495" t="str">
        <f t="shared" si="310"/>
        <v/>
      </c>
      <c r="AR317" s="496">
        <f t="shared" si="311"/>
        <v>0</v>
      </c>
      <c r="AS317" s="494">
        <f>INDEX(D03_Skills!$AA$3:$BU$41,MATCH(C_Variables!$G323,D03_Skills!$Z$3:$Z$41,0),MATCH(C_Variables!AX$313,D03_Skills!$AA$2:$BU$2,0))</f>
        <v>0</v>
      </c>
      <c r="AT317" s="495">
        <f t="shared" si="352"/>
        <v>0</v>
      </c>
      <c r="AU317" s="495">
        <f>IF(AT317&gt;0,1+COUNTIF(AU$314:AU316,"&gt;0"),0)</f>
        <v>0</v>
      </c>
      <c r="AV317" s="495" t="str">
        <f t="shared" si="353"/>
        <v/>
      </c>
      <c r="AW317" s="495" t="str">
        <f t="shared" si="312"/>
        <v/>
      </c>
      <c r="AX317" s="496">
        <f t="shared" si="313"/>
        <v>0</v>
      </c>
      <c r="AY317" s="494">
        <f>INDEX(D03_Skills!$AA$3:$BU$41,MATCH(C_Variables!$G323,D03_Skills!$Z$3:$Z$41,0),MATCH(C_Variables!BD$313,D03_Skills!$AA$2:$BU$2,0))</f>
        <v>1</v>
      </c>
      <c r="AZ317" s="495">
        <f t="shared" si="354"/>
        <v>1</v>
      </c>
      <c r="BA317" s="495">
        <f>IF(AZ317&gt;0,1+COUNTIF(BA$314:BA316,"&gt;0"),0)</f>
        <v>4</v>
      </c>
      <c r="BB317" s="495" t="str">
        <f t="shared" si="355"/>
        <v/>
      </c>
      <c r="BC317" s="495" t="str">
        <f t="shared" si="314"/>
        <v>n/a</v>
      </c>
      <c r="BD317" s="496">
        <f t="shared" si="315"/>
        <v>0</v>
      </c>
      <c r="BE317" s="494">
        <f>INDEX(D03_Skills!$AA$3:$BU$41,MATCH(C_Variables!$G323,D03_Skills!$Z$3:$Z$41,0),MATCH(C_Variables!BJ$313,D03_Skills!$AA$2:$BU$2,0))</f>
        <v>1</v>
      </c>
      <c r="BF317" s="495">
        <f t="shared" si="356"/>
        <v>1</v>
      </c>
      <c r="BG317" s="495">
        <f>IF(BF317&gt;0,1+COUNTIF(BG$314:BG316,"&gt;0"),0)</f>
        <v>4</v>
      </c>
      <c r="BH317" s="495" t="str">
        <f t="shared" si="357"/>
        <v/>
      </c>
      <c r="BI317" s="495" t="str">
        <f t="shared" si="316"/>
        <v>n/a</v>
      </c>
      <c r="BJ317" s="496">
        <f t="shared" si="317"/>
        <v>0</v>
      </c>
      <c r="BK317" s="494">
        <f>INDEX(D03_Skills!$AA$3:$BU$41,MATCH(C_Variables!$G323,D03_Skills!$Z$3:$Z$41,0),MATCH(C_Variables!BP$313,D03_Skills!$AA$2:$BU$2,0))</f>
        <v>1</v>
      </c>
      <c r="BL317" s="495">
        <f t="shared" si="358"/>
        <v>1</v>
      </c>
      <c r="BM317" s="495">
        <f>IF(BL317&gt;0,1+COUNTIF(BM$314:BM316,"&gt;0"),0)</f>
        <v>4</v>
      </c>
      <c r="BN317" s="495" t="str">
        <f t="shared" si="359"/>
        <v/>
      </c>
      <c r="BO317" s="495" t="str">
        <f t="shared" si="318"/>
        <v>n/a</v>
      </c>
      <c r="BP317" s="496">
        <f t="shared" si="319"/>
        <v>0</v>
      </c>
      <c r="BQ317" s="494">
        <f>INDEX(D03_Skills!$AA$3:$BU$41,MATCH(C_Variables!$G323,D03_Skills!$Z$3:$Z$41,0),MATCH(C_Variables!BV$313,D03_Skills!$AA$2:$BU$2,0))</f>
        <v>1</v>
      </c>
      <c r="BR317" s="495">
        <f t="shared" si="360"/>
        <v>1</v>
      </c>
      <c r="BS317" s="495">
        <f>IF(BR317&gt;0,1+COUNTIF(BS$314:BS316,"&gt;0"),0)</f>
        <v>4</v>
      </c>
      <c r="BT317" s="495" t="str">
        <f t="shared" si="361"/>
        <v/>
      </c>
      <c r="BU317" s="495" t="str">
        <f t="shared" si="320"/>
        <v>n/a</v>
      </c>
      <c r="BV317" s="496">
        <f t="shared" si="321"/>
        <v>0</v>
      </c>
      <c r="BW317" s="494">
        <f>INDEX(D03_Skills!$AA$3:$BU$41,MATCH(C_Variables!$G323,D03_Skills!$Z$3:$Z$41,0),MATCH(C_Variables!CB$313,D03_Skills!$AA$2:$BU$2,0))</f>
        <v>1</v>
      </c>
      <c r="BX317" s="495">
        <f t="shared" si="362"/>
        <v>1</v>
      </c>
      <c r="BY317" s="495">
        <f>IF(BX317&gt;0,1+COUNTIF(BY$314:BY316,"&gt;0"),0)</f>
        <v>4</v>
      </c>
      <c r="BZ317" s="495" t="str">
        <f t="shared" si="363"/>
        <v/>
      </c>
      <c r="CA317" s="495" t="str">
        <f t="shared" si="322"/>
        <v>n/a</v>
      </c>
      <c r="CB317" s="496">
        <f t="shared" si="323"/>
        <v>0</v>
      </c>
      <c r="CC317" s="494" t="e">
        <f>INDEX(D03_Skills!$AA$3:$BU$41,MATCH(C_Variables!$G323,D03_Skills!$Z$3:$Z$41,0),MATCH(C_Variables!CH$313,D03_Skills!$AA$2:$BU$2,0))</f>
        <v>#N/A</v>
      </c>
      <c r="CD317" s="495" t="e">
        <f t="shared" si="364"/>
        <v>#N/A</v>
      </c>
      <c r="CE317" s="495" t="e">
        <f>IF(CD317&gt;0,1+COUNTIF(CE$314:CE316,"&gt;0"),0)</f>
        <v>#N/A</v>
      </c>
      <c r="CF317" s="495" t="e">
        <f t="shared" si="365"/>
        <v>#N/A</v>
      </c>
      <c r="CG317" s="495" t="e">
        <f t="shared" si="324"/>
        <v>#N/A</v>
      </c>
      <c r="CH317" s="496">
        <f t="shared" si="325"/>
        <v>0</v>
      </c>
      <c r="CI317" s="494" t="e">
        <f>INDEX(D03_Skills!$AA$3:$BU$41,MATCH(C_Variables!$G323,D03_Skills!$Z$3:$Z$41,0),MATCH(C_Variables!CN$313,D03_Skills!$AA$2:$BU$2,0))</f>
        <v>#N/A</v>
      </c>
      <c r="CJ317" s="495" t="e">
        <f t="shared" si="366"/>
        <v>#N/A</v>
      </c>
      <c r="CK317" s="495" t="e">
        <f>IF(CJ317&gt;0,1+COUNTIF(CK$314:CK316,"&gt;0"),0)</f>
        <v>#N/A</v>
      </c>
      <c r="CL317" s="495" t="e">
        <f t="shared" si="367"/>
        <v>#N/A</v>
      </c>
      <c r="CM317" s="495" t="e">
        <f t="shared" si="326"/>
        <v>#N/A</v>
      </c>
      <c r="CN317" s="496">
        <f t="shared" si="327"/>
        <v>0</v>
      </c>
      <c r="CO317" s="494" t="e">
        <f>INDEX(D03_Skills!$AA$3:$BU$41,MATCH(C_Variables!$G323,D03_Skills!$Z$3:$Z$41,0),MATCH(C_Variables!CT$313,D03_Skills!$AA$2:$BU$2,0))</f>
        <v>#N/A</v>
      </c>
      <c r="CP317" s="495" t="e">
        <f t="shared" si="368"/>
        <v>#N/A</v>
      </c>
      <c r="CQ317" s="495" t="e">
        <f>IF(CP317&gt;0,1+COUNTIF(CQ$314:CQ316,"&gt;0"),0)</f>
        <v>#N/A</v>
      </c>
      <c r="CR317" s="495" t="e">
        <f t="shared" si="369"/>
        <v>#N/A</v>
      </c>
      <c r="CS317" s="495" t="e">
        <f t="shared" si="328"/>
        <v>#N/A</v>
      </c>
      <c r="CT317" s="496">
        <f t="shared" si="329"/>
        <v>0</v>
      </c>
      <c r="CU317" s="494" t="e">
        <f>INDEX(D03_Skills!$AA$3:$BU$41,MATCH(C_Variables!$G323,D03_Skills!$Z$3:$Z$41,0),MATCH(C_Variables!CZ$313,D03_Skills!$AA$2:$BU$2,0))</f>
        <v>#N/A</v>
      </c>
      <c r="CV317" s="495" t="e">
        <f t="shared" si="370"/>
        <v>#N/A</v>
      </c>
      <c r="CW317" s="495" t="e">
        <f>IF(CV317&gt;0,1+COUNTIF(CW$314:CW316,"&gt;0"),0)</f>
        <v>#N/A</v>
      </c>
      <c r="CX317" s="495" t="e">
        <f t="shared" si="371"/>
        <v>#N/A</v>
      </c>
      <c r="CY317" s="495" t="e">
        <f t="shared" si="330"/>
        <v>#N/A</v>
      </c>
      <c r="CZ317" s="496">
        <f t="shared" si="331"/>
        <v>0</v>
      </c>
      <c r="DA317" s="494" t="e">
        <f>INDEX(D03_Skills!$AA$3:$BU$41,MATCH(C_Variables!$G323,D03_Skills!$Z$3:$Z$41,0),MATCH(C_Variables!DF$313,D03_Skills!$AA$2:$BU$2,0))</f>
        <v>#N/A</v>
      </c>
      <c r="DB317" s="495" t="e">
        <f t="shared" si="372"/>
        <v>#N/A</v>
      </c>
      <c r="DC317" s="495" t="e">
        <f>IF(DB317&gt;0,1+COUNTIF(DC$314:DC316,"&gt;0"),0)</f>
        <v>#N/A</v>
      </c>
      <c r="DD317" s="495" t="e">
        <f t="shared" si="373"/>
        <v>#N/A</v>
      </c>
      <c r="DE317" s="495" t="e">
        <f t="shared" si="332"/>
        <v>#N/A</v>
      </c>
      <c r="DF317" s="496">
        <f t="shared" si="333"/>
        <v>0</v>
      </c>
      <c r="DG317" s="494" t="e">
        <f>INDEX(D03_Skills!$AA$3:$BU$41,MATCH(C_Variables!$G323,D03_Skills!$Z$3:$Z$41,0),MATCH(C_Variables!DL$313,D03_Skills!$AA$2:$BU$2,0))</f>
        <v>#N/A</v>
      </c>
      <c r="DH317" s="495" t="e">
        <f t="shared" si="374"/>
        <v>#N/A</v>
      </c>
      <c r="DI317" s="495" t="e">
        <f>IF(DH317&gt;0,1+COUNTIF(DI$314:DI316,"&gt;0"),0)</f>
        <v>#N/A</v>
      </c>
      <c r="DJ317" s="495" t="e">
        <f t="shared" si="375"/>
        <v>#N/A</v>
      </c>
      <c r="DK317" s="495" t="e">
        <f t="shared" si="334"/>
        <v>#N/A</v>
      </c>
      <c r="DL317" s="496">
        <f t="shared" si="335"/>
        <v>0</v>
      </c>
      <c r="DM317" s="494" t="e">
        <f>INDEX(D03_Skills!$AA$3:$BU$41,MATCH(C_Variables!$G323,D03_Skills!$Z$3:$Z$41,0),MATCH(C_Variables!DR$313,D03_Skills!$AA$2:$BU$2,0))</f>
        <v>#N/A</v>
      </c>
      <c r="DN317" s="495" t="e">
        <f t="shared" si="376"/>
        <v>#N/A</v>
      </c>
      <c r="DO317" s="495" t="e">
        <f>IF(DN317&gt;0,1+COUNTIF(DO$314:DO316,"&gt;0"),0)</f>
        <v>#N/A</v>
      </c>
      <c r="DP317" s="495" t="e">
        <f t="shared" si="377"/>
        <v>#N/A</v>
      </c>
      <c r="DQ317" s="495" t="e">
        <f t="shared" si="336"/>
        <v>#N/A</v>
      </c>
      <c r="DR317" s="496">
        <f t="shared" si="337"/>
        <v>0</v>
      </c>
      <c r="DS317" s="494" t="e">
        <f>INDEX(D03_Skills!$AA$3:$BU$41,MATCH(C_Variables!$G323,D03_Skills!$Z$3:$Z$41,0),MATCH(C_Variables!DX$313,D03_Skills!$AA$2:$BU$2,0))</f>
        <v>#N/A</v>
      </c>
      <c r="DT317" s="495" t="e">
        <f t="shared" si="378"/>
        <v>#N/A</v>
      </c>
      <c r="DU317" s="495" t="e">
        <f>IF(DT317&gt;0,1+COUNTIF(DU$314:DU316,"&gt;0"),0)</f>
        <v>#N/A</v>
      </c>
      <c r="DV317" s="495" t="e">
        <f t="shared" si="379"/>
        <v>#N/A</v>
      </c>
      <c r="DW317" s="495" t="e">
        <f t="shared" si="338"/>
        <v>#N/A</v>
      </c>
      <c r="DX317" s="496">
        <f t="shared" si="339"/>
        <v>0</v>
      </c>
      <c r="DY317" s="501"/>
    </row>
    <row r="318" spans="1:129" ht="16.5" x14ac:dyDescent="0.3">
      <c r="A318" s="155">
        <f>IFERROR(IF(A317+1&lt;MAX(D041_ClassFeatures!$A$2:$A$2033),A317+1,""),"")</f>
        <v>315</v>
      </c>
      <c r="B318" s="153" t="str">
        <f>IFERROR(INDEX(D041_ClassFeatures!$B$2:$B$2033,MATCH(C_Variables!A318,D041_ClassFeatures!$A$2:$A$2033,0),1),"")</f>
        <v>Expert Divination</v>
      </c>
      <c r="C318" s="153">
        <f>IF(B318="",0,IF(IFERROR(MATCH(B318,C_Input!$BC$160:$BC$239,0),0)&gt;0,1,0))</f>
        <v>0</v>
      </c>
      <c r="E318" s="501"/>
      <c r="F318" s="501"/>
      <c r="G318" t="s">
        <v>6915</v>
      </c>
      <c r="H318" t="e">
        <f>INDEX(D04_Classes!L3:L102,SelectedClassID,1)</f>
        <v>#N/A</v>
      </c>
      <c r="I318" s="494">
        <f>INDEX(D03_Skills!$AA$3:$BU$41,MATCH(C_Variables!$G324,D03_Skills!$Z$3:$Z$41,0),MATCH(C_Variables!N$313,D03_Skills!$AA$2:$BU$2,0))</f>
        <v>0</v>
      </c>
      <c r="J318" s="495">
        <f t="shared" si="340"/>
        <v>0</v>
      </c>
      <c r="K318" s="495">
        <f>IF(I318&gt;0,1+COUNTIF(K$314:K317,"&gt;0"),0)</f>
        <v>0</v>
      </c>
      <c r="L318" s="495" t="str">
        <f t="shared" si="341"/>
        <v/>
      </c>
      <c r="M318" s="495" t="str">
        <f t="shared" si="300"/>
        <v/>
      </c>
      <c r="N318" s="496">
        <f t="shared" si="301"/>
        <v>0</v>
      </c>
      <c r="O318" s="494">
        <f>INDEX(D03_Skills!$AA$3:$BU$41,MATCH(C_Variables!$G324,D03_Skills!$Z$3:$Z$41,0),MATCH(C_Variables!T$313,D03_Skills!$AA$2:$BU$2,0))</f>
        <v>1</v>
      </c>
      <c r="P318" s="495">
        <f t="shared" si="342"/>
        <v>1</v>
      </c>
      <c r="Q318" s="495">
        <f>IF(P318&gt;0,1+COUNTIF(Q$314:Q317,"&gt;0"),0)</f>
        <v>5</v>
      </c>
      <c r="R318" s="495" t="str">
        <f t="shared" si="343"/>
        <v/>
      </c>
      <c r="S318" s="495" t="str">
        <f t="shared" si="302"/>
        <v>n/a</v>
      </c>
      <c r="T318" s="496">
        <f t="shared" si="303"/>
        <v>0</v>
      </c>
      <c r="U318" s="494">
        <f>INDEX(D03_Skills!$AA$3:$BU$41,MATCH(C_Variables!$G324,D03_Skills!$Z$3:$Z$41,0),MATCH(C_Variables!Z$313,D03_Skills!$AA$2:$BU$2,0))</f>
        <v>1</v>
      </c>
      <c r="V318" s="495">
        <f t="shared" si="344"/>
        <v>1</v>
      </c>
      <c r="W318" s="495">
        <f>IF(V318&gt;0,1+COUNTIF(W$314:W317,"&gt;0"),0)</f>
        <v>5</v>
      </c>
      <c r="X318" s="495" t="str">
        <f t="shared" si="345"/>
        <v/>
      </c>
      <c r="Y318" s="495" t="str">
        <f t="shared" si="304"/>
        <v>n/a</v>
      </c>
      <c r="Z318" s="496">
        <f t="shared" si="305"/>
        <v>0</v>
      </c>
      <c r="AA318" s="494">
        <f>INDEX(D03_Skills!$AA$3:$BU$41,MATCH(C_Variables!$G324,D03_Skills!$Z$3:$Z$41,0),MATCH(C_Variables!AF$313,D03_Skills!$AA$2:$BU$2,0))</f>
        <v>1</v>
      </c>
      <c r="AB318" s="495">
        <f t="shared" si="346"/>
        <v>1</v>
      </c>
      <c r="AC318" s="495">
        <f>IF(AB318&gt;0,1+COUNTIF(AC$314:AC317,"&gt;0"),0)</f>
        <v>5</v>
      </c>
      <c r="AD318" s="495" t="str">
        <f t="shared" si="347"/>
        <v/>
      </c>
      <c r="AE318" s="495" t="str">
        <f t="shared" si="306"/>
        <v>n/a</v>
      </c>
      <c r="AF318" s="496">
        <f t="shared" si="307"/>
        <v>0</v>
      </c>
      <c r="AG318" s="494">
        <f>INDEX(D03_Skills!$AA$3:$BU$41,MATCH(C_Variables!$G324,D03_Skills!$Z$3:$Z$41,0),MATCH(C_Variables!AL$313,D03_Skills!$AA$2:$BU$2,0))</f>
        <v>0</v>
      </c>
      <c r="AH318" s="495">
        <f t="shared" si="348"/>
        <v>0</v>
      </c>
      <c r="AI318" s="495">
        <f>IF(AH318&gt;0,1+COUNTIF(AI$314:AI317,"&gt;0"),0)</f>
        <v>0</v>
      </c>
      <c r="AJ318" s="495" t="str">
        <f t="shared" si="349"/>
        <v/>
      </c>
      <c r="AK318" s="495" t="str">
        <f t="shared" si="308"/>
        <v/>
      </c>
      <c r="AL318" s="496">
        <f t="shared" si="309"/>
        <v>0</v>
      </c>
      <c r="AM318" s="494">
        <f>INDEX(D03_Skills!$AA$3:$BU$41,MATCH(C_Variables!$G324,D03_Skills!$Z$3:$Z$41,0),MATCH(C_Variables!AR$313,D03_Skills!$AA$2:$BU$2,0))</f>
        <v>0</v>
      </c>
      <c r="AN318" s="495">
        <f t="shared" si="350"/>
        <v>0</v>
      </c>
      <c r="AO318" s="495">
        <f>IF(AN318&gt;0,1+COUNTIF(AO$314:AO317,"&gt;0"),0)</f>
        <v>0</v>
      </c>
      <c r="AP318" s="495" t="str">
        <f t="shared" si="351"/>
        <v/>
      </c>
      <c r="AQ318" s="495" t="str">
        <f t="shared" si="310"/>
        <v/>
      </c>
      <c r="AR318" s="496">
        <f t="shared" si="311"/>
        <v>0</v>
      </c>
      <c r="AS318" s="494">
        <f>INDEX(D03_Skills!$AA$3:$BU$41,MATCH(C_Variables!$G324,D03_Skills!$Z$3:$Z$41,0),MATCH(C_Variables!AX$313,D03_Skills!$AA$2:$BU$2,0))</f>
        <v>0</v>
      </c>
      <c r="AT318" s="495">
        <f t="shared" si="352"/>
        <v>0</v>
      </c>
      <c r="AU318" s="495">
        <f>IF(AT318&gt;0,1+COUNTIF(AU$314:AU317,"&gt;0"),0)</f>
        <v>0</v>
      </c>
      <c r="AV318" s="495" t="str">
        <f t="shared" si="353"/>
        <v/>
      </c>
      <c r="AW318" s="495" t="str">
        <f t="shared" si="312"/>
        <v/>
      </c>
      <c r="AX318" s="496">
        <f t="shared" si="313"/>
        <v>0</v>
      </c>
      <c r="AY318" s="494">
        <f>INDEX(D03_Skills!$AA$3:$BU$41,MATCH(C_Variables!$G324,D03_Skills!$Z$3:$Z$41,0),MATCH(C_Variables!BD$313,D03_Skills!$AA$2:$BU$2,0))</f>
        <v>1</v>
      </c>
      <c r="AZ318" s="495">
        <f t="shared" si="354"/>
        <v>1</v>
      </c>
      <c r="BA318" s="495">
        <f>IF(AZ318&gt;0,1+COUNTIF(BA$314:BA317,"&gt;0"),0)</f>
        <v>5</v>
      </c>
      <c r="BB318" s="495" t="str">
        <f t="shared" si="355"/>
        <v/>
      </c>
      <c r="BC318" s="495" t="str">
        <f t="shared" si="314"/>
        <v>n/a</v>
      </c>
      <c r="BD318" s="496">
        <f t="shared" si="315"/>
        <v>0</v>
      </c>
      <c r="BE318" s="494">
        <f>INDEX(D03_Skills!$AA$3:$BU$41,MATCH(C_Variables!$G324,D03_Skills!$Z$3:$Z$41,0),MATCH(C_Variables!BJ$313,D03_Skills!$AA$2:$BU$2,0))</f>
        <v>1</v>
      </c>
      <c r="BF318" s="495">
        <f t="shared" si="356"/>
        <v>1</v>
      </c>
      <c r="BG318" s="495">
        <f>IF(BF318&gt;0,1+COUNTIF(BG$314:BG317,"&gt;0"),0)</f>
        <v>5</v>
      </c>
      <c r="BH318" s="495" t="str">
        <f t="shared" si="357"/>
        <v/>
      </c>
      <c r="BI318" s="495" t="str">
        <f t="shared" si="316"/>
        <v>n/a</v>
      </c>
      <c r="BJ318" s="496">
        <f t="shared" si="317"/>
        <v>0</v>
      </c>
      <c r="BK318" s="494">
        <f>INDEX(D03_Skills!$AA$3:$BU$41,MATCH(C_Variables!$G324,D03_Skills!$Z$3:$Z$41,0),MATCH(C_Variables!BP$313,D03_Skills!$AA$2:$BU$2,0))</f>
        <v>1</v>
      </c>
      <c r="BL318" s="495">
        <f t="shared" si="358"/>
        <v>1</v>
      </c>
      <c r="BM318" s="495">
        <f>IF(BL318&gt;0,1+COUNTIF(BM$314:BM317,"&gt;0"),0)</f>
        <v>5</v>
      </c>
      <c r="BN318" s="495" t="str">
        <f t="shared" si="359"/>
        <v/>
      </c>
      <c r="BO318" s="495" t="str">
        <f t="shared" si="318"/>
        <v>n/a</v>
      </c>
      <c r="BP318" s="496">
        <f t="shared" si="319"/>
        <v>0</v>
      </c>
      <c r="BQ318" s="494">
        <f>INDEX(D03_Skills!$AA$3:$BU$41,MATCH(C_Variables!$G324,D03_Skills!$Z$3:$Z$41,0),MATCH(C_Variables!BV$313,D03_Skills!$AA$2:$BU$2,0))</f>
        <v>1</v>
      </c>
      <c r="BR318" s="495">
        <f t="shared" si="360"/>
        <v>1</v>
      </c>
      <c r="BS318" s="495">
        <f>IF(BR318&gt;0,1+COUNTIF(BS$314:BS317,"&gt;0"),0)</f>
        <v>5</v>
      </c>
      <c r="BT318" s="495" t="str">
        <f t="shared" si="361"/>
        <v/>
      </c>
      <c r="BU318" s="495" t="str">
        <f t="shared" si="320"/>
        <v>n/a</v>
      </c>
      <c r="BV318" s="496">
        <f t="shared" si="321"/>
        <v>0</v>
      </c>
      <c r="BW318" s="494">
        <f>INDEX(D03_Skills!$AA$3:$BU$41,MATCH(C_Variables!$G324,D03_Skills!$Z$3:$Z$41,0),MATCH(C_Variables!CB$313,D03_Skills!$AA$2:$BU$2,0))</f>
        <v>1</v>
      </c>
      <c r="BX318" s="495">
        <f t="shared" si="362"/>
        <v>1</v>
      </c>
      <c r="BY318" s="495">
        <f>IF(BX318&gt;0,1+COUNTIF(BY$314:BY317,"&gt;0"),0)</f>
        <v>5</v>
      </c>
      <c r="BZ318" s="495" t="str">
        <f t="shared" si="363"/>
        <v/>
      </c>
      <c r="CA318" s="495" t="str">
        <f t="shared" si="322"/>
        <v>n/a</v>
      </c>
      <c r="CB318" s="496">
        <f t="shared" si="323"/>
        <v>0</v>
      </c>
      <c r="CC318" s="494" t="e">
        <f>INDEX(D03_Skills!$AA$3:$BU$41,MATCH(C_Variables!$G324,D03_Skills!$Z$3:$Z$41,0),MATCH(C_Variables!CH$313,D03_Skills!$AA$2:$BU$2,0))</f>
        <v>#N/A</v>
      </c>
      <c r="CD318" s="495" t="e">
        <f t="shared" si="364"/>
        <v>#N/A</v>
      </c>
      <c r="CE318" s="495" t="e">
        <f>IF(CD318&gt;0,1+COUNTIF(CE$314:CE317,"&gt;0"),0)</f>
        <v>#N/A</v>
      </c>
      <c r="CF318" s="495" t="e">
        <f t="shared" si="365"/>
        <v>#N/A</v>
      </c>
      <c r="CG318" s="495" t="e">
        <f t="shared" si="324"/>
        <v>#N/A</v>
      </c>
      <c r="CH318" s="496">
        <f t="shared" si="325"/>
        <v>0</v>
      </c>
      <c r="CI318" s="494" t="e">
        <f>INDEX(D03_Skills!$AA$3:$BU$41,MATCH(C_Variables!$G324,D03_Skills!$Z$3:$Z$41,0),MATCH(C_Variables!CN$313,D03_Skills!$AA$2:$BU$2,0))</f>
        <v>#N/A</v>
      </c>
      <c r="CJ318" s="495" t="e">
        <f t="shared" si="366"/>
        <v>#N/A</v>
      </c>
      <c r="CK318" s="495" t="e">
        <f>IF(CJ318&gt;0,1+COUNTIF(CK$314:CK317,"&gt;0"),0)</f>
        <v>#N/A</v>
      </c>
      <c r="CL318" s="495" t="e">
        <f t="shared" si="367"/>
        <v>#N/A</v>
      </c>
      <c r="CM318" s="495" t="e">
        <f t="shared" si="326"/>
        <v>#N/A</v>
      </c>
      <c r="CN318" s="496">
        <f t="shared" si="327"/>
        <v>0</v>
      </c>
      <c r="CO318" s="494" t="e">
        <f>INDEX(D03_Skills!$AA$3:$BU$41,MATCH(C_Variables!$G324,D03_Skills!$Z$3:$Z$41,0),MATCH(C_Variables!CT$313,D03_Skills!$AA$2:$BU$2,0))</f>
        <v>#N/A</v>
      </c>
      <c r="CP318" s="495" t="e">
        <f t="shared" si="368"/>
        <v>#N/A</v>
      </c>
      <c r="CQ318" s="495" t="e">
        <f>IF(CP318&gt;0,1+COUNTIF(CQ$314:CQ317,"&gt;0"),0)</f>
        <v>#N/A</v>
      </c>
      <c r="CR318" s="495" t="e">
        <f t="shared" si="369"/>
        <v>#N/A</v>
      </c>
      <c r="CS318" s="495" t="e">
        <f t="shared" si="328"/>
        <v>#N/A</v>
      </c>
      <c r="CT318" s="496">
        <f t="shared" si="329"/>
        <v>0</v>
      </c>
      <c r="CU318" s="494" t="e">
        <f>INDEX(D03_Skills!$AA$3:$BU$41,MATCH(C_Variables!$G324,D03_Skills!$Z$3:$Z$41,0),MATCH(C_Variables!CZ$313,D03_Skills!$AA$2:$BU$2,0))</f>
        <v>#N/A</v>
      </c>
      <c r="CV318" s="495" t="e">
        <f t="shared" si="370"/>
        <v>#N/A</v>
      </c>
      <c r="CW318" s="495" t="e">
        <f>IF(CV318&gt;0,1+COUNTIF(CW$314:CW317,"&gt;0"),0)</f>
        <v>#N/A</v>
      </c>
      <c r="CX318" s="495" t="e">
        <f t="shared" si="371"/>
        <v>#N/A</v>
      </c>
      <c r="CY318" s="495" t="e">
        <f t="shared" si="330"/>
        <v>#N/A</v>
      </c>
      <c r="CZ318" s="496">
        <f t="shared" si="331"/>
        <v>0</v>
      </c>
      <c r="DA318" s="494" t="e">
        <f>INDEX(D03_Skills!$AA$3:$BU$41,MATCH(C_Variables!$G324,D03_Skills!$Z$3:$Z$41,0),MATCH(C_Variables!DF$313,D03_Skills!$AA$2:$BU$2,0))</f>
        <v>#N/A</v>
      </c>
      <c r="DB318" s="495" t="e">
        <f t="shared" si="372"/>
        <v>#N/A</v>
      </c>
      <c r="DC318" s="495" t="e">
        <f>IF(DB318&gt;0,1+COUNTIF(DC$314:DC317,"&gt;0"),0)</f>
        <v>#N/A</v>
      </c>
      <c r="DD318" s="495" t="e">
        <f t="shared" si="373"/>
        <v>#N/A</v>
      </c>
      <c r="DE318" s="495" t="e">
        <f t="shared" si="332"/>
        <v>#N/A</v>
      </c>
      <c r="DF318" s="496">
        <f t="shared" si="333"/>
        <v>0</v>
      </c>
      <c r="DG318" s="494" t="e">
        <f>INDEX(D03_Skills!$AA$3:$BU$41,MATCH(C_Variables!$G324,D03_Skills!$Z$3:$Z$41,0),MATCH(C_Variables!DL$313,D03_Skills!$AA$2:$BU$2,0))</f>
        <v>#N/A</v>
      </c>
      <c r="DH318" s="495" t="e">
        <f t="shared" si="374"/>
        <v>#N/A</v>
      </c>
      <c r="DI318" s="495" t="e">
        <f>IF(DH318&gt;0,1+COUNTIF(DI$314:DI317,"&gt;0"),0)</f>
        <v>#N/A</v>
      </c>
      <c r="DJ318" s="495" t="e">
        <f t="shared" si="375"/>
        <v>#N/A</v>
      </c>
      <c r="DK318" s="495" t="e">
        <f t="shared" si="334"/>
        <v>#N/A</v>
      </c>
      <c r="DL318" s="496">
        <f t="shared" si="335"/>
        <v>0</v>
      </c>
      <c r="DM318" s="494" t="e">
        <f>INDEX(D03_Skills!$AA$3:$BU$41,MATCH(C_Variables!$G324,D03_Skills!$Z$3:$Z$41,0),MATCH(C_Variables!DR$313,D03_Skills!$AA$2:$BU$2,0))</f>
        <v>#N/A</v>
      </c>
      <c r="DN318" s="495" t="e">
        <f t="shared" si="376"/>
        <v>#N/A</v>
      </c>
      <c r="DO318" s="495" t="e">
        <f>IF(DN318&gt;0,1+COUNTIF(DO$314:DO317,"&gt;0"),0)</f>
        <v>#N/A</v>
      </c>
      <c r="DP318" s="495" t="e">
        <f t="shared" si="377"/>
        <v>#N/A</v>
      </c>
      <c r="DQ318" s="495" t="e">
        <f t="shared" si="336"/>
        <v>#N/A</v>
      </c>
      <c r="DR318" s="496">
        <f t="shared" si="337"/>
        <v>0</v>
      </c>
      <c r="DS318" s="494" t="e">
        <f>INDEX(D03_Skills!$AA$3:$BU$41,MATCH(C_Variables!$G324,D03_Skills!$Z$3:$Z$41,0),MATCH(C_Variables!DX$313,D03_Skills!$AA$2:$BU$2,0))</f>
        <v>#N/A</v>
      </c>
      <c r="DT318" s="495" t="e">
        <f t="shared" si="378"/>
        <v>#N/A</v>
      </c>
      <c r="DU318" s="495" t="e">
        <f>IF(DT318&gt;0,1+COUNTIF(DU$314:DU317,"&gt;0"),0)</f>
        <v>#N/A</v>
      </c>
      <c r="DV318" s="495" t="e">
        <f t="shared" si="379"/>
        <v>#N/A</v>
      </c>
      <c r="DW318" s="495" t="e">
        <f t="shared" si="338"/>
        <v>#N/A</v>
      </c>
      <c r="DX318" s="496">
        <f t="shared" si="339"/>
        <v>0</v>
      </c>
      <c r="DY318" s="501"/>
    </row>
    <row r="319" spans="1:129" ht="16.5" x14ac:dyDescent="0.3">
      <c r="A319" s="155">
        <f>IFERROR(IF(A318+1&lt;MAX(D041_ClassFeatures!$A$2:$A$2033),A318+1,""),"")</f>
        <v>316</v>
      </c>
      <c r="B319" s="153" t="str">
        <f>IFERROR(INDEX(D041_ClassFeatures!$B$2:$B$2033,MATCH(C_Variables!A319,D041_ClassFeatures!$A$2:$A$2033,0),1),"")</f>
        <v>The Third Eye</v>
      </c>
      <c r="C319" s="153">
        <f>IF(B319="",0,IF(IFERROR(MATCH(B319,C_Input!$BC$160:$BC$239,0),0)&gt;0,1,0))</f>
        <v>0</v>
      </c>
      <c r="E319" s="501"/>
      <c r="F319" s="501"/>
      <c r="I319" s="494">
        <f>INDEX(D03_Skills!$AA$3:$BU$41,MATCH(C_Variables!$G325,D03_Skills!$Z$3:$Z$41,0),MATCH(C_Variables!N$313,D03_Skills!$AA$2:$BU$2,0))</f>
        <v>0</v>
      </c>
      <c r="J319" s="495">
        <f t="shared" si="340"/>
        <v>0</v>
      </c>
      <c r="K319" s="495">
        <f>IF(I319&gt;0,1+COUNTIF(K$314:K318,"&gt;0"),0)</f>
        <v>0</v>
      </c>
      <c r="L319" s="495" t="str">
        <f t="shared" si="341"/>
        <v/>
      </c>
      <c r="M319" s="495" t="str">
        <f t="shared" si="300"/>
        <v/>
      </c>
      <c r="N319" s="496">
        <f t="shared" si="301"/>
        <v>0</v>
      </c>
      <c r="O319" s="494">
        <f>INDEX(D03_Skills!$AA$3:$BU$41,MATCH(C_Variables!$G325,D03_Skills!$Z$3:$Z$41,0),MATCH(C_Variables!T$313,D03_Skills!$AA$2:$BU$2,0))</f>
        <v>1</v>
      </c>
      <c r="P319" s="495">
        <f t="shared" si="342"/>
        <v>1</v>
      </c>
      <c r="Q319" s="495">
        <f>IF(P319&gt;0,1+COUNTIF(Q$314:Q318,"&gt;0"),0)</f>
        <v>6</v>
      </c>
      <c r="R319" s="495" t="str">
        <f t="shared" si="343"/>
        <v/>
      </c>
      <c r="S319" s="495" t="str">
        <f t="shared" si="302"/>
        <v>n/a</v>
      </c>
      <c r="T319" s="496">
        <f t="shared" si="303"/>
        <v>0</v>
      </c>
      <c r="U319" s="494">
        <f>INDEX(D03_Skills!$AA$3:$BU$41,MATCH(C_Variables!$G325,D03_Skills!$Z$3:$Z$41,0),MATCH(C_Variables!Z$313,D03_Skills!$AA$2:$BU$2,0))</f>
        <v>1</v>
      </c>
      <c r="V319" s="495">
        <f t="shared" si="344"/>
        <v>1</v>
      </c>
      <c r="W319" s="495">
        <f>IF(V319&gt;0,1+COUNTIF(W$314:W318,"&gt;0"),0)</f>
        <v>6</v>
      </c>
      <c r="X319" s="495" t="str">
        <f t="shared" si="345"/>
        <v/>
      </c>
      <c r="Y319" s="495" t="str">
        <f t="shared" si="304"/>
        <v>n/a</v>
      </c>
      <c r="Z319" s="496">
        <f t="shared" si="305"/>
        <v>0</v>
      </c>
      <c r="AA319" s="494">
        <f>INDEX(D03_Skills!$AA$3:$BU$41,MATCH(C_Variables!$G325,D03_Skills!$Z$3:$Z$41,0),MATCH(C_Variables!AF$313,D03_Skills!$AA$2:$BU$2,0))</f>
        <v>1</v>
      </c>
      <c r="AB319" s="495">
        <f t="shared" si="346"/>
        <v>1</v>
      </c>
      <c r="AC319" s="495">
        <f>IF(AB319&gt;0,1+COUNTIF(AC$314:AC318,"&gt;0"),0)</f>
        <v>6</v>
      </c>
      <c r="AD319" s="495" t="str">
        <f t="shared" si="347"/>
        <v/>
      </c>
      <c r="AE319" s="495" t="str">
        <f t="shared" si="306"/>
        <v>n/a</v>
      </c>
      <c r="AF319" s="496">
        <f t="shared" si="307"/>
        <v>0</v>
      </c>
      <c r="AG319" s="494">
        <f>INDEX(D03_Skills!$AA$3:$BU$41,MATCH(C_Variables!$G325,D03_Skills!$Z$3:$Z$41,0),MATCH(C_Variables!AL$313,D03_Skills!$AA$2:$BU$2,0))</f>
        <v>0</v>
      </c>
      <c r="AH319" s="495">
        <f t="shared" si="348"/>
        <v>0</v>
      </c>
      <c r="AI319" s="495">
        <f>IF(AH319&gt;0,1+COUNTIF(AI$314:AI318,"&gt;0"),0)</f>
        <v>0</v>
      </c>
      <c r="AJ319" s="495" t="str">
        <f t="shared" si="349"/>
        <v/>
      </c>
      <c r="AK319" s="495" t="str">
        <f t="shared" si="308"/>
        <v/>
      </c>
      <c r="AL319" s="496">
        <f t="shared" si="309"/>
        <v>0</v>
      </c>
      <c r="AM319" s="494">
        <f>INDEX(D03_Skills!$AA$3:$BU$41,MATCH(C_Variables!$G325,D03_Skills!$Z$3:$Z$41,0),MATCH(C_Variables!AR$313,D03_Skills!$AA$2:$BU$2,0))</f>
        <v>0</v>
      </c>
      <c r="AN319" s="495">
        <f t="shared" si="350"/>
        <v>0</v>
      </c>
      <c r="AO319" s="495">
        <f>IF(AN319&gt;0,1+COUNTIF(AO$314:AO318,"&gt;0"),0)</f>
        <v>0</v>
      </c>
      <c r="AP319" s="495" t="str">
        <f t="shared" si="351"/>
        <v/>
      </c>
      <c r="AQ319" s="495" t="str">
        <f t="shared" si="310"/>
        <v/>
      </c>
      <c r="AR319" s="496">
        <f t="shared" si="311"/>
        <v>0</v>
      </c>
      <c r="AS319" s="494">
        <f>INDEX(D03_Skills!$AA$3:$BU$41,MATCH(C_Variables!$G325,D03_Skills!$Z$3:$Z$41,0),MATCH(C_Variables!AX$313,D03_Skills!$AA$2:$BU$2,0))</f>
        <v>0</v>
      </c>
      <c r="AT319" s="495">
        <f t="shared" si="352"/>
        <v>0</v>
      </c>
      <c r="AU319" s="495">
        <f>IF(AT319&gt;0,1+COUNTIF(AU$314:AU318,"&gt;0"),0)</f>
        <v>0</v>
      </c>
      <c r="AV319" s="495" t="str">
        <f t="shared" si="353"/>
        <v/>
      </c>
      <c r="AW319" s="495" t="str">
        <f t="shared" si="312"/>
        <v/>
      </c>
      <c r="AX319" s="496">
        <f t="shared" si="313"/>
        <v>0</v>
      </c>
      <c r="AY319" s="494">
        <f>INDEX(D03_Skills!$AA$3:$BU$41,MATCH(C_Variables!$G325,D03_Skills!$Z$3:$Z$41,0),MATCH(C_Variables!BD$313,D03_Skills!$AA$2:$BU$2,0))</f>
        <v>1</v>
      </c>
      <c r="AZ319" s="495">
        <f t="shared" si="354"/>
        <v>1</v>
      </c>
      <c r="BA319" s="495">
        <f>IF(AZ319&gt;0,1+COUNTIF(BA$314:BA318,"&gt;0"),0)</f>
        <v>6</v>
      </c>
      <c r="BB319" s="495" t="str">
        <f t="shared" si="355"/>
        <v/>
      </c>
      <c r="BC319" s="495" t="str">
        <f t="shared" si="314"/>
        <v>n/a</v>
      </c>
      <c r="BD319" s="496">
        <f t="shared" si="315"/>
        <v>0</v>
      </c>
      <c r="BE319" s="494">
        <f>INDEX(D03_Skills!$AA$3:$BU$41,MATCH(C_Variables!$G325,D03_Skills!$Z$3:$Z$41,0),MATCH(C_Variables!BJ$313,D03_Skills!$AA$2:$BU$2,0))</f>
        <v>1</v>
      </c>
      <c r="BF319" s="495">
        <f t="shared" si="356"/>
        <v>1</v>
      </c>
      <c r="BG319" s="495">
        <f>IF(BF319&gt;0,1+COUNTIF(BG$314:BG318,"&gt;0"),0)</f>
        <v>6</v>
      </c>
      <c r="BH319" s="495" t="str">
        <f t="shared" si="357"/>
        <v/>
      </c>
      <c r="BI319" s="495" t="str">
        <f t="shared" si="316"/>
        <v>n/a</v>
      </c>
      <c r="BJ319" s="496">
        <f t="shared" si="317"/>
        <v>0</v>
      </c>
      <c r="BK319" s="494">
        <f>INDEX(D03_Skills!$AA$3:$BU$41,MATCH(C_Variables!$G325,D03_Skills!$Z$3:$Z$41,0),MATCH(C_Variables!BP$313,D03_Skills!$AA$2:$BU$2,0))</f>
        <v>1</v>
      </c>
      <c r="BL319" s="495">
        <f t="shared" si="358"/>
        <v>1</v>
      </c>
      <c r="BM319" s="495">
        <f>IF(BL319&gt;0,1+COUNTIF(BM$314:BM318,"&gt;0"),0)</f>
        <v>6</v>
      </c>
      <c r="BN319" s="495" t="str">
        <f t="shared" si="359"/>
        <v/>
      </c>
      <c r="BO319" s="495" t="str">
        <f t="shared" si="318"/>
        <v>n/a</v>
      </c>
      <c r="BP319" s="496">
        <f t="shared" si="319"/>
        <v>0</v>
      </c>
      <c r="BQ319" s="494">
        <f>INDEX(D03_Skills!$AA$3:$BU$41,MATCH(C_Variables!$G325,D03_Skills!$Z$3:$Z$41,0),MATCH(C_Variables!BV$313,D03_Skills!$AA$2:$BU$2,0))</f>
        <v>1</v>
      </c>
      <c r="BR319" s="495">
        <f t="shared" si="360"/>
        <v>1</v>
      </c>
      <c r="BS319" s="495">
        <f>IF(BR319&gt;0,1+COUNTIF(BS$314:BS318,"&gt;0"),0)</f>
        <v>6</v>
      </c>
      <c r="BT319" s="495" t="str">
        <f t="shared" si="361"/>
        <v/>
      </c>
      <c r="BU319" s="495" t="str">
        <f t="shared" si="320"/>
        <v>n/a</v>
      </c>
      <c r="BV319" s="496">
        <f t="shared" si="321"/>
        <v>0</v>
      </c>
      <c r="BW319" s="494">
        <f>INDEX(D03_Skills!$AA$3:$BU$41,MATCH(C_Variables!$G325,D03_Skills!$Z$3:$Z$41,0),MATCH(C_Variables!CB$313,D03_Skills!$AA$2:$BU$2,0))</f>
        <v>1</v>
      </c>
      <c r="BX319" s="495">
        <f t="shared" si="362"/>
        <v>1</v>
      </c>
      <c r="BY319" s="495">
        <f>IF(BX319&gt;0,1+COUNTIF(BY$314:BY318,"&gt;0"),0)</f>
        <v>6</v>
      </c>
      <c r="BZ319" s="495" t="str">
        <f t="shared" si="363"/>
        <v/>
      </c>
      <c r="CA319" s="495" t="str">
        <f t="shared" si="322"/>
        <v>n/a</v>
      </c>
      <c r="CB319" s="496">
        <f t="shared" si="323"/>
        <v>0</v>
      </c>
      <c r="CC319" s="494" t="e">
        <f>INDEX(D03_Skills!$AA$3:$BU$41,MATCH(C_Variables!$G325,D03_Skills!$Z$3:$Z$41,0),MATCH(C_Variables!CH$313,D03_Skills!$AA$2:$BU$2,0))</f>
        <v>#N/A</v>
      </c>
      <c r="CD319" s="495" t="e">
        <f t="shared" si="364"/>
        <v>#N/A</v>
      </c>
      <c r="CE319" s="495" t="e">
        <f>IF(CD319&gt;0,1+COUNTIF(CE$314:CE318,"&gt;0"),0)</f>
        <v>#N/A</v>
      </c>
      <c r="CF319" s="495" t="e">
        <f t="shared" si="365"/>
        <v>#N/A</v>
      </c>
      <c r="CG319" s="495" t="e">
        <f t="shared" si="324"/>
        <v>#N/A</v>
      </c>
      <c r="CH319" s="496">
        <f t="shared" si="325"/>
        <v>0</v>
      </c>
      <c r="CI319" s="494" t="e">
        <f>INDEX(D03_Skills!$AA$3:$BU$41,MATCH(C_Variables!$G325,D03_Skills!$Z$3:$Z$41,0),MATCH(C_Variables!CN$313,D03_Skills!$AA$2:$BU$2,0))</f>
        <v>#N/A</v>
      </c>
      <c r="CJ319" s="495" t="e">
        <f t="shared" si="366"/>
        <v>#N/A</v>
      </c>
      <c r="CK319" s="495" t="e">
        <f>IF(CJ319&gt;0,1+COUNTIF(CK$314:CK318,"&gt;0"),0)</f>
        <v>#N/A</v>
      </c>
      <c r="CL319" s="495" t="e">
        <f t="shared" si="367"/>
        <v>#N/A</v>
      </c>
      <c r="CM319" s="495" t="e">
        <f t="shared" si="326"/>
        <v>#N/A</v>
      </c>
      <c r="CN319" s="496">
        <f t="shared" si="327"/>
        <v>0</v>
      </c>
      <c r="CO319" s="494" t="e">
        <f>INDEX(D03_Skills!$AA$3:$BU$41,MATCH(C_Variables!$G325,D03_Skills!$Z$3:$Z$41,0),MATCH(C_Variables!CT$313,D03_Skills!$AA$2:$BU$2,0))</f>
        <v>#N/A</v>
      </c>
      <c r="CP319" s="495" t="e">
        <f t="shared" si="368"/>
        <v>#N/A</v>
      </c>
      <c r="CQ319" s="495" t="e">
        <f>IF(CP319&gt;0,1+COUNTIF(CQ$314:CQ318,"&gt;0"),0)</f>
        <v>#N/A</v>
      </c>
      <c r="CR319" s="495" t="e">
        <f t="shared" si="369"/>
        <v>#N/A</v>
      </c>
      <c r="CS319" s="495" t="e">
        <f t="shared" si="328"/>
        <v>#N/A</v>
      </c>
      <c r="CT319" s="496">
        <f t="shared" si="329"/>
        <v>0</v>
      </c>
      <c r="CU319" s="494" t="e">
        <f>INDEX(D03_Skills!$AA$3:$BU$41,MATCH(C_Variables!$G325,D03_Skills!$Z$3:$Z$41,0),MATCH(C_Variables!CZ$313,D03_Skills!$AA$2:$BU$2,0))</f>
        <v>#N/A</v>
      </c>
      <c r="CV319" s="495" t="e">
        <f t="shared" si="370"/>
        <v>#N/A</v>
      </c>
      <c r="CW319" s="495" t="e">
        <f>IF(CV319&gt;0,1+COUNTIF(CW$314:CW318,"&gt;0"),0)</f>
        <v>#N/A</v>
      </c>
      <c r="CX319" s="495" t="e">
        <f t="shared" si="371"/>
        <v>#N/A</v>
      </c>
      <c r="CY319" s="495" t="e">
        <f t="shared" si="330"/>
        <v>#N/A</v>
      </c>
      <c r="CZ319" s="496">
        <f t="shared" si="331"/>
        <v>0</v>
      </c>
      <c r="DA319" s="494" t="e">
        <f>INDEX(D03_Skills!$AA$3:$BU$41,MATCH(C_Variables!$G325,D03_Skills!$Z$3:$Z$41,0),MATCH(C_Variables!DF$313,D03_Skills!$AA$2:$BU$2,0))</f>
        <v>#N/A</v>
      </c>
      <c r="DB319" s="495" t="e">
        <f t="shared" si="372"/>
        <v>#N/A</v>
      </c>
      <c r="DC319" s="495" t="e">
        <f>IF(DB319&gt;0,1+COUNTIF(DC$314:DC318,"&gt;0"),0)</f>
        <v>#N/A</v>
      </c>
      <c r="DD319" s="495" t="e">
        <f t="shared" si="373"/>
        <v>#N/A</v>
      </c>
      <c r="DE319" s="495" t="e">
        <f t="shared" si="332"/>
        <v>#N/A</v>
      </c>
      <c r="DF319" s="496">
        <f t="shared" si="333"/>
        <v>0</v>
      </c>
      <c r="DG319" s="494" t="e">
        <f>INDEX(D03_Skills!$AA$3:$BU$41,MATCH(C_Variables!$G325,D03_Skills!$Z$3:$Z$41,0),MATCH(C_Variables!DL$313,D03_Skills!$AA$2:$BU$2,0))</f>
        <v>#N/A</v>
      </c>
      <c r="DH319" s="495" t="e">
        <f t="shared" si="374"/>
        <v>#N/A</v>
      </c>
      <c r="DI319" s="495" t="e">
        <f>IF(DH319&gt;0,1+COUNTIF(DI$314:DI318,"&gt;0"),0)</f>
        <v>#N/A</v>
      </c>
      <c r="DJ319" s="495" t="e">
        <f t="shared" si="375"/>
        <v>#N/A</v>
      </c>
      <c r="DK319" s="495" t="e">
        <f t="shared" si="334"/>
        <v>#N/A</v>
      </c>
      <c r="DL319" s="496">
        <f t="shared" si="335"/>
        <v>0</v>
      </c>
      <c r="DM319" s="494" t="e">
        <f>INDEX(D03_Skills!$AA$3:$BU$41,MATCH(C_Variables!$G325,D03_Skills!$Z$3:$Z$41,0),MATCH(C_Variables!DR$313,D03_Skills!$AA$2:$BU$2,0))</f>
        <v>#N/A</v>
      </c>
      <c r="DN319" s="495" t="e">
        <f t="shared" si="376"/>
        <v>#N/A</v>
      </c>
      <c r="DO319" s="495" t="e">
        <f>IF(DN319&gt;0,1+COUNTIF(DO$314:DO318,"&gt;0"),0)</f>
        <v>#N/A</v>
      </c>
      <c r="DP319" s="495" t="e">
        <f t="shared" si="377"/>
        <v>#N/A</v>
      </c>
      <c r="DQ319" s="495" t="e">
        <f t="shared" si="336"/>
        <v>#N/A</v>
      </c>
      <c r="DR319" s="496">
        <f t="shared" si="337"/>
        <v>0</v>
      </c>
      <c r="DS319" s="494" t="e">
        <f>INDEX(D03_Skills!$AA$3:$BU$41,MATCH(C_Variables!$G325,D03_Skills!$Z$3:$Z$41,0),MATCH(C_Variables!DX$313,D03_Skills!$AA$2:$BU$2,0))</f>
        <v>#N/A</v>
      </c>
      <c r="DT319" s="495" t="e">
        <f t="shared" si="378"/>
        <v>#N/A</v>
      </c>
      <c r="DU319" s="495" t="e">
        <f>IF(DT319&gt;0,1+COUNTIF(DU$314:DU318,"&gt;0"),0)</f>
        <v>#N/A</v>
      </c>
      <c r="DV319" s="495" t="e">
        <f t="shared" si="379"/>
        <v>#N/A</v>
      </c>
      <c r="DW319" s="495" t="e">
        <f t="shared" si="338"/>
        <v>#N/A</v>
      </c>
      <c r="DX319" s="496">
        <f t="shared" si="339"/>
        <v>0</v>
      </c>
      <c r="DY319" s="501"/>
    </row>
    <row r="320" spans="1:129" ht="16.5" x14ac:dyDescent="0.3">
      <c r="A320" s="155">
        <f>IFERROR(IF(A319+1&lt;MAX(D041_ClassFeatures!$A$2:$A$2033),A319+1,""),"")</f>
        <v>317</v>
      </c>
      <c r="B320" s="153" t="str">
        <f>IFERROR(INDEX(D041_ClassFeatures!$B$2:$B$2033,MATCH(C_Variables!A320,D041_ClassFeatures!$A$2:$A$2033,0),1),"")</f>
        <v>Greater Portent 3d20</v>
      </c>
      <c r="C320" s="153">
        <f>IF(B320="",0,IF(IFERROR(MATCH(B320,C_Input!$BC$160:$BC$239,0),0)&gt;0,1,0))</f>
        <v>0</v>
      </c>
      <c r="E320" s="501"/>
      <c r="F320" s="501"/>
      <c r="G320" s="6" t="s">
        <v>186</v>
      </c>
      <c r="I320" s="494">
        <f>INDEX(D03_Skills!$AA$3:$BU$41,MATCH(C_Variables!$G326,D03_Skills!$Z$3:$Z$41,0),MATCH(C_Variables!N$313,D03_Skills!$AA$2:$BU$2,0))</f>
        <v>0</v>
      </c>
      <c r="J320" s="495">
        <f t="shared" si="340"/>
        <v>0</v>
      </c>
      <c r="K320" s="495">
        <f>IF(I320&gt;0,1+COUNTIF(K$314:K319,"&gt;0"),0)</f>
        <v>0</v>
      </c>
      <c r="L320" s="495" t="str">
        <f t="shared" si="341"/>
        <v/>
      </c>
      <c r="M320" s="495" t="str">
        <f t="shared" si="300"/>
        <v/>
      </c>
      <c r="N320" s="496">
        <f t="shared" si="301"/>
        <v>0</v>
      </c>
      <c r="O320" s="494">
        <f>INDEX(D03_Skills!$AA$3:$BU$41,MATCH(C_Variables!$G326,D03_Skills!$Z$3:$Z$41,0),MATCH(C_Variables!T$313,D03_Skills!$AA$2:$BU$2,0))</f>
        <v>1</v>
      </c>
      <c r="P320" s="495">
        <f t="shared" si="342"/>
        <v>1</v>
      </c>
      <c r="Q320" s="495">
        <f>IF(P320&gt;0,1+COUNTIF(Q$314:Q319,"&gt;0"),0)</f>
        <v>7</v>
      </c>
      <c r="R320" s="495" t="str">
        <f t="shared" si="343"/>
        <v/>
      </c>
      <c r="S320" s="495" t="str">
        <f t="shared" si="302"/>
        <v>n/a</v>
      </c>
      <c r="T320" s="496">
        <f t="shared" si="303"/>
        <v>0</v>
      </c>
      <c r="U320" s="494">
        <f>INDEX(D03_Skills!$AA$3:$BU$41,MATCH(C_Variables!$G326,D03_Skills!$Z$3:$Z$41,0),MATCH(C_Variables!Z$313,D03_Skills!$AA$2:$BU$2,0))</f>
        <v>1</v>
      </c>
      <c r="V320" s="495">
        <f t="shared" si="344"/>
        <v>1</v>
      </c>
      <c r="W320" s="495">
        <f>IF(V320&gt;0,1+COUNTIF(W$314:W319,"&gt;0"),0)</f>
        <v>7</v>
      </c>
      <c r="X320" s="495" t="str">
        <f t="shared" si="345"/>
        <v/>
      </c>
      <c r="Y320" s="495" t="str">
        <f t="shared" si="304"/>
        <v>n/a</v>
      </c>
      <c r="Z320" s="496">
        <f t="shared" si="305"/>
        <v>0</v>
      </c>
      <c r="AA320" s="494">
        <f>INDEX(D03_Skills!$AA$3:$BU$41,MATCH(C_Variables!$G326,D03_Skills!$Z$3:$Z$41,0),MATCH(C_Variables!AF$313,D03_Skills!$AA$2:$BU$2,0))</f>
        <v>1</v>
      </c>
      <c r="AB320" s="495">
        <f t="shared" si="346"/>
        <v>1</v>
      </c>
      <c r="AC320" s="495">
        <f>IF(AB320&gt;0,1+COUNTIF(AC$314:AC319,"&gt;0"),0)</f>
        <v>7</v>
      </c>
      <c r="AD320" s="495" t="str">
        <f t="shared" si="347"/>
        <v/>
      </c>
      <c r="AE320" s="495" t="str">
        <f t="shared" si="306"/>
        <v>n/a</v>
      </c>
      <c r="AF320" s="496">
        <f t="shared" si="307"/>
        <v>0</v>
      </c>
      <c r="AG320" s="494">
        <f>INDEX(D03_Skills!$AA$3:$BU$41,MATCH(C_Variables!$G326,D03_Skills!$Z$3:$Z$41,0),MATCH(C_Variables!AL$313,D03_Skills!$AA$2:$BU$2,0))</f>
        <v>0</v>
      </c>
      <c r="AH320" s="495">
        <f t="shared" si="348"/>
        <v>0</v>
      </c>
      <c r="AI320" s="495">
        <f>IF(AH320&gt;0,1+COUNTIF(AI$314:AI319,"&gt;0"),0)</f>
        <v>0</v>
      </c>
      <c r="AJ320" s="495" t="str">
        <f t="shared" si="349"/>
        <v/>
      </c>
      <c r="AK320" s="495" t="str">
        <f t="shared" si="308"/>
        <v/>
      </c>
      <c r="AL320" s="496">
        <f t="shared" si="309"/>
        <v>0</v>
      </c>
      <c r="AM320" s="494">
        <f>INDEX(D03_Skills!$AA$3:$BU$41,MATCH(C_Variables!$G326,D03_Skills!$Z$3:$Z$41,0),MATCH(C_Variables!AR$313,D03_Skills!$AA$2:$BU$2,0))</f>
        <v>0</v>
      </c>
      <c r="AN320" s="495">
        <f t="shared" si="350"/>
        <v>0</v>
      </c>
      <c r="AO320" s="495">
        <f>IF(AN320&gt;0,1+COUNTIF(AO$314:AO319,"&gt;0"),0)</f>
        <v>0</v>
      </c>
      <c r="AP320" s="495" t="str">
        <f t="shared" si="351"/>
        <v/>
      </c>
      <c r="AQ320" s="495" t="str">
        <f t="shared" si="310"/>
        <v/>
      </c>
      <c r="AR320" s="496">
        <f t="shared" si="311"/>
        <v>0</v>
      </c>
      <c r="AS320" s="494">
        <f>INDEX(D03_Skills!$AA$3:$BU$41,MATCH(C_Variables!$G326,D03_Skills!$Z$3:$Z$41,0),MATCH(C_Variables!AX$313,D03_Skills!$AA$2:$BU$2,0))</f>
        <v>0</v>
      </c>
      <c r="AT320" s="495">
        <f t="shared" si="352"/>
        <v>0</v>
      </c>
      <c r="AU320" s="495">
        <f>IF(AT320&gt;0,1+COUNTIF(AU$314:AU319,"&gt;0"),0)</f>
        <v>0</v>
      </c>
      <c r="AV320" s="495" t="str">
        <f t="shared" si="353"/>
        <v/>
      </c>
      <c r="AW320" s="495" t="str">
        <f t="shared" si="312"/>
        <v/>
      </c>
      <c r="AX320" s="496">
        <f t="shared" si="313"/>
        <v>0</v>
      </c>
      <c r="AY320" s="494">
        <f>INDEX(D03_Skills!$AA$3:$BU$41,MATCH(C_Variables!$G326,D03_Skills!$Z$3:$Z$41,0),MATCH(C_Variables!BD$313,D03_Skills!$AA$2:$BU$2,0))</f>
        <v>1</v>
      </c>
      <c r="AZ320" s="495">
        <f t="shared" si="354"/>
        <v>1</v>
      </c>
      <c r="BA320" s="495">
        <f>IF(AZ320&gt;0,1+COUNTIF(BA$314:BA319,"&gt;0"),0)</f>
        <v>7</v>
      </c>
      <c r="BB320" s="495" t="str">
        <f t="shared" si="355"/>
        <v/>
      </c>
      <c r="BC320" s="495" t="str">
        <f t="shared" si="314"/>
        <v>n/a</v>
      </c>
      <c r="BD320" s="496">
        <f t="shared" si="315"/>
        <v>0</v>
      </c>
      <c r="BE320" s="494">
        <f>INDEX(D03_Skills!$AA$3:$BU$41,MATCH(C_Variables!$G326,D03_Skills!$Z$3:$Z$41,0),MATCH(C_Variables!BJ$313,D03_Skills!$AA$2:$BU$2,0))</f>
        <v>1</v>
      </c>
      <c r="BF320" s="495">
        <f t="shared" si="356"/>
        <v>1</v>
      </c>
      <c r="BG320" s="495">
        <f>IF(BF320&gt;0,1+COUNTIF(BG$314:BG319,"&gt;0"),0)</f>
        <v>7</v>
      </c>
      <c r="BH320" s="495" t="str">
        <f t="shared" si="357"/>
        <v/>
      </c>
      <c r="BI320" s="495" t="str">
        <f t="shared" si="316"/>
        <v>n/a</v>
      </c>
      <c r="BJ320" s="496">
        <f t="shared" si="317"/>
        <v>0</v>
      </c>
      <c r="BK320" s="494">
        <f>INDEX(D03_Skills!$AA$3:$BU$41,MATCH(C_Variables!$G326,D03_Skills!$Z$3:$Z$41,0),MATCH(C_Variables!BP$313,D03_Skills!$AA$2:$BU$2,0))</f>
        <v>1</v>
      </c>
      <c r="BL320" s="495">
        <f t="shared" si="358"/>
        <v>1</v>
      </c>
      <c r="BM320" s="495">
        <f>IF(BL320&gt;0,1+COUNTIF(BM$314:BM319,"&gt;0"),0)</f>
        <v>7</v>
      </c>
      <c r="BN320" s="495" t="str">
        <f t="shared" si="359"/>
        <v/>
      </c>
      <c r="BO320" s="495" t="str">
        <f t="shared" si="318"/>
        <v>n/a</v>
      </c>
      <c r="BP320" s="496">
        <f t="shared" si="319"/>
        <v>0</v>
      </c>
      <c r="BQ320" s="494">
        <f>INDEX(D03_Skills!$AA$3:$BU$41,MATCH(C_Variables!$G326,D03_Skills!$Z$3:$Z$41,0),MATCH(C_Variables!BV$313,D03_Skills!$AA$2:$BU$2,0))</f>
        <v>1</v>
      </c>
      <c r="BR320" s="495">
        <f t="shared" si="360"/>
        <v>1</v>
      </c>
      <c r="BS320" s="495">
        <f>IF(BR320&gt;0,1+COUNTIF(BS$314:BS319,"&gt;0"),0)</f>
        <v>7</v>
      </c>
      <c r="BT320" s="495" t="str">
        <f t="shared" si="361"/>
        <v/>
      </c>
      <c r="BU320" s="495" t="str">
        <f t="shared" si="320"/>
        <v>n/a</v>
      </c>
      <c r="BV320" s="496">
        <f t="shared" si="321"/>
        <v>0</v>
      </c>
      <c r="BW320" s="494">
        <f>INDEX(D03_Skills!$AA$3:$BU$41,MATCH(C_Variables!$G326,D03_Skills!$Z$3:$Z$41,0),MATCH(C_Variables!CB$313,D03_Skills!$AA$2:$BU$2,0))</f>
        <v>1</v>
      </c>
      <c r="BX320" s="495">
        <f t="shared" si="362"/>
        <v>1</v>
      </c>
      <c r="BY320" s="495">
        <f>IF(BX320&gt;0,1+COUNTIF(BY$314:BY319,"&gt;0"),0)</f>
        <v>7</v>
      </c>
      <c r="BZ320" s="495" t="str">
        <f t="shared" si="363"/>
        <v/>
      </c>
      <c r="CA320" s="495" t="str">
        <f t="shared" si="322"/>
        <v>n/a</v>
      </c>
      <c r="CB320" s="496">
        <f t="shared" si="323"/>
        <v>0</v>
      </c>
      <c r="CC320" s="494" t="e">
        <f>INDEX(D03_Skills!$AA$3:$BU$41,MATCH(C_Variables!$G326,D03_Skills!$Z$3:$Z$41,0),MATCH(C_Variables!CH$313,D03_Skills!$AA$2:$BU$2,0))</f>
        <v>#N/A</v>
      </c>
      <c r="CD320" s="495" t="e">
        <f t="shared" si="364"/>
        <v>#N/A</v>
      </c>
      <c r="CE320" s="495" t="e">
        <f>IF(CD320&gt;0,1+COUNTIF(CE$314:CE319,"&gt;0"),0)</f>
        <v>#N/A</v>
      </c>
      <c r="CF320" s="495" t="e">
        <f t="shared" si="365"/>
        <v>#N/A</v>
      </c>
      <c r="CG320" s="495" t="e">
        <f t="shared" si="324"/>
        <v>#N/A</v>
      </c>
      <c r="CH320" s="496">
        <f t="shared" si="325"/>
        <v>0</v>
      </c>
      <c r="CI320" s="494" t="e">
        <f>INDEX(D03_Skills!$AA$3:$BU$41,MATCH(C_Variables!$G326,D03_Skills!$Z$3:$Z$41,0),MATCH(C_Variables!CN$313,D03_Skills!$AA$2:$BU$2,0))</f>
        <v>#N/A</v>
      </c>
      <c r="CJ320" s="495" t="e">
        <f t="shared" si="366"/>
        <v>#N/A</v>
      </c>
      <c r="CK320" s="495" t="e">
        <f>IF(CJ320&gt;0,1+COUNTIF(CK$314:CK319,"&gt;0"),0)</f>
        <v>#N/A</v>
      </c>
      <c r="CL320" s="495" t="e">
        <f t="shared" si="367"/>
        <v>#N/A</v>
      </c>
      <c r="CM320" s="495" t="e">
        <f t="shared" si="326"/>
        <v>#N/A</v>
      </c>
      <c r="CN320" s="496">
        <f t="shared" si="327"/>
        <v>0</v>
      </c>
      <c r="CO320" s="494" t="e">
        <f>INDEX(D03_Skills!$AA$3:$BU$41,MATCH(C_Variables!$G326,D03_Skills!$Z$3:$Z$41,0),MATCH(C_Variables!CT$313,D03_Skills!$AA$2:$BU$2,0))</f>
        <v>#N/A</v>
      </c>
      <c r="CP320" s="495" t="e">
        <f t="shared" si="368"/>
        <v>#N/A</v>
      </c>
      <c r="CQ320" s="495" t="e">
        <f>IF(CP320&gt;0,1+COUNTIF(CQ$314:CQ319,"&gt;0"),0)</f>
        <v>#N/A</v>
      </c>
      <c r="CR320" s="495" t="e">
        <f t="shared" si="369"/>
        <v>#N/A</v>
      </c>
      <c r="CS320" s="495" t="e">
        <f t="shared" si="328"/>
        <v>#N/A</v>
      </c>
      <c r="CT320" s="496">
        <f t="shared" si="329"/>
        <v>0</v>
      </c>
      <c r="CU320" s="494" t="e">
        <f>INDEX(D03_Skills!$AA$3:$BU$41,MATCH(C_Variables!$G326,D03_Skills!$Z$3:$Z$41,0),MATCH(C_Variables!CZ$313,D03_Skills!$AA$2:$BU$2,0))</f>
        <v>#N/A</v>
      </c>
      <c r="CV320" s="495" t="e">
        <f t="shared" si="370"/>
        <v>#N/A</v>
      </c>
      <c r="CW320" s="495" t="e">
        <f>IF(CV320&gt;0,1+COUNTIF(CW$314:CW319,"&gt;0"),0)</f>
        <v>#N/A</v>
      </c>
      <c r="CX320" s="495" t="e">
        <f t="shared" si="371"/>
        <v>#N/A</v>
      </c>
      <c r="CY320" s="495" t="e">
        <f t="shared" si="330"/>
        <v>#N/A</v>
      </c>
      <c r="CZ320" s="496">
        <f t="shared" si="331"/>
        <v>0</v>
      </c>
      <c r="DA320" s="494" t="e">
        <f>INDEX(D03_Skills!$AA$3:$BU$41,MATCH(C_Variables!$G326,D03_Skills!$Z$3:$Z$41,0),MATCH(C_Variables!DF$313,D03_Skills!$AA$2:$BU$2,0))</f>
        <v>#N/A</v>
      </c>
      <c r="DB320" s="495" t="e">
        <f t="shared" si="372"/>
        <v>#N/A</v>
      </c>
      <c r="DC320" s="495" t="e">
        <f>IF(DB320&gt;0,1+COUNTIF(DC$314:DC319,"&gt;0"),0)</f>
        <v>#N/A</v>
      </c>
      <c r="DD320" s="495" t="e">
        <f t="shared" si="373"/>
        <v>#N/A</v>
      </c>
      <c r="DE320" s="495" t="e">
        <f t="shared" si="332"/>
        <v>#N/A</v>
      </c>
      <c r="DF320" s="496">
        <f t="shared" si="333"/>
        <v>0</v>
      </c>
      <c r="DG320" s="494" t="e">
        <f>INDEX(D03_Skills!$AA$3:$BU$41,MATCH(C_Variables!$G326,D03_Skills!$Z$3:$Z$41,0),MATCH(C_Variables!DL$313,D03_Skills!$AA$2:$BU$2,0))</f>
        <v>#N/A</v>
      </c>
      <c r="DH320" s="495" t="e">
        <f t="shared" si="374"/>
        <v>#N/A</v>
      </c>
      <c r="DI320" s="495" t="e">
        <f>IF(DH320&gt;0,1+COUNTIF(DI$314:DI319,"&gt;0"),0)</f>
        <v>#N/A</v>
      </c>
      <c r="DJ320" s="495" t="e">
        <f t="shared" si="375"/>
        <v>#N/A</v>
      </c>
      <c r="DK320" s="495" t="e">
        <f t="shared" si="334"/>
        <v>#N/A</v>
      </c>
      <c r="DL320" s="496">
        <f t="shared" si="335"/>
        <v>0</v>
      </c>
      <c r="DM320" s="494" t="e">
        <f>INDEX(D03_Skills!$AA$3:$BU$41,MATCH(C_Variables!$G326,D03_Skills!$Z$3:$Z$41,0),MATCH(C_Variables!DR$313,D03_Skills!$AA$2:$BU$2,0))</f>
        <v>#N/A</v>
      </c>
      <c r="DN320" s="495" t="e">
        <f t="shared" si="376"/>
        <v>#N/A</v>
      </c>
      <c r="DO320" s="495" t="e">
        <f>IF(DN320&gt;0,1+COUNTIF(DO$314:DO319,"&gt;0"),0)</f>
        <v>#N/A</v>
      </c>
      <c r="DP320" s="495" t="e">
        <f t="shared" si="377"/>
        <v>#N/A</v>
      </c>
      <c r="DQ320" s="495" t="e">
        <f t="shared" si="336"/>
        <v>#N/A</v>
      </c>
      <c r="DR320" s="496">
        <f t="shared" si="337"/>
        <v>0</v>
      </c>
      <c r="DS320" s="494" t="e">
        <f>INDEX(D03_Skills!$AA$3:$BU$41,MATCH(C_Variables!$G326,D03_Skills!$Z$3:$Z$41,0),MATCH(C_Variables!DX$313,D03_Skills!$AA$2:$BU$2,0))</f>
        <v>#N/A</v>
      </c>
      <c r="DT320" s="495" t="e">
        <f t="shared" si="378"/>
        <v>#N/A</v>
      </c>
      <c r="DU320" s="495" t="e">
        <f>IF(DT320&gt;0,1+COUNTIF(DU$314:DU319,"&gt;0"),0)</f>
        <v>#N/A</v>
      </c>
      <c r="DV320" s="495" t="e">
        <f t="shared" si="379"/>
        <v>#N/A</v>
      </c>
      <c r="DW320" s="495" t="e">
        <f t="shared" si="338"/>
        <v>#N/A</v>
      </c>
      <c r="DX320" s="496">
        <f t="shared" si="339"/>
        <v>0</v>
      </c>
      <c r="DY320" s="501"/>
    </row>
    <row r="321" spans="1:129" ht="16.5" x14ac:dyDescent="0.3">
      <c r="A321" s="155">
        <f>IFERROR(IF(A320+1&lt;MAX(D041_ClassFeatures!$A$2:$A$2033),A320+1,""),"")</f>
        <v>318</v>
      </c>
      <c r="B321" s="153" t="str">
        <f>IFERROR(INDEX(D041_ClassFeatures!$B$2:$B$2033,MATCH(C_Variables!A321,D041_ClassFeatures!$A$2:$A$2033,0),1),"")</f>
        <v xml:space="preserve">Enchantment Savant </v>
      </c>
      <c r="C321" s="153">
        <f>IF(B321="",0,IF(IFERROR(MATCH(B321,C_Input!$BC$160:$BC$239,0),0)&gt;0,1,0))</f>
        <v>0</v>
      </c>
      <c r="E321" s="501"/>
      <c r="F321" s="501"/>
      <c r="G321" s="6" t="s">
        <v>229</v>
      </c>
      <c r="I321" s="494">
        <f>INDEX(D03_Skills!$AA$3:$BU$41,MATCH(C_Variables!$G327,D03_Skills!$Z$3:$Z$41,0),MATCH(C_Variables!N$313,D03_Skills!$AA$2:$BU$2,0))</f>
        <v>0</v>
      </c>
      <c r="J321" s="495">
        <f t="shared" si="340"/>
        <v>0</v>
      </c>
      <c r="K321" s="495">
        <f>IF(I321&gt;0,1+COUNTIF(K$314:K320,"&gt;0"),0)</f>
        <v>0</v>
      </c>
      <c r="L321" s="495" t="str">
        <f t="shared" si="341"/>
        <v/>
      </c>
      <c r="M321" s="495" t="str">
        <f t="shared" si="300"/>
        <v/>
      </c>
      <c r="N321" s="496">
        <f t="shared" si="301"/>
        <v>0</v>
      </c>
      <c r="O321" s="494">
        <f>INDEX(D03_Skills!$AA$3:$BU$41,MATCH(C_Variables!$G327,D03_Skills!$Z$3:$Z$41,0),MATCH(C_Variables!T$313,D03_Skills!$AA$2:$BU$2,0))</f>
        <v>1</v>
      </c>
      <c r="P321" s="495">
        <f t="shared" si="342"/>
        <v>1</v>
      </c>
      <c r="Q321" s="495">
        <f>IF(P321&gt;0,1+COUNTIF(Q$314:Q320,"&gt;0"),0)</f>
        <v>8</v>
      </c>
      <c r="R321" s="495" t="str">
        <f t="shared" si="343"/>
        <v/>
      </c>
      <c r="S321" s="495" t="str">
        <f t="shared" si="302"/>
        <v>n/a</v>
      </c>
      <c r="T321" s="496">
        <f t="shared" si="303"/>
        <v>0</v>
      </c>
      <c r="U321" s="494">
        <f>INDEX(D03_Skills!$AA$3:$BU$41,MATCH(C_Variables!$G327,D03_Skills!$Z$3:$Z$41,0),MATCH(C_Variables!Z$313,D03_Skills!$AA$2:$BU$2,0))</f>
        <v>1</v>
      </c>
      <c r="V321" s="495">
        <f t="shared" si="344"/>
        <v>1</v>
      </c>
      <c r="W321" s="495">
        <f>IF(V321&gt;0,1+COUNTIF(W$314:W320,"&gt;0"),0)</f>
        <v>8</v>
      </c>
      <c r="X321" s="495" t="str">
        <f t="shared" si="345"/>
        <v/>
      </c>
      <c r="Y321" s="495" t="str">
        <f t="shared" si="304"/>
        <v>n/a</v>
      </c>
      <c r="Z321" s="496">
        <f t="shared" si="305"/>
        <v>0</v>
      </c>
      <c r="AA321" s="494">
        <f>INDEX(D03_Skills!$AA$3:$BU$41,MATCH(C_Variables!$G327,D03_Skills!$Z$3:$Z$41,0),MATCH(C_Variables!AF$313,D03_Skills!$AA$2:$BU$2,0))</f>
        <v>1</v>
      </c>
      <c r="AB321" s="495">
        <f t="shared" si="346"/>
        <v>1</v>
      </c>
      <c r="AC321" s="495">
        <f>IF(AB321&gt;0,1+COUNTIF(AC$314:AC320,"&gt;0"),0)</f>
        <v>8</v>
      </c>
      <c r="AD321" s="495" t="str">
        <f t="shared" si="347"/>
        <v/>
      </c>
      <c r="AE321" s="495" t="str">
        <f t="shared" si="306"/>
        <v>n/a</v>
      </c>
      <c r="AF321" s="496">
        <f t="shared" si="307"/>
        <v>0</v>
      </c>
      <c r="AG321" s="494">
        <f>INDEX(D03_Skills!$AA$3:$BU$41,MATCH(C_Variables!$G327,D03_Skills!$Z$3:$Z$41,0),MATCH(C_Variables!AL$313,D03_Skills!$AA$2:$BU$2,0))</f>
        <v>0</v>
      </c>
      <c r="AH321" s="495">
        <f t="shared" si="348"/>
        <v>0</v>
      </c>
      <c r="AI321" s="495">
        <f>IF(AH321&gt;0,1+COUNTIF(AI$314:AI320,"&gt;0"),0)</f>
        <v>0</v>
      </c>
      <c r="AJ321" s="495" t="str">
        <f t="shared" si="349"/>
        <v/>
      </c>
      <c r="AK321" s="495" t="str">
        <f t="shared" si="308"/>
        <v/>
      </c>
      <c r="AL321" s="496">
        <f t="shared" si="309"/>
        <v>0</v>
      </c>
      <c r="AM321" s="494">
        <f>INDEX(D03_Skills!$AA$3:$BU$41,MATCH(C_Variables!$G327,D03_Skills!$Z$3:$Z$41,0),MATCH(C_Variables!AR$313,D03_Skills!$AA$2:$BU$2,0))</f>
        <v>0</v>
      </c>
      <c r="AN321" s="495">
        <f t="shared" si="350"/>
        <v>0</v>
      </c>
      <c r="AO321" s="495">
        <f>IF(AN321&gt;0,1+COUNTIF(AO$314:AO320,"&gt;0"),0)</f>
        <v>0</v>
      </c>
      <c r="AP321" s="495" t="str">
        <f t="shared" si="351"/>
        <v/>
      </c>
      <c r="AQ321" s="495" t="str">
        <f t="shared" si="310"/>
        <v/>
      </c>
      <c r="AR321" s="496">
        <f t="shared" si="311"/>
        <v>0</v>
      </c>
      <c r="AS321" s="494">
        <f>INDEX(D03_Skills!$AA$3:$BU$41,MATCH(C_Variables!$G327,D03_Skills!$Z$3:$Z$41,0),MATCH(C_Variables!AX$313,D03_Skills!$AA$2:$BU$2,0))</f>
        <v>0</v>
      </c>
      <c r="AT321" s="495">
        <f t="shared" si="352"/>
        <v>0</v>
      </c>
      <c r="AU321" s="495">
        <f>IF(AT321&gt;0,1+COUNTIF(AU$314:AU320,"&gt;0"),0)</f>
        <v>0</v>
      </c>
      <c r="AV321" s="495" t="str">
        <f t="shared" si="353"/>
        <v/>
      </c>
      <c r="AW321" s="495" t="str">
        <f t="shared" si="312"/>
        <v/>
      </c>
      <c r="AX321" s="496">
        <f t="shared" si="313"/>
        <v>0</v>
      </c>
      <c r="AY321" s="494">
        <f>INDEX(D03_Skills!$AA$3:$BU$41,MATCH(C_Variables!$G327,D03_Skills!$Z$3:$Z$41,0),MATCH(C_Variables!BD$313,D03_Skills!$AA$2:$BU$2,0))</f>
        <v>1</v>
      </c>
      <c r="AZ321" s="495">
        <f t="shared" si="354"/>
        <v>1</v>
      </c>
      <c r="BA321" s="495">
        <f>IF(AZ321&gt;0,1+COUNTIF(BA$314:BA320,"&gt;0"),0)</f>
        <v>8</v>
      </c>
      <c r="BB321" s="495" t="str">
        <f t="shared" si="355"/>
        <v/>
      </c>
      <c r="BC321" s="495" t="str">
        <f t="shared" si="314"/>
        <v>n/a</v>
      </c>
      <c r="BD321" s="496">
        <f t="shared" si="315"/>
        <v>0</v>
      </c>
      <c r="BE321" s="494">
        <f>INDEX(D03_Skills!$AA$3:$BU$41,MATCH(C_Variables!$G327,D03_Skills!$Z$3:$Z$41,0),MATCH(C_Variables!BJ$313,D03_Skills!$AA$2:$BU$2,0))</f>
        <v>1</v>
      </c>
      <c r="BF321" s="495">
        <f t="shared" si="356"/>
        <v>1</v>
      </c>
      <c r="BG321" s="495">
        <f>IF(BF321&gt;0,1+COUNTIF(BG$314:BG320,"&gt;0"),0)</f>
        <v>8</v>
      </c>
      <c r="BH321" s="495" t="str">
        <f t="shared" si="357"/>
        <v/>
      </c>
      <c r="BI321" s="495" t="str">
        <f t="shared" si="316"/>
        <v>n/a</v>
      </c>
      <c r="BJ321" s="496">
        <f t="shared" si="317"/>
        <v>0</v>
      </c>
      <c r="BK321" s="494">
        <f>INDEX(D03_Skills!$AA$3:$BU$41,MATCH(C_Variables!$G327,D03_Skills!$Z$3:$Z$41,0),MATCH(C_Variables!BP$313,D03_Skills!$AA$2:$BU$2,0))</f>
        <v>1</v>
      </c>
      <c r="BL321" s="495">
        <f t="shared" si="358"/>
        <v>1</v>
      </c>
      <c r="BM321" s="495">
        <f>IF(BL321&gt;0,1+COUNTIF(BM$314:BM320,"&gt;0"),0)</f>
        <v>8</v>
      </c>
      <c r="BN321" s="495" t="str">
        <f t="shared" si="359"/>
        <v/>
      </c>
      <c r="BO321" s="495" t="str">
        <f t="shared" si="318"/>
        <v>n/a</v>
      </c>
      <c r="BP321" s="496">
        <f t="shared" si="319"/>
        <v>0</v>
      </c>
      <c r="BQ321" s="494">
        <f>INDEX(D03_Skills!$AA$3:$BU$41,MATCH(C_Variables!$G327,D03_Skills!$Z$3:$Z$41,0),MATCH(C_Variables!BV$313,D03_Skills!$AA$2:$BU$2,0))</f>
        <v>1</v>
      </c>
      <c r="BR321" s="495">
        <f t="shared" si="360"/>
        <v>1</v>
      </c>
      <c r="BS321" s="495">
        <f>IF(BR321&gt;0,1+COUNTIF(BS$314:BS320,"&gt;0"),0)</f>
        <v>8</v>
      </c>
      <c r="BT321" s="495" t="str">
        <f t="shared" si="361"/>
        <v/>
      </c>
      <c r="BU321" s="495" t="str">
        <f t="shared" si="320"/>
        <v>n/a</v>
      </c>
      <c r="BV321" s="496">
        <f t="shared" si="321"/>
        <v>0</v>
      </c>
      <c r="BW321" s="494">
        <f>INDEX(D03_Skills!$AA$3:$BU$41,MATCH(C_Variables!$G327,D03_Skills!$Z$3:$Z$41,0),MATCH(C_Variables!CB$313,D03_Skills!$AA$2:$BU$2,0))</f>
        <v>1</v>
      </c>
      <c r="BX321" s="495">
        <f t="shared" si="362"/>
        <v>1</v>
      </c>
      <c r="BY321" s="495">
        <f>IF(BX321&gt;0,1+COUNTIF(BY$314:BY320,"&gt;0"),0)</f>
        <v>8</v>
      </c>
      <c r="BZ321" s="495" t="str">
        <f t="shared" si="363"/>
        <v/>
      </c>
      <c r="CA321" s="495" t="str">
        <f t="shared" si="322"/>
        <v>n/a</v>
      </c>
      <c r="CB321" s="496">
        <f t="shared" si="323"/>
        <v>0</v>
      </c>
      <c r="CC321" s="494" t="e">
        <f>INDEX(D03_Skills!$AA$3:$BU$41,MATCH(C_Variables!$G327,D03_Skills!$Z$3:$Z$41,0),MATCH(C_Variables!CH$313,D03_Skills!$AA$2:$BU$2,0))</f>
        <v>#N/A</v>
      </c>
      <c r="CD321" s="495" t="e">
        <f t="shared" si="364"/>
        <v>#N/A</v>
      </c>
      <c r="CE321" s="495" t="e">
        <f>IF(CD321&gt;0,1+COUNTIF(CE$314:CE320,"&gt;0"),0)</f>
        <v>#N/A</v>
      </c>
      <c r="CF321" s="495" t="e">
        <f t="shared" si="365"/>
        <v>#N/A</v>
      </c>
      <c r="CG321" s="495" t="e">
        <f t="shared" si="324"/>
        <v>#N/A</v>
      </c>
      <c r="CH321" s="496">
        <f t="shared" si="325"/>
        <v>0</v>
      </c>
      <c r="CI321" s="494" t="e">
        <f>INDEX(D03_Skills!$AA$3:$BU$41,MATCH(C_Variables!$G327,D03_Skills!$Z$3:$Z$41,0),MATCH(C_Variables!CN$313,D03_Skills!$AA$2:$BU$2,0))</f>
        <v>#N/A</v>
      </c>
      <c r="CJ321" s="495" t="e">
        <f t="shared" si="366"/>
        <v>#N/A</v>
      </c>
      <c r="CK321" s="495" t="e">
        <f>IF(CJ321&gt;0,1+COUNTIF(CK$314:CK320,"&gt;0"),0)</f>
        <v>#N/A</v>
      </c>
      <c r="CL321" s="495" t="e">
        <f t="shared" si="367"/>
        <v>#N/A</v>
      </c>
      <c r="CM321" s="495" t="e">
        <f t="shared" si="326"/>
        <v>#N/A</v>
      </c>
      <c r="CN321" s="496">
        <f t="shared" si="327"/>
        <v>0</v>
      </c>
      <c r="CO321" s="494" t="e">
        <f>INDEX(D03_Skills!$AA$3:$BU$41,MATCH(C_Variables!$G327,D03_Skills!$Z$3:$Z$41,0),MATCH(C_Variables!CT$313,D03_Skills!$AA$2:$BU$2,0))</f>
        <v>#N/A</v>
      </c>
      <c r="CP321" s="495" t="e">
        <f t="shared" si="368"/>
        <v>#N/A</v>
      </c>
      <c r="CQ321" s="495" t="e">
        <f>IF(CP321&gt;0,1+COUNTIF(CQ$314:CQ320,"&gt;0"),0)</f>
        <v>#N/A</v>
      </c>
      <c r="CR321" s="495" t="e">
        <f t="shared" si="369"/>
        <v>#N/A</v>
      </c>
      <c r="CS321" s="495" t="e">
        <f t="shared" si="328"/>
        <v>#N/A</v>
      </c>
      <c r="CT321" s="496">
        <f t="shared" si="329"/>
        <v>0</v>
      </c>
      <c r="CU321" s="494" t="e">
        <f>INDEX(D03_Skills!$AA$3:$BU$41,MATCH(C_Variables!$G327,D03_Skills!$Z$3:$Z$41,0),MATCH(C_Variables!CZ$313,D03_Skills!$AA$2:$BU$2,0))</f>
        <v>#N/A</v>
      </c>
      <c r="CV321" s="495" t="e">
        <f t="shared" si="370"/>
        <v>#N/A</v>
      </c>
      <c r="CW321" s="495" t="e">
        <f>IF(CV321&gt;0,1+COUNTIF(CW$314:CW320,"&gt;0"),0)</f>
        <v>#N/A</v>
      </c>
      <c r="CX321" s="495" t="e">
        <f t="shared" si="371"/>
        <v>#N/A</v>
      </c>
      <c r="CY321" s="495" t="e">
        <f t="shared" si="330"/>
        <v>#N/A</v>
      </c>
      <c r="CZ321" s="496">
        <f t="shared" si="331"/>
        <v>0</v>
      </c>
      <c r="DA321" s="494" t="e">
        <f>INDEX(D03_Skills!$AA$3:$BU$41,MATCH(C_Variables!$G327,D03_Skills!$Z$3:$Z$41,0),MATCH(C_Variables!DF$313,D03_Skills!$AA$2:$BU$2,0))</f>
        <v>#N/A</v>
      </c>
      <c r="DB321" s="495" t="e">
        <f t="shared" si="372"/>
        <v>#N/A</v>
      </c>
      <c r="DC321" s="495" t="e">
        <f>IF(DB321&gt;0,1+COUNTIF(DC$314:DC320,"&gt;0"),0)</f>
        <v>#N/A</v>
      </c>
      <c r="DD321" s="495" t="e">
        <f t="shared" si="373"/>
        <v>#N/A</v>
      </c>
      <c r="DE321" s="495" t="e">
        <f t="shared" si="332"/>
        <v>#N/A</v>
      </c>
      <c r="DF321" s="496">
        <f t="shared" si="333"/>
        <v>0</v>
      </c>
      <c r="DG321" s="494" t="e">
        <f>INDEX(D03_Skills!$AA$3:$BU$41,MATCH(C_Variables!$G327,D03_Skills!$Z$3:$Z$41,0),MATCH(C_Variables!DL$313,D03_Skills!$AA$2:$BU$2,0))</f>
        <v>#N/A</v>
      </c>
      <c r="DH321" s="495" t="e">
        <f t="shared" si="374"/>
        <v>#N/A</v>
      </c>
      <c r="DI321" s="495" t="e">
        <f>IF(DH321&gt;0,1+COUNTIF(DI$314:DI320,"&gt;0"),0)</f>
        <v>#N/A</v>
      </c>
      <c r="DJ321" s="495" t="e">
        <f t="shared" si="375"/>
        <v>#N/A</v>
      </c>
      <c r="DK321" s="495" t="e">
        <f t="shared" si="334"/>
        <v>#N/A</v>
      </c>
      <c r="DL321" s="496">
        <f t="shared" si="335"/>
        <v>0</v>
      </c>
      <c r="DM321" s="494" t="e">
        <f>INDEX(D03_Skills!$AA$3:$BU$41,MATCH(C_Variables!$G327,D03_Skills!$Z$3:$Z$41,0),MATCH(C_Variables!DR$313,D03_Skills!$AA$2:$BU$2,0))</f>
        <v>#N/A</v>
      </c>
      <c r="DN321" s="495" t="e">
        <f t="shared" si="376"/>
        <v>#N/A</v>
      </c>
      <c r="DO321" s="495" t="e">
        <f>IF(DN321&gt;0,1+COUNTIF(DO$314:DO320,"&gt;0"),0)</f>
        <v>#N/A</v>
      </c>
      <c r="DP321" s="495" t="e">
        <f t="shared" si="377"/>
        <v>#N/A</v>
      </c>
      <c r="DQ321" s="495" t="e">
        <f t="shared" si="336"/>
        <v>#N/A</v>
      </c>
      <c r="DR321" s="496">
        <f t="shared" si="337"/>
        <v>0</v>
      </c>
      <c r="DS321" s="494" t="e">
        <f>INDEX(D03_Skills!$AA$3:$BU$41,MATCH(C_Variables!$G327,D03_Skills!$Z$3:$Z$41,0),MATCH(C_Variables!DX$313,D03_Skills!$AA$2:$BU$2,0))</f>
        <v>#N/A</v>
      </c>
      <c r="DT321" s="495" t="e">
        <f t="shared" si="378"/>
        <v>#N/A</v>
      </c>
      <c r="DU321" s="495" t="e">
        <f>IF(DT321&gt;0,1+COUNTIF(DU$314:DU320,"&gt;0"),0)</f>
        <v>#N/A</v>
      </c>
      <c r="DV321" s="495" t="e">
        <f t="shared" si="379"/>
        <v>#N/A</v>
      </c>
      <c r="DW321" s="495" t="e">
        <f t="shared" si="338"/>
        <v>#N/A</v>
      </c>
      <c r="DX321" s="496">
        <f t="shared" si="339"/>
        <v>0</v>
      </c>
      <c r="DY321" s="501"/>
    </row>
    <row r="322" spans="1:129" ht="16.5" x14ac:dyDescent="0.3">
      <c r="A322" s="155">
        <f>IFERROR(IF(A321+1&lt;MAX(D041_ClassFeatures!$A$2:$A$2033),A321+1,""),"")</f>
        <v>319</v>
      </c>
      <c r="B322" s="153" t="str">
        <f>IFERROR(INDEX(D041_ClassFeatures!$B$2:$B$2033,MATCH(C_Variables!A322,D041_ClassFeatures!$A$2:$A$2033,0),1),"")</f>
        <v>Hypnotic Gaze</v>
      </c>
      <c r="C322" s="153">
        <f>IF(B322="",0,IF(IFERROR(MATCH(B322,C_Input!$BC$160:$BC$239,0),0)&gt;0,1,0))</f>
        <v>0</v>
      </c>
      <c r="E322" s="501"/>
      <c r="F322" s="501"/>
      <c r="G322" s="6" t="s">
        <v>234</v>
      </c>
      <c r="I322" s="494">
        <f>INDEX(D03_Skills!$AA$3:$BU$41,MATCH(C_Variables!$G328,D03_Skills!$Z$3:$Z$41,0),MATCH(C_Variables!N$313,D03_Skills!$AA$2:$BU$2,0))</f>
        <v>0</v>
      </c>
      <c r="J322" s="495">
        <f t="shared" si="340"/>
        <v>0</v>
      </c>
      <c r="K322" s="495">
        <f>IF(I322&gt;0,1+COUNTIF(K$314:K321,"&gt;0"),0)</f>
        <v>0</v>
      </c>
      <c r="L322" s="495" t="str">
        <f t="shared" si="341"/>
        <v/>
      </c>
      <c r="M322" s="495" t="str">
        <f t="shared" si="300"/>
        <v/>
      </c>
      <c r="N322" s="496">
        <f t="shared" si="301"/>
        <v>0</v>
      </c>
      <c r="O322" s="494">
        <f>INDEX(D03_Skills!$AA$3:$BU$41,MATCH(C_Variables!$G328,D03_Skills!$Z$3:$Z$41,0),MATCH(C_Variables!T$313,D03_Skills!$AA$2:$BU$2,0))</f>
        <v>1</v>
      </c>
      <c r="P322" s="495">
        <f t="shared" si="342"/>
        <v>1</v>
      </c>
      <c r="Q322" s="495">
        <f>IF(P322&gt;0,1+COUNTIF(Q$314:Q321,"&gt;0"),0)</f>
        <v>9</v>
      </c>
      <c r="R322" s="495" t="str">
        <f t="shared" si="343"/>
        <v/>
      </c>
      <c r="S322" s="495" t="str">
        <f t="shared" si="302"/>
        <v>n/a</v>
      </c>
      <c r="T322" s="496">
        <f t="shared" si="303"/>
        <v>0</v>
      </c>
      <c r="U322" s="494">
        <f>INDEX(D03_Skills!$AA$3:$BU$41,MATCH(C_Variables!$G328,D03_Skills!$Z$3:$Z$41,0),MATCH(C_Variables!Z$313,D03_Skills!$AA$2:$BU$2,0))</f>
        <v>1</v>
      </c>
      <c r="V322" s="495">
        <f t="shared" si="344"/>
        <v>1</v>
      </c>
      <c r="W322" s="495">
        <f>IF(V322&gt;0,1+COUNTIF(W$314:W321,"&gt;0"),0)</f>
        <v>9</v>
      </c>
      <c r="X322" s="495" t="str">
        <f t="shared" si="345"/>
        <v/>
      </c>
      <c r="Y322" s="495" t="str">
        <f t="shared" si="304"/>
        <v>n/a</v>
      </c>
      <c r="Z322" s="496">
        <f t="shared" si="305"/>
        <v>0</v>
      </c>
      <c r="AA322" s="494">
        <f>INDEX(D03_Skills!$AA$3:$BU$41,MATCH(C_Variables!$G328,D03_Skills!$Z$3:$Z$41,0),MATCH(C_Variables!AF$313,D03_Skills!$AA$2:$BU$2,0))</f>
        <v>1</v>
      </c>
      <c r="AB322" s="495">
        <f t="shared" si="346"/>
        <v>1</v>
      </c>
      <c r="AC322" s="495">
        <f>IF(AB322&gt;0,1+COUNTIF(AC$314:AC321,"&gt;0"),0)</f>
        <v>9</v>
      </c>
      <c r="AD322" s="495" t="str">
        <f t="shared" si="347"/>
        <v/>
      </c>
      <c r="AE322" s="495" t="str">
        <f t="shared" si="306"/>
        <v>n/a</v>
      </c>
      <c r="AF322" s="496">
        <f t="shared" si="307"/>
        <v>0</v>
      </c>
      <c r="AG322" s="494">
        <f>INDEX(D03_Skills!$AA$3:$BU$41,MATCH(C_Variables!$G328,D03_Skills!$Z$3:$Z$41,0),MATCH(C_Variables!AL$313,D03_Skills!$AA$2:$BU$2,0))</f>
        <v>0</v>
      </c>
      <c r="AH322" s="495">
        <f t="shared" si="348"/>
        <v>0</v>
      </c>
      <c r="AI322" s="495">
        <f>IF(AH322&gt;0,1+COUNTIF(AI$314:AI321,"&gt;0"),0)</f>
        <v>0</v>
      </c>
      <c r="AJ322" s="495" t="str">
        <f t="shared" si="349"/>
        <v/>
      </c>
      <c r="AK322" s="495" t="str">
        <f t="shared" si="308"/>
        <v/>
      </c>
      <c r="AL322" s="496">
        <f t="shared" si="309"/>
        <v>0</v>
      </c>
      <c r="AM322" s="494">
        <f>INDEX(D03_Skills!$AA$3:$BU$41,MATCH(C_Variables!$G328,D03_Skills!$Z$3:$Z$41,0),MATCH(C_Variables!AR$313,D03_Skills!$AA$2:$BU$2,0))</f>
        <v>0</v>
      </c>
      <c r="AN322" s="495">
        <f t="shared" si="350"/>
        <v>0</v>
      </c>
      <c r="AO322" s="495">
        <f>IF(AN322&gt;0,1+COUNTIF(AO$314:AO321,"&gt;0"),0)</f>
        <v>0</v>
      </c>
      <c r="AP322" s="495" t="str">
        <f t="shared" si="351"/>
        <v/>
      </c>
      <c r="AQ322" s="495" t="str">
        <f t="shared" si="310"/>
        <v/>
      </c>
      <c r="AR322" s="496">
        <f t="shared" si="311"/>
        <v>0</v>
      </c>
      <c r="AS322" s="494">
        <f>INDEX(D03_Skills!$AA$3:$BU$41,MATCH(C_Variables!$G328,D03_Skills!$Z$3:$Z$41,0),MATCH(C_Variables!AX$313,D03_Skills!$AA$2:$BU$2,0))</f>
        <v>0</v>
      </c>
      <c r="AT322" s="495">
        <f t="shared" si="352"/>
        <v>0</v>
      </c>
      <c r="AU322" s="495">
        <f>IF(AT322&gt;0,1+COUNTIF(AU$314:AU321,"&gt;0"),0)</f>
        <v>0</v>
      </c>
      <c r="AV322" s="495" t="str">
        <f t="shared" si="353"/>
        <v/>
      </c>
      <c r="AW322" s="495" t="str">
        <f t="shared" si="312"/>
        <v/>
      </c>
      <c r="AX322" s="496">
        <f t="shared" si="313"/>
        <v>0</v>
      </c>
      <c r="AY322" s="494">
        <f>INDEX(D03_Skills!$AA$3:$BU$41,MATCH(C_Variables!$G328,D03_Skills!$Z$3:$Z$41,0),MATCH(C_Variables!BD$313,D03_Skills!$AA$2:$BU$2,0))</f>
        <v>1</v>
      </c>
      <c r="AZ322" s="495">
        <f t="shared" si="354"/>
        <v>1</v>
      </c>
      <c r="BA322" s="495">
        <f>IF(AZ322&gt;0,1+COUNTIF(BA$314:BA321,"&gt;0"),0)</f>
        <v>9</v>
      </c>
      <c r="BB322" s="495" t="str">
        <f t="shared" si="355"/>
        <v/>
      </c>
      <c r="BC322" s="495" t="str">
        <f t="shared" si="314"/>
        <v>n/a</v>
      </c>
      <c r="BD322" s="496">
        <f t="shared" si="315"/>
        <v>0</v>
      </c>
      <c r="BE322" s="494">
        <f>INDEX(D03_Skills!$AA$3:$BU$41,MATCH(C_Variables!$G328,D03_Skills!$Z$3:$Z$41,0),MATCH(C_Variables!BJ$313,D03_Skills!$AA$2:$BU$2,0))</f>
        <v>1</v>
      </c>
      <c r="BF322" s="495">
        <f t="shared" si="356"/>
        <v>1</v>
      </c>
      <c r="BG322" s="495">
        <f>IF(BF322&gt;0,1+COUNTIF(BG$314:BG321,"&gt;0"),0)</f>
        <v>9</v>
      </c>
      <c r="BH322" s="495" t="str">
        <f t="shared" si="357"/>
        <v/>
      </c>
      <c r="BI322" s="495" t="str">
        <f t="shared" si="316"/>
        <v>n/a</v>
      </c>
      <c r="BJ322" s="496">
        <f t="shared" si="317"/>
        <v>0</v>
      </c>
      <c r="BK322" s="494">
        <f>INDEX(D03_Skills!$AA$3:$BU$41,MATCH(C_Variables!$G328,D03_Skills!$Z$3:$Z$41,0),MATCH(C_Variables!BP$313,D03_Skills!$AA$2:$BU$2,0))</f>
        <v>1</v>
      </c>
      <c r="BL322" s="495">
        <f t="shared" si="358"/>
        <v>1</v>
      </c>
      <c r="BM322" s="495">
        <f>IF(BL322&gt;0,1+COUNTIF(BM$314:BM321,"&gt;0"),0)</f>
        <v>9</v>
      </c>
      <c r="BN322" s="495" t="str">
        <f t="shared" si="359"/>
        <v/>
      </c>
      <c r="BO322" s="495" t="str">
        <f t="shared" si="318"/>
        <v>n/a</v>
      </c>
      <c r="BP322" s="496">
        <f t="shared" si="319"/>
        <v>0</v>
      </c>
      <c r="BQ322" s="494">
        <f>INDEX(D03_Skills!$AA$3:$BU$41,MATCH(C_Variables!$G328,D03_Skills!$Z$3:$Z$41,0),MATCH(C_Variables!BV$313,D03_Skills!$AA$2:$BU$2,0))</f>
        <v>1</v>
      </c>
      <c r="BR322" s="495">
        <f t="shared" si="360"/>
        <v>1</v>
      </c>
      <c r="BS322" s="495">
        <f>IF(BR322&gt;0,1+COUNTIF(BS$314:BS321,"&gt;0"),0)</f>
        <v>9</v>
      </c>
      <c r="BT322" s="495" t="str">
        <f t="shared" si="361"/>
        <v/>
      </c>
      <c r="BU322" s="495" t="str">
        <f t="shared" si="320"/>
        <v>n/a</v>
      </c>
      <c r="BV322" s="496">
        <f t="shared" si="321"/>
        <v>0</v>
      </c>
      <c r="BW322" s="494">
        <f>INDEX(D03_Skills!$AA$3:$BU$41,MATCH(C_Variables!$G328,D03_Skills!$Z$3:$Z$41,0),MATCH(C_Variables!CB$313,D03_Skills!$AA$2:$BU$2,0))</f>
        <v>1</v>
      </c>
      <c r="BX322" s="495">
        <f t="shared" si="362"/>
        <v>1</v>
      </c>
      <c r="BY322" s="495">
        <f>IF(BX322&gt;0,1+COUNTIF(BY$314:BY321,"&gt;0"),0)</f>
        <v>9</v>
      </c>
      <c r="BZ322" s="495" t="str">
        <f t="shared" si="363"/>
        <v/>
      </c>
      <c r="CA322" s="495" t="str">
        <f t="shared" si="322"/>
        <v>n/a</v>
      </c>
      <c r="CB322" s="496">
        <f t="shared" si="323"/>
        <v>0</v>
      </c>
      <c r="CC322" s="494" t="e">
        <f>INDEX(D03_Skills!$AA$3:$BU$41,MATCH(C_Variables!$G328,D03_Skills!$Z$3:$Z$41,0),MATCH(C_Variables!CH$313,D03_Skills!$AA$2:$BU$2,0))</f>
        <v>#N/A</v>
      </c>
      <c r="CD322" s="495" t="e">
        <f t="shared" si="364"/>
        <v>#N/A</v>
      </c>
      <c r="CE322" s="495" t="e">
        <f>IF(CD322&gt;0,1+COUNTIF(CE$314:CE321,"&gt;0"),0)</f>
        <v>#N/A</v>
      </c>
      <c r="CF322" s="495" t="e">
        <f t="shared" si="365"/>
        <v>#N/A</v>
      </c>
      <c r="CG322" s="495" t="e">
        <f t="shared" si="324"/>
        <v>#N/A</v>
      </c>
      <c r="CH322" s="496">
        <f t="shared" si="325"/>
        <v>0</v>
      </c>
      <c r="CI322" s="494" t="e">
        <f>INDEX(D03_Skills!$AA$3:$BU$41,MATCH(C_Variables!$G328,D03_Skills!$Z$3:$Z$41,0),MATCH(C_Variables!CN$313,D03_Skills!$AA$2:$BU$2,0))</f>
        <v>#N/A</v>
      </c>
      <c r="CJ322" s="495" t="e">
        <f t="shared" si="366"/>
        <v>#N/A</v>
      </c>
      <c r="CK322" s="495" t="e">
        <f>IF(CJ322&gt;0,1+COUNTIF(CK$314:CK321,"&gt;0"),0)</f>
        <v>#N/A</v>
      </c>
      <c r="CL322" s="495" t="e">
        <f t="shared" si="367"/>
        <v>#N/A</v>
      </c>
      <c r="CM322" s="495" t="e">
        <f t="shared" si="326"/>
        <v>#N/A</v>
      </c>
      <c r="CN322" s="496">
        <f t="shared" si="327"/>
        <v>0</v>
      </c>
      <c r="CO322" s="494" t="e">
        <f>INDEX(D03_Skills!$AA$3:$BU$41,MATCH(C_Variables!$G328,D03_Skills!$Z$3:$Z$41,0),MATCH(C_Variables!CT$313,D03_Skills!$AA$2:$BU$2,0))</f>
        <v>#N/A</v>
      </c>
      <c r="CP322" s="495" t="e">
        <f t="shared" si="368"/>
        <v>#N/A</v>
      </c>
      <c r="CQ322" s="495" t="e">
        <f>IF(CP322&gt;0,1+COUNTIF(CQ$314:CQ321,"&gt;0"),0)</f>
        <v>#N/A</v>
      </c>
      <c r="CR322" s="495" t="e">
        <f t="shared" si="369"/>
        <v>#N/A</v>
      </c>
      <c r="CS322" s="495" t="e">
        <f t="shared" si="328"/>
        <v>#N/A</v>
      </c>
      <c r="CT322" s="496">
        <f t="shared" si="329"/>
        <v>0</v>
      </c>
      <c r="CU322" s="494" t="e">
        <f>INDEX(D03_Skills!$AA$3:$BU$41,MATCH(C_Variables!$G328,D03_Skills!$Z$3:$Z$41,0),MATCH(C_Variables!CZ$313,D03_Skills!$AA$2:$BU$2,0))</f>
        <v>#N/A</v>
      </c>
      <c r="CV322" s="495" t="e">
        <f t="shared" si="370"/>
        <v>#N/A</v>
      </c>
      <c r="CW322" s="495" t="e">
        <f>IF(CV322&gt;0,1+COUNTIF(CW$314:CW321,"&gt;0"),0)</f>
        <v>#N/A</v>
      </c>
      <c r="CX322" s="495" t="e">
        <f t="shared" si="371"/>
        <v>#N/A</v>
      </c>
      <c r="CY322" s="495" t="e">
        <f t="shared" si="330"/>
        <v>#N/A</v>
      </c>
      <c r="CZ322" s="496">
        <f t="shared" si="331"/>
        <v>0</v>
      </c>
      <c r="DA322" s="494" t="e">
        <f>INDEX(D03_Skills!$AA$3:$BU$41,MATCH(C_Variables!$G328,D03_Skills!$Z$3:$Z$41,0),MATCH(C_Variables!DF$313,D03_Skills!$AA$2:$BU$2,0))</f>
        <v>#N/A</v>
      </c>
      <c r="DB322" s="495" t="e">
        <f t="shared" si="372"/>
        <v>#N/A</v>
      </c>
      <c r="DC322" s="495" t="e">
        <f>IF(DB322&gt;0,1+COUNTIF(DC$314:DC321,"&gt;0"),0)</f>
        <v>#N/A</v>
      </c>
      <c r="DD322" s="495" t="e">
        <f t="shared" si="373"/>
        <v>#N/A</v>
      </c>
      <c r="DE322" s="495" t="e">
        <f t="shared" si="332"/>
        <v>#N/A</v>
      </c>
      <c r="DF322" s="496">
        <f t="shared" si="333"/>
        <v>0</v>
      </c>
      <c r="DG322" s="494" t="e">
        <f>INDEX(D03_Skills!$AA$3:$BU$41,MATCH(C_Variables!$G328,D03_Skills!$Z$3:$Z$41,0),MATCH(C_Variables!DL$313,D03_Skills!$AA$2:$BU$2,0))</f>
        <v>#N/A</v>
      </c>
      <c r="DH322" s="495" t="e">
        <f t="shared" si="374"/>
        <v>#N/A</v>
      </c>
      <c r="DI322" s="495" t="e">
        <f>IF(DH322&gt;0,1+COUNTIF(DI$314:DI321,"&gt;0"),0)</f>
        <v>#N/A</v>
      </c>
      <c r="DJ322" s="495" t="e">
        <f t="shared" si="375"/>
        <v>#N/A</v>
      </c>
      <c r="DK322" s="495" t="e">
        <f t="shared" si="334"/>
        <v>#N/A</v>
      </c>
      <c r="DL322" s="496">
        <f t="shared" si="335"/>
        <v>0</v>
      </c>
      <c r="DM322" s="494" t="e">
        <f>INDEX(D03_Skills!$AA$3:$BU$41,MATCH(C_Variables!$G328,D03_Skills!$Z$3:$Z$41,0),MATCH(C_Variables!DR$313,D03_Skills!$AA$2:$BU$2,0))</f>
        <v>#N/A</v>
      </c>
      <c r="DN322" s="495" t="e">
        <f t="shared" si="376"/>
        <v>#N/A</v>
      </c>
      <c r="DO322" s="495" t="e">
        <f>IF(DN322&gt;0,1+COUNTIF(DO$314:DO321,"&gt;0"),0)</f>
        <v>#N/A</v>
      </c>
      <c r="DP322" s="495" t="e">
        <f t="shared" si="377"/>
        <v>#N/A</v>
      </c>
      <c r="DQ322" s="495" t="e">
        <f t="shared" si="336"/>
        <v>#N/A</v>
      </c>
      <c r="DR322" s="496">
        <f t="shared" si="337"/>
        <v>0</v>
      </c>
      <c r="DS322" s="494" t="e">
        <f>INDEX(D03_Skills!$AA$3:$BU$41,MATCH(C_Variables!$G328,D03_Skills!$Z$3:$Z$41,0),MATCH(C_Variables!DX$313,D03_Skills!$AA$2:$BU$2,0))</f>
        <v>#N/A</v>
      </c>
      <c r="DT322" s="495" t="e">
        <f t="shared" si="378"/>
        <v>#N/A</v>
      </c>
      <c r="DU322" s="495" t="e">
        <f>IF(DT322&gt;0,1+COUNTIF(DU$314:DU321,"&gt;0"),0)</f>
        <v>#N/A</v>
      </c>
      <c r="DV322" s="495" t="e">
        <f t="shared" si="379"/>
        <v>#N/A</v>
      </c>
      <c r="DW322" s="495" t="e">
        <f t="shared" si="338"/>
        <v>#N/A</v>
      </c>
      <c r="DX322" s="496">
        <f t="shared" si="339"/>
        <v>0</v>
      </c>
      <c r="DY322" s="501"/>
    </row>
    <row r="323" spans="1:129" ht="16.5" x14ac:dyDescent="0.3">
      <c r="A323" s="155">
        <f>IFERROR(IF(A322+1&lt;MAX(D041_ClassFeatures!$A$2:$A$2033),A322+1,""),"")</f>
        <v>320</v>
      </c>
      <c r="B323" s="153" t="str">
        <f>IFERROR(INDEX(D041_ClassFeatures!$B$2:$B$2033,MATCH(C_Variables!A323,D041_ClassFeatures!$A$2:$A$2033,0),1),"")</f>
        <v>Instinctive Charm</v>
      </c>
      <c r="C323" s="153">
        <f>IF(B323="",0,IF(IFERROR(MATCH(B323,C_Input!$BC$160:$BC$239,0),0)&gt;0,1,0))</f>
        <v>0</v>
      </c>
      <c r="E323" s="501"/>
      <c r="F323" s="501"/>
      <c r="G323" s="6" t="s">
        <v>244</v>
      </c>
      <c r="I323" s="494">
        <f>INDEX(D03_Skills!$AA$3:$BU$41,MATCH(C_Variables!$G329,D03_Skills!$Z$3:$Z$41,0),MATCH(C_Variables!N$313,D03_Skills!$AA$2:$BU$2,0))</f>
        <v>0</v>
      </c>
      <c r="J323" s="495">
        <f t="shared" si="340"/>
        <v>0</v>
      </c>
      <c r="K323" s="495">
        <f>IF(I323&gt;0,1+COUNTIF(K$314:K322,"&gt;0"),0)</f>
        <v>0</v>
      </c>
      <c r="L323" s="495" t="str">
        <f t="shared" si="341"/>
        <v/>
      </c>
      <c r="M323" s="495" t="str">
        <f t="shared" si="300"/>
        <v/>
      </c>
      <c r="N323" s="496">
        <f t="shared" si="301"/>
        <v>0</v>
      </c>
      <c r="O323" s="494">
        <f>INDEX(D03_Skills!$AA$3:$BU$41,MATCH(C_Variables!$G329,D03_Skills!$Z$3:$Z$41,0),MATCH(C_Variables!T$313,D03_Skills!$AA$2:$BU$2,0))</f>
        <v>1</v>
      </c>
      <c r="P323" s="495">
        <f t="shared" si="342"/>
        <v>1</v>
      </c>
      <c r="Q323" s="495">
        <f>IF(P323&gt;0,1+COUNTIF(Q$314:Q322,"&gt;0"),0)</f>
        <v>10</v>
      </c>
      <c r="R323" s="495" t="str">
        <f t="shared" si="343"/>
        <v/>
      </c>
      <c r="S323" s="495" t="str">
        <f t="shared" si="302"/>
        <v>n/a</v>
      </c>
      <c r="T323" s="496">
        <f t="shared" si="303"/>
        <v>0</v>
      </c>
      <c r="U323" s="494">
        <f>INDEX(D03_Skills!$AA$3:$BU$41,MATCH(C_Variables!$G329,D03_Skills!$Z$3:$Z$41,0),MATCH(C_Variables!Z$313,D03_Skills!$AA$2:$BU$2,0))</f>
        <v>1</v>
      </c>
      <c r="V323" s="495">
        <f t="shared" si="344"/>
        <v>1</v>
      </c>
      <c r="W323" s="495">
        <f>IF(V323&gt;0,1+COUNTIF(W$314:W322,"&gt;0"),0)</f>
        <v>10</v>
      </c>
      <c r="X323" s="495" t="str">
        <f t="shared" si="345"/>
        <v/>
      </c>
      <c r="Y323" s="495" t="str">
        <f t="shared" si="304"/>
        <v>n/a</v>
      </c>
      <c r="Z323" s="496">
        <f t="shared" si="305"/>
        <v>0</v>
      </c>
      <c r="AA323" s="494">
        <f>INDEX(D03_Skills!$AA$3:$BU$41,MATCH(C_Variables!$G329,D03_Skills!$Z$3:$Z$41,0),MATCH(C_Variables!AF$313,D03_Skills!$AA$2:$BU$2,0))</f>
        <v>1</v>
      </c>
      <c r="AB323" s="495">
        <f t="shared" si="346"/>
        <v>1</v>
      </c>
      <c r="AC323" s="495">
        <f>IF(AB323&gt;0,1+COUNTIF(AC$314:AC322,"&gt;0"),0)</f>
        <v>10</v>
      </c>
      <c r="AD323" s="495" t="str">
        <f t="shared" si="347"/>
        <v/>
      </c>
      <c r="AE323" s="495" t="str">
        <f t="shared" si="306"/>
        <v>n/a</v>
      </c>
      <c r="AF323" s="496">
        <f t="shared" si="307"/>
        <v>0</v>
      </c>
      <c r="AG323" s="494">
        <f>INDEX(D03_Skills!$AA$3:$BU$41,MATCH(C_Variables!$G329,D03_Skills!$Z$3:$Z$41,0),MATCH(C_Variables!AL$313,D03_Skills!$AA$2:$BU$2,0))</f>
        <v>0</v>
      </c>
      <c r="AH323" s="495">
        <f t="shared" si="348"/>
        <v>0</v>
      </c>
      <c r="AI323" s="495">
        <f>IF(AH323&gt;0,1+COUNTIF(AI$314:AI322,"&gt;0"),0)</f>
        <v>0</v>
      </c>
      <c r="AJ323" s="495" t="str">
        <f t="shared" si="349"/>
        <v/>
      </c>
      <c r="AK323" s="495" t="str">
        <f t="shared" si="308"/>
        <v/>
      </c>
      <c r="AL323" s="496">
        <f t="shared" si="309"/>
        <v>0</v>
      </c>
      <c r="AM323" s="494">
        <f>INDEX(D03_Skills!$AA$3:$BU$41,MATCH(C_Variables!$G329,D03_Skills!$Z$3:$Z$41,0),MATCH(C_Variables!AR$313,D03_Skills!$AA$2:$BU$2,0))</f>
        <v>0</v>
      </c>
      <c r="AN323" s="495">
        <f t="shared" si="350"/>
        <v>0</v>
      </c>
      <c r="AO323" s="495">
        <f>IF(AN323&gt;0,1+COUNTIF(AO$314:AO322,"&gt;0"),0)</f>
        <v>0</v>
      </c>
      <c r="AP323" s="495" t="str">
        <f t="shared" si="351"/>
        <v/>
      </c>
      <c r="AQ323" s="495" t="str">
        <f t="shared" si="310"/>
        <v/>
      </c>
      <c r="AR323" s="496">
        <f t="shared" si="311"/>
        <v>0</v>
      </c>
      <c r="AS323" s="494">
        <f>INDEX(D03_Skills!$AA$3:$BU$41,MATCH(C_Variables!$G329,D03_Skills!$Z$3:$Z$41,0),MATCH(C_Variables!AX$313,D03_Skills!$AA$2:$BU$2,0))</f>
        <v>0</v>
      </c>
      <c r="AT323" s="495">
        <f t="shared" si="352"/>
        <v>0</v>
      </c>
      <c r="AU323" s="495">
        <f>IF(AT323&gt;0,1+COUNTIF(AU$314:AU322,"&gt;0"),0)</f>
        <v>0</v>
      </c>
      <c r="AV323" s="495" t="str">
        <f t="shared" si="353"/>
        <v/>
      </c>
      <c r="AW323" s="495" t="str">
        <f t="shared" si="312"/>
        <v/>
      </c>
      <c r="AX323" s="496">
        <f t="shared" si="313"/>
        <v>0</v>
      </c>
      <c r="AY323" s="494">
        <f>INDEX(D03_Skills!$AA$3:$BU$41,MATCH(C_Variables!$G329,D03_Skills!$Z$3:$Z$41,0),MATCH(C_Variables!BD$313,D03_Skills!$AA$2:$BU$2,0))</f>
        <v>1</v>
      </c>
      <c r="AZ323" s="495">
        <f t="shared" si="354"/>
        <v>1</v>
      </c>
      <c r="BA323" s="495">
        <f>IF(AZ323&gt;0,1+COUNTIF(BA$314:BA322,"&gt;0"),0)</f>
        <v>10</v>
      </c>
      <c r="BB323" s="495" t="str">
        <f t="shared" si="355"/>
        <v/>
      </c>
      <c r="BC323" s="495" t="str">
        <f t="shared" si="314"/>
        <v>n/a</v>
      </c>
      <c r="BD323" s="496">
        <f t="shared" si="315"/>
        <v>0</v>
      </c>
      <c r="BE323" s="494">
        <f>INDEX(D03_Skills!$AA$3:$BU$41,MATCH(C_Variables!$G329,D03_Skills!$Z$3:$Z$41,0),MATCH(C_Variables!BJ$313,D03_Skills!$AA$2:$BU$2,0))</f>
        <v>1</v>
      </c>
      <c r="BF323" s="495">
        <f t="shared" si="356"/>
        <v>1</v>
      </c>
      <c r="BG323" s="495">
        <f>IF(BF323&gt;0,1+COUNTIF(BG$314:BG322,"&gt;0"),0)</f>
        <v>10</v>
      </c>
      <c r="BH323" s="495" t="str">
        <f t="shared" si="357"/>
        <v/>
      </c>
      <c r="BI323" s="495" t="str">
        <f t="shared" si="316"/>
        <v>n/a</v>
      </c>
      <c r="BJ323" s="496">
        <f t="shared" si="317"/>
        <v>0</v>
      </c>
      <c r="BK323" s="494">
        <f>INDEX(D03_Skills!$AA$3:$BU$41,MATCH(C_Variables!$G329,D03_Skills!$Z$3:$Z$41,0),MATCH(C_Variables!BP$313,D03_Skills!$AA$2:$BU$2,0))</f>
        <v>1</v>
      </c>
      <c r="BL323" s="495">
        <f t="shared" si="358"/>
        <v>1</v>
      </c>
      <c r="BM323" s="495">
        <f>IF(BL323&gt;0,1+COUNTIF(BM$314:BM322,"&gt;0"),0)</f>
        <v>10</v>
      </c>
      <c r="BN323" s="495" t="str">
        <f t="shared" si="359"/>
        <v/>
      </c>
      <c r="BO323" s="495" t="str">
        <f t="shared" si="318"/>
        <v>n/a</v>
      </c>
      <c r="BP323" s="496">
        <f t="shared" si="319"/>
        <v>0</v>
      </c>
      <c r="BQ323" s="494">
        <f>INDEX(D03_Skills!$AA$3:$BU$41,MATCH(C_Variables!$G329,D03_Skills!$Z$3:$Z$41,0),MATCH(C_Variables!BV$313,D03_Skills!$AA$2:$BU$2,0))</f>
        <v>1</v>
      </c>
      <c r="BR323" s="495">
        <f t="shared" si="360"/>
        <v>1</v>
      </c>
      <c r="BS323" s="495">
        <f>IF(BR323&gt;0,1+COUNTIF(BS$314:BS322,"&gt;0"),0)</f>
        <v>10</v>
      </c>
      <c r="BT323" s="495" t="str">
        <f t="shared" si="361"/>
        <v/>
      </c>
      <c r="BU323" s="495" t="str">
        <f t="shared" si="320"/>
        <v>n/a</v>
      </c>
      <c r="BV323" s="496">
        <f t="shared" si="321"/>
        <v>0</v>
      </c>
      <c r="BW323" s="494">
        <f>INDEX(D03_Skills!$AA$3:$BU$41,MATCH(C_Variables!$G329,D03_Skills!$Z$3:$Z$41,0),MATCH(C_Variables!CB$313,D03_Skills!$AA$2:$BU$2,0))</f>
        <v>1</v>
      </c>
      <c r="BX323" s="495">
        <f t="shared" si="362"/>
        <v>1</v>
      </c>
      <c r="BY323" s="495">
        <f>IF(BX323&gt;0,1+COUNTIF(BY$314:BY322,"&gt;0"),0)</f>
        <v>10</v>
      </c>
      <c r="BZ323" s="495" t="str">
        <f t="shared" si="363"/>
        <v/>
      </c>
      <c r="CA323" s="495" t="str">
        <f t="shared" si="322"/>
        <v>n/a</v>
      </c>
      <c r="CB323" s="496">
        <f t="shared" si="323"/>
        <v>0</v>
      </c>
      <c r="CC323" s="494" t="e">
        <f>INDEX(D03_Skills!$AA$3:$BU$41,MATCH(C_Variables!$G329,D03_Skills!$Z$3:$Z$41,0),MATCH(C_Variables!CH$313,D03_Skills!$AA$2:$BU$2,0))</f>
        <v>#N/A</v>
      </c>
      <c r="CD323" s="495" t="e">
        <f t="shared" si="364"/>
        <v>#N/A</v>
      </c>
      <c r="CE323" s="495" t="e">
        <f>IF(CD323&gt;0,1+COUNTIF(CE$314:CE322,"&gt;0"),0)</f>
        <v>#N/A</v>
      </c>
      <c r="CF323" s="495" t="e">
        <f t="shared" si="365"/>
        <v>#N/A</v>
      </c>
      <c r="CG323" s="495" t="e">
        <f t="shared" si="324"/>
        <v>#N/A</v>
      </c>
      <c r="CH323" s="496">
        <f t="shared" si="325"/>
        <v>0</v>
      </c>
      <c r="CI323" s="494" t="e">
        <f>INDEX(D03_Skills!$AA$3:$BU$41,MATCH(C_Variables!$G329,D03_Skills!$Z$3:$Z$41,0),MATCH(C_Variables!CN$313,D03_Skills!$AA$2:$BU$2,0))</f>
        <v>#N/A</v>
      </c>
      <c r="CJ323" s="495" t="e">
        <f t="shared" si="366"/>
        <v>#N/A</v>
      </c>
      <c r="CK323" s="495" t="e">
        <f>IF(CJ323&gt;0,1+COUNTIF(CK$314:CK322,"&gt;0"),0)</f>
        <v>#N/A</v>
      </c>
      <c r="CL323" s="495" t="e">
        <f t="shared" si="367"/>
        <v>#N/A</v>
      </c>
      <c r="CM323" s="495" t="e">
        <f t="shared" si="326"/>
        <v>#N/A</v>
      </c>
      <c r="CN323" s="496">
        <f t="shared" si="327"/>
        <v>0</v>
      </c>
      <c r="CO323" s="494" t="e">
        <f>INDEX(D03_Skills!$AA$3:$BU$41,MATCH(C_Variables!$G329,D03_Skills!$Z$3:$Z$41,0),MATCH(C_Variables!CT$313,D03_Skills!$AA$2:$BU$2,0))</f>
        <v>#N/A</v>
      </c>
      <c r="CP323" s="495" t="e">
        <f t="shared" si="368"/>
        <v>#N/A</v>
      </c>
      <c r="CQ323" s="495" t="e">
        <f>IF(CP323&gt;0,1+COUNTIF(CQ$314:CQ322,"&gt;0"),0)</f>
        <v>#N/A</v>
      </c>
      <c r="CR323" s="495" t="e">
        <f t="shared" si="369"/>
        <v>#N/A</v>
      </c>
      <c r="CS323" s="495" t="e">
        <f t="shared" si="328"/>
        <v>#N/A</v>
      </c>
      <c r="CT323" s="496">
        <f t="shared" si="329"/>
        <v>0</v>
      </c>
      <c r="CU323" s="494" t="e">
        <f>INDEX(D03_Skills!$AA$3:$BU$41,MATCH(C_Variables!$G329,D03_Skills!$Z$3:$Z$41,0),MATCH(C_Variables!CZ$313,D03_Skills!$AA$2:$BU$2,0))</f>
        <v>#N/A</v>
      </c>
      <c r="CV323" s="495" t="e">
        <f t="shared" si="370"/>
        <v>#N/A</v>
      </c>
      <c r="CW323" s="495" t="e">
        <f>IF(CV323&gt;0,1+COUNTIF(CW$314:CW322,"&gt;0"),0)</f>
        <v>#N/A</v>
      </c>
      <c r="CX323" s="495" t="e">
        <f t="shared" si="371"/>
        <v>#N/A</v>
      </c>
      <c r="CY323" s="495" t="e">
        <f t="shared" si="330"/>
        <v>#N/A</v>
      </c>
      <c r="CZ323" s="496">
        <f t="shared" si="331"/>
        <v>0</v>
      </c>
      <c r="DA323" s="494" t="e">
        <f>INDEX(D03_Skills!$AA$3:$BU$41,MATCH(C_Variables!$G329,D03_Skills!$Z$3:$Z$41,0),MATCH(C_Variables!DF$313,D03_Skills!$AA$2:$BU$2,0))</f>
        <v>#N/A</v>
      </c>
      <c r="DB323" s="495" t="e">
        <f t="shared" si="372"/>
        <v>#N/A</v>
      </c>
      <c r="DC323" s="495" t="e">
        <f>IF(DB323&gt;0,1+COUNTIF(DC$314:DC322,"&gt;0"),0)</f>
        <v>#N/A</v>
      </c>
      <c r="DD323" s="495" t="e">
        <f t="shared" si="373"/>
        <v>#N/A</v>
      </c>
      <c r="DE323" s="495" t="e">
        <f t="shared" si="332"/>
        <v>#N/A</v>
      </c>
      <c r="DF323" s="496">
        <f t="shared" si="333"/>
        <v>0</v>
      </c>
      <c r="DG323" s="494" t="e">
        <f>INDEX(D03_Skills!$AA$3:$BU$41,MATCH(C_Variables!$G329,D03_Skills!$Z$3:$Z$41,0),MATCH(C_Variables!DL$313,D03_Skills!$AA$2:$BU$2,0))</f>
        <v>#N/A</v>
      </c>
      <c r="DH323" s="495" t="e">
        <f t="shared" si="374"/>
        <v>#N/A</v>
      </c>
      <c r="DI323" s="495" t="e">
        <f>IF(DH323&gt;0,1+COUNTIF(DI$314:DI322,"&gt;0"),0)</f>
        <v>#N/A</v>
      </c>
      <c r="DJ323" s="495" t="e">
        <f t="shared" si="375"/>
        <v>#N/A</v>
      </c>
      <c r="DK323" s="495" t="e">
        <f t="shared" si="334"/>
        <v>#N/A</v>
      </c>
      <c r="DL323" s="496">
        <f t="shared" si="335"/>
        <v>0</v>
      </c>
      <c r="DM323" s="494" t="e">
        <f>INDEX(D03_Skills!$AA$3:$BU$41,MATCH(C_Variables!$G329,D03_Skills!$Z$3:$Z$41,0),MATCH(C_Variables!DR$313,D03_Skills!$AA$2:$BU$2,0))</f>
        <v>#N/A</v>
      </c>
      <c r="DN323" s="495" t="e">
        <f t="shared" si="376"/>
        <v>#N/A</v>
      </c>
      <c r="DO323" s="495" t="e">
        <f>IF(DN323&gt;0,1+COUNTIF(DO$314:DO322,"&gt;0"),0)</f>
        <v>#N/A</v>
      </c>
      <c r="DP323" s="495" t="e">
        <f t="shared" si="377"/>
        <v>#N/A</v>
      </c>
      <c r="DQ323" s="495" t="e">
        <f t="shared" si="336"/>
        <v>#N/A</v>
      </c>
      <c r="DR323" s="496">
        <f t="shared" si="337"/>
        <v>0</v>
      </c>
      <c r="DS323" s="494" t="e">
        <f>INDEX(D03_Skills!$AA$3:$BU$41,MATCH(C_Variables!$G329,D03_Skills!$Z$3:$Z$41,0),MATCH(C_Variables!DX$313,D03_Skills!$AA$2:$BU$2,0))</f>
        <v>#N/A</v>
      </c>
      <c r="DT323" s="495" t="e">
        <f t="shared" si="378"/>
        <v>#N/A</v>
      </c>
      <c r="DU323" s="495" t="e">
        <f>IF(DT323&gt;0,1+COUNTIF(DU$314:DU322,"&gt;0"),0)</f>
        <v>#N/A</v>
      </c>
      <c r="DV323" s="495" t="e">
        <f t="shared" si="379"/>
        <v>#N/A</v>
      </c>
      <c r="DW323" s="495" t="e">
        <f t="shared" si="338"/>
        <v>#N/A</v>
      </c>
      <c r="DX323" s="496">
        <f t="shared" si="339"/>
        <v>0</v>
      </c>
      <c r="DY323" s="501"/>
    </row>
    <row r="324" spans="1:129" ht="16.5" x14ac:dyDescent="0.3">
      <c r="A324" s="155">
        <f>IFERROR(IF(A323+1&lt;MAX(D041_ClassFeatures!$A$2:$A$2033),A323+1,""),"")</f>
        <v>321</v>
      </c>
      <c r="B324" s="153" t="str">
        <f>IFERROR(INDEX(D041_ClassFeatures!$B$2:$B$2033,MATCH(C_Variables!A324,D041_ClassFeatures!$A$2:$A$2033,0),1),"")</f>
        <v>Split Enchantment</v>
      </c>
      <c r="C324" s="153">
        <f>IF(B324="",0,IF(IFERROR(MATCH(B324,C_Input!$BC$160:$BC$239,0),0)&gt;0,1,0))</f>
        <v>0</v>
      </c>
      <c r="E324" s="501"/>
      <c r="F324" s="501"/>
      <c r="G324" s="6" t="s">
        <v>248</v>
      </c>
      <c r="I324" s="494">
        <f>INDEX(D03_Skills!$AA$3:$BU$41,MATCH(C_Variables!$G330,D03_Skills!$Z$3:$Z$41,0),MATCH(C_Variables!N$313,D03_Skills!$AA$2:$BU$2,0))</f>
        <v>0</v>
      </c>
      <c r="J324" s="495">
        <f t="shared" si="340"/>
        <v>0</v>
      </c>
      <c r="K324" s="495">
        <f>IF(I324&gt;0,1+COUNTIF(K$314:K323,"&gt;0"),0)</f>
        <v>0</v>
      </c>
      <c r="L324" s="495" t="str">
        <f t="shared" si="341"/>
        <v/>
      </c>
      <c r="M324" s="495" t="str">
        <f t="shared" si="300"/>
        <v/>
      </c>
      <c r="N324" s="496">
        <f t="shared" si="301"/>
        <v>0</v>
      </c>
      <c r="O324" s="494">
        <f>INDEX(D03_Skills!$AA$3:$BU$41,MATCH(C_Variables!$G330,D03_Skills!$Z$3:$Z$41,0),MATCH(C_Variables!T$313,D03_Skills!$AA$2:$BU$2,0))</f>
        <v>1</v>
      </c>
      <c r="P324" s="495">
        <f t="shared" si="342"/>
        <v>1</v>
      </c>
      <c r="Q324" s="495">
        <f>IF(P324&gt;0,1+COUNTIF(Q$314:Q323,"&gt;0"),0)</f>
        <v>11</v>
      </c>
      <c r="R324" s="495" t="str">
        <f t="shared" si="343"/>
        <v/>
      </c>
      <c r="S324" s="495" t="str">
        <f t="shared" si="302"/>
        <v>n/a</v>
      </c>
      <c r="T324" s="496">
        <f t="shared" si="303"/>
        <v>0</v>
      </c>
      <c r="U324" s="494">
        <f>INDEX(D03_Skills!$AA$3:$BU$41,MATCH(C_Variables!$G330,D03_Skills!$Z$3:$Z$41,0),MATCH(C_Variables!Z$313,D03_Skills!$AA$2:$BU$2,0))</f>
        <v>1</v>
      </c>
      <c r="V324" s="495">
        <f t="shared" si="344"/>
        <v>1</v>
      </c>
      <c r="W324" s="495">
        <f>IF(V324&gt;0,1+COUNTIF(W$314:W323,"&gt;0"),0)</f>
        <v>11</v>
      </c>
      <c r="X324" s="495" t="str">
        <f t="shared" si="345"/>
        <v/>
      </c>
      <c r="Y324" s="495" t="str">
        <f t="shared" si="304"/>
        <v>n/a</v>
      </c>
      <c r="Z324" s="496">
        <f t="shared" si="305"/>
        <v>0</v>
      </c>
      <c r="AA324" s="494">
        <f>INDEX(D03_Skills!$AA$3:$BU$41,MATCH(C_Variables!$G330,D03_Skills!$Z$3:$Z$41,0),MATCH(C_Variables!AF$313,D03_Skills!$AA$2:$BU$2,0))</f>
        <v>1</v>
      </c>
      <c r="AB324" s="495">
        <f t="shared" si="346"/>
        <v>1</v>
      </c>
      <c r="AC324" s="495">
        <f>IF(AB324&gt;0,1+COUNTIF(AC$314:AC323,"&gt;0"),0)</f>
        <v>11</v>
      </c>
      <c r="AD324" s="495" t="str">
        <f t="shared" si="347"/>
        <v/>
      </c>
      <c r="AE324" s="495" t="str">
        <f t="shared" si="306"/>
        <v>n/a</v>
      </c>
      <c r="AF324" s="496">
        <f t="shared" si="307"/>
        <v>0</v>
      </c>
      <c r="AG324" s="494">
        <f>INDEX(D03_Skills!$AA$3:$BU$41,MATCH(C_Variables!$G330,D03_Skills!$Z$3:$Z$41,0),MATCH(C_Variables!AL$313,D03_Skills!$AA$2:$BU$2,0))</f>
        <v>0</v>
      </c>
      <c r="AH324" s="495">
        <f t="shared" si="348"/>
        <v>0</v>
      </c>
      <c r="AI324" s="495">
        <f>IF(AH324&gt;0,1+COUNTIF(AI$314:AI323,"&gt;0"),0)</f>
        <v>0</v>
      </c>
      <c r="AJ324" s="495" t="str">
        <f t="shared" si="349"/>
        <v/>
      </c>
      <c r="AK324" s="495" t="str">
        <f t="shared" si="308"/>
        <v/>
      </c>
      <c r="AL324" s="496">
        <f t="shared" si="309"/>
        <v>0</v>
      </c>
      <c r="AM324" s="494">
        <f>INDEX(D03_Skills!$AA$3:$BU$41,MATCH(C_Variables!$G330,D03_Skills!$Z$3:$Z$41,0),MATCH(C_Variables!AR$313,D03_Skills!$AA$2:$BU$2,0))</f>
        <v>0</v>
      </c>
      <c r="AN324" s="495">
        <f t="shared" si="350"/>
        <v>0</v>
      </c>
      <c r="AO324" s="495">
        <f>IF(AN324&gt;0,1+COUNTIF(AO$314:AO323,"&gt;0"),0)</f>
        <v>0</v>
      </c>
      <c r="AP324" s="495" t="str">
        <f t="shared" si="351"/>
        <v/>
      </c>
      <c r="AQ324" s="495" t="str">
        <f t="shared" si="310"/>
        <v/>
      </c>
      <c r="AR324" s="496">
        <f t="shared" si="311"/>
        <v>0</v>
      </c>
      <c r="AS324" s="494">
        <f>INDEX(D03_Skills!$AA$3:$BU$41,MATCH(C_Variables!$G330,D03_Skills!$Z$3:$Z$41,0),MATCH(C_Variables!AX$313,D03_Skills!$AA$2:$BU$2,0))</f>
        <v>0</v>
      </c>
      <c r="AT324" s="495">
        <f t="shared" si="352"/>
        <v>0</v>
      </c>
      <c r="AU324" s="495">
        <f>IF(AT324&gt;0,1+COUNTIF(AU$314:AU323,"&gt;0"),0)</f>
        <v>0</v>
      </c>
      <c r="AV324" s="495" t="str">
        <f t="shared" si="353"/>
        <v/>
      </c>
      <c r="AW324" s="495" t="str">
        <f t="shared" si="312"/>
        <v/>
      </c>
      <c r="AX324" s="496">
        <f t="shared" si="313"/>
        <v>0</v>
      </c>
      <c r="AY324" s="494">
        <f>INDEX(D03_Skills!$AA$3:$BU$41,MATCH(C_Variables!$G330,D03_Skills!$Z$3:$Z$41,0),MATCH(C_Variables!BD$313,D03_Skills!$AA$2:$BU$2,0))</f>
        <v>1</v>
      </c>
      <c r="AZ324" s="495">
        <f t="shared" si="354"/>
        <v>1</v>
      </c>
      <c r="BA324" s="495">
        <f>IF(AZ324&gt;0,1+COUNTIF(BA$314:BA323,"&gt;0"),0)</f>
        <v>11</v>
      </c>
      <c r="BB324" s="495" t="str">
        <f t="shared" si="355"/>
        <v/>
      </c>
      <c r="BC324" s="495" t="str">
        <f t="shared" si="314"/>
        <v>n/a</v>
      </c>
      <c r="BD324" s="496">
        <f t="shared" si="315"/>
        <v>0</v>
      </c>
      <c r="BE324" s="494">
        <f>INDEX(D03_Skills!$AA$3:$BU$41,MATCH(C_Variables!$G330,D03_Skills!$Z$3:$Z$41,0),MATCH(C_Variables!BJ$313,D03_Skills!$AA$2:$BU$2,0))</f>
        <v>1</v>
      </c>
      <c r="BF324" s="495">
        <f t="shared" si="356"/>
        <v>1</v>
      </c>
      <c r="BG324" s="495">
        <f>IF(BF324&gt;0,1+COUNTIF(BG$314:BG323,"&gt;0"),0)</f>
        <v>11</v>
      </c>
      <c r="BH324" s="495" t="str">
        <f t="shared" si="357"/>
        <v/>
      </c>
      <c r="BI324" s="495" t="str">
        <f t="shared" si="316"/>
        <v>n/a</v>
      </c>
      <c r="BJ324" s="496">
        <f t="shared" si="317"/>
        <v>0</v>
      </c>
      <c r="BK324" s="494">
        <f>INDEX(D03_Skills!$AA$3:$BU$41,MATCH(C_Variables!$G330,D03_Skills!$Z$3:$Z$41,0),MATCH(C_Variables!BP$313,D03_Skills!$AA$2:$BU$2,0))</f>
        <v>1</v>
      </c>
      <c r="BL324" s="495">
        <f t="shared" si="358"/>
        <v>1</v>
      </c>
      <c r="BM324" s="495">
        <f>IF(BL324&gt;0,1+COUNTIF(BM$314:BM323,"&gt;0"),0)</f>
        <v>11</v>
      </c>
      <c r="BN324" s="495" t="str">
        <f t="shared" si="359"/>
        <v/>
      </c>
      <c r="BO324" s="495" t="str">
        <f t="shared" si="318"/>
        <v>n/a</v>
      </c>
      <c r="BP324" s="496">
        <f t="shared" si="319"/>
        <v>0</v>
      </c>
      <c r="BQ324" s="494">
        <f>INDEX(D03_Skills!$AA$3:$BU$41,MATCH(C_Variables!$G330,D03_Skills!$Z$3:$Z$41,0),MATCH(C_Variables!BV$313,D03_Skills!$AA$2:$BU$2,0))</f>
        <v>1</v>
      </c>
      <c r="BR324" s="495">
        <f t="shared" si="360"/>
        <v>1</v>
      </c>
      <c r="BS324" s="495">
        <f>IF(BR324&gt;0,1+COUNTIF(BS$314:BS323,"&gt;0"),0)</f>
        <v>11</v>
      </c>
      <c r="BT324" s="495" t="str">
        <f t="shared" si="361"/>
        <v/>
      </c>
      <c r="BU324" s="495" t="str">
        <f t="shared" si="320"/>
        <v>n/a</v>
      </c>
      <c r="BV324" s="496">
        <f t="shared" si="321"/>
        <v>0</v>
      </c>
      <c r="BW324" s="494">
        <f>INDEX(D03_Skills!$AA$3:$BU$41,MATCH(C_Variables!$G330,D03_Skills!$Z$3:$Z$41,0),MATCH(C_Variables!CB$313,D03_Skills!$AA$2:$BU$2,0))</f>
        <v>1</v>
      </c>
      <c r="BX324" s="495">
        <f t="shared" si="362"/>
        <v>1</v>
      </c>
      <c r="BY324" s="495">
        <f>IF(BX324&gt;0,1+COUNTIF(BY$314:BY323,"&gt;0"),0)</f>
        <v>11</v>
      </c>
      <c r="BZ324" s="495" t="str">
        <f t="shared" si="363"/>
        <v/>
      </c>
      <c r="CA324" s="495" t="str">
        <f t="shared" si="322"/>
        <v>n/a</v>
      </c>
      <c r="CB324" s="496">
        <f t="shared" si="323"/>
        <v>0</v>
      </c>
      <c r="CC324" s="494" t="e">
        <f>INDEX(D03_Skills!$AA$3:$BU$41,MATCH(C_Variables!$G330,D03_Skills!$Z$3:$Z$41,0),MATCH(C_Variables!CH$313,D03_Skills!$AA$2:$BU$2,0))</f>
        <v>#N/A</v>
      </c>
      <c r="CD324" s="495" t="e">
        <f t="shared" si="364"/>
        <v>#N/A</v>
      </c>
      <c r="CE324" s="495" t="e">
        <f>IF(CD324&gt;0,1+COUNTIF(CE$314:CE323,"&gt;0"),0)</f>
        <v>#N/A</v>
      </c>
      <c r="CF324" s="495" t="e">
        <f t="shared" si="365"/>
        <v>#N/A</v>
      </c>
      <c r="CG324" s="495" t="e">
        <f t="shared" si="324"/>
        <v>#N/A</v>
      </c>
      <c r="CH324" s="496">
        <f t="shared" si="325"/>
        <v>0</v>
      </c>
      <c r="CI324" s="494" t="e">
        <f>INDEX(D03_Skills!$AA$3:$BU$41,MATCH(C_Variables!$G330,D03_Skills!$Z$3:$Z$41,0),MATCH(C_Variables!CN$313,D03_Skills!$AA$2:$BU$2,0))</f>
        <v>#N/A</v>
      </c>
      <c r="CJ324" s="495" t="e">
        <f t="shared" si="366"/>
        <v>#N/A</v>
      </c>
      <c r="CK324" s="495" t="e">
        <f>IF(CJ324&gt;0,1+COUNTIF(CK$314:CK323,"&gt;0"),0)</f>
        <v>#N/A</v>
      </c>
      <c r="CL324" s="495" t="e">
        <f t="shared" si="367"/>
        <v>#N/A</v>
      </c>
      <c r="CM324" s="495" t="e">
        <f t="shared" si="326"/>
        <v>#N/A</v>
      </c>
      <c r="CN324" s="496">
        <f t="shared" si="327"/>
        <v>0</v>
      </c>
      <c r="CO324" s="494" t="e">
        <f>INDEX(D03_Skills!$AA$3:$BU$41,MATCH(C_Variables!$G330,D03_Skills!$Z$3:$Z$41,0),MATCH(C_Variables!CT$313,D03_Skills!$AA$2:$BU$2,0))</f>
        <v>#N/A</v>
      </c>
      <c r="CP324" s="495" t="e">
        <f t="shared" si="368"/>
        <v>#N/A</v>
      </c>
      <c r="CQ324" s="495" t="e">
        <f>IF(CP324&gt;0,1+COUNTIF(CQ$314:CQ323,"&gt;0"),0)</f>
        <v>#N/A</v>
      </c>
      <c r="CR324" s="495" t="e">
        <f t="shared" si="369"/>
        <v>#N/A</v>
      </c>
      <c r="CS324" s="495" t="e">
        <f t="shared" si="328"/>
        <v>#N/A</v>
      </c>
      <c r="CT324" s="496">
        <f t="shared" si="329"/>
        <v>0</v>
      </c>
      <c r="CU324" s="494" t="e">
        <f>INDEX(D03_Skills!$AA$3:$BU$41,MATCH(C_Variables!$G330,D03_Skills!$Z$3:$Z$41,0),MATCH(C_Variables!CZ$313,D03_Skills!$AA$2:$BU$2,0))</f>
        <v>#N/A</v>
      </c>
      <c r="CV324" s="495" t="e">
        <f t="shared" si="370"/>
        <v>#N/A</v>
      </c>
      <c r="CW324" s="495" t="e">
        <f>IF(CV324&gt;0,1+COUNTIF(CW$314:CW323,"&gt;0"),0)</f>
        <v>#N/A</v>
      </c>
      <c r="CX324" s="495" t="e">
        <f t="shared" si="371"/>
        <v>#N/A</v>
      </c>
      <c r="CY324" s="495" t="e">
        <f t="shared" si="330"/>
        <v>#N/A</v>
      </c>
      <c r="CZ324" s="496">
        <f t="shared" si="331"/>
        <v>0</v>
      </c>
      <c r="DA324" s="494" t="e">
        <f>INDEX(D03_Skills!$AA$3:$BU$41,MATCH(C_Variables!$G330,D03_Skills!$Z$3:$Z$41,0),MATCH(C_Variables!DF$313,D03_Skills!$AA$2:$BU$2,0))</f>
        <v>#N/A</v>
      </c>
      <c r="DB324" s="495" t="e">
        <f t="shared" si="372"/>
        <v>#N/A</v>
      </c>
      <c r="DC324" s="495" t="e">
        <f>IF(DB324&gt;0,1+COUNTIF(DC$314:DC323,"&gt;0"),0)</f>
        <v>#N/A</v>
      </c>
      <c r="DD324" s="495" t="e">
        <f t="shared" si="373"/>
        <v>#N/A</v>
      </c>
      <c r="DE324" s="495" t="e">
        <f t="shared" si="332"/>
        <v>#N/A</v>
      </c>
      <c r="DF324" s="496">
        <f t="shared" si="333"/>
        <v>0</v>
      </c>
      <c r="DG324" s="494" t="e">
        <f>INDEX(D03_Skills!$AA$3:$BU$41,MATCH(C_Variables!$G330,D03_Skills!$Z$3:$Z$41,0),MATCH(C_Variables!DL$313,D03_Skills!$AA$2:$BU$2,0))</f>
        <v>#N/A</v>
      </c>
      <c r="DH324" s="495" t="e">
        <f t="shared" si="374"/>
        <v>#N/A</v>
      </c>
      <c r="DI324" s="495" t="e">
        <f>IF(DH324&gt;0,1+COUNTIF(DI$314:DI323,"&gt;0"),0)</f>
        <v>#N/A</v>
      </c>
      <c r="DJ324" s="495" t="e">
        <f t="shared" si="375"/>
        <v>#N/A</v>
      </c>
      <c r="DK324" s="495" t="e">
        <f t="shared" si="334"/>
        <v>#N/A</v>
      </c>
      <c r="DL324" s="496">
        <f t="shared" si="335"/>
        <v>0</v>
      </c>
      <c r="DM324" s="494" t="e">
        <f>INDEX(D03_Skills!$AA$3:$BU$41,MATCH(C_Variables!$G330,D03_Skills!$Z$3:$Z$41,0),MATCH(C_Variables!DR$313,D03_Skills!$AA$2:$BU$2,0))</f>
        <v>#N/A</v>
      </c>
      <c r="DN324" s="495" t="e">
        <f t="shared" si="376"/>
        <v>#N/A</v>
      </c>
      <c r="DO324" s="495" t="e">
        <f>IF(DN324&gt;0,1+COUNTIF(DO$314:DO323,"&gt;0"),0)</f>
        <v>#N/A</v>
      </c>
      <c r="DP324" s="495" t="e">
        <f t="shared" si="377"/>
        <v>#N/A</v>
      </c>
      <c r="DQ324" s="495" t="e">
        <f t="shared" si="336"/>
        <v>#N/A</v>
      </c>
      <c r="DR324" s="496">
        <f t="shared" si="337"/>
        <v>0</v>
      </c>
      <c r="DS324" s="494" t="e">
        <f>INDEX(D03_Skills!$AA$3:$BU$41,MATCH(C_Variables!$G330,D03_Skills!$Z$3:$Z$41,0),MATCH(C_Variables!DX$313,D03_Skills!$AA$2:$BU$2,0))</f>
        <v>#N/A</v>
      </c>
      <c r="DT324" s="495" t="e">
        <f t="shared" si="378"/>
        <v>#N/A</v>
      </c>
      <c r="DU324" s="495" t="e">
        <f>IF(DT324&gt;0,1+COUNTIF(DU$314:DU323,"&gt;0"),0)</f>
        <v>#N/A</v>
      </c>
      <c r="DV324" s="495" t="e">
        <f t="shared" si="379"/>
        <v>#N/A</v>
      </c>
      <c r="DW324" s="495" t="e">
        <f t="shared" si="338"/>
        <v>#N/A</v>
      </c>
      <c r="DX324" s="496">
        <f t="shared" si="339"/>
        <v>0</v>
      </c>
      <c r="DY324" s="501"/>
    </row>
    <row r="325" spans="1:129" ht="16.5" x14ac:dyDescent="0.3">
      <c r="A325" s="155">
        <f>IFERROR(IF(A324+1&lt;MAX(D041_ClassFeatures!$A$2:$A$2033),A324+1,""),"")</f>
        <v>322</v>
      </c>
      <c r="B325" s="153" t="str">
        <f>IFERROR(INDEX(D041_ClassFeatures!$B$2:$B$2033,MATCH(C_Variables!A325,D041_ClassFeatures!$A$2:$A$2033,0),1),"")</f>
        <v>Alter Memories</v>
      </c>
      <c r="C325" s="153">
        <f>IF(B325="",0,IF(IFERROR(MATCH(B325,C_Input!$BC$160:$BC$239,0),0)&gt;0,1,0))</f>
        <v>0</v>
      </c>
      <c r="E325" s="501"/>
      <c r="F325" s="501"/>
      <c r="G325" s="6" t="s">
        <v>264</v>
      </c>
      <c r="I325" s="494">
        <f>INDEX(D03_Skills!$AA$3:$BU$41,MATCH(C_Variables!$G331,D03_Skills!$Z$3:$Z$41,0),MATCH(C_Variables!N$313,D03_Skills!$AA$2:$BU$2,0))</f>
        <v>0</v>
      </c>
      <c r="J325" s="495">
        <f t="shared" si="340"/>
        <v>0</v>
      </c>
      <c r="K325" s="495">
        <f>IF(I325&gt;0,1+COUNTIF(K$314:K324,"&gt;0"),0)</f>
        <v>0</v>
      </c>
      <c r="L325" s="495" t="str">
        <f t="shared" si="341"/>
        <v/>
      </c>
      <c r="M325" s="495" t="str">
        <f t="shared" si="300"/>
        <v/>
      </c>
      <c r="N325" s="496">
        <f t="shared" si="301"/>
        <v>0</v>
      </c>
      <c r="O325" s="494">
        <f>INDEX(D03_Skills!$AA$3:$BU$41,MATCH(C_Variables!$G331,D03_Skills!$Z$3:$Z$41,0),MATCH(C_Variables!T$313,D03_Skills!$AA$2:$BU$2,0))</f>
        <v>1</v>
      </c>
      <c r="P325" s="495">
        <f t="shared" si="342"/>
        <v>1</v>
      </c>
      <c r="Q325" s="495">
        <f>IF(P325&gt;0,1+COUNTIF(Q$314:Q324,"&gt;0"),0)</f>
        <v>12</v>
      </c>
      <c r="R325" s="495" t="str">
        <f t="shared" si="343"/>
        <v/>
      </c>
      <c r="S325" s="495" t="str">
        <f t="shared" si="302"/>
        <v>n/a</v>
      </c>
      <c r="T325" s="496">
        <f t="shared" si="303"/>
        <v>0</v>
      </c>
      <c r="U325" s="494">
        <f>INDEX(D03_Skills!$AA$3:$BU$41,MATCH(C_Variables!$G331,D03_Skills!$Z$3:$Z$41,0),MATCH(C_Variables!Z$313,D03_Skills!$AA$2:$BU$2,0))</f>
        <v>1</v>
      </c>
      <c r="V325" s="495">
        <f t="shared" si="344"/>
        <v>1</v>
      </c>
      <c r="W325" s="495">
        <f>IF(V325&gt;0,1+COUNTIF(W$314:W324,"&gt;0"),0)</f>
        <v>12</v>
      </c>
      <c r="X325" s="495" t="str">
        <f t="shared" si="345"/>
        <v/>
      </c>
      <c r="Y325" s="495" t="str">
        <f t="shared" si="304"/>
        <v>n/a</v>
      </c>
      <c r="Z325" s="496">
        <f t="shared" si="305"/>
        <v>0</v>
      </c>
      <c r="AA325" s="494">
        <f>INDEX(D03_Skills!$AA$3:$BU$41,MATCH(C_Variables!$G331,D03_Skills!$Z$3:$Z$41,0),MATCH(C_Variables!AF$313,D03_Skills!$AA$2:$BU$2,0))</f>
        <v>1</v>
      </c>
      <c r="AB325" s="495">
        <f t="shared" si="346"/>
        <v>1</v>
      </c>
      <c r="AC325" s="495">
        <f>IF(AB325&gt;0,1+COUNTIF(AC$314:AC324,"&gt;0"),0)</f>
        <v>12</v>
      </c>
      <c r="AD325" s="495" t="str">
        <f t="shared" si="347"/>
        <v/>
      </c>
      <c r="AE325" s="495" t="str">
        <f t="shared" si="306"/>
        <v>n/a</v>
      </c>
      <c r="AF325" s="496">
        <f t="shared" si="307"/>
        <v>0</v>
      </c>
      <c r="AG325" s="494">
        <f>INDEX(D03_Skills!$AA$3:$BU$41,MATCH(C_Variables!$G331,D03_Skills!$Z$3:$Z$41,0),MATCH(C_Variables!AL$313,D03_Skills!$AA$2:$BU$2,0))</f>
        <v>0</v>
      </c>
      <c r="AH325" s="495">
        <f t="shared" si="348"/>
        <v>0</v>
      </c>
      <c r="AI325" s="495">
        <f>IF(AH325&gt;0,1+COUNTIF(AI$314:AI324,"&gt;0"),0)</f>
        <v>0</v>
      </c>
      <c r="AJ325" s="495" t="str">
        <f t="shared" si="349"/>
        <v/>
      </c>
      <c r="AK325" s="495" t="str">
        <f t="shared" si="308"/>
        <v/>
      </c>
      <c r="AL325" s="496">
        <f t="shared" si="309"/>
        <v>0</v>
      </c>
      <c r="AM325" s="494">
        <f>INDEX(D03_Skills!$AA$3:$BU$41,MATCH(C_Variables!$G331,D03_Skills!$Z$3:$Z$41,0),MATCH(C_Variables!AR$313,D03_Skills!$AA$2:$BU$2,0))</f>
        <v>0</v>
      </c>
      <c r="AN325" s="495">
        <f t="shared" si="350"/>
        <v>0</v>
      </c>
      <c r="AO325" s="495">
        <f>IF(AN325&gt;0,1+COUNTIF(AO$314:AO324,"&gt;0"),0)</f>
        <v>0</v>
      </c>
      <c r="AP325" s="495" t="str">
        <f t="shared" si="351"/>
        <v/>
      </c>
      <c r="AQ325" s="495" t="str">
        <f t="shared" si="310"/>
        <v/>
      </c>
      <c r="AR325" s="496">
        <f t="shared" si="311"/>
        <v>0</v>
      </c>
      <c r="AS325" s="494">
        <f>INDEX(D03_Skills!$AA$3:$BU$41,MATCH(C_Variables!$G331,D03_Skills!$Z$3:$Z$41,0),MATCH(C_Variables!AX$313,D03_Skills!$AA$2:$BU$2,0))</f>
        <v>0</v>
      </c>
      <c r="AT325" s="495">
        <f t="shared" si="352"/>
        <v>0</v>
      </c>
      <c r="AU325" s="495">
        <f>IF(AT325&gt;0,1+COUNTIF(AU$314:AU324,"&gt;0"),0)</f>
        <v>0</v>
      </c>
      <c r="AV325" s="495" t="str">
        <f t="shared" si="353"/>
        <v/>
      </c>
      <c r="AW325" s="495" t="str">
        <f t="shared" si="312"/>
        <v/>
      </c>
      <c r="AX325" s="496">
        <f t="shared" si="313"/>
        <v>0</v>
      </c>
      <c r="AY325" s="494">
        <f>INDEX(D03_Skills!$AA$3:$BU$41,MATCH(C_Variables!$G331,D03_Skills!$Z$3:$Z$41,0),MATCH(C_Variables!BD$313,D03_Skills!$AA$2:$BU$2,0))</f>
        <v>1</v>
      </c>
      <c r="AZ325" s="495">
        <f t="shared" si="354"/>
        <v>1</v>
      </c>
      <c r="BA325" s="495">
        <f>IF(AZ325&gt;0,1+COUNTIF(BA$314:BA324,"&gt;0"),0)</f>
        <v>12</v>
      </c>
      <c r="BB325" s="495" t="str">
        <f t="shared" si="355"/>
        <v/>
      </c>
      <c r="BC325" s="495" t="str">
        <f t="shared" si="314"/>
        <v>n/a</v>
      </c>
      <c r="BD325" s="496">
        <f t="shared" si="315"/>
        <v>0</v>
      </c>
      <c r="BE325" s="494">
        <f>INDEX(D03_Skills!$AA$3:$BU$41,MATCH(C_Variables!$G331,D03_Skills!$Z$3:$Z$41,0),MATCH(C_Variables!BJ$313,D03_Skills!$AA$2:$BU$2,0))</f>
        <v>1</v>
      </c>
      <c r="BF325" s="495">
        <f t="shared" si="356"/>
        <v>1</v>
      </c>
      <c r="BG325" s="495">
        <f>IF(BF325&gt;0,1+COUNTIF(BG$314:BG324,"&gt;0"),0)</f>
        <v>12</v>
      </c>
      <c r="BH325" s="495" t="str">
        <f t="shared" si="357"/>
        <v/>
      </c>
      <c r="BI325" s="495" t="str">
        <f t="shared" si="316"/>
        <v>n/a</v>
      </c>
      <c r="BJ325" s="496">
        <f t="shared" si="317"/>
        <v>0</v>
      </c>
      <c r="BK325" s="494">
        <f>INDEX(D03_Skills!$AA$3:$BU$41,MATCH(C_Variables!$G331,D03_Skills!$Z$3:$Z$41,0),MATCH(C_Variables!BP$313,D03_Skills!$AA$2:$BU$2,0))</f>
        <v>1</v>
      </c>
      <c r="BL325" s="495">
        <f t="shared" si="358"/>
        <v>1</v>
      </c>
      <c r="BM325" s="495">
        <f>IF(BL325&gt;0,1+COUNTIF(BM$314:BM324,"&gt;0"),0)</f>
        <v>12</v>
      </c>
      <c r="BN325" s="495" t="str">
        <f t="shared" si="359"/>
        <v/>
      </c>
      <c r="BO325" s="495" t="str">
        <f t="shared" si="318"/>
        <v>n/a</v>
      </c>
      <c r="BP325" s="496">
        <f t="shared" si="319"/>
        <v>0</v>
      </c>
      <c r="BQ325" s="494">
        <f>INDEX(D03_Skills!$AA$3:$BU$41,MATCH(C_Variables!$G331,D03_Skills!$Z$3:$Z$41,0),MATCH(C_Variables!BV$313,D03_Skills!$AA$2:$BU$2,0))</f>
        <v>1</v>
      </c>
      <c r="BR325" s="495">
        <f t="shared" si="360"/>
        <v>1</v>
      </c>
      <c r="BS325" s="495">
        <f>IF(BR325&gt;0,1+COUNTIF(BS$314:BS324,"&gt;0"),0)</f>
        <v>12</v>
      </c>
      <c r="BT325" s="495" t="str">
        <f t="shared" si="361"/>
        <v/>
      </c>
      <c r="BU325" s="495" t="str">
        <f t="shared" si="320"/>
        <v>n/a</v>
      </c>
      <c r="BV325" s="496">
        <f t="shared" si="321"/>
        <v>0</v>
      </c>
      <c r="BW325" s="494">
        <f>INDEX(D03_Skills!$AA$3:$BU$41,MATCH(C_Variables!$G331,D03_Skills!$Z$3:$Z$41,0),MATCH(C_Variables!CB$313,D03_Skills!$AA$2:$BU$2,0))</f>
        <v>1</v>
      </c>
      <c r="BX325" s="495">
        <f t="shared" si="362"/>
        <v>1</v>
      </c>
      <c r="BY325" s="495">
        <f>IF(BX325&gt;0,1+COUNTIF(BY$314:BY324,"&gt;0"),0)</f>
        <v>12</v>
      </c>
      <c r="BZ325" s="495" t="str">
        <f t="shared" si="363"/>
        <v/>
      </c>
      <c r="CA325" s="495" t="str">
        <f t="shared" si="322"/>
        <v>n/a</v>
      </c>
      <c r="CB325" s="496">
        <f t="shared" si="323"/>
        <v>0</v>
      </c>
      <c r="CC325" s="494" t="e">
        <f>INDEX(D03_Skills!$AA$3:$BU$41,MATCH(C_Variables!$G331,D03_Skills!$Z$3:$Z$41,0),MATCH(C_Variables!CH$313,D03_Skills!$AA$2:$BU$2,0))</f>
        <v>#N/A</v>
      </c>
      <c r="CD325" s="495" t="e">
        <f t="shared" si="364"/>
        <v>#N/A</v>
      </c>
      <c r="CE325" s="495" t="e">
        <f>IF(CD325&gt;0,1+COUNTIF(CE$314:CE324,"&gt;0"),0)</f>
        <v>#N/A</v>
      </c>
      <c r="CF325" s="495" t="e">
        <f t="shared" si="365"/>
        <v>#N/A</v>
      </c>
      <c r="CG325" s="495" t="e">
        <f t="shared" si="324"/>
        <v>#N/A</v>
      </c>
      <c r="CH325" s="496">
        <f t="shared" si="325"/>
        <v>0</v>
      </c>
      <c r="CI325" s="494" t="e">
        <f>INDEX(D03_Skills!$AA$3:$BU$41,MATCH(C_Variables!$G331,D03_Skills!$Z$3:$Z$41,0),MATCH(C_Variables!CN$313,D03_Skills!$AA$2:$BU$2,0))</f>
        <v>#N/A</v>
      </c>
      <c r="CJ325" s="495" t="e">
        <f t="shared" si="366"/>
        <v>#N/A</v>
      </c>
      <c r="CK325" s="495" t="e">
        <f>IF(CJ325&gt;0,1+COUNTIF(CK$314:CK324,"&gt;0"),0)</f>
        <v>#N/A</v>
      </c>
      <c r="CL325" s="495" t="e">
        <f t="shared" si="367"/>
        <v>#N/A</v>
      </c>
      <c r="CM325" s="495" t="e">
        <f t="shared" si="326"/>
        <v>#N/A</v>
      </c>
      <c r="CN325" s="496">
        <f t="shared" si="327"/>
        <v>0</v>
      </c>
      <c r="CO325" s="494" t="e">
        <f>INDEX(D03_Skills!$AA$3:$BU$41,MATCH(C_Variables!$G331,D03_Skills!$Z$3:$Z$41,0),MATCH(C_Variables!CT$313,D03_Skills!$AA$2:$BU$2,0))</f>
        <v>#N/A</v>
      </c>
      <c r="CP325" s="495" t="e">
        <f t="shared" si="368"/>
        <v>#N/A</v>
      </c>
      <c r="CQ325" s="495" t="e">
        <f>IF(CP325&gt;0,1+COUNTIF(CQ$314:CQ324,"&gt;0"),0)</f>
        <v>#N/A</v>
      </c>
      <c r="CR325" s="495" t="e">
        <f t="shared" si="369"/>
        <v>#N/A</v>
      </c>
      <c r="CS325" s="495" t="e">
        <f t="shared" si="328"/>
        <v>#N/A</v>
      </c>
      <c r="CT325" s="496">
        <f t="shared" si="329"/>
        <v>0</v>
      </c>
      <c r="CU325" s="494" t="e">
        <f>INDEX(D03_Skills!$AA$3:$BU$41,MATCH(C_Variables!$G331,D03_Skills!$Z$3:$Z$41,0),MATCH(C_Variables!CZ$313,D03_Skills!$AA$2:$BU$2,0))</f>
        <v>#N/A</v>
      </c>
      <c r="CV325" s="495" t="e">
        <f t="shared" si="370"/>
        <v>#N/A</v>
      </c>
      <c r="CW325" s="495" t="e">
        <f>IF(CV325&gt;0,1+COUNTIF(CW$314:CW324,"&gt;0"),0)</f>
        <v>#N/A</v>
      </c>
      <c r="CX325" s="495" t="e">
        <f t="shared" si="371"/>
        <v>#N/A</v>
      </c>
      <c r="CY325" s="495" t="e">
        <f t="shared" si="330"/>
        <v>#N/A</v>
      </c>
      <c r="CZ325" s="496">
        <f t="shared" si="331"/>
        <v>0</v>
      </c>
      <c r="DA325" s="494" t="e">
        <f>INDEX(D03_Skills!$AA$3:$BU$41,MATCH(C_Variables!$G331,D03_Skills!$Z$3:$Z$41,0),MATCH(C_Variables!DF$313,D03_Skills!$AA$2:$BU$2,0))</f>
        <v>#N/A</v>
      </c>
      <c r="DB325" s="495" t="e">
        <f t="shared" si="372"/>
        <v>#N/A</v>
      </c>
      <c r="DC325" s="495" t="e">
        <f>IF(DB325&gt;0,1+COUNTIF(DC$314:DC324,"&gt;0"),0)</f>
        <v>#N/A</v>
      </c>
      <c r="DD325" s="495" t="e">
        <f t="shared" si="373"/>
        <v>#N/A</v>
      </c>
      <c r="DE325" s="495" t="e">
        <f t="shared" si="332"/>
        <v>#N/A</v>
      </c>
      <c r="DF325" s="496">
        <f t="shared" si="333"/>
        <v>0</v>
      </c>
      <c r="DG325" s="494" t="e">
        <f>INDEX(D03_Skills!$AA$3:$BU$41,MATCH(C_Variables!$G331,D03_Skills!$Z$3:$Z$41,0),MATCH(C_Variables!DL$313,D03_Skills!$AA$2:$BU$2,0))</f>
        <v>#N/A</v>
      </c>
      <c r="DH325" s="495" t="e">
        <f t="shared" si="374"/>
        <v>#N/A</v>
      </c>
      <c r="DI325" s="495" t="e">
        <f>IF(DH325&gt;0,1+COUNTIF(DI$314:DI324,"&gt;0"),0)</f>
        <v>#N/A</v>
      </c>
      <c r="DJ325" s="495" t="e">
        <f t="shared" si="375"/>
        <v>#N/A</v>
      </c>
      <c r="DK325" s="495" t="e">
        <f t="shared" si="334"/>
        <v>#N/A</v>
      </c>
      <c r="DL325" s="496">
        <f t="shared" si="335"/>
        <v>0</v>
      </c>
      <c r="DM325" s="494" t="e">
        <f>INDEX(D03_Skills!$AA$3:$BU$41,MATCH(C_Variables!$G331,D03_Skills!$Z$3:$Z$41,0),MATCH(C_Variables!DR$313,D03_Skills!$AA$2:$BU$2,0))</f>
        <v>#N/A</v>
      </c>
      <c r="DN325" s="495" t="e">
        <f t="shared" si="376"/>
        <v>#N/A</v>
      </c>
      <c r="DO325" s="495" t="e">
        <f>IF(DN325&gt;0,1+COUNTIF(DO$314:DO324,"&gt;0"),0)</f>
        <v>#N/A</v>
      </c>
      <c r="DP325" s="495" t="e">
        <f t="shared" si="377"/>
        <v>#N/A</v>
      </c>
      <c r="DQ325" s="495" t="e">
        <f t="shared" si="336"/>
        <v>#N/A</v>
      </c>
      <c r="DR325" s="496">
        <f t="shared" si="337"/>
        <v>0</v>
      </c>
      <c r="DS325" s="494" t="e">
        <f>INDEX(D03_Skills!$AA$3:$BU$41,MATCH(C_Variables!$G331,D03_Skills!$Z$3:$Z$41,0),MATCH(C_Variables!DX$313,D03_Skills!$AA$2:$BU$2,0))</f>
        <v>#N/A</v>
      </c>
      <c r="DT325" s="495" t="e">
        <f t="shared" si="378"/>
        <v>#N/A</v>
      </c>
      <c r="DU325" s="495" t="e">
        <f>IF(DT325&gt;0,1+COUNTIF(DU$314:DU324,"&gt;0"),0)</f>
        <v>#N/A</v>
      </c>
      <c r="DV325" s="495" t="e">
        <f t="shared" si="379"/>
        <v>#N/A</v>
      </c>
      <c r="DW325" s="495" t="e">
        <f t="shared" si="338"/>
        <v>#N/A</v>
      </c>
      <c r="DX325" s="496">
        <f t="shared" si="339"/>
        <v>0</v>
      </c>
      <c r="DY325" s="501"/>
    </row>
    <row r="326" spans="1:129" ht="16.5" x14ac:dyDescent="0.3">
      <c r="A326" s="155">
        <f>IFERROR(IF(A325+1&lt;MAX(D041_ClassFeatures!$A$2:$A$2033),A325+1,""),"")</f>
        <v>323</v>
      </c>
      <c r="B326" s="153" t="str">
        <f>IFERROR(INDEX(D041_ClassFeatures!$B$2:$B$2033,MATCH(C_Variables!A326,D041_ClassFeatures!$A$2:$A$2033,0),1),"")</f>
        <v xml:space="preserve">Evocation Savant </v>
      </c>
      <c r="C326" s="153">
        <f>IF(B326="",0,IF(IFERROR(MATCH(B326,C_Input!$BC$160:$BC$239,0),0)&gt;0,1,0))</f>
        <v>0</v>
      </c>
      <c r="E326" s="501"/>
      <c r="F326" s="501"/>
      <c r="G326" s="6" t="s">
        <v>273</v>
      </c>
      <c r="I326" s="494">
        <f>INDEX(D03_Skills!$AA$3:$BU$41,MATCH(C_Variables!$G332,D03_Skills!$Z$3:$Z$41,0),MATCH(C_Variables!N$313,D03_Skills!$AA$2:$BU$2,0))</f>
        <v>0</v>
      </c>
      <c r="J326" s="495">
        <f t="shared" si="340"/>
        <v>0</v>
      </c>
      <c r="K326" s="495">
        <f>IF(I326&gt;0,1+COUNTIF(K$314:K325,"&gt;0"),0)</f>
        <v>0</v>
      </c>
      <c r="L326" s="495" t="str">
        <f t="shared" si="341"/>
        <v/>
      </c>
      <c r="M326" s="495" t="str">
        <f t="shared" si="300"/>
        <v/>
      </c>
      <c r="N326" s="496">
        <f t="shared" si="301"/>
        <v>0</v>
      </c>
      <c r="O326" s="494">
        <f>INDEX(D03_Skills!$AA$3:$BU$41,MATCH(C_Variables!$G332,D03_Skills!$Z$3:$Z$41,0),MATCH(C_Variables!T$313,D03_Skills!$AA$2:$BU$2,0))</f>
        <v>1</v>
      </c>
      <c r="P326" s="495">
        <f t="shared" si="342"/>
        <v>1</v>
      </c>
      <c r="Q326" s="495">
        <f>IF(P326&gt;0,1+COUNTIF(Q$314:Q325,"&gt;0"),0)</f>
        <v>13</v>
      </c>
      <c r="R326" s="495" t="str">
        <f t="shared" si="343"/>
        <v/>
      </c>
      <c r="S326" s="495" t="str">
        <f t="shared" si="302"/>
        <v>n/a</v>
      </c>
      <c r="T326" s="496">
        <f t="shared" si="303"/>
        <v>0</v>
      </c>
      <c r="U326" s="494">
        <f>INDEX(D03_Skills!$AA$3:$BU$41,MATCH(C_Variables!$G332,D03_Skills!$Z$3:$Z$41,0),MATCH(C_Variables!Z$313,D03_Skills!$AA$2:$BU$2,0))</f>
        <v>1</v>
      </c>
      <c r="V326" s="495">
        <f t="shared" si="344"/>
        <v>1</v>
      </c>
      <c r="W326" s="495">
        <f>IF(V326&gt;0,1+COUNTIF(W$314:W325,"&gt;0"),0)</f>
        <v>13</v>
      </c>
      <c r="X326" s="495" t="str">
        <f t="shared" si="345"/>
        <v/>
      </c>
      <c r="Y326" s="495" t="str">
        <f t="shared" si="304"/>
        <v>n/a</v>
      </c>
      <c r="Z326" s="496">
        <f t="shared" si="305"/>
        <v>0</v>
      </c>
      <c r="AA326" s="494">
        <f>INDEX(D03_Skills!$AA$3:$BU$41,MATCH(C_Variables!$G332,D03_Skills!$Z$3:$Z$41,0),MATCH(C_Variables!AF$313,D03_Skills!$AA$2:$BU$2,0))</f>
        <v>1</v>
      </c>
      <c r="AB326" s="495">
        <f t="shared" si="346"/>
        <v>1</v>
      </c>
      <c r="AC326" s="495">
        <f>IF(AB326&gt;0,1+COUNTIF(AC$314:AC325,"&gt;0"),0)</f>
        <v>13</v>
      </c>
      <c r="AD326" s="495" t="str">
        <f t="shared" si="347"/>
        <v/>
      </c>
      <c r="AE326" s="495" t="str">
        <f t="shared" si="306"/>
        <v>n/a</v>
      </c>
      <c r="AF326" s="496">
        <f t="shared" si="307"/>
        <v>0</v>
      </c>
      <c r="AG326" s="494">
        <f>INDEX(D03_Skills!$AA$3:$BU$41,MATCH(C_Variables!$G332,D03_Skills!$Z$3:$Z$41,0),MATCH(C_Variables!AL$313,D03_Skills!$AA$2:$BU$2,0))</f>
        <v>0</v>
      </c>
      <c r="AH326" s="495">
        <f t="shared" si="348"/>
        <v>0</v>
      </c>
      <c r="AI326" s="495">
        <f>IF(AH326&gt;0,1+COUNTIF(AI$314:AI325,"&gt;0"),0)</f>
        <v>0</v>
      </c>
      <c r="AJ326" s="495" t="str">
        <f t="shared" si="349"/>
        <v/>
      </c>
      <c r="AK326" s="495" t="str">
        <f t="shared" si="308"/>
        <v/>
      </c>
      <c r="AL326" s="496">
        <f t="shared" si="309"/>
        <v>0</v>
      </c>
      <c r="AM326" s="494">
        <f>INDEX(D03_Skills!$AA$3:$BU$41,MATCH(C_Variables!$G332,D03_Skills!$Z$3:$Z$41,0),MATCH(C_Variables!AR$313,D03_Skills!$AA$2:$BU$2,0))</f>
        <v>0</v>
      </c>
      <c r="AN326" s="495">
        <f t="shared" si="350"/>
        <v>0</v>
      </c>
      <c r="AO326" s="495">
        <f>IF(AN326&gt;0,1+COUNTIF(AO$314:AO325,"&gt;0"),0)</f>
        <v>0</v>
      </c>
      <c r="AP326" s="495" t="str">
        <f t="shared" si="351"/>
        <v/>
      </c>
      <c r="AQ326" s="495" t="str">
        <f t="shared" si="310"/>
        <v/>
      </c>
      <c r="AR326" s="496">
        <f t="shared" si="311"/>
        <v>0</v>
      </c>
      <c r="AS326" s="494">
        <f>INDEX(D03_Skills!$AA$3:$BU$41,MATCH(C_Variables!$G332,D03_Skills!$Z$3:$Z$41,0),MATCH(C_Variables!AX$313,D03_Skills!$AA$2:$BU$2,0))</f>
        <v>0</v>
      </c>
      <c r="AT326" s="495">
        <f t="shared" si="352"/>
        <v>0</v>
      </c>
      <c r="AU326" s="495">
        <f>IF(AT326&gt;0,1+COUNTIF(AU$314:AU325,"&gt;0"),0)</f>
        <v>0</v>
      </c>
      <c r="AV326" s="495" t="str">
        <f t="shared" si="353"/>
        <v/>
      </c>
      <c r="AW326" s="495" t="str">
        <f t="shared" si="312"/>
        <v/>
      </c>
      <c r="AX326" s="496">
        <f t="shared" si="313"/>
        <v>0</v>
      </c>
      <c r="AY326" s="494">
        <f>INDEX(D03_Skills!$AA$3:$BU$41,MATCH(C_Variables!$G332,D03_Skills!$Z$3:$Z$41,0),MATCH(C_Variables!BD$313,D03_Skills!$AA$2:$BU$2,0))</f>
        <v>1</v>
      </c>
      <c r="AZ326" s="495">
        <f t="shared" si="354"/>
        <v>1</v>
      </c>
      <c r="BA326" s="495">
        <f>IF(AZ326&gt;0,1+COUNTIF(BA$314:BA325,"&gt;0"),0)</f>
        <v>13</v>
      </c>
      <c r="BB326" s="495" t="str">
        <f t="shared" si="355"/>
        <v/>
      </c>
      <c r="BC326" s="495" t="str">
        <f t="shared" si="314"/>
        <v>n/a</v>
      </c>
      <c r="BD326" s="496">
        <f t="shared" si="315"/>
        <v>0</v>
      </c>
      <c r="BE326" s="494">
        <f>INDEX(D03_Skills!$AA$3:$BU$41,MATCH(C_Variables!$G332,D03_Skills!$Z$3:$Z$41,0),MATCH(C_Variables!BJ$313,D03_Skills!$AA$2:$BU$2,0))</f>
        <v>1</v>
      </c>
      <c r="BF326" s="495">
        <f t="shared" si="356"/>
        <v>1</v>
      </c>
      <c r="BG326" s="495">
        <f>IF(BF326&gt;0,1+COUNTIF(BG$314:BG325,"&gt;0"),0)</f>
        <v>13</v>
      </c>
      <c r="BH326" s="495" t="str">
        <f t="shared" si="357"/>
        <v/>
      </c>
      <c r="BI326" s="495" t="str">
        <f t="shared" si="316"/>
        <v>n/a</v>
      </c>
      <c r="BJ326" s="496">
        <f t="shared" si="317"/>
        <v>0</v>
      </c>
      <c r="BK326" s="494">
        <f>INDEX(D03_Skills!$AA$3:$BU$41,MATCH(C_Variables!$G332,D03_Skills!$Z$3:$Z$41,0),MATCH(C_Variables!BP$313,D03_Skills!$AA$2:$BU$2,0))</f>
        <v>1</v>
      </c>
      <c r="BL326" s="495">
        <f t="shared" si="358"/>
        <v>1</v>
      </c>
      <c r="BM326" s="495">
        <f>IF(BL326&gt;0,1+COUNTIF(BM$314:BM325,"&gt;0"),0)</f>
        <v>13</v>
      </c>
      <c r="BN326" s="495" t="str">
        <f t="shared" si="359"/>
        <v/>
      </c>
      <c r="BO326" s="495" t="str">
        <f t="shared" si="318"/>
        <v>n/a</v>
      </c>
      <c r="BP326" s="496">
        <f t="shared" si="319"/>
        <v>0</v>
      </c>
      <c r="BQ326" s="494">
        <f>INDEX(D03_Skills!$AA$3:$BU$41,MATCH(C_Variables!$G332,D03_Skills!$Z$3:$Z$41,0),MATCH(C_Variables!BV$313,D03_Skills!$AA$2:$BU$2,0))</f>
        <v>1</v>
      </c>
      <c r="BR326" s="495">
        <f t="shared" si="360"/>
        <v>1</v>
      </c>
      <c r="BS326" s="495">
        <f>IF(BR326&gt;0,1+COUNTIF(BS$314:BS325,"&gt;0"),0)</f>
        <v>13</v>
      </c>
      <c r="BT326" s="495" t="str">
        <f t="shared" si="361"/>
        <v/>
      </c>
      <c r="BU326" s="495" t="str">
        <f t="shared" si="320"/>
        <v>n/a</v>
      </c>
      <c r="BV326" s="496">
        <f t="shared" si="321"/>
        <v>0</v>
      </c>
      <c r="BW326" s="494">
        <f>INDEX(D03_Skills!$AA$3:$BU$41,MATCH(C_Variables!$G332,D03_Skills!$Z$3:$Z$41,0),MATCH(C_Variables!CB$313,D03_Skills!$AA$2:$BU$2,0))</f>
        <v>1</v>
      </c>
      <c r="BX326" s="495">
        <f t="shared" si="362"/>
        <v>1</v>
      </c>
      <c r="BY326" s="495">
        <f>IF(BX326&gt;0,1+COUNTIF(BY$314:BY325,"&gt;0"),0)</f>
        <v>13</v>
      </c>
      <c r="BZ326" s="495" t="str">
        <f t="shared" si="363"/>
        <v/>
      </c>
      <c r="CA326" s="495" t="str">
        <f t="shared" si="322"/>
        <v>n/a</v>
      </c>
      <c r="CB326" s="496">
        <f t="shared" si="323"/>
        <v>0</v>
      </c>
      <c r="CC326" s="494" t="e">
        <f>INDEX(D03_Skills!$AA$3:$BU$41,MATCH(C_Variables!$G332,D03_Skills!$Z$3:$Z$41,0),MATCH(C_Variables!CH$313,D03_Skills!$AA$2:$BU$2,0))</f>
        <v>#N/A</v>
      </c>
      <c r="CD326" s="495" t="e">
        <f t="shared" si="364"/>
        <v>#N/A</v>
      </c>
      <c r="CE326" s="495" t="e">
        <f>IF(CD326&gt;0,1+COUNTIF(CE$314:CE325,"&gt;0"),0)</f>
        <v>#N/A</v>
      </c>
      <c r="CF326" s="495" t="e">
        <f t="shared" si="365"/>
        <v>#N/A</v>
      </c>
      <c r="CG326" s="495" t="e">
        <f t="shared" si="324"/>
        <v>#N/A</v>
      </c>
      <c r="CH326" s="496">
        <f t="shared" si="325"/>
        <v>0</v>
      </c>
      <c r="CI326" s="494" t="e">
        <f>INDEX(D03_Skills!$AA$3:$BU$41,MATCH(C_Variables!$G332,D03_Skills!$Z$3:$Z$41,0),MATCH(C_Variables!CN$313,D03_Skills!$AA$2:$BU$2,0))</f>
        <v>#N/A</v>
      </c>
      <c r="CJ326" s="495" t="e">
        <f t="shared" si="366"/>
        <v>#N/A</v>
      </c>
      <c r="CK326" s="495" t="e">
        <f>IF(CJ326&gt;0,1+COUNTIF(CK$314:CK325,"&gt;0"),0)</f>
        <v>#N/A</v>
      </c>
      <c r="CL326" s="495" t="e">
        <f t="shared" si="367"/>
        <v>#N/A</v>
      </c>
      <c r="CM326" s="495" t="e">
        <f t="shared" si="326"/>
        <v>#N/A</v>
      </c>
      <c r="CN326" s="496">
        <f t="shared" si="327"/>
        <v>0</v>
      </c>
      <c r="CO326" s="494" t="e">
        <f>INDEX(D03_Skills!$AA$3:$BU$41,MATCH(C_Variables!$G332,D03_Skills!$Z$3:$Z$41,0),MATCH(C_Variables!CT$313,D03_Skills!$AA$2:$BU$2,0))</f>
        <v>#N/A</v>
      </c>
      <c r="CP326" s="495" t="e">
        <f t="shared" si="368"/>
        <v>#N/A</v>
      </c>
      <c r="CQ326" s="495" t="e">
        <f>IF(CP326&gt;0,1+COUNTIF(CQ$314:CQ325,"&gt;0"),0)</f>
        <v>#N/A</v>
      </c>
      <c r="CR326" s="495" t="e">
        <f t="shared" si="369"/>
        <v>#N/A</v>
      </c>
      <c r="CS326" s="495" t="e">
        <f t="shared" si="328"/>
        <v>#N/A</v>
      </c>
      <c r="CT326" s="496">
        <f t="shared" si="329"/>
        <v>0</v>
      </c>
      <c r="CU326" s="494" t="e">
        <f>INDEX(D03_Skills!$AA$3:$BU$41,MATCH(C_Variables!$G332,D03_Skills!$Z$3:$Z$41,0),MATCH(C_Variables!CZ$313,D03_Skills!$AA$2:$BU$2,0))</f>
        <v>#N/A</v>
      </c>
      <c r="CV326" s="495" t="e">
        <f t="shared" si="370"/>
        <v>#N/A</v>
      </c>
      <c r="CW326" s="495" t="e">
        <f>IF(CV326&gt;0,1+COUNTIF(CW$314:CW325,"&gt;0"),0)</f>
        <v>#N/A</v>
      </c>
      <c r="CX326" s="495" t="e">
        <f t="shared" si="371"/>
        <v>#N/A</v>
      </c>
      <c r="CY326" s="495" t="e">
        <f t="shared" si="330"/>
        <v>#N/A</v>
      </c>
      <c r="CZ326" s="496">
        <f t="shared" si="331"/>
        <v>0</v>
      </c>
      <c r="DA326" s="494" t="e">
        <f>INDEX(D03_Skills!$AA$3:$BU$41,MATCH(C_Variables!$G332,D03_Skills!$Z$3:$Z$41,0),MATCH(C_Variables!DF$313,D03_Skills!$AA$2:$BU$2,0))</f>
        <v>#N/A</v>
      </c>
      <c r="DB326" s="495" t="e">
        <f t="shared" si="372"/>
        <v>#N/A</v>
      </c>
      <c r="DC326" s="495" t="e">
        <f>IF(DB326&gt;0,1+COUNTIF(DC$314:DC325,"&gt;0"),0)</f>
        <v>#N/A</v>
      </c>
      <c r="DD326" s="495" t="e">
        <f t="shared" si="373"/>
        <v>#N/A</v>
      </c>
      <c r="DE326" s="495" t="e">
        <f t="shared" si="332"/>
        <v>#N/A</v>
      </c>
      <c r="DF326" s="496">
        <f t="shared" si="333"/>
        <v>0</v>
      </c>
      <c r="DG326" s="494" t="e">
        <f>INDEX(D03_Skills!$AA$3:$BU$41,MATCH(C_Variables!$G332,D03_Skills!$Z$3:$Z$41,0),MATCH(C_Variables!DL$313,D03_Skills!$AA$2:$BU$2,0))</f>
        <v>#N/A</v>
      </c>
      <c r="DH326" s="495" t="e">
        <f t="shared" si="374"/>
        <v>#N/A</v>
      </c>
      <c r="DI326" s="495" t="e">
        <f>IF(DH326&gt;0,1+COUNTIF(DI$314:DI325,"&gt;0"),0)</f>
        <v>#N/A</v>
      </c>
      <c r="DJ326" s="495" t="e">
        <f t="shared" si="375"/>
        <v>#N/A</v>
      </c>
      <c r="DK326" s="495" t="e">
        <f t="shared" si="334"/>
        <v>#N/A</v>
      </c>
      <c r="DL326" s="496">
        <f t="shared" si="335"/>
        <v>0</v>
      </c>
      <c r="DM326" s="494" t="e">
        <f>INDEX(D03_Skills!$AA$3:$BU$41,MATCH(C_Variables!$G332,D03_Skills!$Z$3:$Z$41,0),MATCH(C_Variables!DR$313,D03_Skills!$AA$2:$BU$2,0))</f>
        <v>#N/A</v>
      </c>
      <c r="DN326" s="495" t="e">
        <f t="shared" si="376"/>
        <v>#N/A</v>
      </c>
      <c r="DO326" s="495" t="e">
        <f>IF(DN326&gt;0,1+COUNTIF(DO$314:DO325,"&gt;0"),0)</f>
        <v>#N/A</v>
      </c>
      <c r="DP326" s="495" t="e">
        <f t="shared" si="377"/>
        <v>#N/A</v>
      </c>
      <c r="DQ326" s="495" t="e">
        <f t="shared" si="336"/>
        <v>#N/A</v>
      </c>
      <c r="DR326" s="496">
        <f t="shared" si="337"/>
        <v>0</v>
      </c>
      <c r="DS326" s="494" t="e">
        <f>INDEX(D03_Skills!$AA$3:$BU$41,MATCH(C_Variables!$G332,D03_Skills!$Z$3:$Z$41,0),MATCH(C_Variables!DX$313,D03_Skills!$AA$2:$BU$2,0))</f>
        <v>#N/A</v>
      </c>
      <c r="DT326" s="495" t="e">
        <f t="shared" si="378"/>
        <v>#N/A</v>
      </c>
      <c r="DU326" s="495" t="e">
        <f>IF(DT326&gt;0,1+COUNTIF(DU$314:DU325,"&gt;0"),0)</f>
        <v>#N/A</v>
      </c>
      <c r="DV326" s="495" t="e">
        <f t="shared" si="379"/>
        <v>#N/A</v>
      </c>
      <c r="DW326" s="495" t="e">
        <f t="shared" si="338"/>
        <v>#N/A</v>
      </c>
      <c r="DX326" s="496">
        <f t="shared" si="339"/>
        <v>0</v>
      </c>
      <c r="DY326" s="501"/>
    </row>
    <row r="327" spans="1:129" ht="16.5" x14ac:dyDescent="0.3">
      <c r="A327" s="155">
        <f>IFERROR(IF(A326+1&lt;MAX(D041_ClassFeatures!$A$2:$A$2033),A326+1,""),"")</f>
        <v>324</v>
      </c>
      <c r="B327" s="153" t="str">
        <f>IFERROR(INDEX(D041_ClassFeatures!$B$2:$B$2033,MATCH(C_Variables!A327,D041_ClassFeatures!$A$2:$A$2033,0),1),"")</f>
        <v>Sculpt Spells</v>
      </c>
      <c r="C327" s="153">
        <f>IF(B327="",0,IF(IFERROR(MATCH(B327,C_Input!$BC$160:$BC$239,0),0)&gt;0,1,0))</f>
        <v>0</v>
      </c>
      <c r="E327" s="501"/>
      <c r="F327" s="501"/>
      <c r="G327" s="6" t="s">
        <v>325</v>
      </c>
      <c r="I327" s="494">
        <f>INDEX(D03_Skills!$AA$3:$BU$41,MATCH(C_Variables!$G333,D03_Skills!$Z$3:$Z$41,0),MATCH(C_Variables!N$313,D03_Skills!$AA$2:$BU$2,0))</f>
        <v>0</v>
      </c>
      <c r="J327" s="495">
        <f t="shared" si="340"/>
        <v>0</v>
      </c>
      <c r="K327" s="495">
        <f>IF(I327&gt;0,1+COUNTIF(K$314:K326,"&gt;0"),0)</f>
        <v>0</v>
      </c>
      <c r="L327" s="495" t="str">
        <f t="shared" si="341"/>
        <v/>
      </c>
      <c r="M327" s="495" t="str">
        <f t="shared" si="300"/>
        <v/>
      </c>
      <c r="N327" s="496">
        <f t="shared" si="301"/>
        <v>0</v>
      </c>
      <c r="O327" s="494">
        <f>INDEX(D03_Skills!$AA$3:$BU$41,MATCH(C_Variables!$G333,D03_Skills!$Z$3:$Z$41,0),MATCH(C_Variables!T$313,D03_Skills!$AA$2:$BU$2,0))</f>
        <v>1</v>
      </c>
      <c r="P327" s="495">
        <f t="shared" si="342"/>
        <v>1</v>
      </c>
      <c r="Q327" s="495">
        <f>IF(P327&gt;0,1+COUNTIF(Q$314:Q326,"&gt;0"),0)</f>
        <v>14</v>
      </c>
      <c r="R327" s="495" t="str">
        <f t="shared" si="343"/>
        <v/>
      </c>
      <c r="S327" s="495" t="str">
        <f t="shared" si="302"/>
        <v>n/a</v>
      </c>
      <c r="T327" s="496">
        <f t="shared" si="303"/>
        <v>0</v>
      </c>
      <c r="U327" s="494">
        <f>INDEX(D03_Skills!$AA$3:$BU$41,MATCH(C_Variables!$G333,D03_Skills!$Z$3:$Z$41,0),MATCH(C_Variables!Z$313,D03_Skills!$AA$2:$BU$2,0))</f>
        <v>1</v>
      </c>
      <c r="V327" s="495">
        <f t="shared" si="344"/>
        <v>1</v>
      </c>
      <c r="W327" s="495">
        <f>IF(V327&gt;0,1+COUNTIF(W$314:W326,"&gt;0"),0)</f>
        <v>14</v>
      </c>
      <c r="X327" s="495" t="str">
        <f t="shared" si="345"/>
        <v/>
      </c>
      <c r="Y327" s="495" t="str">
        <f t="shared" si="304"/>
        <v>n/a</v>
      </c>
      <c r="Z327" s="496">
        <f t="shared" si="305"/>
        <v>0</v>
      </c>
      <c r="AA327" s="494">
        <f>INDEX(D03_Skills!$AA$3:$BU$41,MATCH(C_Variables!$G333,D03_Skills!$Z$3:$Z$41,0),MATCH(C_Variables!AF$313,D03_Skills!$AA$2:$BU$2,0))</f>
        <v>1</v>
      </c>
      <c r="AB327" s="495">
        <f t="shared" si="346"/>
        <v>1</v>
      </c>
      <c r="AC327" s="495">
        <f>IF(AB327&gt;0,1+COUNTIF(AC$314:AC326,"&gt;0"),0)</f>
        <v>14</v>
      </c>
      <c r="AD327" s="495" t="str">
        <f t="shared" si="347"/>
        <v/>
      </c>
      <c r="AE327" s="495" t="str">
        <f t="shared" si="306"/>
        <v>n/a</v>
      </c>
      <c r="AF327" s="496">
        <f t="shared" si="307"/>
        <v>0</v>
      </c>
      <c r="AG327" s="494">
        <f>INDEX(D03_Skills!$AA$3:$BU$41,MATCH(C_Variables!$G333,D03_Skills!$Z$3:$Z$41,0),MATCH(C_Variables!AL$313,D03_Skills!$AA$2:$BU$2,0))</f>
        <v>0</v>
      </c>
      <c r="AH327" s="495">
        <f t="shared" si="348"/>
        <v>0</v>
      </c>
      <c r="AI327" s="495">
        <f>IF(AH327&gt;0,1+COUNTIF(AI$314:AI326,"&gt;0"),0)</f>
        <v>0</v>
      </c>
      <c r="AJ327" s="495" t="str">
        <f t="shared" si="349"/>
        <v/>
      </c>
      <c r="AK327" s="495" t="str">
        <f t="shared" si="308"/>
        <v/>
      </c>
      <c r="AL327" s="496">
        <f t="shared" si="309"/>
        <v>0</v>
      </c>
      <c r="AM327" s="494">
        <f>INDEX(D03_Skills!$AA$3:$BU$41,MATCH(C_Variables!$G333,D03_Skills!$Z$3:$Z$41,0),MATCH(C_Variables!AR$313,D03_Skills!$AA$2:$BU$2,0))</f>
        <v>0</v>
      </c>
      <c r="AN327" s="495">
        <f t="shared" si="350"/>
        <v>0</v>
      </c>
      <c r="AO327" s="495">
        <f>IF(AN327&gt;0,1+COUNTIF(AO$314:AO326,"&gt;0"),0)</f>
        <v>0</v>
      </c>
      <c r="AP327" s="495" t="str">
        <f t="shared" si="351"/>
        <v/>
      </c>
      <c r="AQ327" s="495" t="str">
        <f t="shared" si="310"/>
        <v/>
      </c>
      <c r="AR327" s="496">
        <f t="shared" si="311"/>
        <v>0</v>
      </c>
      <c r="AS327" s="494">
        <f>INDEX(D03_Skills!$AA$3:$BU$41,MATCH(C_Variables!$G333,D03_Skills!$Z$3:$Z$41,0),MATCH(C_Variables!AX$313,D03_Skills!$AA$2:$BU$2,0))</f>
        <v>0</v>
      </c>
      <c r="AT327" s="495">
        <f t="shared" si="352"/>
        <v>0</v>
      </c>
      <c r="AU327" s="495">
        <f>IF(AT327&gt;0,1+COUNTIF(AU$314:AU326,"&gt;0"),0)</f>
        <v>0</v>
      </c>
      <c r="AV327" s="495" t="str">
        <f t="shared" si="353"/>
        <v/>
      </c>
      <c r="AW327" s="495" t="str">
        <f t="shared" si="312"/>
        <v/>
      </c>
      <c r="AX327" s="496">
        <f t="shared" si="313"/>
        <v>0</v>
      </c>
      <c r="AY327" s="494">
        <f>INDEX(D03_Skills!$AA$3:$BU$41,MATCH(C_Variables!$G333,D03_Skills!$Z$3:$Z$41,0),MATCH(C_Variables!BD$313,D03_Skills!$AA$2:$BU$2,0))</f>
        <v>1</v>
      </c>
      <c r="AZ327" s="495">
        <f t="shared" si="354"/>
        <v>1</v>
      </c>
      <c r="BA327" s="495">
        <f>IF(AZ327&gt;0,1+COUNTIF(BA$314:BA326,"&gt;0"),0)</f>
        <v>14</v>
      </c>
      <c r="BB327" s="495" t="str">
        <f t="shared" si="355"/>
        <v/>
      </c>
      <c r="BC327" s="495" t="str">
        <f t="shared" si="314"/>
        <v>n/a</v>
      </c>
      <c r="BD327" s="496">
        <f t="shared" si="315"/>
        <v>0</v>
      </c>
      <c r="BE327" s="494">
        <f>INDEX(D03_Skills!$AA$3:$BU$41,MATCH(C_Variables!$G333,D03_Skills!$Z$3:$Z$41,0),MATCH(C_Variables!BJ$313,D03_Skills!$AA$2:$BU$2,0))</f>
        <v>1</v>
      </c>
      <c r="BF327" s="495">
        <f t="shared" si="356"/>
        <v>1</v>
      </c>
      <c r="BG327" s="495">
        <f>IF(BF327&gt;0,1+COUNTIF(BG$314:BG326,"&gt;0"),0)</f>
        <v>14</v>
      </c>
      <c r="BH327" s="495" t="str">
        <f t="shared" si="357"/>
        <v/>
      </c>
      <c r="BI327" s="495" t="str">
        <f t="shared" si="316"/>
        <v>n/a</v>
      </c>
      <c r="BJ327" s="496">
        <f t="shared" si="317"/>
        <v>0</v>
      </c>
      <c r="BK327" s="494">
        <f>INDEX(D03_Skills!$AA$3:$BU$41,MATCH(C_Variables!$G333,D03_Skills!$Z$3:$Z$41,0),MATCH(C_Variables!BP$313,D03_Skills!$AA$2:$BU$2,0))</f>
        <v>1</v>
      </c>
      <c r="BL327" s="495">
        <f t="shared" si="358"/>
        <v>1</v>
      </c>
      <c r="BM327" s="495">
        <f>IF(BL327&gt;0,1+COUNTIF(BM$314:BM326,"&gt;0"),0)</f>
        <v>14</v>
      </c>
      <c r="BN327" s="495" t="str">
        <f t="shared" si="359"/>
        <v/>
      </c>
      <c r="BO327" s="495" t="str">
        <f t="shared" si="318"/>
        <v>n/a</v>
      </c>
      <c r="BP327" s="496">
        <f t="shared" si="319"/>
        <v>0</v>
      </c>
      <c r="BQ327" s="494">
        <f>INDEX(D03_Skills!$AA$3:$BU$41,MATCH(C_Variables!$G333,D03_Skills!$Z$3:$Z$41,0),MATCH(C_Variables!BV$313,D03_Skills!$AA$2:$BU$2,0))</f>
        <v>1</v>
      </c>
      <c r="BR327" s="495">
        <f t="shared" si="360"/>
        <v>1</v>
      </c>
      <c r="BS327" s="495">
        <f>IF(BR327&gt;0,1+COUNTIF(BS$314:BS326,"&gt;0"),0)</f>
        <v>14</v>
      </c>
      <c r="BT327" s="495" t="str">
        <f t="shared" si="361"/>
        <v/>
      </c>
      <c r="BU327" s="495" t="str">
        <f t="shared" si="320"/>
        <v>n/a</v>
      </c>
      <c r="BV327" s="496">
        <f t="shared" si="321"/>
        <v>0</v>
      </c>
      <c r="BW327" s="494">
        <f>INDEX(D03_Skills!$AA$3:$BU$41,MATCH(C_Variables!$G333,D03_Skills!$Z$3:$Z$41,0),MATCH(C_Variables!CB$313,D03_Skills!$AA$2:$BU$2,0))</f>
        <v>1</v>
      </c>
      <c r="BX327" s="495">
        <f t="shared" si="362"/>
        <v>1</v>
      </c>
      <c r="BY327" s="495">
        <f>IF(BX327&gt;0,1+COUNTIF(BY$314:BY326,"&gt;0"),0)</f>
        <v>14</v>
      </c>
      <c r="BZ327" s="495" t="str">
        <f t="shared" si="363"/>
        <v/>
      </c>
      <c r="CA327" s="495" t="str">
        <f t="shared" si="322"/>
        <v>n/a</v>
      </c>
      <c r="CB327" s="496">
        <f t="shared" si="323"/>
        <v>0</v>
      </c>
      <c r="CC327" s="494" t="e">
        <f>INDEX(D03_Skills!$AA$3:$BU$41,MATCH(C_Variables!$G333,D03_Skills!$Z$3:$Z$41,0),MATCH(C_Variables!CH$313,D03_Skills!$AA$2:$BU$2,0))</f>
        <v>#N/A</v>
      </c>
      <c r="CD327" s="495" t="e">
        <f t="shared" si="364"/>
        <v>#N/A</v>
      </c>
      <c r="CE327" s="495" t="e">
        <f>IF(CD327&gt;0,1+COUNTIF(CE$314:CE326,"&gt;0"),0)</f>
        <v>#N/A</v>
      </c>
      <c r="CF327" s="495" t="e">
        <f t="shared" si="365"/>
        <v>#N/A</v>
      </c>
      <c r="CG327" s="495" t="e">
        <f t="shared" si="324"/>
        <v>#N/A</v>
      </c>
      <c r="CH327" s="496">
        <f t="shared" si="325"/>
        <v>0</v>
      </c>
      <c r="CI327" s="494" t="e">
        <f>INDEX(D03_Skills!$AA$3:$BU$41,MATCH(C_Variables!$G333,D03_Skills!$Z$3:$Z$41,0),MATCH(C_Variables!CN$313,D03_Skills!$AA$2:$BU$2,0))</f>
        <v>#N/A</v>
      </c>
      <c r="CJ327" s="495" t="e">
        <f t="shared" si="366"/>
        <v>#N/A</v>
      </c>
      <c r="CK327" s="495" t="e">
        <f>IF(CJ327&gt;0,1+COUNTIF(CK$314:CK326,"&gt;0"),0)</f>
        <v>#N/A</v>
      </c>
      <c r="CL327" s="495" t="e">
        <f t="shared" si="367"/>
        <v>#N/A</v>
      </c>
      <c r="CM327" s="495" t="e">
        <f t="shared" si="326"/>
        <v>#N/A</v>
      </c>
      <c r="CN327" s="496">
        <f t="shared" si="327"/>
        <v>0</v>
      </c>
      <c r="CO327" s="494" t="e">
        <f>INDEX(D03_Skills!$AA$3:$BU$41,MATCH(C_Variables!$G333,D03_Skills!$Z$3:$Z$41,0),MATCH(C_Variables!CT$313,D03_Skills!$AA$2:$BU$2,0))</f>
        <v>#N/A</v>
      </c>
      <c r="CP327" s="495" t="e">
        <f t="shared" si="368"/>
        <v>#N/A</v>
      </c>
      <c r="CQ327" s="495" t="e">
        <f>IF(CP327&gt;0,1+COUNTIF(CQ$314:CQ326,"&gt;0"),0)</f>
        <v>#N/A</v>
      </c>
      <c r="CR327" s="495" t="e">
        <f t="shared" si="369"/>
        <v>#N/A</v>
      </c>
      <c r="CS327" s="495" t="e">
        <f t="shared" si="328"/>
        <v>#N/A</v>
      </c>
      <c r="CT327" s="496">
        <f t="shared" si="329"/>
        <v>0</v>
      </c>
      <c r="CU327" s="494" t="e">
        <f>INDEX(D03_Skills!$AA$3:$BU$41,MATCH(C_Variables!$G333,D03_Skills!$Z$3:$Z$41,0),MATCH(C_Variables!CZ$313,D03_Skills!$AA$2:$BU$2,0))</f>
        <v>#N/A</v>
      </c>
      <c r="CV327" s="495" t="e">
        <f t="shared" si="370"/>
        <v>#N/A</v>
      </c>
      <c r="CW327" s="495" t="e">
        <f>IF(CV327&gt;0,1+COUNTIF(CW$314:CW326,"&gt;0"),0)</f>
        <v>#N/A</v>
      </c>
      <c r="CX327" s="495" t="e">
        <f t="shared" si="371"/>
        <v>#N/A</v>
      </c>
      <c r="CY327" s="495" t="e">
        <f t="shared" si="330"/>
        <v>#N/A</v>
      </c>
      <c r="CZ327" s="496">
        <f t="shared" si="331"/>
        <v>0</v>
      </c>
      <c r="DA327" s="494" t="e">
        <f>INDEX(D03_Skills!$AA$3:$BU$41,MATCH(C_Variables!$G333,D03_Skills!$Z$3:$Z$41,0),MATCH(C_Variables!DF$313,D03_Skills!$AA$2:$BU$2,0))</f>
        <v>#N/A</v>
      </c>
      <c r="DB327" s="495" t="e">
        <f t="shared" si="372"/>
        <v>#N/A</v>
      </c>
      <c r="DC327" s="495" t="e">
        <f>IF(DB327&gt;0,1+COUNTIF(DC$314:DC326,"&gt;0"),0)</f>
        <v>#N/A</v>
      </c>
      <c r="DD327" s="495" t="e">
        <f t="shared" si="373"/>
        <v>#N/A</v>
      </c>
      <c r="DE327" s="495" t="e">
        <f t="shared" si="332"/>
        <v>#N/A</v>
      </c>
      <c r="DF327" s="496">
        <f t="shared" si="333"/>
        <v>0</v>
      </c>
      <c r="DG327" s="494" t="e">
        <f>INDEX(D03_Skills!$AA$3:$BU$41,MATCH(C_Variables!$G333,D03_Skills!$Z$3:$Z$41,0),MATCH(C_Variables!DL$313,D03_Skills!$AA$2:$BU$2,0))</f>
        <v>#N/A</v>
      </c>
      <c r="DH327" s="495" t="e">
        <f t="shared" si="374"/>
        <v>#N/A</v>
      </c>
      <c r="DI327" s="495" t="e">
        <f>IF(DH327&gt;0,1+COUNTIF(DI$314:DI326,"&gt;0"),0)</f>
        <v>#N/A</v>
      </c>
      <c r="DJ327" s="495" t="e">
        <f t="shared" si="375"/>
        <v>#N/A</v>
      </c>
      <c r="DK327" s="495" t="e">
        <f t="shared" si="334"/>
        <v>#N/A</v>
      </c>
      <c r="DL327" s="496">
        <f t="shared" si="335"/>
        <v>0</v>
      </c>
      <c r="DM327" s="494" t="e">
        <f>INDEX(D03_Skills!$AA$3:$BU$41,MATCH(C_Variables!$G333,D03_Skills!$Z$3:$Z$41,0),MATCH(C_Variables!DR$313,D03_Skills!$AA$2:$BU$2,0))</f>
        <v>#N/A</v>
      </c>
      <c r="DN327" s="495" t="e">
        <f t="shared" si="376"/>
        <v>#N/A</v>
      </c>
      <c r="DO327" s="495" t="e">
        <f>IF(DN327&gt;0,1+COUNTIF(DO$314:DO326,"&gt;0"),0)</f>
        <v>#N/A</v>
      </c>
      <c r="DP327" s="495" t="e">
        <f t="shared" si="377"/>
        <v>#N/A</v>
      </c>
      <c r="DQ327" s="495" t="e">
        <f t="shared" si="336"/>
        <v>#N/A</v>
      </c>
      <c r="DR327" s="496">
        <f t="shared" si="337"/>
        <v>0</v>
      </c>
      <c r="DS327" s="494" t="e">
        <f>INDEX(D03_Skills!$AA$3:$BU$41,MATCH(C_Variables!$G333,D03_Skills!$Z$3:$Z$41,0),MATCH(C_Variables!DX$313,D03_Skills!$AA$2:$BU$2,0))</f>
        <v>#N/A</v>
      </c>
      <c r="DT327" s="495" t="e">
        <f t="shared" si="378"/>
        <v>#N/A</v>
      </c>
      <c r="DU327" s="495" t="e">
        <f>IF(DT327&gt;0,1+COUNTIF(DU$314:DU326,"&gt;0"),0)</f>
        <v>#N/A</v>
      </c>
      <c r="DV327" s="495" t="e">
        <f t="shared" si="379"/>
        <v>#N/A</v>
      </c>
      <c r="DW327" s="495" t="e">
        <f t="shared" si="338"/>
        <v>#N/A</v>
      </c>
      <c r="DX327" s="496">
        <f t="shared" si="339"/>
        <v>0</v>
      </c>
      <c r="DY327" s="501"/>
    </row>
    <row r="328" spans="1:129" ht="16.5" x14ac:dyDescent="0.3">
      <c r="A328" s="155">
        <f>IFERROR(IF(A327+1&lt;MAX(D041_ClassFeatures!$A$2:$A$2033),A327+1,""),"")</f>
        <v>325</v>
      </c>
      <c r="B328" s="153" t="str">
        <f>IFERROR(INDEX(D041_ClassFeatures!$B$2:$B$2033,MATCH(C_Variables!A328,D041_ClassFeatures!$A$2:$A$2033,0),1),"")</f>
        <v>Potent Cantrip</v>
      </c>
      <c r="C328" s="153">
        <f>IF(B328="",0,IF(IFERROR(MATCH(B328,C_Input!$BC$160:$BC$239,0),0)&gt;0,1,0))</f>
        <v>0</v>
      </c>
      <c r="E328" s="501"/>
      <c r="F328" s="501"/>
      <c r="G328" s="6" t="s">
        <v>349</v>
      </c>
      <c r="I328" s="494">
        <f>INDEX(D03_Skills!$AA$3:$BU$41,MATCH(C_Variables!$G334,D03_Skills!$Z$3:$Z$41,0),MATCH(C_Variables!N$313,D03_Skills!$AA$2:$BU$2,0))</f>
        <v>0</v>
      </c>
      <c r="J328" s="495">
        <f t="shared" si="340"/>
        <v>0</v>
      </c>
      <c r="K328" s="495">
        <f>IF(I328&gt;0,1+COUNTIF(K$314:K327,"&gt;0"),0)</f>
        <v>0</v>
      </c>
      <c r="L328" s="495" t="str">
        <f t="shared" si="341"/>
        <v/>
      </c>
      <c r="M328" s="495" t="str">
        <f t="shared" si="300"/>
        <v/>
      </c>
      <c r="N328" s="496">
        <f t="shared" si="301"/>
        <v>0</v>
      </c>
      <c r="O328" s="494">
        <f>INDEX(D03_Skills!$AA$3:$BU$41,MATCH(C_Variables!$G334,D03_Skills!$Z$3:$Z$41,0),MATCH(C_Variables!T$313,D03_Skills!$AA$2:$BU$2,0))</f>
        <v>1</v>
      </c>
      <c r="P328" s="495">
        <f t="shared" si="342"/>
        <v>1</v>
      </c>
      <c r="Q328" s="495">
        <f>IF(P328&gt;0,1+COUNTIF(Q$314:Q327,"&gt;0"),0)</f>
        <v>15</v>
      </c>
      <c r="R328" s="495" t="str">
        <f t="shared" si="343"/>
        <v/>
      </c>
      <c r="S328" s="495" t="str">
        <f t="shared" si="302"/>
        <v>n/a</v>
      </c>
      <c r="T328" s="496">
        <f t="shared" si="303"/>
        <v>0</v>
      </c>
      <c r="U328" s="494">
        <f>INDEX(D03_Skills!$AA$3:$BU$41,MATCH(C_Variables!$G334,D03_Skills!$Z$3:$Z$41,0),MATCH(C_Variables!Z$313,D03_Skills!$AA$2:$BU$2,0))</f>
        <v>1</v>
      </c>
      <c r="V328" s="495">
        <f t="shared" si="344"/>
        <v>1</v>
      </c>
      <c r="W328" s="495">
        <f>IF(V328&gt;0,1+COUNTIF(W$314:W327,"&gt;0"),0)</f>
        <v>15</v>
      </c>
      <c r="X328" s="495" t="str">
        <f t="shared" si="345"/>
        <v/>
      </c>
      <c r="Y328" s="495" t="str">
        <f t="shared" si="304"/>
        <v>n/a</v>
      </c>
      <c r="Z328" s="496">
        <f t="shared" si="305"/>
        <v>0</v>
      </c>
      <c r="AA328" s="494">
        <f>INDEX(D03_Skills!$AA$3:$BU$41,MATCH(C_Variables!$G334,D03_Skills!$Z$3:$Z$41,0),MATCH(C_Variables!AF$313,D03_Skills!$AA$2:$BU$2,0))</f>
        <v>1</v>
      </c>
      <c r="AB328" s="495">
        <f t="shared" si="346"/>
        <v>1</v>
      </c>
      <c r="AC328" s="495">
        <f>IF(AB328&gt;0,1+COUNTIF(AC$314:AC327,"&gt;0"),0)</f>
        <v>15</v>
      </c>
      <c r="AD328" s="495" t="str">
        <f t="shared" si="347"/>
        <v/>
      </c>
      <c r="AE328" s="495" t="str">
        <f t="shared" si="306"/>
        <v>n/a</v>
      </c>
      <c r="AF328" s="496">
        <f t="shared" si="307"/>
        <v>0</v>
      </c>
      <c r="AG328" s="494">
        <f>INDEX(D03_Skills!$AA$3:$BU$41,MATCH(C_Variables!$G334,D03_Skills!$Z$3:$Z$41,0),MATCH(C_Variables!AL$313,D03_Skills!$AA$2:$BU$2,0))</f>
        <v>0</v>
      </c>
      <c r="AH328" s="495">
        <f t="shared" si="348"/>
        <v>0</v>
      </c>
      <c r="AI328" s="495">
        <f>IF(AH328&gt;0,1+COUNTIF(AI$314:AI327,"&gt;0"),0)</f>
        <v>0</v>
      </c>
      <c r="AJ328" s="495" t="str">
        <f t="shared" si="349"/>
        <v/>
      </c>
      <c r="AK328" s="495" t="str">
        <f t="shared" si="308"/>
        <v/>
      </c>
      <c r="AL328" s="496">
        <f t="shared" si="309"/>
        <v>0</v>
      </c>
      <c r="AM328" s="494">
        <f>INDEX(D03_Skills!$AA$3:$BU$41,MATCH(C_Variables!$G334,D03_Skills!$Z$3:$Z$41,0),MATCH(C_Variables!AR$313,D03_Skills!$AA$2:$BU$2,0))</f>
        <v>0</v>
      </c>
      <c r="AN328" s="495">
        <f t="shared" si="350"/>
        <v>0</v>
      </c>
      <c r="AO328" s="495">
        <f>IF(AN328&gt;0,1+COUNTIF(AO$314:AO327,"&gt;0"),0)</f>
        <v>0</v>
      </c>
      <c r="AP328" s="495" t="str">
        <f t="shared" si="351"/>
        <v/>
      </c>
      <c r="AQ328" s="495" t="str">
        <f t="shared" si="310"/>
        <v/>
      </c>
      <c r="AR328" s="496">
        <f t="shared" si="311"/>
        <v>0</v>
      </c>
      <c r="AS328" s="494">
        <f>INDEX(D03_Skills!$AA$3:$BU$41,MATCH(C_Variables!$G334,D03_Skills!$Z$3:$Z$41,0),MATCH(C_Variables!AX$313,D03_Skills!$AA$2:$BU$2,0))</f>
        <v>0</v>
      </c>
      <c r="AT328" s="495">
        <f t="shared" si="352"/>
        <v>0</v>
      </c>
      <c r="AU328" s="495">
        <f>IF(AT328&gt;0,1+COUNTIF(AU$314:AU327,"&gt;0"),0)</f>
        <v>0</v>
      </c>
      <c r="AV328" s="495" t="str">
        <f t="shared" si="353"/>
        <v/>
      </c>
      <c r="AW328" s="495" t="str">
        <f t="shared" si="312"/>
        <v/>
      </c>
      <c r="AX328" s="496">
        <f t="shared" si="313"/>
        <v>0</v>
      </c>
      <c r="AY328" s="494">
        <f>INDEX(D03_Skills!$AA$3:$BU$41,MATCH(C_Variables!$G334,D03_Skills!$Z$3:$Z$41,0),MATCH(C_Variables!BD$313,D03_Skills!$AA$2:$BU$2,0))</f>
        <v>1</v>
      </c>
      <c r="AZ328" s="495">
        <f t="shared" si="354"/>
        <v>1</v>
      </c>
      <c r="BA328" s="495">
        <f>IF(AZ328&gt;0,1+COUNTIF(BA$314:BA327,"&gt;0"),0)</f>
        <v>15</v>
      </c>
      <c r="BB328" s="495" t="str">
        <f t="shared" si="355"/>
        <v/>
      </c>
      <c r="BC328" s="495" t="str">
        <f t="shared" si="314"/>
        <v>n/a</v>
      </c>
      <c r="BD328" s="496">
        <f t="shared" si="315"/>
        <v>0</v>
      </c>
      <c r="BE328" s="494">
        <f>INDEX(D03_Skills!$AA$3:$BU$41,MATCH(C_Variables!$G334,D03_Skills!$Z$3:$Z$41,0),MATCH(C_Variables!BJ$313,D03_Skills!$AA$2:$BU$2,0))</f>
        <v>1</v>
      </c>
      <c r="BF328" s="495">
        <f t="shared" si="356"/>
        <v>1</v>
      </c>
      <c r="BG328" s="495">
        <f>IF(BF328&gt;0,1+COUNTIF(BG$314:BG327,"&gt;0"),0)</f>
        <v>15</v>
      </c>
      <c r="BH328" s="495" t="str">
        <f t="shared" si="357"/>
        <v/>
      </c>
      <c r="BI328" s="495" t="str">
        <f t="shared" si="316"/>
        <v>n/a</v>
      </c>
      <c r="BJ328" s="496">
        <f t="shared" si="317"/>
        <v>0</v>
      </c>
      <c r="BK328" s="494">
        <f>INDEX(D03_Skills!$AA$3:$BU$41,MATCH(C_Variables!$G334,D03_Skills!$Z$3:$Z$41,0),MATCH(C_Variables!BP$313,D03_Skills!$AA$2:$BU$2,0))</f>
        <v>1</v>
      </c>
      <c r="BL328" s="495">
        <f t="shared" si="358"/>
        <v>1</v>
      </c>
      <c r="BM328" s="495">
        <f>IF(BL328&gt;0,1+COUNTIF(BM$314:BM327,"&gt;0"),0)</f>
        <v>15</v>
      </c>
      <c r="BN328" s="495" t="str">
        <f t="shared" si="359"/>
        <v/>
      </c>
      <c r="BO328" s="495" t="str">
        <f t="shared" si="318"/>
        <v>n/a</v>
      </c>
      <c r="BP328" s="496">
        <f t="shared" si="319"/>
        <v>0</v>
      </c>
      <c r="BQ328" s="494">
        <f>INDEX(D03_Skills!$AA$3:$BU$41,MATCH(C_Variables!$G334,D03_Skills!$Z$3:$Z$41,0),MATCH(C_Variables!BV$313,D03_Skills!$AA$2:$BU$2,0))</f>
        <v>1</v>
      </c>
      <c r="BR328" s="495">
        <f t="shared" si="360"/>
        <v>1</v>
      </c>
      <c r="BS328" s="495">
        <f>IF(BR328&gt;0,1+COUNTIF(BS$314:BS327,"&gt;0"),0)</f>
        <v>15</v>
      </c>
      <c r="BT328" s="495" t="str">
        <f t="shared" si="361"/>
        <v/>
      </c>
      <c r="BU328" s="495" t="str">
        <f t="shared" si="320"/>
        <v>n/a</v>
      </c>
      <c r="BV328" s="496">
        <f t="shared" si="321"/>
        <v>0</v>
      </c>
      <c r="BW328" s="494">
        <f>INDEX(D03_Skills!$AA$3:$BU$41,MATCH(C_Variables!$G334,D03_Skills!$Z$3:$Z$41,0),MATCH(C_Variables!CB$313,D03_Skills!$AA$2:$BU$2,0))</f>
        <v>1</v>
      </c>
      <c r="BX328" s="495">
        <f t="shared" si="362"/>
        <v>1</v>
      </c>
      <c r="BY328" s="495">
        <f>IF(BX328&gt;0,1+COUNTIF(BY$314:BY327,"&gt;0"),0)</f>
        <v>15</v>
      </c>
      <c r="BZ328" s="495" t="str">
        <f t="shared" si="363"/>
        <v/>
      </c>
      <c r="CA328" s="495" t="str">
        <f t="shared" si="322"/>
        <v>n/a</v>
      </c>
      <c r="CB328" s="496">
        <f t="shared" si="323"/>
        <v>0</v>
      </c>
      <c r="CC328" s="494" t="e">
        <f>INDEX(D03_Skills!$AA$3:$BU$41,MATCH(C_Variables!$G334,D03_Skills!$Z$3:$Z$41,0),MATCH(C_Variables!CH$313,D03_Skills!$AA$2:$BU$2,0))</f>
        <v>#N/A</v>
      </c>
      <c r="CD328" s="495" t="e">
        <f t="shared" si="364"/>
        <v>#N/A</v>
      </c>
      <c r="CE328" s="495" t="e">
        <f>IF(CD328&gt;0,1+COUNTIF(CE$314:CE327,"&gt;0"),0)</f>
        <v>#N/A</v>
      </c>
      <c r="CF328" s="495" t="e">
        <f t="shared" si="365"/>
        <v>#N/A</v>
      </c>
      <c r="CG328" s="495" t="e">
        <f t="shared" si="324"/>
        <v>#N/A</v>
      </c>
      <c r="CH328" s="496">
        <f t="shared" si="325"/>
        <v>0</v>
      </c>
      <c r="CI328" s="494" t="e">
        <f>INDEX(D03_Skills!$AA$3:$BU$41,MATCH(C_Variables!$G334,D03_Skills!$Z$3:$Z$41,0),MATCH(C_Variables!CN$313,D03_Skills!$AA$2:$BU$2,0))</f>
        <v>#N/A</v>
      </c>
      <c r="CJ328" s="495" t="e">
        <f t="shared" si="366"/>
        <v>#N/A</v>
      </c>
      <c r="CK328" s="495" t="e">
        <f>IF(CJ328&gt;0,1+COUNTIF(CK$314:CK327,"&gt;0"),0)</f>
        <v>#N/A</v>
      </c>
      <c r="CL328" s="495" t="e">
        <f t="shared" si="367"/>
        <v>#N/A</v>
      </c>
      <c r="CM328" s="495" t="e">
        <f t="shared" si="326"/>
        <v>#N/A</v>
      </c>
      <c r="CN328" s="496">
        <f t="shared" si="327"/>
        <v>0</v>
      </c>
      <c r="CO328" s="494" t="e">
        <f>INDEX(D03_Skills!$AA$3:$BU$41,MATCH(C_Variables!$G334,D03_Skills!$Z$3:$Z$41,0),MATCH(C_Variables!CT$313,D03_Skills!$AA$2:$BU$2,0))</f>
        <v>#N/A</v>
      </c>
      <c r="CP328" s="495" t="e">
        <f t="shared" si="368"/>
        <v>#N/A</v>
      </c>
      <c r="CQ328" s="495" t="e">
        <f>IF(CP328&gt;0,1+COUNTIF(CQ$314:CQ327,"&gt;0"),0)</f>
        <v>#N/A</v>
      </c>
      <c r="CR328" s="495" t="e">
        <f t="shared" si="369"/>
        <v>#N/A</v>
      </c>
      <c r="CS328" s="495" t="e">
        <f t="shared" si="328"/>
        <v>#N/A</v>
      </c>
      <c r="CT328" s="496">
        <f t="shared" si="329"/>
        <v>0</v>
      </c>
      <c r="CU328" s="494" t="e">
        <f>INDEX(D03_Skills!$AA$3:$BU$41,MATCH(C_Variables!$G334,D03_Skills!$Z$3:$Z$41,0),MATCH(C_Variables!CZ$313,D03_Skills!$AA$2:$BU$2,0))</f>
        <v>#N/A</v>
      </c>
      <c r="CV328" s="495" t="e">
        <f t="shared" si="370"/>
        <v>#N/A</v>
      </c>
      <c r="CW328" s="495" t="e">
        <f>IF(CV328&gt;0,1+COUNTIF(CW$314:CW327,"&gt;0"),0)</f>
        <v>#N/A</v>
      </c>
      <c r="CX328" s="495" t="e">
        <f t="shared" si="371"/>
        <v>#N/A</v>
      </c>
      <c r="CY328" s="495" t="e">
        <f t="shared" si="330"/>
        <v>#N/A</v>
      </c>
      <c r="CZ328" s="496">
        <f t="shared" si="331"/>
        <v>0</v>
      </c>
      <c r="DA328" s="494" t="e">
        <f>INDEX(D03_Skills!$AA$3:$BU$41,MATCH(C_Variables!$G334,D03_Skills!$Z$3:$Z$41,0),MATCH(C_Variables!DF$313,D03_Skills!$AA$2:$BU$2,0))</f>
        <v>#N/A</v>
      </c>
      <c r="DB328" s="495" t="e">
        <f t="shared" si="372"/>
        <v>#N/A</v>
      </c>
      <c r="DC328" s="495" t="e">
        <f>IF(DB328&gt;0,1+COUNTIF(DC$314:DC327,"&gt;0"),0)</f>
        <v>#N/A</v>
      </c>
      <c r="DD328" s="495" t="e">
        <f t="shared" si="373"/>
        <v>#N/A</v>
      </c>
      <c r="DE328" s="495" t="e">
        <f t="shared" si="332"/>
        <v>#N/A</v>
      </c>
      <c r="DF328" s="496">
        <f t="shared" si="333"/>
        <v>0</v>
      </c>
      <c r="DG328" s="494" t="e">
        <f>INDEX(D03_Skills!$AA$3:$BU$41,MATCH(C_Variables!$G334,D03_Skills!$Z$3:$Z$41,0),MATCH(C_Variables!DL$313,D03_Skills!$AA$2:$BU$2,0))</f>
        <v>#N/A</v>
      </c>
      <c r="DH328" s="495" t="e">
        <f t="shared" si="374"/>
        <v>#N/A</v>
      </c>
      <c r="DI328" s="495" t="e">
        <f>IF(DH328&gt;0,1+COUNTIF(DI$314:DI327,"&gt;0"),0)</f>
        <v>#N/A</v>
      </c>
      <c r="DJ328" s="495" t="e">
        <f t="shared" si="375"/>
        <v>#N/A</v>
      </c>
      <c r="DK328" s="495" t="e">
        <f t="shared" si="334"/>
        <v>#N/A</v>
      </c>
      <c r="DL328" s="496">
        <f t="shared" si="335"/>
        <v>0</v>
      </c>
      <c r="DM328" s="494" t="e">
        <f>INDEX(D03_Skills!$AA$3:$BU$41,MATCH(C_Variables!$G334,D03_Skills!$Z$3:$Z$41,0),MATCH(C_Variables!DR$313,D03_Skills!$AA$2:$BU$2,0))</f>
        <v>#N/A</v>
      </c>
      <c r="DN328" s="495" t="e">
        <f t="shared" si="376"/>
        <v>#N/A</v>
      </c>
      <c r="DO328" s="495" t="e">
        <f>IF(DN328&gt;0,1+COUNTIF(DO$314:DO327,"&gt;0"),0)</f>
        <v>#N/A</v>
      </c>
      <c r="DP328" s="495" t="e">
        <f t="shared" si="377"/>
        <v>#N/A</v>
      </c>
      <c r="DQ328" s="495" t="e">
        <f t="shared" si="336"/>
        <v>#N/A</v>
      </c>
      <c r="DR328" s="496">
        <f t="shared" si="337"/>
        <v>0</v>
      </c>
      <c r="DS328" s="494" t="e">
        <f>INDEX(D03_Skills!$AA$3:$BU$41,MATCH(C_Variables!$G334,D03_Skills!$Z$3:$Z$41,0),MATCH(C_Variables!DX$313,D03_Skills!$AA$2:$BU$2,0))</f>
        <v>#N/A</v>
      </c>
      <c r="DT328" s="495" t="e">
        <f t="shared" si="378"/>
        <v>#N/A</v>
      </c>
      <c r="DU328" s="495" t="e">
        <f>IF(DT328&gt;0,1+COUNTIF(DU$314:DU327,"&gt;0"),0)</f>
        <v>#N/A</v>
      </c>
      <c r="DV328" s="495" t="e">
        <f t="shared" si="379"/>
        <v>#N/A</v>
      </c>
      <c r="DW328" s="495" t="e">
        <f t="shared" si="338"/>
        <v>#N/A</v>
      </c>
      <c r="DX328" s="496">
        <f t="shared" si="339"/>
        <v>0</v>
      </c>
      <c r="DY328" s="501"/>
    </row>
    <row r="329" spans="1:129" ht="16.5" x14ac:dyDescent="0.3">
      <c r="A329" s="155">
        <f>IFERROR(IF(A328+1&lt;MAX(D041_ClassFeatures!$A$2:$A$2033),A328+1,""),"")</f>
        <v>326</v>
      </c>
      <c r="B329" s="153" t="str">
        <f>IFERROR(INDEX(D041_ClassFeatures!$B$2:$B$2033,MATCH(C_Variables!A329,D041_ClassFeatures!$A$2:$A$2033,0),1),"")</f>
        <v>Empowered Evocation</v>
      </c>
      <c r="C329" s="153">
        <f>IF(B329="",0,IF(IFERROR(MATCH(B329,C_Input!$BC$160:$BC$239,0),0)&gt;0,1,0))</f>
        <v>0</v>
      </c>
      <c r="E329" s="501"/>
      <c r="F329" s="501"/>
      <c r="G329" s="6" t="s">
        <v>359</v>
      </c>
      <c r="I329" s="494">
        <f>INDEX(D03_Skills!$AA$3:$BU$41,MATCH(C_Variables!$G335,D03_Skills!$Z$3:$Z$41,0),MATCH(C_Variables!N$313,D03_Skills!$AA$2:$BU$2,0))</f>
        <v>0</v>
      </c>
      <c r="J329" s="495">
        <f t="shared" si="340"/>
        <v>0</v>
      </c>
      <c r="K329" s="495">
        <f>IF(I329&gt;0,1+COUNTIF(K$314:K328,"&gt;0"),0)</f>
        <v>0</v>
      </c>
      <c r="L329" s="495" t="str">
        <f t="shared" si="341"/>
        <v/>
      </c>
      <c r="M329" s="495" t="str">
        <f t="shared" si="300"/>
        <v/>
      </c>
      <c r="N329" s="496">
        <f t="shared" si="301"/>
        <v>0</v>
      </c>
      <c r="O329" s="494">
        <f>INDEX(D03_Skills!$AA$3:$BU$41,MATCH(C_Variables!$G335,D03_Skills!$Z$3:$Z$41,0),MATCH(C_Variables!T$313,D03_Skills!$AA$2:$BU$2,0))</f>
        <v>1</v>
      </c>
      <c r="P329" s="495">
        <f t="shared" si="342"/>
        <v>1</v>
      </c>
      <c r="Q329" s="495">
        <f>IF(P329&gt;0,1+COUNTIF(Q$314:Q328,"&gt;0"),0)</f>
        <v>16</v>
      </c>
      <c r="R329" s="495" t="str">
        <f t="shared" si="343"/>
        <v/>
      </c>
      <c r="S329" s="495" t="str">
        <f t="shared" si="302"/>
        <v>n/a</v>
      </c>
      <c r="T329" s="496">
        <f t="shared" si="303"/>
        <v>0</v>
      </c>
      <c r="U329" s="494">
        <f>INDEX(D03_Skills!$AA$3:$BU$41,MATCH(C_Variables!$G335,D03_Skills!$Z$3:$Z$41,0),MATCH(C_Variables!Z$313,D03_Skills!$AA$2:$BU$2,0))</f>
        <v>1</v>
      </c>
      <c r="V329" s="495">
        <f t="shared" si="344"/>
        <v>1</v>
      </c>
      <c r="W329" s="495">
        <f>IF(V329&gt;0,1+COUNTIF(W$314:W328,"&gt;0"),0)</f>
        <v>16</v>
      </c>
      <c r="X329" s="495" t="str">
        <f t="shared" si="345"/>
        <v/>
      </c>
      <c r="Y329" s="495" t="str">
        <f t="shared" si="304"/>
        <v>n/a</v>
      </c>
      <c r="Z329" s="496">
        <f t="shared" si="305"/>
        <v>0</v>
      </c>
      <c r="AA329" s="494">
        <f>INDEX(D03_Skills!$AA$3:$BU$41,MATCH(C_Variables!$G335,D03_Skills!$Z$3:$Z$41,0),MATCH(C_Variables!AF$313,D03_Skills!$AA$2:$BU$2,0))</f>
        <v>1</v>
      </c>
      <c r="AB329" s="495">
        <f t="shared" si="346"/>
        <v>1</v>
      </c>
      <c r="AC329" s="495">
        <f>IF(AB329&gt;0,1+COUNTIF(AC$314:AC328,"&gt;0"),0)</f>
        <v>16</v>
      </c>
      <c r="AD329" s="495" t="str">
        <f t="shared" si="347"/>
        <v/>
      </c>
      <c r="AE329" s="495" t="str">
        <f t="shared" si="306"/>
        <v>n/a</v>
      </c>
      <c r="AF329" s="496">
        <f t="shared" si="307"/>
        <v>0</v>
      </c>
      <c r="AG329" s="494">
        <f>INDEX(D03_Skills!$AA$3:$BU$41,MATCH(C_Variables!$G335,D03_Skills!$Z$3:$Z$41,0),MATCH(C_Variables!AL$313,D03_Skills!$AA$2:$BU$2,0))</f>
        <v>0</v>
      </c>
      <c r="AH329" s="495">
        <f t="shared" si="348"/>
        <v>0</v>
      </c>
      <c r="AI329" s="495">
        <f>IF(AH329&gt;0,1+COUNTIF(AI$314:AI328,"&gt;0"),0)</f>
        <v>0</v>
      </c>
      <c r="AJ329" s="495" t="str">
        <f t="shared" si="349"/>
        <v/>
      </c>
      <c r="AK329" s="495" t="str">
        <f t="shared" si="308"/>
        <v/>
      </c>
      <c r="AL329" s="496">
        <f t="shared" si="309"/>
        <v>0</v>
      </c>
      <c r="AM329" s="494">
        <f>INDEX(D03_Skills!$AA$3:$BU$41,MATCH(C_Variables!$G335,D03_Skills!$Z$3:$Z$41,0),MATCH(C_Variables!AR$313,D03_Skills!$AA$2:$BU$2,0))</f>
        <v>0</v>
      </c>
      <c r="AN329" s="495">
        <f t="shared" si="350"/>
        <v>0</v>
      </c>
      <c r="AO329" s="495">
        <f>IF(AN329&gt;0,1+COUNTIF(AO$314:AO328,"&gt;0"),0)</f>
        <v>0</v>
      </c>
      <c r="AP329" s="495" t="str">
        <f t="shared" si="351"/>
        <v/>
      </c>
      <c r="AQ329" s="495" t="str">
        <f t="shared" si="310"/>
        <v/>
      </c>
      <c r="AR329" s="496">
        <f t="shared" si="311"/>
        <v>0</v>
      </c>
      <c r="AS329" s="494">
        <f>INDEX(D03_Skills!$AA$3:$BU$41,MATCH(C_Variables!$G335,D03_Skills!$Z$3:$Z$41,0),MATCH(C_Variables!AX$313,D03_Skills!$AA$2:$BU$2,0))</f>
        <v>0</v>
      </c>
      <c r="AT329" s="495">
        <f t="shared" si="352"/>
        <v>0</v>
      </c>
      <c r="AU329" s="495">
        <f>IF(AT329&gt;0,1+COUNTIF(AU$314:AU328,"&gt;0"),0)</f>
        <v>0</v>
      </c>
      <c r="AV329" s="495" t="str">
        <f t="shared" si="353"/>
        <v/>
      </c>
      <c r="AW329" s="495" t="str">
        <f t="shared" si="312"/>
        <v/>
      </c>
      <c r="AX329" s="496">
        <f t="shared" si="313"/>
        <v>0</v>
      </c>
      <c r="AY329" s="494">
        <f>INDEX(D03_Skills!$AA$3:$BU$41,MATCH(C_Variables!$G335,D03_Skills!$Z$3:$Z$41,0),MATCH(C_Variables!BD$313,D03_Skills!$AA$2:$BU$2,0))</f>
        <v>1</v>
      </c>
      <c r="AZ329" s="495">
        <f t="shared" si="354"/>
        <v>1</v>
      </c>
      <c r="BA329" s="495">
        <f>IF(AZ329&gt;0,1+COUNTIF(BA$314:BA328,"&gt;0"),0)</f>
        <v>16</v>
      </c>
      <c r="BB329" s="495" t="str">
        <f t="shared" si="355"/>
        <v/>
      </c>
      <c r="BC329" s="495" t="str">
        <f t="shared" si="314"/>
        <v>n/a</v>
      </c>
      <c r="BD329" s="496">
        <f t="shared" si="315"/>
        <v>0</v>
      </c>
      <c r="BE329" s="494">
        <f>INDEX(D03_Skills!$AA$3:$BU$41,MATCH(C_Variables!$G335,D03_Skills!$Z$3:$Z$41,0),MATCH(C_Variables!BJ$313,D03_Skills!$AA$2:$BU$2,0))</f>
        <v>1</v>
      </c>
      <c r="BF329" s="495">
        <f t="shared" si="356"/>
        <v>1</v>
      </c>
      <c r="BG329" s="495">
        <f>IF(BF329&gt;0,1+COUNTIF(BG$314:BG328,"&gt;0"),0)</f>
        <v>16</v>
      </c>
      <c r="BH329" s="495" t="str">
        <f t="shared" si="357"/>
        <v/>
      </c>
      <c r="BI329" s="495" t="str">
        <f t="shared" si="316"/>
        <v>n/a</v>
      </c>
      <c r="BJ329" s="496">
        <f t="shared" si="317"/>
        <v>0</v>
      </c>
      <c r="BK329" s="494">
        <f>INDEX(D03_Skills!$AA$3:$BU$41,MATCH(C_Variables!$G335,D03_Skills!$Z$3:$Z$41,0),MATCH(C_Variables!BP$313,D03_Skills!$AA$2:$BU$2,0))</f>
        <v>1</v>
      </c>
      <c r="BL329" s="495">
        <f t="shared" si="358"/>
        <v>1</v>
      </c>
      <c r="BM329" s="495">
        <f>IF(BL329&gt;0,1+COUNTIF(BM$314:BM328,"&gt;0"),0)</f>
        <v>16</v>
      </c>
      <c r="BN329" s="495" t="str">
        <f t="shared" si="359"/>
        <v/>
      </c>
      <c r="BO329" s="495" t="str">
        <f t="shared" si="318"/>
        <v>n/a</v>
      </c>
      <c r="BP329" s="496">
        <f t="shared" si="319"/>
        <v>0</v>
      </c>
      <c r="BQ329" s="494">
        <f>INDEX(D03_Skills!$AA$3:$BU$41,MATCH(C_Variables!$G335,D03_Skills!$Z$3:$Z$41,0),MATCH(C_Variables!BV$313,D03_Skills!$AA$2:$BU$2,0))</f>
        <v>1</v>
      </c>
      <c r="BR329" s="495">
        <f t="shared" si="360"/>
        <v>1</v>
      </c>
      <c r="BS329" s="495">
        <f>IF(BR329&gt;0,1+COUNTIF(BS$314:BS328,"&gt;0"),0)</f>
        <v>16</v>
      </c>
      <c r="BT329" s="495" t="str">
        <f t="shared" si="361"/>
        <v/>
      </c>
      <c r="BU329" s="495" t="str">
        <f t="shared" si="320"/>
        <v>n/a</v>
      </c>
      <c r="BV329" s="496">
        <f t="shared" si="321"/>
        <v>0</v>
      </c>
      <c r="BW329" s="494">
        <f>INDEX(D03_Skills!$AA$3:$BU$41,MATCH(C_Variables!$G335,D03_Skills!$Z$3:$Z$41,0),MATCH(C_Variables!CB$313,D03_Skills!$AA$2:$BU$2,0))</f>
        <v>1</v>
      </c>
      <c r="BX329" s="495">
        <f t="shared" si="362"/>
        <v>1</v>
      </c>
      <c r="BY329" s="495">
        <f>IF(BX329&gt;0,1+COUNTIF(BY$314:BY328,"&gt;0"),0)</f>
        <v>16</v>
      </c>
      <c r="BZ329" s="495" t="str">
        <f t="shared" si="363"/>
        <v/>
      </c>
      <c r="CA329" s="495" t="str">
        <f t="shared" si="322"/>
        <v>n/a</v>
      </c>
      <c r="CB329" s="496">
        <f t="shared" si="323"/>
        <v>0</v>
      </c>
      <c r="CC329" s="494" t="e">
        <f>INDEX(D03_Skills!$AA$3:$BU$41,MATCH(C_Variables!$G335,D03_Skills!$Z$3:$Z$41,0),MATCH(C_Variables!CH$313,D03_Skills!$AA$2:$BU$2,0))</f>
        <v>#N/A</v>
      </c>
      <c r="CD329" s="495" t="e">
        <f t="shared" si="364"/>
        <v>#N/A</v>
      </c>
      <c r="CE329" s="495" t="e">
        <f>IF(CD329&gt;0,1+COUNTIF(CE$314:CE328,"&gt;0"),0)</f>
        <v>#N/A</v>
      </c>
      <c r="CF329" s="495" t="e">
        <f t="shared" si="365"/>
        <v>#N/A</v>
      </c>
      <c r="CG329" s="495" t="e">
        <f t="shared" si="324"/>
        <v>#N/A</v>
      </c>
      <c r="CH329" s="496">
        <f t="shared" si="325"/>
        <v>0</v>
      </c>
      <c r="CI329" s="494" t="e">
        <f>INDEX(D03_Skills!$AA$3:$BU$41,MATCH(C_Variables!$G335,D03_Skills!$Z$3:$Z$41,0),MATCH(C_Variables!CN$313,D03_Skills!$AA$2:$BU$2,0))</f>
        <v>#N/A</v>
      </c>
      <c r="CJ329" s="495" t="e">
        <f t="shared" si="366"/>
        <v>#N/A</v>
      </c>
      <c r="CK329" s="495" t="e">
        <f>IF(CJ329&gt;0,1+COUNTIF(CK$314:CK328,"&gt;0"),0)</f>
        <v>#N/A</v>
      </c>
      <c r="CL329" s="495" t="e">
        <f t="shared" si="367"/>
        <v>#N/A</v>
      </c>
      <c r="CM329" s="495" t="e">
        <f t="shared" si="326"/>
        <v>#N/A</v>
      </c>
      <c r="CN329" s="496">
        <f t="shared" si="327"/>
        <v>0</v>
      </c>
      <c r="CO329" s="494" t="e">
        <f>INDEX(D03_Skills!$AA$3:$BU$41,MATCH(C_Variables!$G335,D03_Skills!$Z$3:$Z$41,0),MATCH(C_Variables!CT$313,D03_Skills!$AA$2:$BU$2,0))</f>
        <v>#N/A</v>
      </c>
      <c r="CP329" s="495" t="e">
        <f t="shared" si="368"/>
        <v>#N/A</v>
      </c>
      <c r="CQ329" s="495" t="e">
        <f>IF(CP329&gt;0,1+COUNTIF(CQ$314:CQ328,"&gt;0"),0)</f>
        <v>#N/A</v>
      </c>
      <c r="CR329" s="495" t="e">
        <f t="shared" si="369"/>
        <v>#N/A</v>
      </c>
      <c r="CS329" s="495" t="e">
        <f t="shared" si="328"/>
        <v>#N/A</v>
      </c>
      <c r="CT329" s="496">
        <f t="shared" si="329"/>
        <v>0</v>
      </c>
      <c r="CU329" s="494" t="e">
        <f>INDEX(D03_Skills!$AA$3:$BU$41,MATCH(C_Variables!$G335,D03_Skills!$Z$3:$Z$41,0),MATCH(C_Variables!CZ$313,D03_Skills!$AA$2:$BU$2,0))</f>
        <v>#N/A</v>
      </c>
      <c r="CV329" s="495" t="e">
        <f t="shared" si="370"/>
        <v>#N/A</v>
      </c>
      <c r="CW329" s="495" t="e">
        <f>IF(CV329&gt;0,1+COUNTIF(CW$314:CW328,"&gt;0"),0)</f>
        <v>#N/A</v>
      </c>
      <c r="CX329" s="495" t="e">
        <f t="shared" si="371"/>
        <v>#N/A</v>
      </c>
      <c r="CY329" s="495" t="e">
        <f t="shared" si="330"/>
        <v>#N/A</v>
      </c>
      <c r="CZ329" s="496">
        <f t="shared" si="331"/>
        <v>0</v>
      </c>
      <c r="DA329" s="494" t="e">
        <f>INDEX(D03_Skills!$AA$3:$BU$41,MATCH(C_Variables!$G335,D03_Skills!$Z$3:$Z$41,0),MATCH(C_Variables!DF$313,D03_Skills!$AA$2:$BU$2,0))</f>
        <v>#N/A</v>
      </c>
      <c r="DB329" s="495" t="e">
        <f t="shared" si="372"/>
        <v>#N/A</v>
      </c>
      <c r="DC329" s="495" t="e">
        <f>IF(DB329&gt;0,1+COUNTIF(DC$314:DC328,"&gt;0"),0)</f>
        <v>#N/A</v>
      </c>
      <c r="DD329" s="495" t="e">
        <f t="shared" si="373"/>
        <v>#N/A</v>
      </c>
      <c r="DE329" s="495" t="e">
        <f t="shared" si="332"/>
        <v>#N/A</v>
      </c>
      <c r="DF329" s="496">
        <f t="shared" si="333"/>
        <v>0</v>
      </c>
      <c r="DG329" s="494" t="e">
        <f>INDEX(D03_Skills!$AA$3:$BU$41,MATCH(C_Variables!$G335,D03_Skills!$Z$3:$Z$41,0),MATCH(C_Variables!DL$313,D03_Skills!$AA$2:$BU$2,0))</f>
        <v>#N/A</v>
      </c>
      <c r="DH329" s="495" t="e">
        <f t="shared" si="374"/>
        <v>#N/A</v>
      </c>
      <c r="DI329" s="495" t="e">
        <f>IF(DH329&gt;0,1+COUNTIF(DI$314:DI328,"&gt;0"),0)</f>
        <v>#N/A</v>
      </c>
      <c r="DJ329" s="495" t="e">
        <f t="shared" si="375"/>
        <v>#N/A</v>
      </c>
      <c r="DK329" s="495" t="e">
        <f t="shared" si="334"/>
        <v>#N/A</v>
      </c>
      <c r="DL329" s="496">
        <f t="shared" si="335"/>
        <v>0</v>
      </c>
      <c r="DM329" s="494" t="e">
        <f>INDEX(D03_Skills!$AA$3:$BU$41,MATCH(C_Variables!$G335,D03_Skills!$Z$3:$Z$41,0),MATCH(C_Variables!DR$313,D03_Skills!$AA$2:$BU$2,0))</f>
        <v>#N/A</v>
      </c>
      <c r="DN329" s="495" t="e">
        <f t="shared" si="376"/>
        <v>#N/A</v>
      </c>
      <c r="DO329" s="495" t="e">
        <f>IF(DN329&gt;0,1+COUNTIF(DO$314:DO328,"&gt;0"),0)</f>
        <v>#N/A</v>
      </c>
      <c r="DP329" s="495" t="e">
        <f t="shared" si="377"/>
        <v>#N/A</v>
      </c>
      <c r="DQ329" s="495" t="e">
        <f t="shared" si="336"/>
        <v>#N/A</v>
      </c>
      <c r="DR329" s="496">
        <f t="shared" si="337"/>
        <v>0</v>
      </c>
      <c r="DS329" s="494" t="e">
        <f>INDEX(D03_Skills!$AA$3:$BU$41,MATCH(C_Variables!$G335,D03_Skills!$Z$3:$Z$41,0),MATCH(C_Variables!DX$313,D03_Skills!$AA$2:$BU$2,0))</f>
        <v>#N/A</v>
      </c>
      <c r="DT329" s="495" t="e">
        <f t="shared" si="378"/>
        <v>#N/A</v>
      </c>
      <c r="DU329" s="495" t="e">
        <f>IF(DT329&gt;0,1+COUNTIF(DU$314:DU328,"&gt;0"),0)</f>
        <v>#N/A</v>
      </c>
      <c r="DV329" s="495" t="e">
        <f t="shared" si="379"/>
        <v>#N/A</v>
      </c>
      <c r="DW329" s="495" t="e">
        <f t="shared" si="338"/>
        <v>#N/A</v>
      </c>
      <c r="DX329" s="496">
        <f t="shared" si="339"/>
        <v>0</v>
      </c>
      <c r="DY329" s="501"/>
    </row>
    <row r="330" spans="1:129" ht="16.5" x14ac:dyDescent="0.3">
      <c r="A330" s="155">
        <f>IFERROR(IF(A329+1&lt;MAX(D041_ClassFeatures!$A$2:$A$2033),A329+1,""),"")</f>
        <v>327</v>
      </c>
      <c r="B330" s="153" t="str">
        <f>IFERROR(INDEX(D041_ClassFeatures!$B$2:$B$2033,MATCH(C_Variables!A330,D041_ClassFeatures!$A$2:$A$2033,0),1),"")</f>
        <v>Overchannel</v>
      </c>
      <c r="C330" s="153">
        <f>IF(B330="",0,IF(IFERROR(MATCH(B330,C_Input!$BC$160:$BC$239,0),0)&gt;0,1,0))</f>
        <v>0</v>
      </c>
      <c r="E330" s="501"/>
      <c r="F330" s="501"/>
      <c r="G330" s="6" t="s">
        <v>373</v>
      </c>
      <c r="I330" s="494">
        <f>INDEX(D03_Skills!$AA$3:$BU$41,MATCH(C_Variables!$G336,D03_Skills!$Z$3:$Z$41,0),MATCH(C_Variables!N$313,D03_Skills!$AA$2:$BU$2,0))</f>
        <v>0</v>
      </c>
      <c r="J330" s="495">
        <f t="shared" si="340"/>
        <v>0</v>
      </c>
      <c r="K330" s="495">
        <f>IF(I330&gt;0,1+COUNTIF(K$314:K329,"&gt;0"),0)</f>
        <v>0</v>
      </c>
      <c r="L330" s="495" t="str">
        <f t="shared" si="341"/>
        <v/>
      </c>
      <c r="M330" s="495" t="str">
        <f t="shared" si="300"/>
        <v/>
      </c>
      <c r="N330" s="496">
        <f t="shared" si="301"/>
        <v>0</v>
      </c>
      <c r="O330" s="494">
        <f>INDEX(D03_Skills!$AA$3:$BU$41,MATCH(C_Variables!$G336,D03_Skills!$Z$3:$Z$41,0),MATCH(C_Variables!T$313,D03_Skills!$AA$2:$BU$2,0))</f>
        <v>1</v>
      </c>
      <c r="P330" s="495">
        <f t="shared" si="342"/>
        <v>1</v>
      </c>
      <c r="Q330" s="495">
        <f>IF(P330&gt;0,1+COUNTIF(Q$314:Q329,"&gt;0"),0)</f>
        <v>17</v>
      </c>
      <c r="R330" s="495" t="str">
        <f t="shared" si="343"/>
        <v/>
      </c>
      <c r="S330" s="495" t="str">
        <f t="shared" si="302"/>
        <v>n/a</v>
      </c>
      <c r="T330" s="496">
        <f t="shared" si="303"/>
        <v>0</v>
      </c>
      <c r="U330" s="494">
        <f>INDEX(D03_Skills!$AA$3:$BU$41,MATCH(C_Variables!$G336,D03_Skills!$Z$3:$Z$41,0),MATCH(C_Variables!Z$313,D03_Skills!$AA$2:$BU$2,0))</f>
        <v>1</v>
      </c>
      <c r="V330" s="495">
        <f t="shared" si="344"/>
        <v>1</v>
      </c>
      <c r="W330" s="495">
        <f>IF(V330&gt;0,1+COUNTIF(W$314:W329,"&gt;0"),0)</f>
        <v>17</v>
      </c>
      <c r="X330" s="495" t="str">
        <f t="shared" si="345"/>
        <v/>
      </c>
      <c r="Y330" s="495" t="str">
        <f t="shared" si="304"/>
        <v>n/a</v>
      </c>
      <c r="Z330" s="496">
        <f t="shared" si="305"/>
        <v>0</v>
      </c>
      <c r="AA330" s="494">
        <f>INDEX(D03_Skills!$AA$3:$BU$41,MATCH(C_Variables!$G336,D03_Skills!$Z$3:$Z$41,0),MATCH(C_Variables!AF$313,D03_Skills!$AA$2:$BU$2,0))</f>
        <v>1</v>
      </c>
      <c r="AB330" s="495">
        <f t="shared" si="346"/>
        <v>1</v>
      </c>
      <c r="AC330" s="495">
        <f>IF(AB330&gt;0,1+COUNTIF(AC$314:AC329,"&gt;0"),0)</f>
        <v>17</v>
      </c>
      <c r="AD330" s="495" t="str">
        <f t="shared" si="347"/>
        <v/>
      </c>
      <c r="AE330" s="495" t="str">
        <f t="shared" si="306"/>
        <v>n/a</v>
      </c>
      <c r="AF330" s="496">
        <f t="shared" si="307"/>
        <v>0</v>
      </c>
      <c r="AG330" s="494">
        <f>INDEX(D03_Skills!$AA$3:$BU$41,MATCH(C_Variables!$G336,D03_Skills!$Z$3:$Z$41,0),MATCH(C_Variables!AL$313,D03_Skills!$AA$2:$BU$2,0))</f>
        <v>0</v>
      </c>
      <c r="AH330" s="495">
        <f t="shared" si="348"/>
        <v>0</v>
      </c>
      <c r="AI330" s="495">
        <f>IF(AH330&gt;0,1+COUNTIF(AI$314:AI329,"&gt;0"),0)</f>
        <v>0</v>
      </c>
      <c r="AJ330" s="495" t="str">
        <f t="shared" si="349"/>
        <v/>
      </c>
      <c r="AK330" s="495" t="str">
        <f t="shared" si="308"/>
        <v/>
      </c>
      <c r="AL330" s="496">
        <f t="shared" si="309"/>
        <v>0</v>
      </c>
      <c r="AM330" s="494">
        <f>INDEX(D03_Skills!$AA$3:$BU$41,MATCH(C_Variables!$G336,D03_Skills!$Z$3:$Z$41,0),MATCH(C_Variables!AR$313,D03_Skills!$AA$2:$BU$2,0))</f>
        <v>0</v>
      </c>
      <c r="AN330" s="495">
        <f t="shared" si="350"/>
        <v>0</v>
      </c>
      <c r="AO330" s="495">
        <f>IF(AN330&gt;0,1+COUNTIF(AO$314:AO329,"&gt;0"),0)</f>
        <v>0</v>
      </c>
      <c r="AP330" s="495" t="str">
        <f t="shared" si="351"/>
        <v/>
      </c>
      <c r="AQ330" s="495" t="str">
        <f t="shared" si="310"/>
        <v/>
      </c>
      <c r="AR330" s="496">
        <f t="shared" si="311"/>
        <v>0</v>
      </c>
      <c r="AS330" s="494">
        <f>INDEX(D03_Skills!$AA$3:$BU$41,MATCH(C_Variables!$G336,D03_Skills!$Z$3:$Z$41,0),MATCH(C_Variables!AX$313,D03_Skills!$AA$2:$BU$2,0))</f>
        <v>0</v>
      </c>
      <c r="AT330" s="495">
        <f t="shared" si="352"/>
        <v>0</v>
      </c>
      <c r="AU330" s="495">
        <f>IF(AT330&gt;0,1+COUNTIF(AU$314:AU329,"&gt;0"),0)</f>
        <v>0</v>
      </c>
      <c r="AV330" s="495" t="str">
        <f t="shared" si="353"/>
        <v/>
      </c>
      <c r="AW330" s="495" t="str">
        <f t="shared" si="312"/>
        <v/>
      </c>
      <c r="AX330" s="496">
        <f t="shared" si="313"/>
        <v>0</v>
      </c>
      <c r="AY330" s="494">
        <f>INDEX(D03_Skills!$AA$3:$BU$41,MATCH(C_Variables!$G336,D03_Skills!$Z$3:$Z$41,0),MATCH(C_Variables!BD$313,D03_Skills!$AA$2:$BU$2,0))</f>
        <v>1</v>
      </c>
      <c r="AZ330" s="495">
        <f t="shared" si="354"/>
        <v>1</v>
      </c>
      <c r="BA330" s="495">
        <f>IF(AZ330&gt;0,1+COUNTIF(BA$314:BA329,"&gt;0"),0)</f>
        <v>17</v>
      </c>
      <c r="BB330" s="495" t="str">
        <f t="shared" si="355"/>
        <v/>
      </c>
      <c r="BC330" s="495" t="str">
        <f t="shared" si="314"/>
        <v>n/a</v>
      </c>
      <c r="BD330" s="496">
        <f t="shared" si="315"/>
        <v>0</v>
      </c>
      <c r="BE330" s="494">
        <f>INDEX(D03_Skills!$AA$3:$BU$41,MATCH(C_Variables!$G336,D03_Skills!$Z$3:$Z$41,0),MATCH(C_Variables!BJ$313,D03_Skills!$AA$2:$BU$2,0))</f>
        <v>1</v>
      </c>
      <c r="BF330" s="495">
        <f t="shared" si="356"/>
        <v>1</v>
      </c>
      <c r="BG330" s="495">
        <f>IF(BF330&gt;0,1+COUNTIF(BG$314:BG329,"&gt;0"),0)</f>
        <v>17</v>
      </c>
      <c r="BH330" s="495" t="str">
        <f t="shared" si="357"/>
        <v/>
      </c>
      <c r="BI330" s="495" t="str">
        <f t="shared" si="316"/>
        <v>n/a</v>
      </c>
      <c r="BJ330" s="496">
        <f t="shared" si="317"/>
        <v>0</v>
      </c>
      <c r="BK330" s="494">
        <f>INDEX(D03_Skills!$AA$3:$BU$41,MATCH(C_Variables!$G336,D03_Skills!$Z$3:$Z$41,0),MATCH(C_Variables!BP$313,D03_Skills!$AA$2:$BU$2,0))</f>
        <v>1</v>
      </c>
      <c r="BL330" s="495">
        <f t="shared" si="358"/>
        <v>1</v>
      </c>
      <c r="BM330" s="495">
        <f>IF(BL330&gt;0,1+COUNTIF(BM$314:BM329,"&gt;0"),0)</f>
        <v>17</v>
      </c>
      <c r="BN330" s="495" t="str">
        <f t="shared" si="359"/>
        <v/>
      </c>
      <c r="BO330" s="495" t="str">
        <f t="shared" si="318"/>
        <v>n/a</v>
      </c>
      <c r="BP330" s="496">
        <f t="shared" si="319"/>
        <v>0</v>
      </c>
      <c r="BQ330" s="494">
        <f>INDEX(D03_Skills!$AA$3:$BU$41,MATCH(C_Variables!$G336,D03_Skills!$Z$3:$Z$41,0),MATCH(C_Variables!BV$313,D03_Skills!$AA$2:$BU$2,0))</f>
        <v>1</v>
      </c>
      <c r="BR330" s="495">
        <f t="shared" si="360"/>
        <v>1</v>
      </c>
      <c r="BS330" s="495">
        <f>IF(BR330&gt;0,1+COUNTIF(BS$314:BS329,"&gt;0"),0)</f>
        <v>17</v>
      </c>
      <c r="BT330" s="495" t="str">
        <f t="shared" si="361"/>
        <v/>
      </c>
      <c r="BU330" s="495" t="str">
        <f t="shared" si="320"/>
        <v>n/a</v>
      </c>
      <c r="BV330" s="496">
        <f t="shared" si="321"/>
        <v>0</v>
      </c>
      <c r="BW330" s="494">
        <f>INDEX(D03_Skills!$AA$3:$BU$41,MATCH(C_Variables!$G336,D03_Skills!$Z$3:$Z$41,0),MATCH(C_Variables!CB$313,D03_Skills!$AA$2:$BU$2,0))</f>
        <v>1</v>
      </c>
      <c r="BX330" s="495">
        <f t="shared" si="362"/>
        <v>1</v>
      </c>
      <c r="BY330" s="495">
        <f>IF(BX330&gt;0,1+COUNTIF(BY$314:BY329,"&gt;0"),0)</f>
        <v>17</v>
      </c>
      <c r="BZ330" s="495" t="str">
        <f t="shared" si="363"/>
        <v/>
      </c>
      <c r="CA330" s="495" t="str">
        <f t="shared" si="322"/>
        <v>n/a</v>
      </c>
      <c r="CB330" s="496">
        <f t="shared" si="323"/>
        <v>0</v>
      </c>
      <c r="CC330" s="494" t="e">
        <f>INDEX(D03_Skills!$AA$3:$BU$41,MATCH(C_Variables!$G336,D03_Skills!$Z$3:$Z$41,0),MATCH(C_Variables!CH$313,D03_Skills!$AA$2:$BU$2,0))</f>
        <v>#N/A</v>
      </c>
      <c r="CD330" s="495" t="e">
        <f t="shared" si="364"/>
        <v>#N/A</v>
      </c>
      <c r="CE330" s="495" t="e">
        <f>IF(CD330&gt;0,1+COUNTIF(CE$314:CE329,"&gt;0"),0)</f>
        <v>#N/A</v>
      </c>
      <c r="CF330" s="495" t="e">
        <f t="shared" si="365"/>
        <v>#N/A</v>
      </c>
      <c r="CG330" s="495" t="e">
        <f t="shared" si="324"/>
        <v>#N/A</v>
      </c>
      <c r="CH330" s="496">
        <f t="shared" si="325"/>
        <v>0</v>
      </c>
      <c r="CI330" s="494" t="e">
        <f>INDEX(D03_Skills!$AA$3:$BU$41,MATCH(C_Variables!$G336,D03_Skills!$Z$3:$Z$41,0),MATCH(C_Variables!CN$313,D03_Skills!$AA$2:$BU$2,0))</f>
        <v>#N/A</v>
      </c>
      <c r="CJ330" s="495" t="e">
        <f t="shared" si="366"/>
        <v>#N/A</v>
      </c>
      <c r="CK330" s="495" t="e">
        <f>IF(CJ330&gt;0,1+COUNTIF(CK$314:CK329,"&gt;0"),0)</f>
        <v>#N/A</v>
      </c>
      <c r="CL330" s="495" t="e">
        <f t="shared" si="367"/>
        <v>#N/A</v>
      </c>
      <c r="CM330" s="495" t="e">
        <f t="shared" si="326"/>
        <v>#N/A</v>
      </c>
      <c r="CN330" s="496">
        <f t="shared" si="327"/>
        <v>0</v>
      </c>
      <c r="CO330" s="494" t="e">
        <f>INDEX(D03_Skills!$AA$3:$BU$41,MATCH(C_Variables!$G336,D03_Skills!$Z$3:$Z$41,0),MATCH(C_Variables!CT$313,D03_Skills!$AA$2:$BU$2,0))</f>
        <v>#N/A</v>
      </c>
      <c r="CP330" s="495" t="e">
        <f t="shared" si="368"/>
        <v>#N/A</v>
      </c>
      <c r="CQ330" s="495" t="e">
        <f>IF(CP330&gt;0,1+COUNTIF(CQ$314:CQ329,"&gt;0"),0)</f>
        <v>#N/A</v>
      </c>
      <c r="CR330" s="495" t="e">
        <f t="shared" si="369"/>
        <v>#N/A</v>
      </c>
      <c r="CS330" s="495" t="e">
        <f t="shared" si="328"/>
        <v>#N/A</v>
      </c>
      <c r="CT330" s="496">
        <f t="shared" si="329"/>
        <v>0</v>
      </c>
      <c r="CU330" s="494" t="e">
        <f>INDEX(D03_Skills!$AA$3:$BU$41,MATCH(C_Variables!$G336,D03_Skills!$Z$3:$Z$41,0),MATCH(C_Variables!CZ$313,D03_Skills!$AA$2:$BU$2,0))</f>
        <v>#N/A</v>
      </c>
      <c r="CV330" s="495" t="e">
        <f t="shared" si="370"/>
        <v>#N/A</v>
      </c>
      <c r="CW330" s="495" t="e">
        <f>IF(CV330&gt;0,1+COUNTIF(CW$314:CW329,"&gt;0"),0)</f>
        <v>#N/A</v>
      </c>
      <c r="CX330" s="495" t="e">
        <f t="shared" si="371"/>
        <v>#N/A</v>
      </c>
      <c r="CY330" s="495" t="e">
        <f t="shared" si="330"/>
        <v>#N/A</v>
      </c>
      <c r="CZ330" s="496">
        <f t="shared" si="331"/>
        <v>0</v>
      </c>
      <c r="DA330" s="494" t="e">
        <f>INDEX(D03_Skills!$AA$3:$BU$41,MATCH(C_Variables!$G336,D03_Skills!$Z$3:$Z$41,0),MATCH(C_Variables!DF$313,D03_Skills!$AA$2:$BU$2,0))</f>
        <v>#N/A</v>
      </c>
      <c r="DB330" s="495" t="e">
        <f t="shared" si="372"/>
        <v>#N/A</v>
      </c>
      <c r="DC330" s="495" t="e">
        <f>IF(DB330&gt;0,1+COUNTIF(DC$314:DC329,"&gt;0"),0)</f>
        <v>#N/A</v>
      </c>
      <c r="DD330" s="495" t="e">
        <f t="shared" si="373"/>
        <v>#N/A</v>
      </c>
      <c r="DE330" s="495" t="e">
        <f t="shared" si="332"/>
        <v>#N/A</v>
      </c>
      <c r="DF330" s="496">
        <f t="shared" si="333"/>
        <v>0</v>
      </c>
      <c r="DG330" s="494" t="e">
        <f>INDEX(D03_Skills!$AA$3:$BU$41,MATCH(C_Variables!$G336,D03_Skills!$Z$3:$Z$41,0),MATCH(C_Variables!DL$313,D03_Skills!$AA$2:$BU$2,0))</f>
        <v>#N/A</v>
      </c>
      <c r="DH330" s="495" t="e">
        <f t="shared" si="374"/>
        <v>#N/A</v>
      </c>
      <c r="DI330" s="495" t="e">
        <f>IF(DH330&gt;0,1+COUNTIF(DI$314:DI329,"&gt;0"),0)</f>
        <v>#N/A</v>
      </c>
      <c r="DJ330" s="495" t="e">
        <f t="shared" si="375"/>
        <v>#N/A</v>
      </c>
      <c r="DK330" s="495" t="e">
        <f t="shared" si="334"/>
        <v>#N/A</v>
      </c>
      <c r="DL330" s="496">
        <f t="shared" si="335"/>
        <v>0</v>
      </c>
      <c r="DM330" s="494" t="e">
        <f>INDEX(D03_Skills!$AA$3:$BU$41,MATCH(C_Variables!$G336,D03_Skills!$Z$3:$Z$41,0),MATCH(C_Variables!DR$313,D03_Skills!$AA$2:$BU$2,0))</f>
        <v>#N/A</v>
      </c>
      <c r="DN330" s="495" t="e">
        <f t="shared" si="376"/>
        <v>#N/A</v>
      </c>
      <c r="DO330" s="495" t="e">
        <f>IF(DN330&gt;0,1+COUNTIF(DO$314:DO329,"&gt;0"),0)</f>
        <v>#N/A</v>
      </c>
      <c r="DP330" s="495" t="e">
        <f t="shared" si="377"/>
        <v>#N/A</v>
      </c>
      <c r="DQ330" s="495" t="e">
        <f t="shared" si="336"/>
        <v>#N/A</v>
      </c>
      <c r="DR330" s="496">
        <f t="shared" si="337"/>
        <v>0</v>
      </c>
      <c r="DS330" s="494" t="e">
        <f>INDEX(D03_Skills!$AA$3:$BU$41,MATCH(C_Variables!$G336,D03_Skills!$Z$3:$Z$41,0),MATCH(C_Variables!DX$313,D03_Skills!$AA$2:$BU$2,0))</f>
        <v>#N/A</v>
      </c>
      <c r="DT330" s="495" t="e">
        <f t="shared" si="378"/>
        <v>#N/A</v>
      </c>
      <c r="DU330" s="495" t="e">
        <f>IF(DT330&gt;0,1+COUNTIF(DU$314:DU329,"&gt;0"),0)</f>
        <v>#N/A</v>
      </c>
      <c r="DV330" s="495" t="e">
        <f t="shared" si="379"/>
        <v>#N/A</v>
      </c>
      <c r="DW330" s="495" t="e">
        <f t="shared" si="338"/>
        <v>#N/A</v>
      </c>
      <c r="DX330" s="496">
        <f t="shared" si="339"/>
        <v>0</v>
      </c>
      <c r="DY330" s="501"/>
    </row>
    <row r="331" spans="1:129" ht="16.5" x14ac:dyDescent="0.3">
      <c r="A331" s="155">
        <f>IFERROR(IF(A330+1&lt;MAX(D041_ClassFeatures!$A$2:$A$2033),A330+1,""),"")</f>
        <v>328</v>
      </c>
      <c r="B331" s="153" t="str">
        <f>IFERROR(INDEX(D041_ClassFeatures!$B$2:$B$2033,MATCH(C_Variables!A331,D041_ClassFeatures!$A$2:$A$2033,0),1),"")</f>
        <v xml:space="preserve">Illusion Savant </v>
      </c>
      <c r="C331" s="153">
        <f>IF(B331="",0,IF(IFERROR(MATCH(B331,C_Input!$BC$160:$BC$239,0),0)&gt;0,1,0))</f>
        <v>0</v>
      </c>
      <c r="E331" s="501"/>
      <c r="F331" s="501"/>
      <c r="G331" s="6" t="s">
        <v>394</v>
      </c>
      <c r="I331" s="494">
        <f>INDEX(D03_Skills!$AA$3:$BU$41,MATCH(C_Variables!$G337,D03_Skills!$Z$3:$Z$41,0),MATCH(C_Variables!N$313,D03_Skills!$AA$2:$BU$2,0))</f>
        <v>0</v>
      </c>
      <c r="J331" s="495">
        <f t="shared" si="340"/>
        <v>0</v>
      </c>
      <c r="K331" s="495">
        <f>IF(I331&gt;0,1+COUNTIF(K$314:K330,"&gt;0"),0)</f>
        <v>0</v>
      </c>
      <c r="L331" s="495" t="str">
        <f t="shared" si="341"/>
        <v/>
      </c>
      <c r="M331" s="495" t="str">
        <f t="shared" si="300"/>
        <v/>
      </c>
      <c r="N331" s="496">
        <f t="shared" si="301"/>
        <v>0</v>
      </c>
      <c r="O331" s="494">
        <f>INDEX(D03_Skills!$AA$3:$BU$41,MATCH(C_Variables!$G337,D03_Skills!$Z$3:$Z$41,0),MATCH(C_Variables!T$313,D03_Skills!$AA$2:$BU$2,0))</f>
        <v>0</v>
      </c>
      <c r="P331" s="495">
        <f t="shared" si="342"/>
        <v>0</v>
      </c>
      <c r="Q331" s="495">
        <f>IF(P331&gt;0,1+COUNTIF(Q$314:Q330,"&gt;0"),0)</f>
        <v>0</v>
      </c>
      <c r="R331" s="495" t="str">
        <f t="shared" si="343"/>
        <v/>
      </c>
      <c r="S331" s="495" t="str">
        <f t="shared" si="302"/>
        <v>n/a</v>
      </c>
      <c r="T331" s="496">
        <f t="shared" si="303"/>
        <v>0</v>
      </c>
      <c r="U331" s="494">
        <f>INDEX(D03_Skills!$AA$3:$BU$41,MATCH(C_Variables!$G337,D03_Skills!$Z$3:$Z$41,0),MATCH(C_Variables!Z$313,D03_Skills!$AA$2:$BU$2,0))</f>
        <v>0</v>
      </c>
      <c r="V331" s="495">
        <f t="shared" si="344"/>
        <v>0</v>
      </c>
      <c r="W331" s="495">
        <f>IF(V331&gt;0,1+COUNTIF(W$314:W330,"&gt;0"),0)</f>
        <v>0</v>
      </c>
      <c r="X331" s="495" t="str">
        <f t="shared" si="345"/>
        <v/>
      </c>
      <c r="Y331" s="495" t="str">
        <f t="shared" si="304"/>
        <v>n/a</v>
      </c>
      <c r="Z331" s="496">
        <f t="shared" si="305"/>
        <v>0</v>
      </c>
      <c r="AA331" s="494">
        <f>INDEX(D03_Skills!$AA$3:$BU$41,MATCH(C_Variables!$G337,D03_Skills!$Z$3:$Z$41,0),MATCH(C_Variables!AF$313,D03_Skills!$AA$2:$BU$2,0))</f>
        <v>0</v>
      </c>
      <c r="AB331" s="495">
        <f t="shared" si="346"/>
        <v>0</v>
      </c>
      <c r="AC331" s="495">
        <f>IF(AB331&gt;0,1+COUNTIF(AC$314:AC330,"&gt;0"),0)</f>
        <v>0</v>
      </c>
      <c r="AD331" s="495" t="str">
        <f t="shared" si="347"/>
        <v/>
      </c>
      <c r="AE331" s="495" t="str">
        <f t="shared" si="306"/>
        <v>n/a</v>
      </c>
      <c r="AF331" s="496">
        <f t="shared" si="307"/>
        <v>0</v>
      </c>
      <c r="AG331" s="494">
        <f>INDEX(D03_Skills!$AA$3:$BU$41,MATCH(C_Variables!$G337,D03_Skills!$Z$3:$Z$41,0),MATCH(C_Variables!AL$313,D03_Skills!$AA$2:$BU$2,0))</f>
        <v>0</v>
      </c>
      <c r="AH331" s="495">
        <f t="shared" si="348"/>
        <v>0</v>
      </c>
      <c r="AI331" s="495">
        <f>IF(AH331&gt;0,1+COUNTIF(AI$314:AI330,"&gt;0"),0)</f>
        <v>0</v>
      </c>
      <c r="AJ331" s="495" t="str">
        <f t="shared" si="349"/>
        <v/>
      </c>
      <c r="AK331" s="495" t="str">
        <f t="shared" si="308"/>
        <v/>
      </c>
      <c r="AL331" s="496">
        <f t="shared" si="309"/>
        <v>0</v>
      </c>
      <c r="AM331" s="494">
        <f>INDEX(D03_Skills!$AA$3:$BU$41,MATCH(C_Variables!$G337,D03_Skills!$Z$3:$Z$41,0),MATCH(C_Variables!AR$313,D03_Skills!$AA$2:$BU$2,0))</f>
        <v>0</v>
      </c>
      <c r="AN331" s="495">
        <f t="shared" si="350"/>
        <v>0</v>
      </c>
      <c r="AO331" s="495">
        <f>IF(AN331&gt;0,1+COUNTIF(AO$314:AO330,"&gt;0"),0)</f>
        <v>0</v>
      </c>
      <c r="AP331" s="495" t="str">
        <f t="shared" si="351"/>
        <v/>
      </c>
      <c r="AQ331" s="495" t="str">
        <f t="shared" si="310"/>
        <v/>
      </c>
      <c r="AR331" s="496">
        <f t="shared" si="311"/>
        <v>0</v>
      </c>
      <c r="AS331" s="494">
        <f>INDEX(D03_Skills!$AA$3:$BU$41,MATCH(C_Variables!$G337,D03_Skills!$Z$3:$Z$41,0),MATCH(C_Variables!AX$313,D03_Skills!$AA$2:$BU$2,0))</f>
        <v>0</v>
      </c>
      <c r="AT331" s="495">
        <f t="shared" si="352"/>
        <v>0</v>
      </c>
      <c r="AU331" s="495">
        <f>IF(AT331&gt;0,1+COUNTIF(AU$314:AU330,"&gt;0"),0)</f>
        <v>0</v>
      </c>
      <c r="AV331" s="495" t="str">
        <f t="shared" si="353"/>
        <v/>
      </c>
      <c r="AW331" s="495" t="str">
        <f t="shared" si="312"/>
        <v/>
      </c>
      <c r="AX331" s="496">
        <f t="shared" si="313"/>
        <v>0</v>
      </c>
      <c r="AY331" s="494">
        <f>INDEX(D03_Skills!$AA$3:$BU$41,MATCH(C_Variables!$G337,D03_Skills!$Z$3:$Z$41,0),MATCH(C_Variables!BD$313,D03_Skills!$AA$2:$BU$2,0))</f>
        <v>0</v>
      </c>
      <c r="AZ331" s="495">
        <f t="shared" si="354"/>
        <v>0</v>
      </c>
      <c r="BA331" s="495">
        <f>IF(AZ331&gt;0,1+COUNTIF(BA$314:BA330,"&gt;0"),0)</f>
        <v>0</v>
      </c>
      <c r="BB331" s="495" t="str">
        <f t="shared" si="355"/>
        <v/>
      </c>
      <c r="BC331" s="495" t="str">
        <f t="shared" si="314"/>
        <v>n/a</v>
      </c>
      <c r="BD331" s="496">
        <f t="shared" si="315"/>
        <v>0</v>
      </c>
      <c r="BE331" s="494">
        <f>INDEX(D03_Skills!$AA$3:$BU$41,MATCH(C_Variables!$G337,D03_Skills!$Z$3:$Z$41,0),MATCH(C_Variables!BJ$313,D03_Skills!$AA$2:$BU$2,0))</f>
        <v>0</v>
      </c>
      <c r="BF331" s="495">
        <f t="shared" si="356"/>
        <v>0</v>
      </c>
      <c r="BG331" s="495">
        <f>IF(BF331&gt;0,1+COUNTIF(BG$314:BG330,"&gt;0"),0)</f>
        <v>0</v>
      </c>
      <c r="BH331" s="495" t="str">
        <f t="shared" si="357"/>
        <v/>
      </c>
      <c r="BI331" s="495" t="str">
        <f t="shared" si="316"/>
        <v>n/a</v>
      </c>
      <c r="BJ331" s="496">
        <f t="shared" si="317"/>
        <v>0</v>
      </c>
      <c r="BK331" s="494">
        <f>INDEX(D03_Skills!$AA$3:$BU$41,MATCH(C_Variables!$G337,D03_Skills!$Z$3:$Z$41,0),MATCH(C_Variables!BP$313,D03_Skills!$AA$2:$BU$2,0))</f>
        <v>0</v>
      </c>
      <c r="BL331" s="495">
        <f t="shared" si="358"/>
        <v>0</v>
      </c>
      <c r="BM331" s="495">
        <f>IF(BL331&gt;0,1+COUNTIF(BM$314:BM330,"&gt;0"),0)</f>
        <v>0</v>
      </c>
      <c r="BN331" s="495" t="str">
        <f t="shared" si="359"/>
        <v/>
      </c>
      <c r="BO331" s="495" t="str">
        <f t="shared" si="318"/>
        <v>n/a</v>
      </c>
      <c r="BP331" s="496">
        <f t="shared" si="319"/>
        <v>0</v>
      </c>
      <c r="BQ331" s="494">
        <f>INDEX(D03_Skills!$AA$3:$BU$41,MATCH(C_Variables!$G337,D03_Skills!$Z$3:$Z$41,0),MATCH(C_Variables!BV$313,D03_Skills!$AA$2:$BU$2,0))</f>
        <v>0</v>
      </c>
      <c r="BR331" s="495">
        <f t="shared" si="360"/>
        <v>0</v>
      </c>
      <c r="BS331" s="495">
        <f>IF(BR331&gt;0,1+COUNTIF(BS$314:BS330,"&gt;0"),0)</f>
        <v>0</v>
      </c>
      <c r="BT331" s="495" t="str">
        <f t="shared" si="361"/>
        <v/>
      </c>
      <c r="BU331" s="495" t="str">
        <f t="shared" si="320"/>
        <v>n/a</v>
      </c>
      <c r="BV331" s="496">
        <f t="shared" si="321"/>
        <v>0</v>
      </c>
      <c r="BW331" s="494">
        <f>INDEX(D03_Skills!$AA$3:$BU$41,MATCH(C_Variables!$G337,D03_Skills!$Z$3:$Z$41,0),MATCH(C_Variables!CB$313,D03_Skills!$AA$2:$BU$2,0))</f>
        <v>0</v>
      </c>
      <c r="BX331" s="495">
        <f t="shared" si="362"/>
        <v>0</v>
      </c>
      <c r="BY331" s="495">
        <f>IF(BX331&gt;0,1+COUNTIF(BY$314:BY330,"&gt;0"),0)</f>
        <v>0</v>
      </c>
      <c r="BZ331" s="495" t="str">
        <f t="shared" si="363"/>
        <v/>
      </c>
      <c r="CA331" s="495" t="str">
        <f t="shared" si="322"/>
        <v>n/a</v>
      </c>
      <c r="CB331" s="496">
        <f t="shared" si="323"/>
        <v>0</v>
      </c>
      <c r="CC331" s="494" t="e">
        <f>INDEX(D03_Skills!$AA$3:$BU$41,MATCH(C_Variables!$G337,D03_Skills!$Z$3:$Z$41,0),MATCH(C_Variables!CH$313,D03_Skills!$AA$2:$BU$2,0))</f>
        <v>#N/A</v>
      </c>
      <c r="CD331" s="495" t="e">
        <f t="shared" si="364"/>
        <v>#N/A</v>
      </c>
      <c r="CE331" s="495" t="e">
        <f>IF(CD331&gt;0,1+COUNTIF(CE$314:CE330,"&gt;0"),0)</f>
        <v>#N/A</v>
      </c>
      <c r="CF331" s="495" t="e">
        <f t="shared" si="365"/>
        <v>#N/A</v>
      </c>
      <c r="CG331" s="495" t="e">
        <f t="shared" si="324"/>
        <v>#N/A</v>
      </c>
      <c r="CH331" s="496">
        <f t="shared" si="325"/>
        <v>0</v>
      </c>
      <c r="CI331" s="494" t="e">
        <f>INDEX(D03_Skills!$AA$3:$BU$41,MATCH(C_Variables!$G337,D03_Skills!$Z$3:$Z$41,0),MATCH(C_Variables!CN$313,D03_Skills!$AA$2:$BU$2,0))</f>
        <v>#N/A</v>
      </c>
      <c r="CJ331" s="495" t="e">
        <f t="shared" si="366"/>
        <v>#N/A</v>
      </c>
      <c r="CK331" s="495" t="e">
        <f>IF(CJ331&gt;0,1+COUNTIF(CK$314:CK330,"&gt;0"),0)</f>
        <v>#N/A</v>
      </c>
      <c r="CL331" s="495" t="e">
        <f t="shared" si="367"/>
        <v>#N/A</v>
      </c>
      <c r="CM331" s="495" t="e">
        <f t="shared" si="326"/>
        <v>#N/A</v>
      </c>
      <c r="CN331" s="496">
        <f t="shared" si="327"/>
        <v>0</v>
      </c>
      <c r="CO331" s="494" t="e">
        <f>INDEX(D03_Skills!$AA$3:$BU$41,MATCH(C_Variables!$G337,D03_Skills!$Z$3:$Z$41,0),MATCH(C_Variables!CT$313,D03_Skills!$AA$2:$BU$2,0))</f>
        <v>#N/A</v>
      </c>
      <c r="CP331" s="495" t="e">
        <f t="shared" si="368"/>
        <v>#N/A</v>
      </c>
      <c r="CQ331" s="495" t="e">
        <f>IF(CP331&gt;0,1+COUNTIF(CQ$314:CQ330,"&gt;0"),0)</f>
        <v>#N/A</v>
      </c>
      <c r="CR331" s="495" t="e">
        <f t="shared" si="369"/>
        <v>#N/A</v>
      </c>
      <c r="CS331" s="495" t="e">
        <f t="shared" si="328"/>
        <v>#N/A</v>
      </c>
      <c r="CT331" s="496">
        <f t="shared" si="329"/>
        <v>0</v>
      </c>
      <c r="CU331" s="494" t="e">
        <f>INDEX(D03_Skills!$AA$3:$BU$41,MATCH(C_Variables!$G337,D03_Skills!$Z$3:$Z$41,0),MATCH(C_Variables!CZ$313,D03_Skills!$AA$2:$BU$2,0))</f>
        <v>#N/A</v>
      </c>
      <c r="CV331" s="495" t="e">
        <f t="shared" si="370"/>
        <v>#N/A</v>
      </c>
      <c r="CW331" s="495" t="e">
        <f>IF(CV331&gt;0,1+COUNTIF(CW$314:CW330,"&gt;0"),0)</f>
        <v>#N/A</v>
      </c>
      <c r="CX331" s="495" t="e">
        <f t="shared" si="371"/>
        <v>#N/A</v>
      </c>
      <c r="CY331" s="495" t="e">
        <f t="shared" si="330"/>
        <v>#N/A</v>
      </c>
      <c r="CZ331" s="496">
        <f t="shared" si="331"/>
        <v>0</v>
      </c>
      <c r="DA331" s="494" t="e">
        <f>INDEX(D03_Skills!$AA$3:$BU$41,MATCH(C_Variables!$G337,D03_Skills!$Z$3:$Z$41,0),MATCH(C_Variables!DF$313,D03_Skills!$AA$2:$BU$2,0))</f>
        <v>#N/A</v>
      </c>
      <c r="DB331" s="495" t="e">
        <f t="shared" si="372"/>
        <v>#N/A</v>
      </c>
      <c r="DC331" s="495" t="e">
        <f>IF(DB331&gt;0,1+COUNTIF(DC$314:DC330,"&gt;0"),0)</f>
        <v>#N/A</v>
      </c>
      <c r="DD331" s="495" t="e">
        <f t="shared" si="373"/>
        <v>#N/A</v>
      </c>
      <c r="DE331" s="495" t="e">
        <f t="shared" si="332"/>
        <v>#N/A</v>
      </c>
      <c r="DF331" s="496">
        <f t="shared" si="333"/>
        <v>0</v>
      </c>
      <c r="DG331" s="494" t="e">
        <f>INDEX(D03_Skills!$AA$3:$BU$41,MATCH(C_Variables!$G337,D03_Skills!$Z$3:$Z$41,0),MATCH(C_Variables!DL$313,D03_Skills!$AA$2:$BU$2,0))</f>
        <v>#N/A</v>
      </c>
      <c r="DH331" s="495" t="e">
        <f t="shared" si="374"/>
        <v>#N/A</v>
      </c>
      <c r="DI331" s="495" t="e">
        <f>IF(DH331&gt;0,1+COUNTIF(DI$314:DI330,"&gt;0"),0)</f>
        <v>#N/A</v>
      </c>
      <c r="DJ331" s="495" t="e">
        <f t="shared" si="375"/>
        <v>#N/A</v>
      </c>
      <c r="DK331" s="495" t="e">
        <f t="shared" si="334"/>
        <v>#N/A</v>
      </c>
      <c r="DL331" s="496">
        <f t="shared" si="335"/>
        <v>0</v>
      </c>
      <c r="DM331" s="494" t="e">
        <f>INDEX(D03_Skills!$AA$3:$BU$41,MATCH(C_Variables!$G337,D03_Skills!$Z$3:$Z$41,0),MATCH(C_Variables!DR$313,D03_Skills!$AA$2:$BU$2,0))</f>
        <v>#N/A</v>
      </c>
      <c r="DN331" s="495" t="e">
        <f t="shared" si="376"/>
        <v>#N/A</v>
      </c>
      <c r="DO331" s="495" t="e">
        <f>IF(DN331&gt;0,1+COUNTIF(DO$314:DO330,"&gt;0"),0)</f>
        <v>#N/A</v>
      </c>
      <c r="DP331" s="495" t="e">
        <f t="shared" si="377"/>
        <v>#N/A</v>
      </c>
      <c r="DQ331" s="495" t="e">
        <f t="shared" si="336"/>
        <v>#N/A</v>
      </c>
      <c r="DR331" s="496">
        <f t="shared" si="337"/>
        <v>0</v>
      </c>
      <c r="DS331" s="494" t="e">
        <f>INDEX(D03_Skills!$AA$3:$BU$41,MATCH(C_Variables!$G337,D03_Skills!$Z$3:$Z$41,0),MATCH(C_Variables!DX$313,D03_Skills!$AA$2:$BU$2,0))</f>
        <v>#N/A</v>
      </c>
      <c r="DT331" s="495" t="e">
        <f t="shared" si="378"/>
        <v>#N/A</v>
      </c>
      <c r="DU331" s="495" t="e">
        <f>IF(DT331&gt;0,1+COUNTIF(DU$314:DU330,"&gt;0"),0)</f>
        <v>#N/A</v>
      </c>
      <c r="DV331" s="495" t="e">
        <f t="shared" si="379"/>
        <v>#N/A</v>
      </c>
      <c r="DW331" s="495" t="e">
        <f t="shared" si="338"/>
        <v>#N/A</v>
      </c>
      <c r="DX331" s="496">
        <f t="shared" si="339"/>
        <v>0</v>
      </c>
      <c r="DY331" s="501"/>
    </row>
    <row r="332" spans="1:129" ht="16.5" x14ac:dyDescent="0.3">
      <c r="A332" s="155">
        <f>IFERROR(IF(A331+1&lt;MAX(D041_ClassFeatures!$A$2:$A$2033),A331+1,""),"")</f>
        <v>329</v>
      </c>
      <c r="B332" s="153" t="str">
        <f>IFERROR(INDEX(D041_ClassFeatures!$B$2:$B$2033,MATCH(C_Variables!A332,D041_ClassFeatures!$A$2:$A$2033,0),1),"")</f>
        <v>Improved Minor Illusion</v>
      </c>
      <c r="C332" s="153">
        <f>IF(B332="",0,IF(IFERROR(MATCH(B332,C_Input!$BC$160:$BC$239,0),0)&gt;0,1,0))</f>
        <v>0</v>
      </c>
      <c r="E332" s="501"/>
      <c r="F332" s="501"/>
      <c r="G332" s="6" t="s">
        <v>413</v>
      </c>
      <c r="I332" s="494">
        <f>INDEX(D03_Skills!$AA$3:$BU$41,MATCH(C_Variables!$G338,D03_Skills!$Z$3:$Z$41,0),MATCH(C_Variables!N$313,D03_Skills!$AA$2:$BU$2,0))</f>
        <v>0</v>
      </c>
      <c r="J332" s="495">
        <f t="shared" si="340"/>
        <v>0</v>
      </c>
      <c r="K332" s="495">
        <f>IF(I332&gt;0,1+COUNTIF(K$314:K331,"&gt;0"),0)</f>
        <v>0</v>
      </c>
      <c r="L332" s="495" t="str">
        <f t="shared" si="341"/>
        <v/>
      </c>
      <c r="M332" s="495" t="str">
        <f t="shared" si="300"/>
        <v/>
      </c>
      <c r="N332" s="496">
        <f t="shared" si="301"/>
        <v>0</v>
      </c>
      <c r="O332" s="494">
        <f>INDEX(D03_Skills!$AA$3:$BU$41,MATCH(C_Variables!$G338,D03_Skills!$Z$3:$Z$41,0),MATCH(C_Variables!T$313,D03_Skills!$AA$2:$BU$2,0))</f>
        <v>0</v>
      </c>
      <c r="P332" s="495">
        <f t="shared" si="342"/>
        <v>0</v>
      </c>
      <c r="Q332" s="495">
        <f>IF(P332&gt;0,1+COUNTIF(Q$314:Q331,"&gt;0"),0)</f>
        <v>0</v>
      </c>
      <c r="R332" s="495" t="str">
        <f t="shared" si="343"/>
        <v/>
      </c>
      <c r="S332" s="495" t="str">
        <f t="shared" si="302"/>
        <v/>
      </c>
      <c r="T332" s="496">
        <f t="shared" si="303"/>
        <v>0</v>
      </c>
      <c r="U332" s="494">
        <f>INDEX(D03_Skills!$AA$3:$BU$41,MATCH(C_Variables!$G338,D03_Skills!$Z$3:$Z$41,0),MATCH(C_Variables!Z$313,D03_Skills!$AA$2:$BU$2,0))</f>
        <v>0</v>
      </c>
      <c r="V332" s="495">
        <f t="shared" si="344"/>
        <v>0</v>
      </c>
      <c r="W332" s="495">
        <f>IF(V332&gt;0,1+COUNTIF(W$314:W331,"&gt;0"),0)</f>
        <v>0</v>
      </c>
      <c r="X332" s="495" t="str">
        <f t="shared" si="345"/>
        <v/>
      </c>
      <c r="Y332" s="495" t="str">
        <f t="shared" si="304"/>
        <v/>
      </c>
      <c r="Z332" s="496">
        <f t="shared" si="305"/>
        <v>0</v>
      </c>
      <c r="AA332" s="494">
        <f>INDEX(D03_Skills!$AA$3:$BU$41,MATCH(C_Variables!$G338,D03_Skills!$Z$3:$Z$41,0),MATCH(C_Variables!AF$313,D03_Skills!$AA$2:$BU$2,0))</f>
        <v>0</v>
      </c>
      <c r="AB332" s="495">
        <f t="shared" si="346"/>
        <v>0</v>
      </c>
      <c r="AC332" s="495">
        <f>IF(AB332&gt;0,1+COUNTIF(AC$314:AC331,"&gt;0"),0)</f>
        <v>0</v>
      </c>
      <c r="AD332" s="495" t="str">
        <f t="shared" si="347"/>
        <v/>
      </c>
      <c r="AE332" s="495" t="str">
        <f t="shared" si="306"/>
        <v/>
      </c>
      <c r="AF332" s="496">
        <f t="shared" si="307"/>
        <v>0</v>
      </c>
      <c r="AG332" s="494">
        <f>INDEX(D03_Skills!$AA$3:$BU$41,MATCH(C_Variables!$G338,D03_Skills!$Z$3:$Z$41,0),MATCH(C_Variables!AL$313,D03_Skills!$AA$2:$BU$2,0))</f>
        <v>0</v>
      </c>
      <c r="AH332" s="495">
        <f t="shared" si="348"/>
        <v>0</v>
      </c>
      <c r="AI332" s="495">
        <f>IF(AH332&gt;0,1+COUNTIF(AI$314:AI331,"&gt;0"),0)</f>
        <v>0</v>
      </c>
      <c r="AJ332" s="495" t="str">
        <f t="shared" si="349"/>
        <v/>
      </c>
      <c r="AK332" s="495" t="str">
        <f t="shared" si="308"/>
        <v/>
      </c>
      <c r="AL332" s="496">
        <f t="shared" si="309"/>
        <v>0</v>
      </c>
      <c r="AM332" s="494">
        <f>INDEX(D03_Skills!$AA$3:$BU$41,MATCH(C_Variables!$G338,D03_Skills!$Z$3:$Z$41,0),MATCH(C_Variables!AR$313,D03_Skills!$AA$2:$BU$2,0))</f>
        <v>0</v>
      </c>
      <c r="AN332" s="495">
        <f t="shared" si="350"/>
        <v>0</v>
      </c>
      <c r="AO332" s="495">
        <f>IF(AN332&gt;0,1+COUNTIF(AO$314:AO331,"&gt;0"),0)</f>
        <v>0</v>
      </c>
      <c r="AP332" s="495" t="str">
        <f t="shared" si="351"/>
        <v/>
      </c>
      <c r="AQ332" s="495" t="str">
        <f t="shared" si="310"/>
        <v/>
      </c>
      <c r="AR332" s="496">
        <f t="shared" si="311"/>
        <v>0</v>
      </c>
      <c r="AS332" s="494">
        <f>INDEX(D03_Skills!$AA$3:$BU$41,MATCH(C_Variables!$G338,D03_Skills!$Z$3:$Z$41,0),MATCH(C_Variables!AX$313,D03_Skills!$AA$2:$BU$2,0))</f>
        <v>0</v>
      </c>
      <c r="AT332" s="495">
        <f t="shared" si="352"/>
        <v>0</v>
      </c>
      <c r="AU332" s="495">
        <f>IF(AT332&gt;0,1+COUNTIF(AU$314:AU331,"&gt;0"),0)</f>
        <v>0</v>
      </c>
      <c r="AV332" s="495" t="str">
        <f t="shared" si="353"/>
        <v/>
      </c>
      <c r="AW332" s="495" t="str">
        <f t="shared" si="312"/>
        <v/>
      </c>
      <c r="AX332" s="496">
        <f t="shared" si="313"/>
        <v>0</v>
      </c>
      <c r="AY332" s="494">
        <f>INDEX(D03_Skills!$AA$3:$BU$41,MATCH(C_Variables!$G338,D03_Skills!$Z$3:$Z$41,0),MATCH(C_Variables!BD$313,D03_Skills!$AA$2:$BU$2,0))</f>
        <v>0</v>
      </c>
      <c r="AZ332" s="495">
        <f t="shared" si="354"/>
        <v>0</v>
      </c>
      <c r="BA332" s="495">
        <f>IF(AZ332&gt;0,1+COUNTIF(BA$314:BA331,"&gt;0"),0)</f>
        <v>0</v>
      </c>
      <c r="BB332" s="495" t="str">
        <f t="shared" si="355"/>
        <v/>
      </c>
      <c r="BC332" s="495" t="str">
        <f t="shared" si="314"/>
        <v/>
      </c>
      <c r="BD332" s="496">
        <f t="shared" si="315"/>
        <v>0</v>
      </c>
      <c r="BE332" s="494">
        <f>INDEX(D03_Skills!$AA$3:$BU$41,MATCH(C_Variables!$G338,D03_Skills!$Z$3:$Z$41,0),MATCH(C_Variables!BJ$313,D03_Skills!$AA$2:$BU$2,0))</f>
        <v>0</v>
      </c>
      <c r="BF332" s="495">
        <f t="shared" si="356"/>
        <v>0</v>
      </c>
      <c r="BG332" s="495">
        <f>IF(BF332&gt;0,1+COUNTIF(BG$314:BG331,"&gt;0"),0)</f>
        <v>0</v>
      </c>
      <c r="BH332" s="495" t="str">
        <f t="shared" si="357"/>
        <v/>
      </c>
      <c r="BI332" s="495" t="str">
        <f t="shared" si="316"/>
        <v/>
      </c>
      <c r="BJ332" s="496">
        <f t="shared" si="317"/>
        <v>0</v>
      </c>
      <c r="BK332" s="494">
        <f>INDEX(D03_Skills!$AA$3:$BU$41,MATCH(C_Variables!$G338,D03_Skills!$Z$3:$Z$41,0),MATCH(C_Variables!BP$313,D03_Skills!$AA$2:$BU$2,0))</f>
        <v>0</v>
      </c>
      <c r="BL332" s="495">
        <f t="shared" si="358"/>
        <v>0</v>
      </c>
      <c r="BM332" s="495">
        <f>IF(BL332&gt;0,1+COUNTIF(BM$314:BM331,"&gt;0"),0)</f>
        <v>0</v>
      </c>
      <c r="BN332" s="495" t="str">
        <f t="shared" si="359"/>
        <v/>
      </c>
      <c r="BO332" s="495" t="str">
        <f t="shared" si="318"/>
        <v/>
      </c>
      <c r="BP332" s="496">
        <f t="shared" si="319"/>
        <v>0</v>
      </c>
      <c r="BQ332" s="494">
        <f>INDEX(D03_Skills!$AA$3:$BU$41,MATCH(C_Variables!$G338,D03_Skills!$Z$3:$Z$41,0),MATCH(C_Variables!BV$313,D03_Skills!$AA$2:$BU$2,0))</f>
        <v>0</v>
      </c>
      <c r="BR332" s="495">
        <f t="shared" si="360"/>
        <v>0</v>
      </c>
      <c r="BS332" s="495">
        <f>IF(BR332&gt;0,1+COUNTIF(BS$314:BS331,"&gt;0"),0)</f>
        <v>0</v>
      </c>
      <c r="BT332" s="495" t="str">
        <f t="shared" si="361"/>
        <v/>
      </c>
      <c r="BU332" s="495" t="str">
        <f t="shared" si="320"/>
        <v/>
      </c>
      <c r="BV332" s="496">
        <f t="shared" si="321"/>
        <v>0</v>
      </c>
      <c r="BW332" s="494">
        <f>INDEX(D03_Skills!$AA$3:$BU$41,MATCH(C_Variables!$G338,D03_Skills!$Z$3:$Z$41,0),MATCH(C_Variables!CB$313,D03_Skills!$AA$2:$BU$2,0))</f>
        <v>0</v>
      </c>
      <c r="BX332" s="495">
        <f t="shared" si="362"/>
        <v>0</v>
      </c>
      <c r="BY332" s="495">
        <f>IF(BX332&gt;0,1+COUNTIF(BY$314:BY331,"&gt;0"),0)</f>
        <v>0</v>
      </c>
      <c r="BZ332" s="495" t="str">
        <f t="shared" si="363"/>
        <v/>
      </c>
      <c r="CA332" s="495" t="str">
        <f t="shared" si="322"/>
        <v/>
      </c>
      <c r="CB332" s="496">
        <f t="shared" si="323"/>
        <v>0</v>
      </c>
      <c r="CC332" s="494" t="e">
        <f>INDEX(D03_Skills!$AA$3:$BU$41,MATCH(C_Variables!$G338,D03_Skills!$Z$3:$Z$41,0),MATCH(C_Variables!CH$313,D03_Skills!$AA$2:$BU$2,0))</f>
        <v>#N/A</v>
      </c>
      <c r="CD332" s="495" t="e">
        <f t="shared" si="364"/>
        <v>#N/A</v>
      </c>
      <c r="CE332" s="495" t="e">
        <f>IF(CD332&gt;0,1+COUNTIF(CE$314:CE331,"&gt;0"),0)</f>
        <v>#N/A</v>
      </c>
      <c r="CF332" s="495" t="e">
        <f t="shared" si="365"/>
        <v>#N/A</v>
      </c>
      <c r="CG332" s="495" t="e">
        <f t="shared" si="324"/>
        <v>#N/A</v>
      </c>
      <c r="CH332" s="496">
        <f t="shared" si="325"/>
        <v>0</v>
      </c>
      <c r="CI332" s="494" t="e">
        <f>INDEX(D03_Skills!$AA$3:$BU$41,MATCH(C_Variables!$G338,D03_Skills!$Z$3:$Z$41,0),MATCH(C_Variables!CN$313,D03_Skills!$AA$2:$BU$2,0))</f>
        <v>#N/A</v>
      </c>
      <c r="CJ332" s="495" t="e">
        <f t="shared" si="366"/>
        <v>#N/A</v>
      </c>
      <c r="CK332" s="495" t="e">
        <f>IF(CJ332&gt;0,1+COUNTIF(CK$314:CK331,"&gt;0"),0)</f>
        <v>#N/A</v>
      </c>
      <c r="CL332" s="495" t="e">
        <f t="shared" si="367"/>
        <v>#N/A</v>
      </c>
      <c r="CM332" s="495" t="e">
        <f t="shared" si="326"/>
        <v>#N/A</v>
      </c>
      <c r="CN332" s="496">
        <f t="shared" si="327"/>
        <v>0</v>
      </c>
      <c r="CO332" s="494" t="e">
        <f>INDEX(D03_Skills!$AA$3:$BU$41,MATCH(C_Variables!$G338,D03_Skills!$Z$3:$Z$41,0),MATCH(C_Variables!CT$313,D03_Skills!$AA$2:$BU$2,0))</f>
        <v>#N/A</v>
      </c>
      <c r="CP332" s="495" t="e">
        <f t="shared" si="368"/>
        <v>#N/A</v>
      </c>
      <c r="CQ332" s="495" t="e">
        <f>IF(CP332&gt;0,1+COUNTIF(CQ$314:CQ331,"&gt;0"),0)</f>
        <v>#N/A</v>
      </c>
      <c r="CR332" s="495" t="e">
        <f t="shared" si="369"/>
        <v>#N/A</v>
      </c>
      <c r="CS332" s="495" t="e">
        <f t="shared" si="328"/>
        <v>#N/A</v>
      </c>
      <c r="CT332" s="496">
        <f t="shared" si="329"/>
        <v>0</v>
      </c>
      <c r="CU332" s="494" t="e">
        <f>INDEX(D03_Skills!$AA$3:$BU$41,MATCH(C_Variables!$G338,D03_Skills!$Z$3:$Z$41,0),MATCH(C_Variables!CZ$313,D03_Skills!$AA$2:$BU$2,0))</f>
        <v>#N/A</v>
      </c>
      <c r="CV332" s="495" t="e">
        <f t="shared" si="370"/>
        <v>#N/A</v>
      </c>
      <c r="CW332" s="495" t="e">
        <f>IF(CV332&gt;0,1+COUNTIF(CW$314:CW331,"&gt;0"),0)</f>
        <v>#N/A</v>
      </c>
      <c r="CX332" s="495" t="e">
        <f t="shared" si="371"/>
        <v>#N/A</v>
      </c>
      <c r="CY332" s="495" t="e">
        <f t="shared" si="330"/>
        <v>#N/A</v>
      </c>
      <c r="CZ332" s="496">
        <f t="shared" si="331"/>
        <v>0</v>
      </c>
      <c r="DA332" s="494" t="e">
        <f>INDEX(D03_Skills!$AA$3:$BU$41,MATCH(C_Variables!$G338,D03_Skills!$Z$3:$Z$41,0),MATCH(C_Variables!DF$313,D03_Skills!$AA$2:$BU$2,0))</f>
        <v>#N/A</v>
      </c>
      <c r="DB332" s="495" t="e">
        <f t="shared" si="372"/>
        <v>#N/A</v>
      </c>
      <c r="DC332" s="495" t="e">
        <f>IF(DB332&gt;0,1+COUNTIF(DC$314:DC331,"&gt;0"),0)</f>
        <v>#N/A</v>
      </c>
      <c r="DD332" s="495" t="e">
        <f t="shared" si="373"/>
        <v>#N/A</v>
      </c>
      <c r="DE332" s="495" t="e">
        <f t="shared" si="332"/>
        <v>#N/A</v>
      </c>
      <c r="DF332" s="496">
        <f t="shared" si="333"/>
        <v>0</v>
      </c>
      <c r="DG332" s="494" t="e">
        <f>INDEX(D03_Skills!$AA$3:$BU$41,MATCH(C_Variables!$G338,D03_Skills!$Z$3:$Z$41,0),MATCH(C_Variables!DL$313,D03_Skills!$AA$2:$BU$2,0))</f>
        <v>#N/A</v>
      </c>
      <c r="DH332" s="495" t="e">
        <f t="shared" si="374"/>
        <v>#N/A</v>
      </c>
      <c r="DI332" s="495" t="e">
        <f>IF(DH332&gt;0,1+COUNTIF(DI$314:DI331,"&gt;0"),0)</f>
        <v>#N/A</v>
      </c>
      <c r="DJ332" s="495" t="e">
        <f t="shared" si="375"/>
        <v>#N/A</v>
      </c>
      <c r="DK332" s="495" t="e">
        <f t="shared" si="334"/>
        <v>#N/A</v>
      </c>
      <c r="DL332" s="496">
        <f t="shared" si="335"/>
        <v>0</v>
      </c>
      <c r="DM332" s="494" t="e">
        <f>INDEX(D03_Skills!$AA$3:$BU$41,MATCH(C_Variables!$G338,D03_Skills!$Z$3:$Z$41,0),MATCH(C_Variables!DR$313,D03_Skills!$AA$2:$BU$2,0))</f>
        <v>#N/A</v>
      </c>
      <c r="DN332" s="495" t="e">
        <f t="shared" si="376"/>
        <v>#N/A</v>
      </c>
      <c r="DO332" s="495" t="e">
        <f>IF(DN332&gt;0,1+COUNTIF(DO$314:DO331,"&gt;0"),0)</f>
        <v>#N/A</v>
      </c>
      <c r="DP332" s="495" t="e">
        <f t="shared" si="377"/>
        <v>#N/A</v>
      </c>
      <c r="DQ332" s="495" t="e">
        <f t="shared" si="336"/>
        <v>#N/A</v>
      </c>
      <c r="DR332" s="496">
        <f t="shared" si="337"/>
        <v>0</v>
      </c>
      <c r="DS332" s="494" t="e">
        <f>INDEX(D03_Skills!$AA$3:$BU$41,MATCH(C_Variables!$G338,D03_Skills!$Z$3:$Z$41,0),MATCH(C_Variables!DX$313,D03_Skills!$AA$2:$BU$2,0))</f>
        <v>#N/A</v>
      </c>
      <c r="DT332" s="495" t="e">
        <f t="shared" si="378"/>
        <v>#N/A</v>
      </c>
      <c r="DU332" s="495" t="e">
        <f>IF(DT332&gt;0,1+COUNTIF(DU$314:DU331,"&gt;0"),0)</f>
        <v>#N/A</v>
      </c>
      <c r="DV332" s="495" t="e">
        <f t="shared" si="379"/>
        <v>#N/A</v>
      </c>
      <c r="DW332" s="495" t="e">
        <f t="shared" si="338"/>
        <v>#N/A</v>
      </c>
      <c r="DX332" s="496">
        <f t="shared" si="339"/>
        <v>0</v>
      </c>
      <c r="DY332" s="501"/>
    </row>
    <row r="333" spans="1:129" ht="16.5" x14ac:dyDescent="0.3">
      <c r="A333" s="155">
        <f>IFERROR(IF(A332+1&lt;MAX(D041_ClassFeatures!$A$2:$A$2033),A332+1,""),"")</f>
        <v>330</v>
      </c>
      <c r="B333" s="153" t="str">
        <f>IFERROR(INDEX(D041_ClassFeatures!$B$2:$B$2033,MATCH(C_Variables!A333,D041_ClassFeatures!$A$2:$A$2033,0),1),"")</f>
        <v>Malleable Illusions</v>
      </c>
      <c r="C333" s="153">
        <f>IF(B333="",0,IF(IFERROR(MATCH(B333,C_Input!$BC$160:$BC$239,0),0)&gt;0,1,0))</f>
        <v>0</v>
      </c>
      <c r="E333" s="501"/>
      <c r="F333" s="501"/>
      <c r="G333" s="6" t="s">
        <v>454</v>
      </c>
      <c r="I333" s="494">
        <f>INDEX(D03_Skills!$AA$3:$BU$41,MATCH(C_Variables!$G339,D03_Skills!$Z$3:$Z$41,0),MATCH(C_Variables!N$313,D03_Skills!$AA$2:$BU$2,0))</f>
        <v>1</v>
      </c>
      <c r="J333" s="495">
        <f t="shared" si="340"/>
        <v>1</v>
      </c>
      <c r="K333" s="495">
        <f>IF(I333&gt;0,1+COUNTIF(K$314:K332,"&gt;0"),0)</f>
        <v>1</v>
      </c>
      <c r="L333" s="495" t="str">
        <f t="shared" si="341"/>
        <v/>
      </c>
      <c r="M333" s="495" t="str">
        <f t="shared" si="300"/>
        <v/>
      </c>
      <c r="N333" s="496">
        <f t="shared" si="301"/>
        <v>0</v>
      </c>
      <c r="O333" s="494">
        <f>INDEX(D03_Skills!$AA$3:$BU$41,MATCH(C_Variables!$G339,D03_Skills!$Z$3:$Z$41,0),MATCH(C_Variables!T$313,D03_Skills!$AA$2:$BU$2,0))</f>
        <v>0</v>
      </c>
      <c r="P333" s="495">
        <f t="shared" si="342"/>
        <v>0</v>
      </c>
      <c r="Q333" s="495">
        <f>IF(P333&gt;0,1+COUNTIF(Q$314:Q332,"&gt;0"),0)</f>
        <v>0</v>
      </c>
      <c r="R333" s="495" t="str">
        <f t="shared" si="343"/>
        <v/>
      </c>
      <c r="S333" s="495" t="str">
        <f t="shared" si="302"/>
        <v/>
      </c>
      <c r="T333" s="496">
        <f t="shared" si="303"/>
        <v>0</v>
      </c>
      <c r="U333" s="494">
        <f>INDEX(D03_Skills!$AA$3:$BU$41,MATCH(C_Variables!$G339,D03_Skills!$Z$3:$Z$41,0),MATCH(C_Variables!Z$313,D03_Skills!$AA$2:$BU$2,0))</f>
        <v>0</v>
      </c>
      <c r="V333" s="495">
        <f t="shared" si="344"/>
        <v>0</v>
      </c>
      <c r="W333" s="495">
        <f>IF(V333&gt;0,1+COUNTIF(W$314:W332,"&gt;0"),0)</f>
        <v>0</v>
      </c>
      <c r="X333" s="495" t="str">
        <f t="shared" si="345"/>
        <v/>
      </c>
      <c r="Y333" s="495" t="str">
        <f t="shared" si="304"/>
        <v/>
      </c>
      <c r="Z333" s="496">
        <f t="shared" si="305"/>
        <v>0</v>
      </c>
      <c r="AA333" s="494">
        <f>INDEX(D03_Skills!$AA$3:$BU$41,MATCH(C_Variables!$G339,D03_Skills!$Z$3:$Z$41,0),MATCH(C_Variables!AF$313,D03_Skills!$AA$2:$BU$2,0))</f>
        <v>0</v>
      </c>
      <c r="AB333" s="495">
        <f t="shared" si="346"/>
        <v>0</v>
      </c>
      <c r="AC333" s="495">
        <f>IF(AB333&gt;0,1+COUNTIF(AC$314:AC332,"&gt;0"),0)</f>
        <v>0</v>
      </c>
      <c r="AD333" s="495" t="str">
        <f t="shared" si="347"/>
        <v/>
      </c>
      <c r="AE333" s="495" t="str">
        <f t="shared" si="306"/>
        <v/>
      </c>
      <c r="AF333" s="496">
        <f t="shared" si="307"/>
        <v>0</v>
      </c>
      <c r="AG333" s="494">
        <f>INDEX(D03_Skills!$AA$3:$BU$41,MATCH(C_Variables!$G339,D03_Skills!$Z$3:$Z$41,0),MATCH(C_Variables!AL$313,D03_Skills!$AA$2:$BU$2,0))</f>
        <v>1</v>
      </c>
      <c r="AH333" s="495">
        <f t="shared" si="348"/>
        <v>1</v>
      </c>
      <c r="AI333" s="495">
        <f>IF(AH333&gt;0,1+COUNTIF(AI$314:AI332,"&gt;0"),0)</f>
        <v>1</v>
      </c>
      <c r="AJ333" s="495" t="str">
        <f t="shared" si="349"/>
        <v/>
      </c>
      <c r="AK333" s="495" t="str">
        <f t="shared" si="308"/>
        <v/>
      </c>
      <c r="AL333" s="496">
        <f t="shared" si="309"/>
        <v>0</v>
      </c>
      <c r="AM333" s="494">
        <f>INDEX(D03_Skills!$AA$3:$BU$41,MATCH(C_Variables!$G339,D03_Skills!$Z$3:$Z$41,0),MATCH(C_Variables!AR$313,D03_Skills!$AA$2:$BU$2,0))</f>
        <v>0</v>
      </c>
      <c r="AN333" s="495">
        <f t="shared" si="350"/>
        <v>0</v>
      </c>
      <c r="AO333" s="495">
        <f>IF(AN333&gt;0,1+COUNTIF(AO$314:AO332,"&gt;0"),0)</f>
        <v>0</v>
      </c>
      <c r="AP333" s="495" t="str">
        <f t="shared" si="351"/>
        <v/>
      </c>
      <c r="AQ333" s="495" t="str">
        <f t="shared" si="310"/>
        <v/>
      </c>
      <c r="AR333" s="496">
        <f t="shared" si="311"/>
        <v>0</v>
      </c>
      <c r="AS333" s="494">
        <f>INDEX(D03_Skills!$AA$3:$BU$41,MATCH(C_Variables!$G339,D03_Skills!$Z$3:$Z$41,0),MATCH(C_Variables!AX$313,D03_Skills!$AA$2:$BU$2,0))</f>
        <v>0</v>
      </c>
      <c r="AT333" s="495">
        <f t="shared" si="352"/>
        <v>0</v>
      </c>
      <c r="AU333" s="495">
        <f>IF(AT333&gt;0,1+COUNTIF(AU$314:AU332,"&gt;0"),0)</f>
        <v>0</v>
      </c>
      <c r="AV333" s="495" t="str">
        <f t="shared" si="353"/>
        <v/>
      </c>
      <c r="AW333" s="495" t="str">
        <f t="shared" si="312"/>
        <v/>
      </c>
      <c r="AX333" s="496">
        <f t="shared" si="313"/>
        <v>0</v>
      </c>
      <c r="AY333" s="494">
        <f>INDEX(D03_Skills!$AA$3:$BU$41,MATCH(C_Variables!$G339,D03_Skills!$Z$3:$Z$41,0),MATCH(C_Variables!BD$313,D03_Skills!$AA$2:$BU$2,0))</f>
        <v>0</v>
      </c>
      <c r="AZ333" s="495">
        <f t="shared" si="354"/>
        <v>0</v>
      </c>
      <c r="BA333" s="495">
        <f>IF(AZ333&gt;0,1+COUNTIF(BA$314:BA332,"&gt;0"),0)</f>
        <v>0</v>
      </c>
      <c r="BB333" s="495" t="str">
        <f t="shared" si="355"/>
        <v/>
      </c>
      <c r="BC333" s="495" t="str">
        <f t="shared" si="314"/>
        <v/>
      </c>
      <c r="BD333" s="496">
        <f t="shared" si="315"/>
        <v>0</v>
      </c>
      <c r="BE333" s="494">
        <f>INDEX(D03_Skills!$AA$3:$BU$41,MATCH(C_Variables!$G339,D03_Skills!$Z$3:$Z$41,0),MATCH(C_Variables!BJ$313,D03_Skills!$AA$2:$BU$2,0))</f>
        <v>0</v>
      </c>
      <c r="BF333" s="495">
        <f t="shared" si="356"/>
        <v>0</v>
      </c>
      <c r="BG333" s="495">
        <f>IF(BF333&gt;0,1+COUNTIF(BG$314:BG332,"&gt;0"),0)</f>
        <v>0</v>
      </c>
      <c r="BH333" s="495" t="str">
        <f t="shared" si="357"/>
        <v/>
      </c>
      <c r="BI333" s="495" t="str">
        <f t="shared" si="316"/>
        <v/>
      </c>
      <c r="BJ333" s="496">
        <f t="shared" si="317"/>
        <v>0</v>
      </c>
      <c r="BK333" s="494">
        <f>INDEX(D03_Skills!$AA$3:$BU$41,MATCH(C_Variables!$G339,D03_Skills!$Z$3:$Z$41,0),MATCH(C_Variables!BP$313,D03_Skills!$AA$2:$BU$2,0))</f>
        <v>0</v>
      </c>
      <c r="BL333" s="495">
        <f t="shared" si="358"/>
        <v>0</v>
      </c>
      <c r="BM333" s="495">
        <f>IF(BL333&gt;0,1+COUNTIF(BM$314:BM332,"&gt;0"),0)</f>
        <v>0</v>
      </c>
      <c r="BN333" s="495" t="str">
        <f t="shared" si="359"/>
        <v/>
      </c>
      <c r="BO333" s="495" t="str">
        <f t="shared" si="318"/>
        <v/>
      </c>
      <c r="BP333" s="496">
        <f t="shared" si="319"/>
        <v>0</v>
      </c>
      <c r="BQ333" s="494">
        <f>INDEX(D03_Skills!$AA$3:$BU$41,MATCH(C_Variables!$G339,D03_Skills!$Z$3:$Z$41,0),MATCH(C_Variables!BV$313,D03_Skills!$AA$2:$BU$2,0))</f>
        <v>0</v>
      </c>
      <c r="BR333" s="495">
        <f t="shared" si="360"/>
        <v>0</v>
      </c>
      <c r="BS333" s="495">
        <f>IF(BR333&gt;0,1+COUNTIF(BS$314:BS332,"&gt;0"),0)</f>
        <v>0</v>
      </c>
      <c r="BT333" s="495" t="str">
        <f t="shared" si="361"/>
        <v/>
      </c>
      <c r="BU333" s="495" t="str">
        <f t="shared" si="320"/>
        <v/>
      </c>
      <c r="BV333" s="496">
        <f t="shared" si="321"/>
        <v>0</v>
      </c>
      <c r="BW333" s="494">
        <f>INDEX(D03_Skills!$AA$3:$BU$41,MATCH(C_Variables!$G339,D03_Skills!$Z$3:$Z$41,0),MATCH(C_Variables!CB$313,D03_Skills!$AA$2:$BU$2,0))</f>
        <v>0</v>
      </c>
      <c r="BX333" s="495">
        <f t="shared" si="362"/>
        <v>0</v>
      </c>
      <c r="BY333" s="495">
        <f>IF(BX333&gt;0,1+COUNTIF(BY$314:BY332,"&gt;0"),0)</f>
        <v>0</v>
      </c>
      <c r="BZ333" s="495" t="str">
        <f t="shared" si="363"/>
        <v/>
      </c>
      <c r="CA333" s="495" t="str">
        <f t="shared" si="322"/>
        <v/>
      </c>
      <c r="CB333" s="496">
        <f t="shared" si="323"/>
        <v>0</v>
      </c>
      <c r="CC333" s="494" t="e">
        <f>INDEX(D03_Skills!$AA$3:$BU$41,MATCH(C_Variables!$G339,D03_Skills!$Z$3:$Z$41,0),MATCH(C_Variables!CH$313,D03_Skills!$AA$2:$BU$2,0))</f>
        <v>#N/A</v>
      </c>
      <c r="CD333" s="495" t="e">
        <f t="shared" si="364"/>
        <v>#N/A</v>
      </c>
      <c r="CE333" s="495" t="e">
        <f>IF(CD333&gt;0,1+COUNTIF(CE$314:CE332,"&gt;0"),0)</f>
        <v>#N/A</v>
      </c>
      <c r="CF333" s="495" t="e">
        <f t="shared" si="365"/>
        <v>#N/A</v>
      </c>
      <c r="CG333" s="495" t="e">
        <f t="shared" si="324"/>
        <v>#N/A</v>
      </c>
      <c r="CH333" s="496">
        <f t="shared" si="325"/>
        <v>0</v>
      </c>
      <c r="CI333" s="494" t="e">
        <f>INDEX(D03_Skills!$AA$3:$BU$41,MATCH(C_Variables!$G339,D03_Skills!$Z$3:$Z$41,0),MATCH(C_Variables!CN$313,D03_Skills!$AA$2:$BU$2,0))</f>
        <v>#N/A</v>
      </c>
      <c r="CJ333" s="495" t="e">
        <f t="shared" si="366"/>
        <v>#N/A</v>
      </c>
      <c r="CK333" s="495" t="e">
        <f>IF(CJ333&gt;0,1+COUNTIF(CK$314:CK332,"&gt;0"),0)</f>
        <v>#N/A</v>
      </c>
      <c r="CL333" s="495" t="e">
        <f t="shared" si="367"/>
        <v>#N/A</v>
      </c>
      <c r="CM333" s="495" t="e">
        <f t="shared" si="326"/>
        <v>#N/A</v>
      </c>
      <c r="CN333" s="496">
        <f t="shared" si="327"/>
        <v>0</v>
      </c>
      <c r="CO333" s="494" t="e">
        <f>INDEX(D03_Skills!$AA$3:$BU$41,MATCH(C_Variables!$G339,D03_Skills!$Z$3:$Z$41,0),MATCH(C_Variables!CT$313,D03_Skills!$AA$2:$BU$2,0))</f>
        <v>#N/A</v>
      </c>
      <c r="CP333" s="495" t="e">
        <f t="shared" si="368"/>
        <v>#N/A</v>
      </c>
      <c r="CQ333" s="495" t="e">
        <f>IF(CP333&gt;0,1+COUNTIF(CQ$314:CQ332,"&gt;0"),0)</f>
        <v>#N/A</v>
      </c>
      <c r="CR333" s="495" t="e">
        <f t="shared" si="369"/>
        <v>#N/A</v>
      </c>
      <c r="CS333" s="495" t="e">
        <f t="shared" si="328"/>
        <v>#N/A</v>
      </c>
      <c r="CT333" s="496">
        <f t="shared" si="329"/>
        <v>0</v>
      </c>
      <c r="CU333" s="494" t="e">
        <f>INDEX(D03_Skills!$AA$3:$BU$41,MATCH(C_Variables!$G339,D03_Skills!$Z$3:$Z$41,0),MATCH(C_Variables!CZ$313,D03_Skills!$AA$2:$BU$2,0))</f>
        <v>#N/A</v>
      </c>
      <c r="CV333" s="495" t="e">
        <f t="shared" si="370"/>
        <v>#N/A</v>
      </c>
      <c r="CW333" s="495" t="e">
        <f>IF(CV333&gt;0,1+COUNTIF(CW$314:CW332,"&gt;0"),0)</f>
        <v>#N/A</v>
      </c>
      <c r="CX333" s="495" t="e">
        <f t="shared" si="371"/>
        <v>#N/A</v>
      </c>
      <c r="CY333" s="495" t="e">
        <f t="shared" si="330"/>
        <v>#N/A</v>
      </c>
      <c r="CZ333" s="496">
        <f t="shared" si="331"/>
        <v>0</v>
      </c>
      <c r="DA333" s="494" t="e">
        <f>INDEX(D03_Skills!$AA$3:$BU$41,MATCH(C_Variables!$G339,D03_Skills!$Z$3:$Z$41,0),MATCH(C_Variables!DF$313,D03_Skills!$AA$2:$BU$2,0))</f>
        <v>#N/A</v>
      </c>
      <c r="DB333" s="495" t="e">
        <f t="shared" si="372"/>
        <v>#N/A</v>
      </c>
      <c r="DC333" s="495" t="e">
        <f>IF(DB333&gt;0,1+COUNTIF(DC$314:DC332,"&gt;0"),0)</f>
        <v>#N/A</v>
      </c>
      <c r="DD333" s="495" t="e">
        <f t="shared" si="373"/>
        <v>#N/A</v>
      </c>
      <c r="DE333" s="495" t="e">
        <f t="shared" si="332"/>
        <v>#N/A</v>
      </c>
      <c r="DF333" s="496">
        <f t="shared" si="333"/>
        <v>0</v>
      </c>
      <c r="DG333" s="494" t="e">
        <f>INDEX(D03_Skills!$AA$3:$BU$41,MATCH(C_Variables!$G339,D03_Skills!$Z$3:$Z$41,0),MATCH(C_Variables!DL$313,D03_Skills!$AA$2:$BU$2,0))</f>
        <v>#N/A</v>
      </c>
      <c r="DH333" s="495" t="e">
        <f t="shared" si="374"/>
        <v>#N/A</v>
      </c>
      <c r="DI333" s="495" t="e">
        <f>IF(DH333&gt;0,1+COUNTIF(DI$314:DI332,"&gt;0"),0)</f>
        <v>#N/A</v>
      </c>
      <c r="DJ333" s="495" t="e">
        <f t="shared" si="375"/>
        <v>#N/A</v>
      </c>
      <c r="DK333" s="495" t="e">
        <f t="shared" si="334"/>
        <v>#N/A</v>
      </c>
      <c r="DL333" s="496">
        <f t="shared" si="335"/>
        <v>0</v>
      </c>
      <c r="DM333" s="494" t="e">
        <f>INDEX(D03_Skills!$AA$3:$BU$41,MATCH(C_Variables!$G339,D03_Skills!$Z$3:$Z$41,0),MATCH(C_Variables!DR$313,D03_Skills!$AA$2:$BU$2,0))</f>
        <v>#N/A</v>
      </c>
      <c r="DN333" s="495" t="e">
        <f t="shared" si="376"/>
        <v>#N/A</v>
      </c>
      <c r="DO333" s="495" t="e">
        <f>IF(DN333&gt;0,1+COUNTIF(DO$314:DO332,"&gt;0"),0)</f>
        <v>#N/A</v>
      </c>
      <c r="DP333" s="495" t="e">
        <f t="shared" si="377"/>
        <v>#N/A</v>
      </c>
      <c r="DQ333" s="495" t="e">
        <f t="shared" si="336"/>
        <v>#N/A</v>
      </c>
      <c r="DR333" s="496">
        <f t="shared" si="337"/>
        <v>0</v>
      </c>
      <c r="DS333" s="494" t="e">
        <f>INDEX(D03_Skills!$AA$3:$BU$41,MATCH(C_Variables!$G339,D03_Skills!$Z$3:$Z$41,0),MATCH(C_Variables!DX$313,D03_Skills!$AA$2:$BU$2,0))</f>
        <v>#N/A</v>
      </c>
      <c r="DT333" s="495" t="e">
        <f t="shared" si="378"/>
        <v>#N/A</v>
      </c>
      <c r="DU333" s="495" t="e">
        <f>IF(DT333&gt;0,1+COUNTIF(DU$314:DU332,"&gt;0"),0)</f>
        <v>#N/A</v>
      </c>
      <c r="DV333" s="495" t="e">
        <f t="shared" si="379"/>
        <v>#N/A</v>
      </c>
      <c r="DW333" s="495" t="e">
        <f t="shared" si="338"/>
        <v>#N/A</v>
      </c>
      <c r="DX333" s="496">
        <f t="shared" si="339"/>
        <v>0</v>
      </c>
      <c r="DY333" s="501"/>
    </row>
    <row r="334" spans="1:129" ht="16.5" x14ac:dyDescent="0.3">
      <c r="A334" s="155">
        <f>IFERROR(IF(A333+1&lt;MAX(D041_ClassFeatures!$A$2:$A$2033),A333+1,""),"")</f>
        <v>331</v>
      </c>
      <c r="B334" s="153" t="str">
        <f>IFERROR(INDEX(D041_ClassFeatures!$B$2:$B$2033,MATCH(C_Variables!A334,D041_ClassFeatures!$A$2:$A$2033,0),1),"")</f>
        <v>Illusory Self</v>
      </c>
      <c r="C334" s="153">
        <f>IF(B334="",0,IF(IFERROR(MATCH(B334,C_Input!$BC$160:$BC$239,0),0)&gt;0,1,0))</f>
        <v>0</v>
      </c>
      <c r="E334" s="501"/>
      <c r="F334" s="501"/>
      <c r="G334" s="6" t="s">
        <v>475</v>
      </c>
      <c r="I334" s="494">
        <f>INDEX(D03_Skills!$AA$3:$BU$41,MATCH(C_Variables!$G340,D03_Skills!$Z$3:$Z$41,0),MATCH(C_Variables!N$313,D03_Skills!$AA$2:$BU$2,0))</f>
        <v>1</v>
      </c>
      <c r="J334" s="495">
        <f t="shared" si="340"/>
        <v>1</v>
      </c>
      <c r="K334" s="495">
        <f>IF(I334&gt;0,1+COUNTIF(K$314:K333,"&gt;0"),0)</f>
        <v>2</v>
      </c>
      <c r="L334" s="495" t="str">
        <f t="shared" si="341"/>
        <v/>
      </c>
      <c r="M334" s="495" t="str">
        <f t="shared" si="300"/>
        <v>n/a</v>
      </c>
      <c r="N334" s="496">
        <f t="shared" si="301"/>
        <v>0</v>
      </c>
      <c r="O334" s="494">
        <f>INDEX(D03_Skills!$AA$3:$BU$41,MATCH(C_Variables!$G340,D03_Skills!$Z$3:$Z$41,0),MATCH(C_Variables!T$313,D03_Skills!$AA$2:$BU$2,0))</f>
        <v>0</v>
      </c>
      <c r="P334" s="495">
        <f t="shared" si="342"/>
        <v>0</v>
      </c>
      <c r="Q334" s="495">
        <f>IF(P334&gt;0,1+COUNTIF(Q$314:Q333,"&gt;0"),0)</f>
        <v>0</v>
      </c>
      <c r="R334" s="495" t="str">
        <f t="shared" si="343"/>
        <v/>
      </c>
      <c r="S334" s="495" t="str">
        <f t="shared" si="302"/>
        <v/>
      </c>
      <c r="T334" s="496">
        <f t="shared" si="303"/>
        <v>0</v>
      </c>
      <c r="U334" s="494">
        <f>INDEX(D03_Skills!$AA$3:$BU$41,MATCH(C_Variables!$G340,D03_Skills!$Z$3:$Z$41,0),MATCH(C_Variables!Z$313,D03_Skills!$AA$2:$BU$2,0))</f>
        <v>0</v>
      </c>
      <c r="V334" s="495">
        <f t="shared" si="344"/>
        <v>0</v>
      </c>
      <c r="W334" s="495">
        <f>IF(V334&gt;0,1+COUNTIF(W$314:W333,"&gt;0"),0)</f>
        <v>0</v>
      </c>
      <c r="X334" s="495" t="str">
        <f t="shared" si="345"/>
        <v/>
      </c>
      <c r="Y334" s="495" t="str">
        <f t="shared" si="304"/>
        <v/>
      </c>
      <c r="Z334" s="496">
        <f t="shared" si="305"/>
        <v>0</v>
      </c>
      <c r="AA334" s="494">
        <f>INDEX(D03_Skills!$AA$3:$BU$41,MATCH(C_Variables!$G340,D03_Skills!$Z$3:$Z$41,0),MATCH(C_Variables!AF$313,D03_Skills!$AA$2:$BU$2,0))</f>
        <v>0</v>
      </c>
      <c r="AB334" s="495">
        <f t="shared" si="346"/>
        <v>0</v>
      </c>
      <c r="AC334" s="495">
        <f>IF(AB334&gt;0,1+COUNTIF(AC$314:AC333,"&gt;0"),0)</f>
        <v>0</v>
      </c>
      <c r="AD334" s="495" t="str">
        <f t="shared" si="347"/>
        <v/>
      </c>
      <c r="AE334" s="495" t="str">
        <f t="shared" si="306"/>
        <v/>
      </c>
      <c r="AF334" s="496">
        <f t="shared" si="307"/>
        <v>0</v>
      </c>
      <c r="AG334" s="494">
        <f>INDEX(D03_Skills!$AA$3:$BU$41,MATCH(C_Variables!$G340,D03_Skills!$Z$3:$Z$41,0),MATCH(C_Variables!AL$313,D03_Skills!$AA$2:$BU$2,0))</f>
        <v>1</v>
      </c>
      <c r="AH334" s="495">
        <f t="shared" si="348"/>
        <v>1</v>
      </c>
      <c r="AI334" s="495">
        <f>IF(AH334&gt;0,1+COUNTIF(AI$314:AI333,"&gt;0"),0)</f>
        <v>2</v>
      </c>
      <c r="AJ334" s="495" t="str">
        <f t="shared" si="349"/>
        <v/>
      </c>
      <c r="AK334" s="495" t="str">
        <f t="shared" si="308"/>
        <v>n/a</v>
      </c>
      <c r="AL334" s="496">
        <f t="shared" si="309"/>
        <v>0</v>
      </c>
      <c r="AM334" s="494">
        <f>INDEX(D03_Skills!$AA$3:$BU$41,MATCH(C_Variables!$G340,D03_Skills!$Z$3:$Z$41,0),MATCH(C_Variables!AR$313,D03_Skills!$AA$2:$BU$2,0))</f>
        <v>0</v>
      </c>
      <c r="AN334" s="495">
        <f t="shared" si="350"/>
        <v>0</v>
      </c>
      <c r="AO334" s="495">
        <f>IF(AN334&gt;0,1+COUNTIF(AO$314:AO333,"&gt;0"),0)</f>
        <v>0</v>
      </c>
      <c r="AP334" s="495" t="str">
        <f t="shared" si="351"/>
        <v/>
      </c>
      <c r="AQ334" s="495" t="str">
        <f t="shared" si="310"/>
        <v/>
      </c>
      <c r="AR334" s="496">
        <f t="shared" si="311"/>
        <v>0</v>
      </c>
      <c r="AS334" s="494">
        <f>INDEX(D03_Skills!$AA$3:$BU$41,MATCH(C_Variables!$G340,D03_Skills!$Z$3:$Z$41,0),MATCH(C_Variables!AX$313,D03_Skills!$AA$2:$BU$2,0))</f>
        <v>0</v>
      </c>
      <c r="AT334" s="495">
        <f t="shared" si="352"/>
        <v>0</v>
      </c>
      <c r="AU334" s="495">
        <f>IF(AT334&gt;0,1+COUNTIF(AU$314:AU333,"&gt;0"),0)</f>
        <v>0</v>
      </c>
      <c r="AV334" s="495" t="str">
        <f t="shared" si="353"/>
        <v/>
      </c>
      <c r="AW334" s="495" t="str">
        <f t="shared" si="312"/>
        <v/>
      </c>
      <c r="AX334" s="496">
        <f t="shared" si="313"/>
        <v>0</v>
      </c>
      <c r="AY334" s="494">
        <f>INDEX(D03_Skills!$AA$3:$BU$41,MATCH(C_Variables!$G340,D03_Skills!$Z$3:$Z$41,0),MATCH(C_Variables!BD$313,D03_Skills!$AA$2:$BU$2,0))</f>
        <v>0</v>
      </c>
      <c r="AZ334" s="495">
        <f t="shared" si="354"/>
        <v>0</v>
      </c>
      <c r="BA334" s="495">
        <f>IF(AZ334&gt;0,1+COUNTIF(BA$314:BA333,"&gt;0"),0)</f>
        <v>0</v>
      </c>
      <c r="BB334" s="495" t="str">
        <f t="shared" si="355"/>
        <v/>
      </c>
      <c r="BC334" s="495" t="str">
        <f t="shared" si="314"/>
        <v/>
      </c>
      <c r="BD334" s="496">
        <f t="shared" si="315"/>
        <v>0</v>
      </c>
      <c r="BE334" s="494">
        <f>INDEX(D03_Skills!$AA$3:$BU$41,MATCH(C_Variables!$G340,D03_Skills!$Z$3:$Z$41,0),MATCH(C_Variables!BJ$313,D03_Skills!$AA$2:$BU$2,0))</f>
        <v>0</v>
      </c>
      <c r="BF334" s="495">
        <f t="shared" si="356"/>
        <v>0</v>
      </c>
      <c r="BG334" s="495">
        <f>IF(BF334&gt;0,1+COUNTIF(BG$314:BG333,"&gt;0"),0)</f>
        <v>0</v>
      </c>
      <c r="BH334" s="495" t="str">
        <f t="shared" si="357"/>
        <v/>
      </c>
      <c r="BI334" s="495" t="str">
        <f t="shared" si="316"/>
        <v/>
      </c>
      <c r="BJ334" s="496">
        <f t="shared" si="317"/>
        <v>0</v>
      </c>
      <c r="BK334" s="494">
        <f>INDEX(D03_Skills!$AA$3:$BU$41,MATCH(C_Variables!$G340,D03_Skills!$Z$3:$Z$41,0),MATCH(C_Variables!BP$313,D03_Skills!$AA$2:$BU$2,0))</f>
        <v>0</v>
      </c>
      <c r="BL334" s="495">
        <f t="shared" si="358"/>
        <v>0</v>
      </c>
      <c r="BM334" s="495">
        <f>IF(BL334&gt;0,1+COUNTIF(BM$314:BM333,"&gt;0"),0)</f>
        <v>0</v>
      </c>
      <c r="BN334" s="495" t="str">
        <f t="shared" si="359"/>
        <v/>
      </c>
      <c r="BO334" s="495" t="str">
        <f t="shared" si="318"/>
        <v/>
      </c>
      <c r="BP334" s="496">
        <f t="shared" si="319"/>
        <v>0</v>
      </c>
      <c r="BQ334" s="494">
        <f>INDEX(D03_Skills!$AA$3:$BU$41,MATCH(C_Variables!$G340,D03_Skills!$Z$3:$Z$41,0),MATCH(C_Variables!BV$313,D03_Skills!$AA$2:$BU$2,0))</f>
        <v>0</v>
      </c>
      <c r="BR334" s="495">
        <f t="shared" si="360"/>
        <v>0</v>
      </c>
      <c r="BS334" s="495">
        <f>IF(BR334&gt;0,1+COUNTIF(BS$314:BS333,"&gt;0"),0)</f>
        <v>0</v>
      </c>
      <c r="BT334" s="495" t="str">
        <f t="shared" si="361"/>
        <v/>
      </c>
      <c r="BU334" s="495" t="str">
        <f t="shared" si="320"/>
        <v/>
      </c>
      <c r="BV334" s="496">
        <f t="shared" si="321"/>
        <v>0</v>
      </c>
      <c r="BW334" s="494">
        <f>INDEX(D03_Skills!$AA$3:$BU$41,MATCH(C_Variables!$G340,D03_Skills!$Z$3:$Z$41,0),MATCH(C_Variables!CB$313,D03_Skills!$AA$2:$BU$2,0))</f>
        <v>0</v>
      </c>
      <c r="BX334" s="495">
        <f t="shared" si="362"/>
        <v>0</v>
      </c>
      <c r="BY334" s="495">
        <f>IF(BX334&gt;0,1+COUNTIF(BY$314:BY333,"&gt;0"),0)</f>
        <v>0</v>
      </c>
      <c r="BZ334" s="495" t="str">
        <f t="shared" si="363"/>
        <v/>
      </c>
      <c r="CA334" s="495" t="str">
        <f t="shared" si="322"/>
        <v/>
      </c>
      <c r="CB334" s="496">
        <f t="shared" si="323"/>
        <v>0</v>
      </c>
      <c r="CC334" s="494" t="e">
        <f>INDEX(D03_Skills!$AA$3:$BU$41,MATCH(C_Variables!$G340,D03_Skills!$Z$3:$Z$41,0),MATCH(C_Variables!CH$313,D03_Skills!$AA$2:$BU$2,0))</f>
        <v>#N/A</v>
      </c>
      <c r="CD334" s="495" t="e">
        <f t="shared" si="364"/>
        <v>#N/A</v>
      </c>
      <c r="CE334" s="495" t="e">
        <f>IF(CD334&gt;0,1+COUNTIF(CE$314:CE333,"&gt;0"),0)</f>
        <v>#N/A</v>
      </c>
      <c r="CF334" s="495" t="e">
        <f t="shared" si="365"/>
        <v>#N/A</v>
      </c>
      <c r="CG334" s="495" t="e">
        <f t="shared" si="324"/>
        <v>#N/A</v>
      </c>
      <c r="CH334" s="496">
        <f t="shared" si="325"/>
        <v>0</v>
      </c>
      <c r="CI334" s="494" t="e">
        <f>INDEX(D03_Skills!$AA$3:$BU$41,MATCH(C_Variables!$G340,D03_Skills!$Z$3:$Z$41,0),MATCH(C_Variables!CN$313,D03_Skills!$AA$2:$BU$2,0))</f>
        <v>#N/A</v>
      </c>
      <c r="CJ334" s="495" t="e">
        <f t="shared" si="366"/>
        <v>#N/A</v>
      </c>
      <c r="CK334" s="495" t="e">
        <f>IF(CJ334&gt;0,1+COUNTIF(CK$314:CK333,"&gt;0"),0)</f>
        <v>#N/A</v>
      </c>
      <c r="CL334" s="495" t="e">
        <f t="shared" si="367"/>
        <v>#N/A</v>
      </c>
      <c r="CM334" s="495" t="e">
        <f t="shared" si="326"/>
        <v>#N/A</v>
      </c>
      <c r="CN334" s="496">
        <f t="shared" si="327"/>
        <v>0</v>
      </c>
      <c r="CO334" s="494" t="e">
        <f>INDEX(D03_Skills!$AA$3:$BU$41,MATCH(C_Variables!$G340,D03_Skills!$Z$3:$Z$41,0),MATCH(C_Variables!CT$313,D03_Skills!$AA$2:$BU$2,0))</f>
        <v>#N/A</v>
      </c>
      <c r="CP334" s="495" t="e">
        <f t="shared" si="368"/>
        <v>#N/A</v>
      </c>
      <c r="CQ334" s="495" t="e">
        <f>IF(CP334&gt;0,1+COUNTIF(CQ$314:CQ333,"&gt;0"),0)</f>
        <v>#N/A</v>
      </c>
      <c r="CR334" s="495" t="e">
        <f t="shared" si="369"/>
        <v>#N/A</v>
      </c>
      <c r="CS334" s="495" t="e">
        <f t="shared" si="328"/>
        <v>#N/A</v>
      </c>
      <c r="CT334" s="496">
        <f t="shared" si="329"/>
        <v>0</v>
      </c>
      <c r="CU334" s="494" t="e">
        <f>INDEX(D03_Skills!$AA$3:$BU$41,MATCH(C_Variables!$G340,D03_Skills!$Z$3:$Z$41,0),MATCH(C_Variables!CZ$313,D03_Skills!$AA$2:$BU$2,0))</f>
        <v>#N/A</v>
      </c>
      <c r="CV334" s="495" t="e">
        <f t="shared" si="370"/>
        <v>#N/A</v>
      </c>
      <c r="CW334" s="495" t="e">
        <f>IF(CV334&gt;0,1+COUNTIF(CW$314:CW333,"&gt;0"),0)</f>
        <v>#N/A</v>
      </c>
      <c r="CX334" s="495" t="e">
        <f t="shared" si="371"/>
        <v>#N/A</v>
      </c>
      <c r="CY334" s="495" t="e">
        <f t="shared" si="330"/>
        <v>#N/A</v>
      </c>
      <c r="CZ334" s="496">
        <f t="shared" si="331"/>
        <v>0</v>
      </c>
      <c r="DA334" s="494" t="e">
        <f>INDEX(D03_Skills!$AA$3:$BU$41,MATCH(C_Variables!$G340,D03_Skills!$Z$3:$Z$41,0),MATCH(C_Variables!DF$313,D03_Skills!$AA$2:$BU$2,0))</f>
        <v>#N/A</v>
      </c>
      <c r="DB334" s="495" t="e">
        <f t="shared" si="372"/>
        <v>#N/A</v>
      </c>
      <c r="DC334" s="495" t="e">
        <f>IF(DB334&gt;0,1+COUNTIF(DC$314:DC333,"&gt;0"),0)</f>
        <v>#N/A</v>
      </c>
      <c r="DD334" s="495" t="e">
        <f t="shared" si="373"/>
        <v>#N/A</v>
      </c>
      <c r="DE334" s="495" t="e">
        <f t="shared" si="332"/>
        <v>#N/A</v>
      </c>
      <c r="DF334" s="496">
        <f t="shared" si="333"/>
        <v>0</v>
      </c>
      <c r="DG334" s="494" t="e">
        <f>INDEX(D03_Skills!$AA$3:$BU$41,MATCH(C_Variables!$G340,D03_Skills!$Z$3:$Z$41,0),MATCH(C_Variables!DL$313,D03_Skills!$AA$2:$BU$2,0))</f>
        <v>#N/A</v>
      </c>
      <c r="DH334" s="495" t="e">
        <f t="shared" si="374"/>
        <v>#N/A</v>
      </c>
      <c r="DI334" s="495" t="e">
        <f>IF(DH334&gt;0,1+COUNTIF(DI$314:DI333,"&gt;0"),0)</f>
        <v>#N/A</v>
      </c>
      <c r="DJ334" s="495" t="e">
        <f t="shared" si="375"/>
        <v>#N/A</v>
      </c>
      <c r="DK334" s="495" t="e">
        <f t="shared" si="334"/>
        <v>#N/A</v>
      </c>
      <c r="DL334" s="496">
        <f t="shared" si="335"/>
        <v>0</v>
      </c>
      <c r="DM334" s="494" t="e">
        <f>INDEX(D03_Skills!$AA$3:$BU$41,MATCH(C_Variables!$G340,D03_Skills!$Z$3:$Z$41,0),MATCH(C_Variables!DR$313,D03_Skills!$AA$2:$BU$2,0))</f>
        <v>#N/A</v>
      </c>
      <c r="DN334" s="495" t="e">
        <f t="shared" si="376"/>
        <v>#N/A</v>
      </c>
      <c r="DO334" s="495" t="e">
        <f>IF(DN334&gt;0,1+COUNTIF(DO$314:DO333,"&gt;0"),0)</f>
        <v>#N/A</v>
      </c>
      <c r="DP334" s="495" t="e">
        <f t="shared" si="377"/>
        <v>#N/A</v>
      </c>
      <c r="DQ334" s="495" t="e">
        <f t="shared" si="336"/>
        <v>#N/A</v>
      </c>
      <c r="DR334" s="496">
        <f t="shared" si="337"/>
        <v>0</v>
      </c>
      <c r="DS334" s="494" t="e">
        <f>INDEX(D03_Skills!$AA$3:$BU$41,MATCH(C_Variables!$G340,D03_Skills!$Z$3:$Z$41,0),MATCH(C_Variables!DX$313,D03_Skills!$AA$2:$BU$2,0))</f>
        <v>#N/A</v>
      </c>
      <c r="DT334" s="495" t="e">
        <f t="shared" si="378"/>
        <v>#N/A</v>
      </c>
      <c r="DU334" s="495" t="e">
        <f>IF(DT334&gt;0,1+COUNTIF(DU$314:DU333,"&gt;0"),0)</f>
        <v>#N/A</v>
      </c>
      <c r="DV334" s="495" t="e">
        <f t="shared" si="379"/>
        <v>#N/A</v>
      </c>
      <c r="DW334" s="495" t="e">
        <f t="shared" si="338"/>
        <v>#N/A</v>
      </c>
      <c r="DX334" s="496">
        <f t="shared" si="339"/>
        <v>0</v>
      </c>
      <c r="DY334" s="501"/>
    </row>
    <row r="335" spans="1:129" ht="16.5" x14ac:dyDescent="0.3">
      <c r="A335" s="155">
        <f>IFERROR(IF(A334+1&lt;MAX(D041_ClassFeatures!$A$2:$A$2033),A334+1,""),"")</f>
        <v>332</v>
      </c>
      <c r="B335" s="153" t="str">
        <f>IFERROR(INDEX(D041_ClassFeatures!$B$2:$B$2033,MATCH(C_Variables!A335,D041_ClassFeatures!$A$2:$A$2033,0),1),"")</f>
        <v>Illusionary Reality</v>
      </c>
      <c r="C335" s="153">
        <f>IF(B335="",0,IF(IFERROR(MATCH(B335,C_Input!$BC$160:$BC$239,0),0)&gt;0,1,0))</f>
        <v>0</v>
      </c>
      <c r="E335" s="501"/>
      <c r="F335" s="501"/>
      <c r="G335" s="6" t="s">
        <v>495</v>
      </c>
      <c r="I335" s="494">
        <f>INDEX(D03_Skills!$AA$3:$BU$41,MATCH(C_Variables!$G341,D03_Skills!$Z$3:$Z$41,0),MATCH(C_Variables!N$313,D03_Skills!$AA$2:$BU$2,0))</f>
        <v>1</v>
      </c>
      <c r="J335" s="495">
        <f t="shared" si="340"/>
        <v>1</v>
      </c>
      <c r="K335" s="495">
        <f>IF(I335&gt;0,1+COUNTIF(K$314:K334,"&gt;0"),0)</f>
        <v>3</v>
      </c>
      <c r="L335" s="495" t="str">
        <f t="shared" si="341"/>
        <v/>
      </c>
      <c r="M335" s="495" t="str">
        <f t="shared" si="300"/>
        <v>n/a</v>
      </c>
      <c r="N335" s="496">
        <f t="shared" si="301"/>
        <v>0</v>
      </c>
      <c r="O335" s="494">
        <f>INDEX(D03_Skills!$AA$3:$BU$41,MATCH(C_Variables!$G341,D03_Skills!$Z$3:$Z$41,0),MATCH(C_Variables!T$313,D03_Skills!$AA$2:$BU$2,0))</f>
        <v>0</v>
      </c>
      <c r="P335" s="495">
        <f t="shared" si="342"/>
        <v>0</v>
      </c>
      <c r="Q335" s="495">
        <f>IF(P335&gt;0,1+COUNTIF(Q$314:Q334,"&gt;0"),0)</f>
        <v>0</v>
      </c>
      <c r="R335" s="495" t="str">
        <f t="shared" si="343"/>
        <v/>
      </c>
      <c r="S335" s="495" t="str">
        <f t="shared" si="302"/>
        <v/>
      </c>
      <c r="T335" s="496">
        <f t="shared" si="303"/>
        <v>0</v>
      </c>
      <c r="U335" s="494">
        <f>INDEX(D03_Skills!$AA$3:$BU$41,MATCH(C_Variables!$G341,D03_Skills!$Z$3:$Z$41,0),MATCH(C_Variables!Z$313,D03_Skills!$AA$2:$BU$2,0))</f>
        <v>0</v>
      </c>
      <c r="V335" s="495">
        <f t="shared" si="344"/>
        <v>0</v>
      </c>
      <c r="W335" s="495">
        <f>IF(V335&gt;0,1+COUNTIF(W$314:W334,"&gt;0"),0)</f>
        <v>0</v>
      </c>
      <c r="X335" s="495" t="str">
        <f t="shared" si="345"/>
        <v/>
      </c>
      <c r="Y335" s="495" t="str">
        <f t="shared" si="304"/>
        <v/>
      </c>
      <c r="Z335" s="496">
        <f t="shared" si="305"/>
        <v>0</v>
      </c>
      <c r="AA335" s="494">
        <f>INDEX(D03_Skills!$AA$3:$BU$41,MATCH(C_Variables!$G341,D03_Skills!$Z$3:$Z$41,0),MATCH(C_Variables!AF$313,D03_Skills!$AA$2:$BU$2,0))</f>
        <v>0</v>
      </c>
      <c r="AB335" s="495">
        <f t="shared" si="346"/>
        <v>0</v>
      </c>
      <c r="AC335" s="495">
        <f>IF(AB335&gt;0,1+COUNTIF(AC$314:AC334,"&gt;0"),0)</f>
        <v>0</v>
      </c>
      <c r="AD335" s="495" t="str">
        <f t="shared" si="347"/>
        <v/>
      </c>
      <c r="AE335" s="495" t="str">
        <f t="shared" si="306"/>
        <v/>
      </c>
      <c r="AF335" s="496">
        <f t="shared" si="307"/>
        <v>0</v>
      </c>
      <c r="AG335" s="494">
        <f>INDEX(D03_Skills!$AA$3:$BU$41,MATCH(C_Variables!$G341,D03_Skills!$Z$3:$Z$41,0),MATCH(C_Variables!AL$313,D03_Skills!$AA$2:$BU$2,0))</f>
        <v>1</v>
      </c>
      <c r="AH335" s="495">
        <f t="shared" si="348"/>
        <v>1</v>
      </c>
      <c r="AI335" s="495">
        <f>IF(AH335&gt;0,1+COUNTIF(AI$314:AI334,"&gt;0"),0)</f>
        <v>3</v>
      </c>
      <c r="AJ335" s="495" t="str">
        <f t="shared" si="349"/>
        <v/>
      </c>
      <c r="AK335" s="495" t="str">
        <f t="shared" si="308"/>
        <v>n/a</v>
      </c>
      <c r="AL335" s="496">
        <f t="shared" si="309"/>
        <v>0</v>
      </c>
      <c r="AM335" s="494">
        <f>INDEX(D03_Skills!$AA$3:$BU$41,MATCH(C_Variables!$G341,D03_Skills!$Z$3:$Z$41,0),MATCH(C_Variables!AR$313,D03_Skills!$AA$2:$BU$2,0))</f>
        <v>0</v>
      </c>
      <c r="AN335" s="495">
        <f t="shared" si="350"/>
        <v>0</v>
      </c>
      <c r="AO335" s="495">
        <f>IF(AN335&gt;0,1+COUNTIF(AO$314:AO334,"&gt;0"),0)</f>
        <v>0</v>
      </c>
      <c r="AP335" s="495" t="str">
        <f t="shared" si="351"/>
        <v/>
      </c>
      <c r="AQ335" s="495" t="str">
        <f t="shared" si="310"/>
        <v/>
      </c>
      <c r="AR335" s="496">
        <f t="shared" si="311"/>
        <v>0</v>
      </c>
      <c r="AS335" s="494">
        <f>INDEX(D03_Skills!$AA$3:$BU$41,MATCH(C_Variables!$G341,D03_Skills!$Z$3:$Z$41,0),MATCH(C_Variables!AX$313,D03_Skills!$AA$2:$BU$2,0))</f>
        <v>0</v>
      </c>
      <c r="AT335" s="495">
        <f t="shared" si="352"/>
        <v>0</v>
      </c>
      <c r="AU335" s="495">
        <f>IF(AT335&gt;0,1+COUNTIF(AU$314:AU334,"&gt;0"),0)</f>
        <v>0</v>
      </c>
      <c r="AV335" s="495" t="str">
        <f t="shared" si="353"/>
        <v/>
      </c>
      <c r="AW335" s="495" t="str">
        <f t="shared" si="312"/>
        <v/>
      </c>
      <c r="AX335" s="496">
        <f t="shared" si="313"/>
        <v>0</v>
      </c>
      <c r="AY335" s="494">
        <f>INDEX(D03_Skills!$AA$3:$BU$41,MATCH(C_Variables!$G341,D03_Skills!$Z$3:$Z$41,0),MATCH(C_Variables!BD$313,D03_Skills!$AA$2:$BU$2,0))</f>
        <v>0</v>
      </c>
      <c r="AZ335" s="495">
        <f t="shared" si="354"/>
        <v>0</v>
      </c>
      <c r="BA335" s="495">
        <f>IF(AZ335&gt;0,1+COUNTIF(BA$314:BA334,"&gt;0"),0)</f>
        <v>0</v>
      </c>
      <c r="BB335" s="495" t="str">
        <f t="shared" si="355"/>
        <v/>
      </c>
      <c r="BC335" s="495" t="str">
        <f t="shared" si="314"/>
        <v/>
      </c>
      <c r="BD335" s="496">
        <f t="shared" si="315"/>
        <v>0</v>
      </c>
      <c r="BE335" s="494">
        <f>INDEX(D03_Skills!$AA$3:$BU$41,MATCH(C_Variables!$G341,D03_Skills!$Z$3:$Z$41,0),MATCH(C_Variables!BJ$313,D03_Skills!$AA$2:$BU$2,0))</f>
        <v>0</v>
      </c>
      <c r="BF335" s="495">
        <f t="shared" si="356"/>
        <v>0</v>
      </c>
      <c r="BG335" s="495">
        <f>IF(BF335&gt;0,1+COUNTIF(BG$314:BG334,"&gt;0"),0)</f>
        <v>0</v>
      </c>
      <c r="BH335" s="495" t="str">
        <f t="shared" si="357"/>
        <v/>
      </c>
      <c r="BI335" s="495" t="str">
        <f t="shared" si="316"/>
        <v/>
      </c>
      <c r="BJ335" s="496">
        <f t="shared" si="317"/>
        <v>0</v>
      </c>
      <c r="BK335" s="494">
        <f>INDEX(D03_Skills!$AA$3:$BU$41,MATCH(C_Variables!$G341,D03_Skills!$Z$3:$Z$41,0),MATCH(C_Variables!BP$313,D03_Skills!$AA$2:$BU$2,0))</f>
        <v>0</v>
      </c>
      <c r="BL335" s="495">
        <f t="shared" si="358"/>
        <v>0</v>
      </c>
      <c r="BM335" s="495">
        <f>IF(BL335&gt;0,1+COUNTIF(BM$314:BM334,"&gt;0"),0)</f>
        <v>0</v>
      </c>
      <c r="BN335" s="495" t="str">
        <f t="shared" si="359"/>
        <v/>
      </c>
      <c r="BO335" s="495" t="str">
        <f t="shared" si="318"/>
        <v/>
      </c>
      <c r="BP335" s="496">
        <f t="shared" si="319"/>
        <v>0</v>
      </c>
      <c r="BQ335" s="494">
        <f>INDEX(D03_Skills!$AA$3:$BU$41,MATCH(C_Variables!$G341,D03_Skills!$Z$3:$Z$41,0),MATCH(C_Variables!BV$313,D03_Skills!$AA$2:$BU$2,0))</f>
        <v>0</v>
      </c>
      <c r="BR335" s="495">
        <f t="shared" si="360"/>
        <v>0</v>
      </c>
      <c r="BS335" s="495">
        <f>IF(BR335&gt;0,1+COUNTIF(BS$314:BS334,"&gt;0"),0)</f>
        <v>0</v>
      </c>
      <c r="BT335" s="495" t="str">
        <f t="shared" si="361"/>
        <v/>
      </c>
      <c r="BU335" s="495" t="str">
        <f t="shared" si="320"/>
        <v/>
      </c>
      <c r="BV335" s="496">
        <f t="shared" si="321"/>
        <v>0</v>
      </c>
      <c r="BW335" s="494">
        <f>INDEX(D03_Skills!$AA$3:$BU$41,MATCH(C_Variables!$G341,D03_Skills!$Z$3:$Z$41,0),MATCH(C_Variables!CB$313,D03_Skills!$AA$2:$BU$2,0))</f>
        <v>0</v>
      </c>
      <c r="BX335" s="495">
        <f t="shared" si="362"/>
        <v>0</v>
      </c>
      <c r="BY335" s="495">
        <f>IF(BX335&gt;0,1+COUNTIF(BY$314:BY334,"&gt;0"),0)</f>
        <v>0</v>
      </c>
      <c r="BZ335" s="495" t="str">
        <f t="shared" si="363"/>
        <v/>
      </c>
      <c r="CA335" s="495" t="str">
        <f t="shared" si="322"/>
        <v/>
      </c>
      <c r="CB335" s="496">
        <f t="shared" si="323"/>
        <v>0</v>
      </c>
      <c r="CC335" s="494" t="e">
        <f>INDEX(D03_Skills!$AA$3:$BU$41,MATCH(C_Variables!$G341,D03_Skills!$Z$3:$Z$41,0),MATCH(C_Variables!CH$313,D03_Skills!$AA$2:$BU$2,0))</f>
        <v>#N/A</v>
      </c>
      <c r="CD335" s="495" t="e">
        <f t="shared" si="364"/>
        <v>#N/A</v>
      </c>
      <c r="CE335" s="495" t="e">
        <f>IF(CD335&gt;0,1+COUNTIF(CE$314:CE334,"&gt;0"),0)</f>
        <v>#N/A</v>
      </c>
      <c r="CF335" s="495" t="e">
        <f t="shared" si="365"/>
        <v>#N/A</v>
      </c>
      <c r="CG335" s="495" t="e">
        <f t="shared" si="324"/>
        <v>#N/A</v>
      </c>
      <c r="CH335" s="496">
        <f t="shared" si="325"/>
        <v>0</v>
      </c>
      <c r="CI335" s="494" t="e">
        <f>INDEX(D03_Skills!$AA$3:$BU$41,MATCH(C_Variables!$G341,D03_Skills!$Z$3:$Z$41,0),MATCH(C_Variables!CN$313,D03_Skills!$AA$2:$BU$2,0))</f>
        <v>#N/A</v>
      </c>
      <c r="CJ335" s="495" t="e">
        <f t="shared" si="366"/>
        <v>#N/A</v>
      </c>
      <c r="CK335" s="495" t="e">
        <f>IF(CJ335&gt;0,1+COUNTIF(CK$314:CK334,"&gt;0"),0)</f>
        <v>#N/A</v>
      </c>
      <c r="CL335" s="495" t="e">
        <f t="shared" si="367"/>
        <v>#N/A</v>
      </c>
      <c r="CM335" s="495" t="e">
        <f t="shared" si="326"/>
        <v>#N/A</v>
      </c>
      <c r="CN335" s="496">
        <f t="shared" si="327"/>
        <v>0</v>
      </c>
      <c r="CO335" s="494" t="e">
        <f>INDEX(D03_Skills!$AA$3:$BU$41,MATCH(C_Variables!$G341,D03_Skills!$Z$3:$Z$41,0),MATCH(C_Variables!CT$313,D03_Skills!$AA$2:$BU$2,0))</f>
        <v>#N/A</v>
      </c>
      <c r="CP335" s="495" t="e">
        <f t="shared" si="368"/>
        <v>#N/A</v>
      </c>
      <c r="CQ335" s="495" t="e">
        <f>IF(CP335&gt;0,1+COUNTIF(CQ$314:CQ334,"&gt;0"),0)</f>
        <v>#N/A</v>
      </c>
      <c r="CR335" s="495" t="e">
        <f t="shared" si="369"/>
        <v>#N/A</v>
      </c>
      <c r="CS335" s="495" t="e">
        <f t="shared" si="328"/>
        <v>#N/A</v>
      </c>
      <c r="CT335" s="496">
        <f t="shared" si="329"/>
        <v>0</v>
      </c>
      <c r="CU335" s="494" t="e">
        <f>INDEX(D03_Skills!$AA$3:$BU$41,MATCH(C_Variables!$G341,D03_Skills!$Z$3:$Z$41,0),MATCH(C_Variables!CZ$313,D03_Skills!$AA$2:$BU$2,0))</f>
        <v>#N/A</v>
      </c>
      <c r="CV335" s="495" t="e">
        <f t="shared" si="370"/>
        <v>#N/A</v>
      </c>
      <c r="CW335" s="495" t="e">
        <f>IF(CV335&gt;0,1+COUNTIF(CW$314:CW334,"&gt;0"),0)</f>
        <v>#N/A</v>
      </c>
      <c r="CX335" s="495" t="e">
        <f t="shared" si="371"/>
        <v>#N/A</v>
      </c>
      <c r="CY335" s="495" t="e">
        <f t="shared" si="330"/>
        <v>#N/A</v>
      </c>
      <c r="CZ335" s="496">
        <f t="shared" si="331"/>
        <v>0</v>
      </c>
      <c r="DA335" s="494" t="e">
        <f>INDEX(D03_Skills!$AA$3:$BU$41,MATCH(C_Variables!$G341,D03_Skills!$Z$3:$Z$41,0),MATCH(C_Variables!DF$313,D03_Skills!$AA$2:$BU$2,0))</f>
        <v>#N/A</v>
      </c>
      <c r="DB335" s="495" t="e">
        <f t="shared" si="372"/>
        <v>#N/A</v>
      </c>
      <c r="DC335" s="495" t="e">
        <f>IF(DB335&gt;0,1+COUNTIF(DC$314:DC334,"&gt;0"),0)</f>
        <v>#N/A</v>
      </c>
      <c r="DD335" s="495" t="e">
        <f t="shared" si="373"/>
        <v>#N/A</v>
      </c>
      <c r="DE335" s="495" t="e">
        <f t="shared" si="332"/>
        <v>#N/A</v>
      </c>
      <c r="DF335" s="496">
        <f t="shared" si="333"/>
        <v>0</v>
      </c>
      <c r="DG335" s="494" t="e">
        <f>INDEX(D03_Skills!$AA$3:$BU$41,MATCH(C_Variables!$G341,D03_Skills!$Z$3:$Z$41,0),MATCH(C_Variables!DL$313,D03_Skills!$AA$2:$BU$2,0))</f>
        <v>#N/A</v>
      </c>
      <c r="DH335" s="495" t="e">
        <f t="shared" si="374"/>
        <v>#N/A</v>
      </c>
      <c r="DI335" s="495" t="e">
        <f>IF(DH335&gt;0,1+COUNTIF(DI$314:DI334,"&gt;0"),0)</f>
        <v>#N/A</v>
      </c>
      <c r="DJ335" s="495" t="e">
        <f t="shared" si="375"/>
        <v>#N/A</v>
      </c>
      <c r="DK335" s="495" t="e">
        <f t="shared" si="334"/>
        <v>#N/A</v>
      </c>
      <c r="DL335" s="496">
        <f t="shared" si="335"/>
        <v>0</v>
      </c>
      <c r="DM335" s="494" t="e">
        <f>INDEX(D03_Skills!$AA$3:$BU$41,MATCH(C_Variables!$G341,D03_Skills!$Z$3:$Z$41,0),MATCH(C_Variables!DR$313,D03_Skills!$AA$2:$BU$2,0))</f>
        <v>#N/A</v>
      </c>
      <c r="DN335" s="495" t="e">
        <f t="shared" si="376"/>
        <v>#N/A</v>
      </c>
      <c r="DO335" s="495" t="e">
        <f>IF(DN335&gt;0,1+COUNTIF(DO$314:DO334,"&gt;0"),0)</f>
        <v>#N/A</v>
      </c>
      <c r="DP335" s="495" t="e">
        <f t="shared" si="377"/>
        <v>#N/A</v>
      </c>
      <c r="DQ335" s="495" t="e">
        <f t="shared" si="336"/>
        <v>#N/A</v>
      </c>
      <c r="DR335" s="496">
        <f t="shared" si="337"/>
        <v>0</v>
      </c>
      <c r="DS335" s="494" t="e">
        <f>INDEX(D03_Skills!$AA$3:$BU$41,MATCH(C_Variables!$G341,D03_Skills!$Z$3:$Z$41,0),MATCH(C_Variables!DX$313,D03_Skills!$AA$2:$BU$2,0))</f>
        <v>#N/A</v>
      </c>
      <c r="DT335" s="495" t="e">
        <f t="shared" si="378"/>
        <v>#N/A</v>
      </c>
      <c r="DU335" s="495" t="e">
        <f>IF(DT335&gt;0,1+COUNTIF(DU$314:DU334,"&gt;0"),0)</f>
        <v>#N/A</v>
      </c>
      <c r="DV335" s="495" t="e">
        <f t="shared" si="379"/>
        <v>#N/A</v>
      </c>
      <c r="DW335" s="495" t="e">
        <f t="shared" si="338"/>
        <v>#N/A</v>
      </c>
      <c r="DX335" s="496">
        <f t="shared" si="339"/>
        <v>0</v>
      </c>
      <c r="DY335" s="501"/>
    </row>
    <row r="336" spans="1:129" ht="16.5" x14ac:dyDescent="0.3">
      <c r="A336" s="155">
        <f>IFERROR(IF(A335+1&lt;MAX(D041_ClassFeatures!$A$2:$A$2033),A335+1,""),"")</f>
        <v>333</v>
      </c>
      <c r="B336" s="153" t="str">
        <f>IFERROR(INDEX(D041_ClassFeatures!$B$2:$B$2033,MATCH(C_Variables!A336,D041_ClassFeatures!$A$2:$A$2033,0),1),"")</f>
        <v xml:space="preserve">Necromancy Savant </v>
      </c>
      <c r="C336" s="153">
        <f>IF(B336="",0,IF(IFERROR(MATCH(B336,C_Input!$BC$160:$BC$239,0),0)&gt;0,1,0))</f>
        <v>0</v>
      </c>
      <c r="E336" s="501"/>
      <c r="F336" s="501"/>
      <c r="G336" s="6" t="s">
        <v>497</v>
      </c>
      <c r="I336" s="494">
        <f>INDEX(D03_Skills!$AA$3:$BU$41,MATCH(C_Variables!$G342,D03_Skills!$Z$3:$Z$41,0),MATCH(C_Variables!N$313,D03_Skills!$AA$2:$BU$2,0))</f>
        <v>1</v>
      </c>
      <c r="J336" s="495">
        <f t="shared" si="340"/>
        <v>1</v>
      </c>
      <c r="K336" s="495">
        <f>IF(I336&gt;0,1+COUNTIF(K$314:K335,"&gt;0"),0)</f>
        <v>4</v>
      </c>
      <c r="L336" s="495" t="str">
        <f t="shared" si="341"/>
        <v/>
      </c>
      <c r="M336" s="495" t="str">
        <f t="shared" si="300"/>
        <v>n/a</v>
      </c>
      <c r="N336" s="496">
        <f t="shared" si="301"/>
        <v>0</v>
      </c>
      <c r="O336" s="494">
        <f>INDEX(D03_Skills!$AA$3:$BU$41,MATCH(C_Variables!$G342,D03_Skills!$Z$3:$Z$41,0),MATCH(C_Variables!T$313,D03_Skills!$AA$2:$BU$2,0))</f>
        <v>0</v>
      </c>
      <c r="P336" s="495">
        <f t="shared" si="342"/>
        <v>0</v>
      </c>
      <c r="Q336" s="495">
        <f>IF(P336&gt;0,1+COUNTIF(Q$314:Q335,"&gt;0"),0)</f>
        <v>0</v>
      </c>
      <c r="R336" s="495" t="str">
        <f t="shared" si="343"/>
        <v/>
      </c>
      <c r="S336" s="495" t="str">
        <f t="shared" si="302"/>
        <v/>
      </c>
      <c r="T336" s="496">
        <f t="shared" si="303"/>
        <v>0</v>
      </c>
      <c r="U336" s="494">
        <f>INDEX(D03_Skills!$AA$3:$BU$41,MATCH(C_Variables!$G342,D03_Skills!$Z$3:$Z$41,0),MATCH(C_Variables!Z$313,D03_Skills!$AA$2:$BU$2,0))</f>
        <v>0</v>
      </c>
      <c r="V336" s="495">
        <f t="shared" si="344"/>
        <v>0</v>
      </c>
      <c r="W336" s="495">
        <f>IF(V336&gt;0,1+COUNTIF(W$314:W335,"&gt;0"),0)</f>
        <v>0</v>
      </c>
      <c r="X336" s="495" t="str">
        <f t="shared" si="345"/>
        <v/>
      </c>
      <c r="Y336" s="495" t="str">
        <f t="shared" si="304"/>
        <v/>
      </c>
      <c r="Z336" s="496">
        <f t="shared" si="305"/>
        <v>0</v>
      </c>
      <c r="AA336" s="494">
        <f>INDEX(D03_Skills!$AA$3:$BU$41,MATCH(C_Variables!$G342,D03_Skills!$Z$3:$Z$41,0),MATCH(C_Variables!AF$313,D03_Skills!$AA$2:$BU$2,0))</f>
        <v>0</v>
      </c>
      <c r="AB336" s="495">
        <f t="shared" si="346"/>
        <v>0</v>
      </c>
      <c r="AC336" s="495">
        <f>IF(AB336&gt;0,1+COUNTIF(AC$314:AC335,"&gt;0"),0)</f>
        <v>0</v>
      </c>
      <c r="AD336" s="495" t="str">
        <f t="shared" si="347"/>
        <v/>
      </c>
      <c r="AE336" s="495" t="str">
        <f t="shared" si="306"/>
        <v/>
      </c>
      <c r="AF336" s="496">
        <f t="shared" si="307"/>
        <v>0</v>
      </c>
      <c r="AG336" s="494">
        <f>INDEX(D03_Skills!$AA$3:$BU$41,MATCH(C_Variables!$G342,D03_Skills!$Z$3:$Z$41,0),MATCH(C_Variables!AL$313,D03_Skills!$AA$2:$BU$2,0))</f>
        <v>1</v>
      </c>
      <c r="AH336" s="495">
        <f t="shared" si="348"/>
        <v>1</v>
      </c>
      <c r="AI336" s="495">
        <f>IF(AH336&gt;0,1+COUNTIF(AI$314:AI335,"&gt;0"),0)</f>
        <v>4</v>
      </c>
      <c r="AJ336" s="495" t="str">
        <f t="shared" si="349"/>
        <v/>
      </c>
      <c r="AK336" s="495" t="str">
        <f t="shared" si="308"/>
        <v>n/a</v>
      </c>
      <c r="AL336" s="496">
        <f t="shared" si="309"/>
        <v>0</v>
      </c>
      <c r="AM336" s="494">
        <f>INDEX(D03_Skills!$AA$3:$BU$41,MATCH(C_Variables!$G342,D03_Skills!$Z$3:$Z$41,0),MATCH(C_Variables!AR$313,D03_Skills!$AA$2:$BU$2,0))</f>
        <v>0</v>
      </c>
      <c r="AN336" s="495">
        <f t="shared" si="350"/>
        <v>0</v>
      </c>
      <c r="AO336" s="495">
        <f>IF(AN336&gt;0,1+COUNTIF(AO$314:AO335,"&gt;0"),0)</f>
        <v>0</v>
      </c>
      <c r="AP336" s="495" t="str">
        <f t="shared" si="351"/>
        <v/>
      </c>
      <c r="AQ336" s="495" t="str">
        <f t="shared" si="310"/>
        <v/>
      </c>
      <c r="AR336" s="496">
        <f t="shared" si="311"/>
        <v>0</v>
      </c>
      <c r="AS336" s="494">
        <f>INDEX(D03_Skills!$AA$3:$BU$41,MATCH(C_Variables!$G342,D03_Skills!$Z$3:$Z$41,0),MATCH(C_Variables!AX$313,D03_Skills!$AA$2:$BU$2,0))</f>
        <v>0</v>
      </c>
      <c r="AT336" s="495">
        <f t="shared" si="352"/>
        <v>0</v>
      </c>
      <c r="AU336" s="495">
        <f>IF(AT336&gt;0,1+COUNTIF(AU$314:AU335,"&gt;0"),0)</f>
        <v>0</v>
      </c>
      <c r="AV336" s="495" t="str">
        <f t="shared" si="353"/>
        <v/>
      </c>
      <c r="AW336" s="495" t="str">
        <f t="shared" si="312"/>
        <v/>
      </c>
      <c r="AX336" s="496">
        <f t="shared" si="313"/>
        <v>0</v>
      </c>
      <c r="AY336" s="494">
        <f>INDEX(D03_Skills!$AA$3:$BU$41,MATCH(C_Variables!$G342,D03_Skills!$Z$3:$Z$41,0),MATCH(C_Variables!BD$313,D03_Skills!$AA$2:$BU$2,0))</f>
        <v>0</v>
      </c>
      <c r="AZ336" s="495">
        <f t="shared" si="354"/>
        <v>0</v>
      </c>
      <c r="BA336" s="495">
        <f>IF(AZ336&gt;0,1+COUNTIF(BA$314:BA335,"&gt;0"),0)</f>
        <v>0</v>
      </c>
      <c r="BB336" s="495" t="str">
        <f t="shared" si="355"/>
        <v/>
      </c>
      <c r="BC336" s="495" t="str">
        <f t="shared" si="314"/>
        <v/>
      </c>
      <c r="BD336" s="496">
        <f t="shared" si="315"/>
        <v>0</v>
      </c>
      <c r="BE336" s="494">
        <f>INDEX(D03_Skills!$AA$3:$BU$41,MATCH(C_Variables!$G342,D03_Skills!$Z$3:$Z$41,0),MATCH(C_Variables!BJ$313,D03_Skills!$AA$2:$BU$2,0))</f>
        <v>0</v>
      </c>
      <c r="BF336" s="495">
        <f t="shared" si="356"/>
        <v>0</v>
      </c>
      <c r="BG336" s="495">
        <f>IF(BF336&gt;0,1+COUNTIF(BG$314:BG335,"&gt;0"),0)</f>
        <v>0</v>
      </c>
      <c r="BH336" s="495" t="str">
        <f t="shared" si="357"/>
        <v/>
      </c>
      <c r="BI336" s="495" t="str">
        <f t="shared" si="316"/>
        <v/>
      </c>
      <c r="BJ336" s="496">
        <f t="shared" si="317"/>
        <v>0</v>
      </c>
      <c r="BK336" s="494">
        <f>INDEX(D03_Skills!$AA$3:$BU$41,MATCH(C_Variables!$G342,D03_Skills!$Z$3:$Z$41,0),MATCH(C_Variables!BP$313,D03_Skills!$AA$2:$BU$2,0))</f>
        <v>0</v>
      </c>
      <c r="BL336" s="495">
        <f t="shared" si="358"/>
        <v>0</v>
      </c>
      <c r="BM336" s="495">
        <f>IF(BL336&gt;0,1+COUNTIF(BM$314:BM335,"&gt;0"),0)</f>
        <v>0</v>
      </c>
      <c r="BN336" s="495" t="str">
        <f t="shared" si="359"/>
        <v/>
      </c>
      <c r="BO336" s="495" t="str">
        <f t="shared" si="318"/>
        <v/>
      </c>
      <c r="BP336" s="496">
        <f t="shared" si="319"/>
        <v>0</v>
      </c>
      <c r="BQ336" s="494">
        <f>INDEX(D03_Skills!$AA$3:$BU$41,MATCH(C_Variables!$G342,D03_Skills!$Z$3:$Z$41,0),MATCH(C_Variables!BV$313,D03_Skills!$AA$2:$BU$2,0))</f>
        <v>0</v>
      </c>
      <c r="BR336" s="495">
        <f t="shared" si="360"/>
        <v>0</v>
      </c>
      <c r="BS336" s="495">
        <f>IF(BR336&gt;0,1+COUNTIF(BS$314:BS335,"&gt;0"),0)</f>
        <v>0</v>
      </c>
      <c r="BT336" s="495" t="str">
        <f t="shared" si="361"/>
        <v/>
      </c>
      <c r="BU336" s="495" t="str">
        <f t="shared" si="320"/>
        <v/>
      </c>
      <c r="BV336" s="496">
        <f t="shared" si="321"/>
        <v>0</v>
      </c>
      <c r="BW336" s="494">
        <f>INDEX(D03_Skills!$AA$3:$BU$41,MATCH(C_Variables!$G342,D03_Skills!$Z$3:$Z$41,0),MATCH(C_Variables!CB$313,D03_Skills!$AA$2:$BU$2,0))</f>
        <v>0</v>
      </c>
      <c r="BX336" s="495">
        <f t="shared" si="362"/>
        <v>0</v>
      </c>
      <c r="BY336" s="495">
        <f>IF(BX336&gt;0,1+COUNTIF(BY$314:BY335,"&gt;0"),0)</f>
        <v>0</v>
      </c>
      <c r="BZ336" s="495" t="str">
        <f t="shared" si="363"/>
        <v/>
      </c>
      <c r="CA336" s="495" t="str">
        <f t="shared" si="322"/>
        <v/>
      </c>
      <c r="CB336" s="496">
        <f t="shared" si="323"/>
        <v>0</v>
      </c>
      <c r="CC336" s="494" t="e">
        <f>INDEX(D03_Skills!$AA$3:$BU$41,MATCH(C_Variables!$G342,D03_Skills!$Z$3:$Z$41,0),MATCH(C_Variables!CH$313,D03_Skills!$AA$2:$BU$2,0))</f>
        <v>#N/A</v>
      </c>
      <c r="CD336" s="495" t="e">
        <f t="shared" si="364"/>
        <v>#N/A</v>
      </c>
      <c r="CE336" s="495" t="e">
        <f>IF(CD336&gt;0,1+COUNTIF(CE$314:CE335,"&gt;0"),0)</f>
        <v>#N/A</v>
      </c>
      <c r="CF336" s="495" t="e">
        <f t="shared" si="365"/>
        <v>#N/A</v>
      </c>
      <c r="CG336" s="495" t="e">
        <f t="shared" si="324"/>
        <v>#N/A</v>
      </c>
      <c r="CH336" s="496">
        <f t="shared" si="325"/>
        <v>0</v>
      </c>
      <c r="CI336" s="494" t="e">
        <f>INDEX(D03_Skills!$AA$3:$BU$41,MATCH(C_Variables!$G342,D03_Skills!$Z$3:$Z$41,0),MATCH(C_Variables!CN$313,D03_Skills!$AA$2:$BU$2,0))</f>
        <v>#N/A</v>
      </c>
      <c r="CJ336" s="495" t="e">
        <f t="shared" si="366"/>
        <v>#N/A</v>
      </c>
      <c r="CK336" s="495" t="e">
        <f>IF(CJ336&gt;0,1+COUNTIF(CK$314:CK335,"&gt;0"),0)</f>
        <v>#N/A</v>
      </c>
      <c r="CL336" s="495" t="e">
        <f t="shared" si="367"/>
        <v>#N/A</v>
      </c>
      <c r="CM336" s="495" t="e">
        <f t="shared" si="326"/>
        <v>#N/A</v>
      </c>
      <c r="CN336" s="496">
        <f t="shared" si="327"/>
        <v>0</v>
      </c>
      <c r="CO336" s="494" t="e">
        <f>INDEX(D03_Skills!$AA$3:$BU$41,MATCH(C_Variables!$G342,D03_Skills!$Z$3:$Z$41,0),MATCH(C_Variables!CT$313,D03_Skills!$AA$2:$BU$2,0))</f>
        <v>#N/A</v>
      </c>
      <c r="CP336" s="495" t="e">
        <f t="shared" si="368"/>
        <v>#N/A</v>
      </c>
      <c r="CQ336" s="495" t="e">
        <f>IF(CP336&gt;0,1+COUNTIF(CQ$314:CQ335,"&gt;0"),0)</f>
        <v>#N/A</v>
      </c>
      <c r="CR336" s="495" t="e">
        <f t="shared" si="369"/>
        <v>#N/A</v>
      </c>
      <c r="CS336" s="495" t="e">
        <f t="shared" si="328"/>
        <v>#N/A</v>
      </c>
      <c r="CT336" s="496">
        <f t="shared" si="329"/>
        <v>0</v>
      </c>
      <c r="CU336" s="494" t="e">
        <f>INDEX(D03_Skills!$AA$3:$BU$41,MATCH(C_Variables!$G342,D03_Skills!$Z$3:$Z$41,0),MATCH(C_Variables!CZ$313,D03_Skills!$AA$2:$BU$2,0))</f>
        <v>#N/A</v>
      </c>
      <c r="CV336" s="495" t="e">
        <f t="shared" si="370"/>
        <v>#N/A</v>
      </c>
      <c r="CW336" s="495" t="e">
        <f>IF(CV336&gt;0,1+COUNTIF(CW$314:CW335,"&gt;0"),0)</f>
        <v>#N/A</v>
      </c>
      <c r="CX336" s="495" t="e">
        <f t="shared" si="371"/>
        <v>#N/A</v>
      </c>
      <c r="CY336" s="495" t="e">
        <f t="shared" si="330"/>
        <v>#N/A</v>
      </c>
      <c r="CZ336" s="496">
        <f t="shared" si="331"/>
        <v>0</v>
      </c>
      <c r="DA336" s="494" t="e">
        <f>INDEX(D03_Skills!$AA$3:$BU$41,MATCH(C_Variables!$G342,D03_Skills!$Z$3:$Z$41,0),MATCH(C_Variables!DF$313,D03_Skills!$AA$2:$BU$2,0))</f>
        <v>#N/A</v>
      </c>
      <c r="DB336" s="495" t="e">
        <f t="shared" si="372"/>
        <v>#N/A</v>
      </c>
      <c r="DC336" s="495" t="e">
        <f>IF(DB336&gt;0,1+COUNTIF(DC$314:DC335,"&gt;0"),0)</f>
        <v>#N/A</v>
      </c>
      <c r="DD336" s="495" t="e">
        <f t="shared" si="373"/>
        <v>#N/A</v>
      </c>
      <c r="DE336" s="495" t="e">
        <f t="shared" si="332"/>
        <v>#N/A</v>
      </c>
      <c r="DF336" s="496">
        <f t="shared" si="333"/>
        <v>0</v>
      </c>
      <c r="DG336" s="494" t="e">
        <f>INDEX(D03_Skills!$AA$3:$BU$41,MATCH(C_Variables!$G342,D03_Skills!$Z$3:$Z$41,0),MATCH(C_Variables!DL$313,D03_Skills!$AA$2:$BU$2,0))</f>
        <v>#N/A</v>
      </c>
      <c r="DH336" s="495" t="e">
        <f t="shared" si="374"/>
        <v>#N/A</v>
      </c>
      <c r="DI336" s="495" t="e">
        <f>IF(DH336&gt;0,1+COUNTIF(DI$314:DI335,"&gt;0"),0)</f>
        <v>#N/A</v>
      </c>
      <c r="DJ336" s="495" t="e">
        <f t="shared" si="375"/>
        <v>#N/A</v>
      </c>
      <c r="DK336" s="495" t="e">
        <f t="shared" si="334"/>
        <v>#N/A</v>
      </c>
      <c r="DL336" s="496">
        <f t="shared" si="335"/>
        <v>0</v>
      </c>
      <c r="DM336" s="494" t="e">
        <f>INDEX(D03_Skills!$AA$3:$BU$41,MATCH(C_Variables!$G342,D03_Skills!$Z$3:$Z$41,0),MATCH(C_Variables!DR$313,D03_Skills!$AA$2:$BU$2,0))</f>
        <v>#N/A</v>
      </c>
      <c r="DN336" s="495" t="e">
        <f t="shared" si="376"/>
        <v>#N/A</v>
      </c>
      <c r="DO336" s="495" t="e">
        <f>IF(DN336&gt;0,1+COUNTIF(DO$314:DO335,"&gt;0"),0)</f>
        <v>#N/A</v>
      </c>
      <c r="DP336" s="495" t="e">
        <f t="shared" si="377"/>
        <v>#N/A</v>
      </c>
      <c r="DQ336" s="495" t="e">
        <f t="shared" si="336"/>
        <v>#N/A</v>
      </c>
      <c r="DR336" s="496">
        <f t="shared" si="337"/>
        <v>0</v>
      </c>
      <c r="DS336" s="494" t="e">
        <f>INDEX(D03_Skills!$AA$3:$BU$41,MATCH(C_Variables!$G342,D03_Skills!$Z$3:$Z$41,0),MATCH(C_Variables!DX$313,D03_Skills!$AA$2:$BU$2,0))</f>
        <v>#N/A</v>
      </c>
      <c r="DT336" s="495" t="e">
        <f t="shared" si="378"/>
        <v>#N/A</v>
      </c>
      <c r="DU336" s="495" t="e">
        <f>IF(DT336&gt;0,1+COUNTIF(DU$314:DU335,"&gt;0"),0)</f>
        <v>#N/A</v>
      </c>
      <c r="DV336" s="495" t="e">
        <f t="shared" si="379"/>
        <v>#N/A</v>
      </c>
      <c r="DW336" s="495" t="e">
        <f t="shared" si="338"/>
        <v>#N/A</v>
      </c>
      <c r="DX336" s="496">
        <f t="shared" si="339"/>
        <v>0</v>
      </c>
      <c r="DY336" s="501"/>
    </row>
    <row r="337" spans="1:129" ht="16.5" x14ac:dyDescent="0.3">
      <c r="A337" s="155">
        <f>IFERROR(IF(A336+1&lt;MAX(D041_ClassFeatures!$A$2:$A$2033),A336+1,""),"")</f>
        <v>334</v>
      </c>
      <c r="B337" s="153" t="str">
        <f>IFERROR(INDEX(D041_ClassFeatures!$B$2:$B$2033,MATCH(C_Variables!A337,D041_ClassFeatures!$A$2:$A$2033,0),1),"")</f>
        <v>Grim Harvest</v>
      </c>
      <c r="C337" s="153">
        <f>IF(B337="",0,IF(IFERROR(MATCH(B337,C_Input!$BC$160:$BC$239,0),0)&gt;0,1,0))</f>
        <v>0</v>
      </c>
      <c r="E337" s="501"/>
      <c r="F337" s="501"/>
      <c r="G337" s="6" t="s">
        <v>287</v>
      </c>
      <c r="I337" s="494">
        <f>INDEX(D03_Skills!$AA$3:$BU$41,MATCH(C_Variables!$G343,D03_Skills!$Z$3:$Z$41,0),MATCH(C_Variables!N$313,D03_Skills!$AA$2:$BU$2,0))</f>
        <v>0</v>
      </c>
      <c r="J337" s="495">
        <f t="shared" si="340"/>
        <v>0</v>
      </c>
      <c r="K337" s="495">
        <f>IF(I337&gt;0,1+COUNTIF(K$314:K336,"&gt;0"),0)</f>
        <v>0</v>
      </c>
      <c r="L337" s="495" t="str">
        <f t="shared" si="341"/>
        <v/>
      </c>
      <c r="M337" s="495" t="str">
        <f t="shared" si="300"/>
        <v>n/a</v>
      </c>
      <c r="N337" s="496">
        <f t="shared" si="301"/>
        <v>0</v>
      </c>
      <c r="O337" s="494">
        <f>INDEX(D03_Skills!$AA$3:$BU$41,MATCH(C_Variables!$G343,D03_Skills!$Z$3:$Z$41,0),MATCH(C_Variables!T$313,D03_Skills!$AA$2:$BU$2,0))</f>
        <v>0</v>
      </c>
      <c r="P337" s="495">
        <f t="shared" si="342"/>
        <v>0</v>
      </c>
      <c r="Q337" s="495">
        <f>IF(P337&gt;0,1+COUNTIF(Q$314:Q336,"&gt;0"),0)</f>
        <v>0</v>
      </c>
      <c r="R337" s="495" t="str">
        <f t="shared" si="343"/>
        <v/>
      </c>
      <c r="S337" s="495" t="str">
        <f t="shared" si="302"/>
        <v/>
      </c>
      <c r="T337" s="496">
        <f t="shared" si="303"/>
        <v>0</v>
      </c>
      <c r="U337" s="494">
        <f>INDEX(D03_Skills!$AA$3:$BU$41,MATCH(C_Variables!$G343,D03_Skills!$Z$3:$Z$41,0),MATCH(C_Variables!Z$313,D03_Skills!$AA$2:$BU$2,0))</f>
        <v>0</v>
      </c>
      <c r="V337" s="495">
        <f t="shared" si="344"/>
        <v>0</v>
      </c>
      <c r="W337" s="495">
        <f>IF(V337&gt;0,1+COUNTIF(W$314:W336,"&gt;0"),0)</f>
        <v>0</v>
      </c>
      <c r="X337" s="495" t="str">
        <f t="shared" si="345"/>
        <v/>
      </c>
      <c r="Y337" s="495" t="str">
        <f t="shared" si="304"/>
        <v/>
      </c>
      <c r="Z337" s="496">
        <f t="shared" si="305"/>
        <v>0</v>
      </c>
      <c r="AA337" s="494">
        <f>INDEX(D03_Skills!$AA$3:$BU$41,MATCH(C_Variables!$G343,D03_Skills!$Z$3:$Z$41,0),MATCH(C_Variables!AF$313,D03_Skills!$AA$2:$BU$2,0))</f>
        <v>0</v>
      </c>
      <c r="AB337" s="495">
        <f t="shared" si="346"/>
        <v>0</v>
      </c>
      <c r="AC337" s="495">
        <f>IF(AB337&gt;0,1+COUNTIF(AC$314:AC336,"&gt;0"),0)</f>
        <v>0</v>
      </c>
      <c r="AD337" s="495" t="str">
        <f t="shared" si="347"/>
        <v/>
      </c>
      <c r="AE337" s="495" t="str">
        <f t="shared" si="306"/>
        <v/>
      </c>
      <c r="AF337" s="496">
        <f t="shared" si="307"/>
        <v>0</v>
      </c>
      <c r="AG337" s="494">
        <f>INDEX(D03_Skills!$AA$3:$BU$41,MATCH(C_Variables!$G343,D03_Skills!$Z$3:$Z$41,0),MATCH(C_Variables!AL$313,D03_Skills!$AA$2:$BU$2,0))</f>
        <v>0</v>
      </c>
      <c r="AH337" s="495">
        <f t="shared" si="348"/>
        <v>0</v>
      </c>
      <c r="AI337" s="495">
        <f>IF(AH337&gt;0,1+COUNTIF(AI$314:AI336,"&gt;0"),0)</f>
        <v>0</v>
      </c>
      <c r="AJ337" s="495" t="str">
        <f t="shared" si="349"/>
        <v/>
      </c>
      <c r="AK337" s="495" t="str">
        <f t="shared" si="308"/>
        <v>n/a</v>
      </c>
      <c r="AL337" s="496">
        <f t="shared" si="309"/>
        <v>0</v>
      </c>
      <c r="AM337" s="494">
        <f>INDEX(D03_Skills!$AA$3:$BU$41,MATCH(C_Variables!$G343,D03_Skills!$Z$3:$Z$41,0),MATCH(C_Variables!AR$313,D03_Skills!$AA$2:$BU$2,0))</f>
        <v>0</v>
      </c>
      <c r="AN337" s="495">
        <f t="shared" si="350"/>
        <v>0</v>
      </c>
      <c r="AO337" s="495">
        <f>IF(AN337&gt;0,1+COUNTIF(AO$314:AO336,"&gt;0"),0)</f>
        <v>0</v>
      </c>
      <c r="AP337" s="495" t="str">
        <f t="shared" si="351"/>
        <v/>
      </c>
      <c r="AQ337" s="495" t="str">
        <f t="shared" si="310"/>
        <v/>
      </c>
      <c r="AR337" s="496">
        <f t="shared" si="311"/>
        <v>0</v>
      </c>
      <c r="AS337" s="494">
        <f>INDEX(D03_Skills!$AA$3:$BU$41,MATCH(C_Variables!$G343,D03_Skills!$Z$3:$Z$41,0),MATCH(C_Variables!AX$313,D03_Skills!$AA$2:$BU$2,0))</f>
        <v>0</v>
      </c>
      <c r="AT337" s="495">
        <f t="shared" si="352"/>
        <v>0</v>
      </c>
      <c r="AU337" s="495">
        <f>IF(AT337&gt;0,1+COUNTIF(AU$314:AU336,"&gt;0"),0)</f>
        <v>0</v>
      </c>
      <c r="AV337" s="495" t="str">
        <f t="shared" si="353"/>
        <v/>
      </c>
      <c r="AW337" s="495" t="str">
        <f t="shared" si="312"/>
        <v/>
      </c>
      <c r="AX337" s="496">
        <f t="shared" si="313"/>
        <v>0</v>
      </c>
      <c r="AY337" s="494">
        <f>INDEX(D03_Skills!$AA$3:$BU$41,MATCH(C_Variables!$G343,D03_Skills!$Z$3:$Z$41,0),MATCH(C_Variables!BD$313,D03_Skills!$AA$2:$BU$2,0))</f>
        <v>0</v>
      </c>
      <c r="AZ337" s="495">
        <f t="shared" si="354"/>
        <v>0</v>
      </c>
      <c r="BA337" s="495">
        <f>IF(AZ337&gt;0,1+COUNTIF(BA$314:BA336,"&gt;0"),0)</f>
        <v>0</v>
      </c>
      <c r="BB337" s="495" t="str">
        <f t="shared" si="355"/>
        <v/>
      </c>
      <c r="BC337" s="495" t="str">
        <f t="shared" si="314"/>
        <v/>
      </c>
      <c r="BD337" s="496">
        <f t="shared" si="315"/>
        <v>0</v>
      </c>
      <c r="BE337" s="494">
        <f>INDEX(D03_Skills!$AA$3:$BU$41,MATCH(C_Variables!$G343,D03_Skills!$Z$3:$Z$41,0),MATCH(C_Variables!BJ$313,D03_Skills!$AA$2:$BU$2,0))</f>
        <v>0</v>
      </c>
      <c r="BF337" s="495">
        <f t="shared" si="356"/>
        <v>0</v>
      </c>
      <c r="BG337" s="495">
        <f>IF(BF337&gt;0,1+COUNTIF(BG$314:BG336,"&gt;0"),0)</f>
        <v>0</v>
      </c>
      <c r="BH337" s="495" t="str">
        <f t="shared" si="357"/>
        <v/>
      </c>
      <c r="BI337" s="495" t="str">
        <f t="shared" si="316"/>
        <v/>
      </c>
      <c r="BJ337" s="496">
        <f t="shared" si="317"/>
        <v>0</v>
      </c>
      <c r="BK337" s="494">
        <f>INDEX(D03_Skills!$AA$3:$BU$41,MATCH(C_Variables!$G343,D03_Skills!$Z$3:$Z$41,0),MATCH(C_Variables!BP$313,D03_Skills!$AA$2:$BU$2,0))</f>
        <v>0</v>
      </c>
      <c r="BL337" s="495">
        <f t="shared" si="358"/>
        <v>0</v>
      </c>
      <c r="BM337" s="495">
        <f>IF(BL337&gt;0,1+COUNTIF(BM$314:BM336,"&gt;0"),0)</f>
        <v>0</v>
      </c>
      <c r="BN337" s="495" t="str">
        <f t="shared" si="359"/>
        <v/>
      </c>
      <c r="BO337" s="495" t="str">
        <f t="shared" si="318"/>
        <v/>
      </c>
      <c r="BP337" s="496">
        <f t="shared" si="319"/>
        <v>0</v>
      </c>
      <c r="BQ337" s="494">
        <f>INDEX(D03_Skills!$AA$3:$BU$41,MATCH(C_Variables!$G343,D03_Skills!$Z$3:$Z$41,0),MATCH(C_Variables!BV$313,D03_Skills!$AA$2:$BU$2,0))</f>
        <v>0</v>
      </c>
      <c r="BR337" s="495">
        <f t="shared" si="360"/>
        <v>0</v>
      </c>
      <c r="BS337" s="495">
        <f>IF(BR337&gt;0,1+COUNTIF(BS$314:BS336,"&gt;0"),0)</f>
        <v>0</v>
      </c>
      <c r="BT337" s="495" t="str">
        <f t="shared" si="361"/>
        <v/>
      </c>
      <c r="BU337" s="495" t="str">
        <f t="shared" si="320"/>
        <v/>
      </c>
      <c r="BV337" s="496">
        <f t="shared" si="321"/>
        <v>0</v>
      </c>
      <c r="BW337" s="494">
        <f>INDEX(D03_Skills!$AA$3:$BU$41,MATCH(C_Variables!$G343,D03_Skills!$Z$3:$Z$41,0),MATCH(C_Variables!CB$313,D03_Skills!$AA$2:$BU$2,0))</f>
        <v>0</v>
      </c>
      <c r="BX337" s="495">
        <f t="shared" si="362"/>
        <v>0</v>
      </c>
      <c r="BY337" s="495">
        <f>IF(BX337&gt;0,1+COUNTIF(BY$314:BY336,"&gt;0"),0)</f>
        <v>0</v>
      </c>
      <c r="BZ337" s="495" t="str">
        <f t="shared" si="363"/>
        <v/>
      </c>
      <c r="CA337" s="495" t="str">
        <f t="shared" si="322"/>
        <v/>
      </c>
      <c r="CB337" s="496">
        <f t="shared" si="323"/>
        <v>0</v>
      </c>
      <c r="CC337" s="494" t="e">
        <f>INDEX(D03_Skills!$AA$3:$BU$41,MATCH(C_Variables!$G343,D03_Skills!$Z$3:$Z$41,0),MATCH(C_Variables!CH$313,D03_Skills!$AA$2:$BU$2,0))</f>
        <v>#N/A</v>
      </c>
      <c r="CD337" s="495" t="e">
        <f t="shared" si="364"/>
        <v>#N/A</v>
      </c>
      <c r="CE337" s="495" t="e">
        <f>IF(CD337&gt;0,1+COUNTIF(CE$314:CE336,"&gt;0"),0)</f>
        <v>#N/A</v>
      </c>
      <c r="CF337" s="495" t="e">
        <f t="shared" si="365"/>
        <v>#N/A</v>
      </c>
      <c r="CG337" s="495" t="e">
        <f t="shared" si="324"/>
        <v>#N/A</v>
      </c>
      <c r="CH337" s="496">
        <f t="shared" si="325"/>
        <v>0</v>
      </c>
      <c r="CI337" s="494" t="e">
        <f>INDEX(D03_Skills!$AA$3:$BU$41,MATCH(C_Variables!$G343,D03_Skills!$Z$3:$Z$41,0),MATCH(C_Variables!CN$313,D03_Skills!$AA$2:$BU$2,0))</f>
        <v>#N/A</v>
      </c>
      <c r="CJ337" s="495" t="e">
        <f t="shared" si="366"/>
        <v>#N/A</v>
      </c>
      <c r="CK337" s="495" t="e">
        <f>IF(CJ337&gt;0,1+COUNTIF(CK$314:CK336,"&gt;0"),0)</f>
        <v>#N/A</v>
      </c>
      <c r="CL337" s="495" t="e">
        <f t="shared" si="367"/>
        <v>#N/A</v>
      </c>
      <c r="CM337" s="495" t="e">
        <f t="shared" si="326"/>
        <v>#N/A</v>
      </c>
      <c r="CN337" s="496">
        <f t="shared" si="327"/>
        <v>0</v>
      </c>
      <c r="CO337" s="494" t="e">
        <f>INDEX(D03_Skills!$AA$3:$BU$41,MATCH(C_Variables!$G343,D03_Skills!$Z$3:$Z$41,0),MATCH(C_Variables!CT$313,D03_Skills!$AA$2:$BU$2,0))</f>
        <v>#N/A</v>
      </c>
      <c r="CP337" s="495" t="e">
        <f t="shared" si="368"/>
        <v>#N/A</v>
      </c>
      <c r="CQ337" s="495" t="e">
        <f>IF(CP337&gt;0,1+COUNTIF(CQ$314:CQ336,"&gt;0"),0)</f>
        <v>#N/A</v>
      </c>
      <c r="CR337" s="495" t="e">
        <f t="shared" si="369"/>
        <v>#N/A</v>
      </c>
      <c r="CS337" s="495" t="e">
        <f t="shared" si="328"/>
        <v>#N/A</v>
      </c>
      <c r="CT337" s="496">
        <f t="shared" si="329"/>
        <v>0</v>
      </c>
      <c r="CU337" s="494" t="e">
        <f>INDEX(D03_Skills!$AA$3:$BU$41,MATCH(C_Variables!$G343,D03_Skills!$Z$3:$Z$41,0),MATCH(C_Variables!CZ$313,D03_Skills!$AA$2:$BU$2,0))</f>
        <v>#N/A</v>
      </c>
      <c r="CV337" s="495" t="e">
        <f t="shared" si="370"/>
        <v>#N/A</v>
      </c>
      <c r="CW337" s="495" t="e">
        <f>IF(CV337&gt;0,1+COUNTIF(CW$314:CW336,"&gt;0"),0)</f>
        <v>#N/A</v>
      </c>
      <c r="CX337" s="495" t="e">
        <f t="shared" si="371"/>
        <v>#N/A</v>
      </c>
      <c r="CY337" s="495" t="e">
        <f t="shared" si="330"/>
        <v>#N/A</v>
      </c>
      <c r="CZ337" s="496">
        <f t="shared" si="331"/>
        <v>0</v>
      </c>
      <c r="DA337" s="494" t="e">
        <f>INDEX(D03_Skills!$AA$3:$BU$41,MATCH(C_Variables!$G343,D03_Skills!$Z$3:$Z$41,0),MATCH(C_Variables!DF$313,D03_Skills!$AA$2:$BU$2,0))</f>
        <v>#N/A</v>
      </c>
      <c r="DB337" s="495" t="e">
        <f t="shared" si="372"/>
        <v>#N/A</v>
      </c>
      <c r="DC337" s="495" t="e">
        <f>IF(DB337&gt;0,1+COUNTIF(DC$314:DC336,"&gt;0"),0)</f>
        <v>#N/A</v>
      </c>
      <c r="DD337" s="495" t="e">
        <f t="shared" si="373"/>
        <v>#N/A</v>
      </c>
      <c r="DE337" s="495" t="e">
        <f t="shared" si="332"/>
        <v>#N/A</v>
      </c>
      <c r="DF337" s="496">
        <f t="shared" si="333"/>
        <v>0</v>
      </c>
      <c r="DG337" s="494" t="e">
        <f>INDEX(D03_Skills!$AA$3:$BU$41,MATCH(C_Variables!$G343,D03_Skills!$Z$3:$Z$41,0),MATCH(C_Variables!DL$313,D03_Skills!$AA$2:$BU$2,0))</f>
        <v>#N/A</v>
      </c>
      <c r="DH337" s="495" t="e">
        <f t="shared" si="374"/>
        <v>#N/A</v>
      </c>
      <c r="DI337" s="495" t="e">
        <f>IF(DH337&gt;0,1+COUNTIF(DI$314:DI336,"&gt;0"),0)</f>
        <v>#N/A</v>
      </c>
      <c r="DJ337" s="495" t="e">
        <f t="shared" si="375"/>
        <v>#N/A</v>
      </c>
      <c r="DK337" s="495" t="e">
        <f t="shared" si="334"/>
        <v>#N/A</v>
      </c>
      <c r="DL337" s="496">
        <f t="shared" si="335"/>
        <v>0</v>
      </c>
      <c r="DM337" s="494" t="e">
        <f>INDEX(D03_Skills!$AA$3:$BU$41,MATCH(C_Variables!$G343,D03_Skills!$Z$3:$Z$41,0),MATCH(C_Variables!DR$313,D03_Skills!$AA$2:$BU$2,0))</f>
        <v>#N/A</v>
      </c>
      <c r="DN337" s="495" t="e">
        <f t="shared" si="376"/>
        <v>#N/A</v>
      </c>
      <c r="DO337" s="495" t="e">
        <f>IF(DN337&gt;0,1+COUNTIF(DO$314:DO336,"&gt;0"),0)</f>
        <v>#N/A</v>
      </c>
      <c r="DP337" s="495" t="e">
        <f t="shared" si="377"/>
        <v>#N/A</v>
      </c>
      <c r="DQ337" s="495" t="e">
        <f t="shared" si="336"/>
        <v>#N/A</v>
      </c>
      <c r="DR337" s="496">
        <f t="shared" si="337"/>
        <v>0</v>
      </c>
      <c r="DS337" s="494" t="e">
        <f>INDEX(D03_Skills!$AA$3:$BU$41,MATCH(C_Variables!$G343,D03_Skills!$Z$3:$Z$41,0),MATCH(C_Variables!DX$313,D03_Skills!$AA$2:$BU$2,0))</f>
        <v>#N/A</v>
      </c>
      <c r="DT337" s="495" t="e">
        <f t="shared" si="378"/>
        <v>#N/A</v>
      </c>
      <c r="DU337" s="495" t="e">
        <f>IF(DT337&gt;0,1+COUNTIF(DU$314:DU336,"&gt;0"),0)</f>
        <v>#N/A</v>
      </c>
      <c r="DV337" s="495" t="e">
        <f t="shared" si="379"/>
        <v>#N/A</v>
      </c>
      <c r="DW337" s="495" t="e">
        <f t="shared" si="338"/>
        <v>#N/A</v>
      </c>
      <c r="DX337" s="496">
        <f t="shared" si="339"/>
        <v>0</v>
      </c>
      <c r="DY337" s="501"/>
    </row>
    <row r="338" spans="1:129" ht="16.5" x14ac:dyDescent="0.3">
      <c r="A338" s="155">
        <f>IFERROR(IF(A337+1&lt;MAX(D041_ClassFeatures!$A$2:$A$2033),A337+1,""),"")</f>
        <v>335</v>
      </c>
      <c r="B338" s="153" t="str">
        <f>IFERROR(INDEX(D041_ClassFeatures!$B$2:$B$2033,MATCH(C_Variables!A338,D041_ClassFeatures!$A$2:$A$2033,0),1),"")</f>
        <v>Undead Thralls</v>
      </c>
      <c r="C338" s="153">
        <f>IF(B338="",0,IF(IFERROR(MATCH(B338,C_Input!$BC$160:$BC$239,0),0)&gt;0,1,0))</f>
        <v>0</v>
      </c>
      <c r="E338" s="501"/>
      <c r="F338" s="501"/>
      <c r="G338" s="6" t="s">
        <v>317</v>
      </c>
      <c r="I338" s="494">
        <f>INDEX(D03_Skills!$AA$3:$BU$41,MATCH(C_Variables!$G344,D03_Skills!$Z$3:$Z$41,0),MATCH(C_Variables!N$313,D03_Skills!$AA$2:$BU$2,0))</f>
        <v>0</v>
      </c>
      <c r="J338" s="495">
        <f t="shared" si="340"/>
        <v>0</v>
      </c>
      <c r="K338" s="495">
        <f>IF(I338&gt;0,1+COUNTIF(K$314:K337,"&gt;0"),0)</f>
        <v>0</v>
      </c>
      <c r="L338" s="495" t="str">
        <f t="shared" si="341"/>
        <v/>
      </c>
      <c r="M338" s="495" t="str">
        <f t="shared" si="300"/>
        <v/>
      </c>
      <c r="N338" s="496">
        <f t="shared" si="301"/>
        <v>0</v>
      </c>
      <c r="O338" s="494">
        <f>INDEX(D03_Skills!$AA$3:$BU$41,MATCH(C_Variables!$G344,D03_Skills!$Z$3:$Z$41,0),MATCH(C_Variables!T$313,D03_Skills!$AA$2:$BU$2,0))</f>
        <v>0</v>
      </c>
      <c r="P338" s="495">
        <f t="shared" si="342"/>
        <v>0</v>
      </c>
      <c r="Q338" s="495">
        <f>IF(P338&gt;0,1+COUNTIF(Q$314:Q337,"&gt;0"),0)</f>
        <v>0</v>
      </c>
      <c r="R338" s="495" t="str">
        <f t="shared" si="343"/>
        <v/>
      </c>
      <c r="S338" s="495" t="str">
        <f t="shared" si="302"/>
        <v/>
      </c>
      <c r="T338" s="496">
        <f t="shared" si="303"/>
        <v>0</v>
      </c>
      <c r="U338" s="494">
        <f>INDEX(D03_Skills!$AA$3:$BU$41,MATCH(C_Variables!$G344,D03_Skills!$Z$3:$Z$41,0),MATCH(C_Variables!Z$313,D03_Skills!$AA$2:$BU$2,0))</f>
        <v>0</v>
      </c>
      <c r="V338" s="495">
        <f t="shared" si="344"/>
        <v>0</v>
      </c>
      <c r="W338" s="495">
        <f>IF(V338&gt;0,1+COUNTIF(W$314:W337,"&gt;0"),0)</f>
        <v>0</v>
      </c>
      <c r="X338" s="495" t="str">
        <f t="shared" si="345"/>
        <v/>
      </c>
      <c r="Y338" s="495" t="str">
        <f t="shared" si="304"/>
        <v/>
      </c>
      <c r="Z338" s="496">
        <f t="shared" si="305"/>
        <v>0</v>
      </c>
      <c r="AA338" s="494">
        <f>INDEX(D03_Skills!$AA$3:$BU$41,MATCH(C_Variables!$G344,D03_Skills!$Z$3:$Z$41,0),MATCH(C_Variables!AF$313,D03_Skills!$AA$2:$BU$2,0))</f>
        <v>0</v>
      </c>
      <c r="AB338" s="495">
        <f t="shared" si="346"/>
        <v>0</v>
      </c>
      <c r="AC338" s="495">
        <f>IF(AB338&gt;0,1+COUNTIF(AC$314:AC337,"&gt;0"),0)</f>
        <v>0</v>
      </c>
      <c r="AD338" s="495" t="str">
        <f t="shared" si="347"/>
        <v/>
      </c>
      <c r="AE338" s="495" t="str">
        <f t="shared" si="306"/>
        <v/>
      </c>
      <c r="AF338" s="496">
        <f t="shared" si="307"/>
        <v>0</v>
      </c>
      <c r="AG338" s="494">
        <f>INDEX(D03_Skills!$AA$3:$BU$41,MATCH(C_Variables!$G344,D03_Skills!$Z$3:$Z$41,0),MATCH(C_Variables!AL$313,D03_Skills!$AA$2:$BU$2,0))</f>
        <v>0</v>
      </c>
      <c r="AH338" s="495">
        <f t="shared" si="348"/>
        <v>0</v>
      </c>
      <c r="AI338" s="495">
        <f>IF(AH338&gt;0,1+COUNTIF(AI$314:AI337,"&gt;0"),0)</f>
        <v>0</v>
      </c>
      <c r="AJ338" s="495" t="str">
        <f t="shared" si="349"/>
        <v/>
      </c>
      <c r="AK338" s="495" t="str">
        <f t="shared" si="308"/>
        <v/>
      </c>
      <c r="AL338" s="496">
        <f t="shared" si="309"/>
        <v>0</v>
      </c>
      <c r="AM338" s="494">
        <f>INDEX(D03_Skills!$AA$3:$BU$41,MATCH(C_Variables!$G344,D03_Skills!$Z$3:$Z$41,0),MATCH(C_Variables!AR$313,D03_Skills!$AA$2:$BU$2,0))</f>
        <v>0</v>
      </c>
      <c r="AN338" s="495">
        <f t="shared" si="350"/>
        <v>0</v>
      </c>
      <c r="AO338" s="495">
        <f>IF(AN338&gt;0,1+COUNTIF(AO$314:AO337,"&gt;0"),0)</f>
        <v>0</v>
      </c>
      <c r="AP338" s="495" t="str">
        <f t="shared" si="351"/>
        <v/>
      </c>
      <c r="AQ338" s="495" t="str">
        <f t="shared" si="310"/>
        <v/>
      </c>
      <c r="AR338" s="496">
        <f t="shared" si="311"/>
        <v>0</v>
      </c>
      <c r="AS338" s="494">
        <f>INDEX(D03_Skills!$AA$3:$BU$41,MATCH(C_Variables!$G344,D03_Skills!$Z$3:$Z$41,0),MATCH(C_Variables!AX$313,D03_Skills!$AA$2:$BU$2,0))</f>
        <v>0</v>
      </c>
      <c r="AT338" s="495">
        <f t="shared" si="352"/>
        <v>0</v>
      </c>
      <c r="AU338" s="495">
        <f>IF(AT338&gt;0,1+COUNTIF(AU$314:AU337,"&gt;0"),0)</f>
        <v>0</v>
      </c>
      <c r="AV338" s="495" t="str">
        <f t="shared" si="353"/>
        <v/>
      </c>
      <c r="AW338" s="495" t="str">
        <f t="shared" si="312"/>
        <v/>
      </c>
      <c r="AX338" s="496">
        <f t="shared" si="313"/>
        <v>0</v>
      </c>
      <c r="AY338" s="494">
        <f>INDEX(D03_Skills!$AA$3:$BU$41,MATCH(C_Variables!$G344,D03_Skills!$Z$3:$Z$41,0),MATCH(C_Variables!BD$313,D03_Skills!$AA$2:$BU$2,0))</f>
        <v>0</v>
      </c>
      <c r="AZ338" s="495">
        <f t="shared" si="354"/>
        <v>0</v>
      </c>
      <c r="BA338" s="495">
        <f>IF(AZ338&gt;0,1+COUNTIF(BA$314:BA337,"&gt;0"),0)</f>
        <v>0</v>
      </c>
      <c r="BB338" s="495" t="str">
        <f t="shared" si="355"/>
        <v/>
      </c>
      <c r="BC338" s="495" t="str">
        <f t="shared" si="314"/>
        <v/>
      </c>
      <c r="BD338" s="496">
        <f t="shared" si="315"/>
        <v>0</v>
      </c>
      <c r="BE338" s="494">
        <f>INDEX(D03_Skills!$AA$3:$BU$41,MATCH(C_Variables!$G344,D03_Skills!$Z$3:$Z$41,0),MATCH(C_Variables!BJ$313,D03_Skills!$AA$2:$BU$2,0))</f>
        <v>0</v>
      </c>
      <c r="BF338" s="495">
        <f t="shared" si="356"/>
        <v>0</v>
      </c>
      <c r="BG338" s="495">
        <f>IF(BF338&gt;0,1+COUNTIF(BG$314:BG337,"&gt;0"),0)</f>
        <v>0</v>
      </c>
      <c r="BH338" s="495" t="str">
        <f t="shared" si="357"/>
        <v/>
      </c>
      <c r="BI338" s="495" t="str">
        <f t="shared" si="316"/>
        <v/>
      </c>
      <c r="BJ338" s="496">
        <f t="shared" si="317"/>
        <v>0</v>
      </c>
      <c r="BK338" s="494">
        <f>INDEX(D03_Skills!$AA$3:$BU$41,MATCH(C_Variables!$G344,D03_Skills!$Z$3:$Z$41,0),MATCH(C_Variables!BP$313,D03_Skills!$AA$2:$BU$2,0))</f>
        <v>0</v>
      </c>
      <c r="BL338" s="495">
        <f t="shared" si="358"/>
        <v>0</v>
      </c>
      <c r="BM338" s="495">
        <f>IF(BL338&gt;0,1+COUNTIF(BM$314:BM337,"&gt;0"),0)</f>
        <v>0</v>
      </c>
      <c r="BN338" s="495" t="str">
        <f t="shared" si="359"/>
        <v/>
      </c>
      <c r="BO338" s="495" t="str">
        <f t="shared" si="318"/>
        <v/>
      </c>
      <c r="BP338" s="496">
        <f t="shared" si="319"/>
        <v>0</v>
      </c>
      <c r="BQ338" s="494">
        <f>INDEX(D03_Skills!$AA$3:$BU$41,MATCH(C_Variables!$G344,D03_Skills!$Z$3:$Z$41,0),MATCH(C_Variables!BV$313,D03_Skills!$AA$2:$BU$2,0))</f>
        <v>0</v>
      </c>
      <c r="BR338" s="495">
        <f t="shared" si="360"/>
        <v>0</v>
      </c>
      <c r="BS338" s="495">
        <f>IF(BR338&gt;0,1+COUNTIF(BS$314:BS337,"&gt;0"),0)</f>
        <v>0</v>
      </c>
      <c r="BT338" s="495" t="str">
        <f t="shared" si="361"/>
        <v/>
      </c>
      <c r="BU338" s="495" t="str">
        <f t="shared" si="320"/>
        <v/>
      </c>
      <c r="BV338" s="496">
        <f t="shared" si="321"/>
        <v>0</v>
      </c>
      <c r="BW338" s="494">
        <f>INDEX(D03_Skills!$AA$3:$BU$41,MATCH(C_Variables!$G344,D03_Skills!$Z$3:$Z$41,0),MATCH(C_Variables!CB$313,D03_Skills!$AA$2:$BU$2,0))</f>
        <v>0</v>
      </c>
      <c r="BX338" s="495">
        <f t="shared" si="362"/>
        <v>0</v>
      </c>
      <c r="BY338" s="495">
        <f>IF(BX338&gt;0,1+COUNTIF(BY$314:BY337,"&gt;0"),0)</f>
        <v>0</v>
      </c>
      <c r="BZ338" s="495" t="str">
        <f t="shared" si="363"/>
        <v/>
      </c>
      <c r="CA338" s="495" t="str">
        <f t="shared" si="322"/>
        <v/>
      </c>
      <c r="CB338" s="496">
        <f t="shared" si="323"/>
        <v>0</v>
      </c>
      <c r="CC338" s="494" t="e">
        <f>INDEX(D03_Skills!$AA$3:$BU$41,MATCH(C_Variables!$G344,D03_Skills!$Z$3:$Z$41,0),MATCH(C_Variables!CH$313,D03_Skills!$AA$2:$BU$2,0))</f>
        <v>#N/A</v>
      </c>
      <c r="CD338" s="495" t="e">
        <f t="shared" si="364"/>
        <v>#N/A</v>
      </c>
      <c r="CE338" s="495" t="e">
        <f>IF(CD338&gt;0,1+COUNTIF(CE$314:CE337,"&gt;0"),0)</f>
        <v>#N/A</v>
      </c>
      <c r="CF338" s="495" t="e">
        <f t="shared" si="365"/>
        <v>#N/A</v>
      </c>
      <c r="CG338" s="495" t="e">
        <f t="shared" si="324"/>
        <v>#N/A</v>
      </c>
      <c r="CH338" s="496">
        <f t="shared" si="325"/>
        <v>0</v>
      </c>
      <c r="CI338" s="494" t="e">
        <f>INDEX(D03_Skills!$AA$3:$BU$41,MATCH(C_Variables!$G344,D03_Skills!$Z$3:$Z$41,0),MATCH(C_Variables!CN$313,D03_Skills!$AA$2:$BU$2,0))</f>
        <v>#N/A</v>
      </c>
      <c r="CJ338" s="495" t="e">
        <f t="shared" si="366"/>
        <v>#N/A</v>
      </c>
      <c r="CK338" s="495" t="e">
        <f>IF(CJ338&gt;0,1+COUNTIF(CK$314:CK337,"&gt;0"),0)</f>
        <v>#N/A</v>
      </c>
      <c r="CL338" s="495" t="e">
        <f t="shared" si="367"/>
        <v>#N/A</v>
      </c>
      <c r="CM338" s="495" t="e">
        <f t="shared" si="326"/>
        <v>#N/A</v>
      </c>
      <c r="CN338" s="496">
        <f t="shared" si="327"/>
        <v>0</v>
      </c>
      <c r="CO338" s="494" t="e">
        <f>INDEX(D03_Skills!$AA$3:$BU$41,MATCH(C_Variables!$G344,D03_Skills!$Z$3:$Z$41,0),MATCH(C_Variables!CT$313,D03_Skills!$AA$2:$BU$2,0))</f>
        <v>#N/A</v>
      </c>
      <c r="CP338" s="495" t="e">
        <f t="shared" si="368"/>
        <v>#N/A</v>
      </c>
      <c r="CQ338" s="495" t="e">
        <f>IF(CP338&gt;0,1+COUNTIF(CQ$314:CQ337,"&gt;0"),0)</f>
        <v>#N/A</v>
      </c>
      <c r="CR338" s="495" t="e">
        <f t="shared" si="369"/>
        <v>#N/A</v>
      </c>
      <c r="CS338" s="495" t="e">
        <f t="shared" si="328"/>
        <v>#N/A</v>
      </c>
      <c r="CT338" s="496">
        <f t="shared" si="329"/>
        <v>0</v>
      </c>
      <c r="CU338" s="494" t="e">
        <f>INDEX(D03_Skills!$AA$3:$BU$41,MATCH(C_Variables!$G344,D03_Skills!$Z$3:$Z$41,0),MATCH(C_Variables!CZ$313,D03_Skills!$AA$2:$BU$2,0))</f>
        <v>#N/A</v>
      </c>
      <c r="CV338" s="495" t="e">
        <f t="shared" si="370"/>
        <v>#N/A</v>
      </c>
      <c r="CW338" s="495" t="e">
        <f>IF(CV338&gt;0,1+COUNTIF(CW$314:CW337,"&gt;0"),0)</f>
        <v>#N/A</v>
      </c>
      <c r="CX338" s="495" t="e">
        <f t="shared" si="371"/>
        <v>#N/A</v>
      </c>
      <c r="CY338" s="495" t="e">
        <f t="shared" si="330"/>
        <v>#N/A</v>
      </c>
      <c r="CZ338" s="496">
        <f t="shared" si="331"/>
        <v>0</v>
      </c>
      <c r="DA338" s="494" t="e">
        <f>INDEX(D03_Skills!$AA$3:$BU$41,MATCH(C_Variables!$G344,D03_Skills!$Z$3:$Z$41,0),MATCH(C_Variables!DF$313,D03_Skills!$AA$2:$BU$2,0))</f>
        <v>#N/A</v>
      </c>
      <c r="DB338" s="495" t="e">
        <f t="shared" si="372"/>
        <v>#N/A</v>
      </c>
      <c r="DC338" s="495" t="e">
        <f>IF(DB338&gt;0,1+COUNTIF(DC$314:DC337,"&gt;0"),0)</f>
        <v>#N/A</v>
      </c>
      <c r="DD338" s="495" t="e">
        <f t="shared" si="373"/>
        <v>#N/A</v>
      </c>
      <c r="DE338" s="495" t="e">
        <f t="shared" si="332"/>
        <v>#N/A</v>
      </c>
      <c r="DF338" s="496">
        <f t="shared" si="333"/>
        <v>0</v>
      </c>
      <c r="DG338" s="494" t="e">
        <f>INDEX(D03_Skills!$AA$3:$BU$41,MATCH(C_Variables!$G344,D03_Skills!$Z$3:$Z$41,0),MATCH(C_Variables!DL$313,D03_Skills!$AA$2:$BU$2,0))</f>
        <v>#N/A</v>
      </c>
      <c r="DH338" s="495" t="e">
        <f t="shared" si="374"/>
        <v>#N/A</v>
      </c>
      <c r="DI338" s="495" t="e">
        <f>IF(DH338&gt;0,1+COUNTIF(DI$314:DI337,"&gt;0"),0)</f>
        <v>#N/A</v>
      </c>
      <c r="DJ338" s="495" t="e">
        <f t="shared" si="375"/>
        <v>#N/A</v>
      </c>
      <c r="DK338" s="495" t="e">
        <f t="shared" si="334"/>
        <v>#N/A</v>
      </c>
      <c r="DL338" s="496">
        <f t="shared" si="335"/>
        <v>0</v>
      </c>
      <c r="DM338" s="494" t="e">
        <f>INDEX(D03_Skills!$AA$3:$BU$41,MATCH(C_Variables!$G344,D03_Skills!$Z$3:$Z$41,0),MATCH(C_Variables!DR$313,D03_Skills!$AA$2:$BU$2,0))</f>
        <v>#N/A</v>
      </c>
      <c r="DN338" s="495" t="e">
        <f t="shared" si="376"/>
        <v>#N/A</v>
      </c>
      <c r="DO338" s="495" t="e">
        <f>IF(DN338&gt;0,1+COUNTIF(DO$314:DO337,"&gt;0"),0)</f>
        <v>#N/A</v>
      </c>
      <c r="DP338" s="495" t="e">
        <f t="shared" si="377"/>
        <v>#N/A</v>
      </c>
      <c r="DQ338" s="495" t="e">
        <f t="shared" si="336"/>
        <v>#N/A</v>
      </c>
      <c r="DR338" s="496">
        <f t="shared" si="337"/>
        <v>0</v>
      </c>
      <c r="DS338" s="494" t="e">
        <f>INDEX(D03_Skills!$AA$3:$BU$41,MATCH(C_Variables!$G344,D03_Skills!$Z$3:$Z$41,0),MATCH(C_Variables!DX$313,D03_Skills!$AA$2:$BU$2,0))</f>
        <v>#N/A</v>
      </c>
      <c r="DT338" s="495" t="e">
        <f t="shared" si="378"/>
        <v>#N/A</v>
      </c>
      <c r="DU338" s="495" t="e">
        <f>IF(DT338&gt;0,1+COUNTIF(DU$314:DU337,"&gt;0"),0)</f>
        <v>#N/A</v>
      </c>
      <c r="DV338" s="495" t="e">
        <f t="shared" si="379"/>
        <v>#N/A</v>
      </c>
      <c r="DW338" s="495" t="e">
        <f t="shared" si="338"/>
        <v>#N/A</v>
      </c>
      <c r="DX338" s="496">
        <f t="shared" si="339"/>
        <v>0</v>
      </c>
      <c r="DY338" s="501"/>
    </row>
    <row r="339" spans="1:129" ht="16.5" x14ac:dyDescent="0.3">
      <c r="A339" s="155">
        <f>IFERROR(IF(A338+1&lt;MAX(D041_ClassFeatures!$A$2:$A$2033),A338+1,""),"")</f>
        <v>336</v>
      </c>
      <c r="B339" s="153" t="str">
        <f>IFERROR(INDEX(D041_ClassFeatures!$B$2:$B$2033,MATCH(C_Variables!A339,D041_ClassFeatures!$A$2:$A$2033,0),1),"")</f>
        <v>Inured to Undeath</v>
      </c>
      <c r="C339" s="153">
        <f>IF(B339="",0,IF(IFERROR(MATCH(B339,C_Input!$BC$160:$BC$239,0),0)&gt;0,1,0))</f>
        <v>0</v>
      </c>
      <c r="E339" s="501"/>
      <c r="F339" s="501"/>
      <c r="G339" s="6" t="s">
        <v>284</v>
      </c>
      <c r="I339" s="494">
        <f>INDEX(D03_Skills!$AA$3:$BU$41,MATCH(C_Variables!$G345,D03_Skills!$Z$3:$Z$41,0),MATCH(C_Variables!N$313,D03_Skills!$AA$2:$BU$2,0))</f>
        <v>0</v>
      </c>
      <c r="J339" s="495">
        <f t="shared" si="340"/>
        <v>0</v>
      </c>
      <c r="K339" s="495">
        <f>IF(I339&gt;0,1+COUNTIF(K$314:K338,"&gt;0"),0)</f>
        <v>0</v>
      </c>
      <c r="L339" s="495" t="str">
        <f t="shared" si="341"/>
        <v/>
      </c>
      <c r="M339" s="495" t="str">
        <f t="shared" si="300"/>
        <v/>
      </c>
      <c r="N339" s="496">
        <f t="shared" si="301"/>
        <v>0</v>
      </c>
      <c r="O339" s="494">
        <f>INDEX(D03_Skills!$AA$3:$BU$41,MATCH(C_Variables!$G345,D03_Skills!$Z$3:$Z$41,0),MATCH(C_Variables!T$313,D03_Skills!$AA$2:$BU$2,0))</f>
        <v>0</v>
      </c>
      <c r="P339" s="495">
        <f t="shared" si="342"/>
        <v>0</v>
      </c>
      <c r="Q339" s="495">
        <f>IF(P339&gt;0,1+COUNTIF(Q$314:Q338,"&gt;0"),0)</f>
        <v>0</v>
      </c>
      <c r="R339" s="495" t="str">
        <f t="shared" si="343"/>
        <v/>
      </c>
      <c r="S339" s="495" t="str">
        <f t="shared" si="302"/>
        <v/>
      </c>
      <c r="T339" s="496">
        <f t="shared" si="303"/>
        <v>0</v>
      </c>
      <c r="U339" s="494">
        <f>INDEX(D03_Skills!$AA$3:$BU$41,MATCH(C_Variables!$G345,D03_Skills!$Z$3:$Z$41,0),MATCH(C_Variables!Z$313,D03_Skills!$AA$2:$BU$2,0))</f>
        <v>0</v>
      </c>
      <c r="V339" s="495">
        <f t="shared" si="344"/>
        <v>0</v>
      </c>
      <c r="W339" s="495">
        <f>IF(V339&gt;0,1+COUNTIF(W$314:W338,"&gt;0"),0)</f>
        <v>0</v>
      </c>
      <c r="X339" s="495" t="str">
        <f t="shared" si="345"/>
        <v/>
      </c>
      <c r="Y339" s="495" t="str">
        <f t="shared" si="304"/>
        <v/>
      </c>
      <c r="Z339" s="496">
        <f t="shared" si="305"/>
        <v>0</v>
      </c>
      <c r="AA339" s="494">
        <f>INDEX(D03_Skills!$AA$3:$BU$41,MATCH(C_Variables!$G345,D03_Skills!$Z$3:$Z$41,0),MATCH(C_Variables!AF$313,D03_Skills!$AA$2:$BU$2,0))</f>
        <v>0</v>
      </c>
      <c r="AB339" s="495">
        <f t="shared" si="346"/>
        <v>0</v>
      </c>
      <c r="AC339" s="495">
        <f>IF(AB339&gt;0,1+COUNTIF(AC$314:AC338,"&gt;0"),0)</f>
        <v>0</v>
      </c>
      <c r="AD339" s="495" t="str">
        <f t="shared" si="347"/>
        <v/>
      </c>
      <c r="AE339" s="495" t="str">
        <f t="shared" si="306"/>
        <v/>
      </c>
      <c r="AF339" s="496">
        <f t="shared" si="307"/>
        <v>0</v>
      </c>
      <c r="AG339" s="494">
        <f>INDEX(D03_Skills!$AA$3:$BU$41,MATCH(C_Variables!$G345,D03_Skills!$Z$3:$Z$41,0),MATCH(C_Variables!AL$313,D03_Skills!$AA$2:$BU$2,0))</f>
        <v>0</v>
      </c>
      <c r="AH339" s="495">
        <f t="shared" si="348"/>
        <v>0</v>
      </c>
      <c r="AI339" s="495">
        <f>IF(AH339&gt;0,1+COUNTIF(AI$314:AI338,"&gt;0"),0)</f>
        <v>0</v>
      </c>
      <c r="AJ339" s="495" t="str">
        <f t="shared" si="349"/>
        <v/>
      </c>
      <c r="AK339" s="495" t="str">
        <f t="shared" si="308"/>
        <v/>
      </c>
      <c r="AL339" s="496">
        <f t="shared" si="309"/>
        <v>0</v>
      </c>
      <c r="AM339" s="494">
        <f>INDEX(D03_Skills!$AA$3:$BU$41,MATCH(C_Variables!$G345,D03_Skills!$Z$3:$Z$41,0),MATCH(C_Variables!AR$313,D03_Skills!$AA$2:$BU$2,0))</f>
        <v>0</v>
      </c>
      <c r="AN339" s="495">
        <f t="shared" si="350"/>
        <v>0</v>
      </c>
      <c r="AO339" s="495">
        <f>IF(AN339&gt;0,1+COUNTIF(AO$314:AO338,"&gt;0"),0)</f>
        <v>0</v>
      </c>
      <c r="AP339" s="495" t="str">
        <f t="shared" si="351"/>
        <v/>
      </c>
      <c r="AQ339" s="495" t="str">
        <f t="shared" si="310"/>
        <v/>
      </c>
      <c r="AR339" s="496">
        <f t="shared" si="311"/>
        <v>0</v>
      </c>
      <c r="AS339" s="494">
        <f>INDEX(D03_Skills!$AA$3:$BU$41,MATCH(C_Variables!$G345,D03_Skills!$Z$3:$Z$41,0),MATCH(C_Variables!AX$313,D03_Skills!$AA$2:$BU$2,0))</f>
        <v>0</v>
      </c>
      <c r="AT339" s="495">
        <f t="shared" si="352"/>
        <v>0</v>
      </c>
      <c r="AU339" s="495">
        <f>IF(AT339&gt;0,1+COUNTIF(AU$314:AU338,"&gt;0"),0)</f>
        <v>0</v>
      </c>
      <c r="AV339" s="495" t="str">
        <f t="shared" si="353"/>
        <v/>
      </c>
      <c r="AW339" s="495" t="str">
        <f t="shared" si="312"/>
        <v/>
      </c>
      <c r="AX339" s="496">
        <f t="shared" si="313"/>
        <v>0</v>
      </c>
      <c r="AY339" s="494">
        <f>INDEX(D03_Skills!$AA$3:$BU$41,MATCH(C_Variables!$G345,D03_Skills!$Z$3:$Z$41,0),MATCH(C_Variables!BD$313,D03_Skills!$AA$2:$BU$2,0))</f>
        <v>0</v>
      </c>
      <c r="AZ339" s="495">
        <f t="shared" si="354"/>
        <v>0</v>
      </c>
      <c r="BA339" s="495">
        <f>IF(AZ339&gt;0,1+COUNTIF(BA$314:BA338,"&gt;0"),0)</f>
        <v>0</v>
      </c>
      <c r="BB339" s="495" t="str">
        <f t="shared" si="355"/>
        <v/>
      </c>
      <c r="BC339" s="495" t="str">
        <f t="shared" si="314"/>
        <v/>
      </c>
      <c r="BD339" s="496">
        <f t="shared" si="315"/>
        <v>0</v>
      </c>
      <c r="BE339" s="494">
        <f>INDEX(D03_Skills!$AA$3:$BU$41,MATCH(C_Variables!$G345,D03_Skills!$Z$3:$Z$41,0),MATCH(C_Variables!BJ$313,D03_Skills!$AA$2:$BU$2,0))</f>
        <v>0</v>
      </c>
      <c r="BF339" s="495">
        <f t="shared" si="356"/>
        <v>0</v>
      </c>
      <c r="BG339" s="495">
        <f>IF(BF339&gt;0,1+COUNTIF(BG$314:BG338,"&gt;0"),0)</f>
        <v>0</v>
      </c>
      <c r="BH339" s="495" t="str">
        <f t="shared" si="357"/>
        <v/>
      </c>
      <c r="BI339" s="495" t="str">
        <f t="shared" si="316"/>
        <v/>
      </c>
      <c r="BJ339" s="496">
        <f t="shared" si="317"/>
        <v>0</v>
      </c>
      <c r="BK339" s="494">
        <f>INDEX(D03_Skills!$AA$3:$BU$41,MATCH(C_Variables!$G345,D03_Skills!$Z$3:$Z$41,0),MATCH(C_Variables!BP$313,D03_Skills!$AA$2:$BU$2,0))</f>
        <v>0</v>
      </c>
      <c r="BL339" s="495">
        <f t="shared" si="358"/>
        <v>0</v>
      </c>
      <c r="BM339" s="495">
        <f>IF(BL339&gt;0,1+COUNTIF(BM$314:BM338,"&gt;0"),0)</f>
        <v>0</v>
      </c>
      <c r="BN339" s="495" t="str">
        <f t="shared" si="359"/>
        <v/>
      </c>
      <c r="BO339" s="495" t="str">
        <f t="shared" si="318"/>
        <v/>
      </c>
      <c r="BP339" s="496">
        <f t="shared" si="319"/>
        <v>0</v>
      </c>
      <c r="BQ339" s="494">
        <f>INDEX(D03_Skills!$AA$3:$BU$41,MATCH(C_Variables!$G345,D03_Skills!$Z$3:$Z$41,0),MATCH(C_Variables!BV$313,D03_Skills!$AA$2:$BU$2,0))</f>
        <v>0</v>
      </c>
      <c r="BR339" s="495">
        <f t="shared" si="360"/>
        <v>0</v>
      </c>
      <c r="BS339" s="495">
        <f>IF(BR339&gt;0,1+COUNTIF(BS$314:BS338,"&gt;0"),0)</f>
        <v>0</v>
      </c>
      <c r="BT339" s="495" t="str">
        <f t="shared" si="361"/>
        <v/>
      </c>
      <c r="BU339" s="495" t="str">
        <f t="shared" si="320"/>
        <v/>
      </c>
      <c r="BV339" s="496">
        <f t="shared" si="321"/>
        <v>0</v>
      </c>
      <c r="BW339" s="494">
        <f>INDEX(D03_Skills!$AA$3:$BU$41,MATCH(C_Variables!$G345,D03_Skills!$Z$3:$Z$41,0),MATCH(C_Variables!CB$313,D03_Skills!$AA$2:$BU$2,0))</f>
        <v>0</v>
      </c>
      <c r="BX339" s="495">
        <f t="shared" si="362"/>
        <v>0</v>
      </c>
      <c r="BY339" s="495">
        <f>IF(BX339&gt;0,1+COUNTIF(BY$314:BY338,"&gt;0"),0)</f>
        <v>0</v>
      </c>
      <c r="BZ339" s="495" t="str">
        <f t="shared" si="363"/>
        <v/>
      </c>
      <c r="CA339" s="495" t="str">
        <f t="shared" si="322"/>
        <v/>
      </c>
      <c r="CB339" s="496">
        <f t="shared" si="323"/>
        <v>0</v>
      </c>
      <c r="CC339" s="494" t="e">
        <f>INDEX(D03_Skills!$AA$3:$BU$41,MATCH(C_Variables!$G345,D03_Skills!$Z$3:$Z$41,0),MATCH(C_Variables!CH$313,D03_Skills!$AA$2:$BU$2,0))</f>
        <v>#N/A</v>
      </c>
      <c r="CD339" s="495" t="e">
        <f t="shared" si="364"/>
        <v>#N/A</v>
      </c>
      <c r="CE339" s="495" t="e">
        <f>IF(CD339&gt;0,1+COUNTIF(CE$314:CE338,"&gt;0"),0)</f>
        <v>#N/A</v>
      </c>
      <c r="CF339" s="495" t="e">
        <f t="shared" si="365"/>
        <v>#N/A</v>
      </c>
      <c r="CG339" s="495" t="e">
        <f t="shared" si="324"/>
        <v>#N/A</v>
      </c>
      <c r="CH339" s="496">
        <f t="shared" si="325"/>
        <v>0</v>
      </c>
      <c r="CI339" s="494" t="e">
        <f>INDEX(D03_Skills!$AA$3:$BU$41,MATCH(C_Variables!$G345,D03_Skills!$Z$3:$Z$41,0),MATCH(C_Variables!CN$313,D03_Skills!$AA$2:$BU$2,0))</f>
        <v>#N/A</v>
      </c>
      <c r="CJ339" s="495" t="e">
        <f t="shared" si="366"/>
        <v>#N/A</v>
      </c>
      <c r="CK339" s="495" t="e">
        <f>IF(CJ339&gt;0,1+COUNTIF(CK$314:CK338,"&gt;0"),0)</f>
        <v>#N/A</v>
      </c>
      <c r="CL339" s="495" t="e">
        <f t="shared" si="367"/>
        <v>#N/A</v>
      </c>
      <c r="CM339" s="495" t="e">
        <f t="shared" si="326"/>
        <v>#N/A</v>
      </c>
      <c r="CN339" s="496">
        <f t="shared" si="327"/>
        <v>0</v>
      </c>
      <c r="CO339" s="494" t="e">
        <f>INDEX(D03_Skills!$AA$3:$BU$41,MATCH(C_Variables!$G345,D03_Skills!$Z$3:$Z$41,0),MATCH(C_Variables!CT$313,D03_Skills!$AA$2:$BU$2,0))</f>
        <v>#N/A</v>
      </c>
      <c r="CP339" s="495" t="e">
        <f t="shared" si="368"/>
        <v>#N/A</v>
      </c>
      <c r="CQ339" s="495" t="e">
        <f>IF(CP339&gt;0,1+COUNTIF(CQ$314:CQ338,"&gt;0"),0)</f>
        <v>#N/A</v>
      </c>
      <c r="CR339" s="495" t="e">
        <f t="shared" si="369"/>
        <v>#N/A</v>
      </c>
      <c r="CS339" s="495" t="e">
        <f t="shared" si="328"/>
        <v>#N/A</v>
      </c>
      <c r="CT339" s="496">
        <f t="shared" si="329"/>
        <v>0</v>
      </c>
      <c r="CU339" s="494" t="e">
        <f>INDEX(D03_Skills!$AA$3:$BU$41,MATCH(C_Variables!$G345,D03_Skills!$Z$3:$Z$41,0),MATCH(C_Variables!CZ$313,D03_Skills!$AA$2:$BU$2,0))</f>
        <v>#N/A</v>
      </c>
      <c r="CV339" s="495" t="e">
        <f t="shared" si="370"/>
        <v>#N/A</v>
      </c>
      <c r="CW339" s="495" t="e">
        <f>IF(CV339&gt;0,1+COUNTIF(CW$314:CW338,"&gt;0"),0)</f>
        <v>#N/A</v>
      </c>
      <c r="CX339" s="495" t="e">
        <f t="shared" si="371"/>
        <v>#N/A</v>
      </c>
      <c r="CY339" s="495" t="e">
        <f t="shared" si="330"/>
        <v>#N/A</v>
      </c>
      <c r="CZ339" s="496">
        <f t="shared" si="331"/>
        <v>0</v>
      </c>
      <c r="DA339" s="494" t="e">
        <f>INDEX(D03_Skills!$AA$3:$BU$41,MATCH(C_Variables!$G345,D03_Skills!$Z$3:$Z$41,0),MATCH(C_Variables!DF$313,D03_Skills!$AA$2:$BU$2,0))</f>
        <v>#N/A</v>
      </c>
      <c r="DB339" s="495" t="e">
        <f t="shared" si="372"/>
        <v>#N/A</v>
      </c>
      <c r="DC339" s="495" t="e">
        <f>IF(DB339&gt;0,1+COUNTIF(DC$314:DC338,"&gt;0"),0)</f>
        <v>#N/A</v>
      </c>
      <c r="DD339" s="495" t="e">
        <f t="shared" si="373"/>
        <v>#N/A</v>
      </c>
      <c r="DE339" s="495" t="e">
        <f t="shared" si="332"/>
        <v>#N/A</v>
      </c>
      <c r="DF339" s="496">
        <f t="shared" si="333"/>
        <v>0</v>
      </c>
      <c r="DG339" s="494" t="e">
        <f>INDEX(D03_Skills!$AA$3:$BU$41,MATCH(C_Variables!$G345,D03_Skills!$Z$3:$Z$41,0),MATCH(C_Variables!DL$313,D03_Skills!$AA$2:$BU$2,0))</f>
        <v>#N/A</v>
      </c>
      <c r="DH339" s="495" t="e">
        <f t="shared" si="374"/>
        <v>#N/A</v>
      </c>
      <c r="DI339" s="495" t="e">
        <f>IF(DH339&gt;0,1+COUNTIF(DI$314:DI338,"&gt;0"),0)</f>
        <v>#N/A</v>
      </c>
      <c r="DJ339" s="495" t="e">
        <f t="shared" si="375"/>
        <v>#N/A</v>
      </c>
      <c r="DK339" s="495" t="e">
        <f t="shared" si="334"/>
        <v>#N/A</v>
      </c>
      <c r="DL339" s="496">
        <f t="shared" si="335"/>
        <v>0</v>
      </c>
      <c r="DM339" s="494" t="e">
        <f>INDEX(D03_Skills!$AA$3:$BU$41,MATCH(C_Variables!$G345,D03_Skills!$Z$3:$Z$41,0),MATCH(C_Variables!DR$313,D03_Skills!$AA$2:$BU$2,0))</f>
        <v>#N/A</v>
      </c>
      <c r="DN339" s="495" t="e">
        <f t="shared" si="376"/>
        <v>#N/A</v>
      </c>
      <c r="DO339" s="495" t="e">
        <f>IF(DN339&gt;0,1+COUNTIF(DO$314:DO338,"&gt;0"),0)</f>
        <v>#N/A</v>
      </c>
      <c r="DP339" s="495" t="e">
        <f t="shared" si="377"/>
        <v>#N/A</v>
      </c>
      <c r="DQ339" s="495" t="e">
        <f t="shared" si="336"/>
        <v>#N/A</v>
      </c>
      <c r="DR339" s="496">
        <f t="shared" si="337"/>
        <v>0</v>
      </c>
      <c r="DS339" s="494" t="e">
        <f>INDEX(D03_Skills!$AA$3:$BU$41,MATCH(C_Variables!$G345,D03_Skills!$Z$3:$Z$41,0),MATCH(C_Variables!DX$313,D03_Skills!$AA$2:$BU$2,0))</f>
        <v>#N/A</v>
      </c>
      <c r="DT339" s="495" t="e">
        <f t="shared" si="378"/>
        <v>#N/A</v>
      </c>
      <c r="DU339" s="495" t="e">
        <f>IF(DT339&gt;0,1+COUNTIF(DU$314:DU338,"&gt;0"),0)</f>
        <v>#N/A</v>
      </c>
      <c r="DV339" s="495" t="e">
        <f t="shared" si="379"/>
        <v>#N/A</v>
      </c>
      <c r="DW339" s="495" t="e">
        <f t="shared" si="338"/>
        <v>#N/A</v>
      </c>
      <c r="DX339" s="496">
        <f t="shared" si="339"/>
        <v>0</v>
      </c>
      <c r="DY339" s="501"/>
    </row>
    <row r="340" spans="1:129" ht="16.5" x14ac:dyDescent="0.3">
      <c r="A340" s="155">
        <f>IFERROR(IF(A339+1&lt;MAX(D041_ClassFeatures!$A$2:$A$2033),A339+1,""),"")</f>
        <v>337</v>
      </c>
      <c r="B340" s="153" t="str">
        <f>IFERROR(INDEX(D041_ClassFeatures!$B$2:$B$2033,MATCH(C_Variables!A340,D041_ClassFeatures!$A$2:$A$2033,0),1),"")</f>
        <v>Command Undead</v>
      </c>
      <c r="C340" s="153">
        <f>IF(B340="",0,IF(IFERROR(MATCH(B340,C_Input!$BC$160:$BC$239,0),0)&gt;0,1,0))</f>
        <v>0</v>
      </c>
      <c r="E340" s="501"/>
      <c r="F340" s="501"/>
      <c r="G340" s="6" t="s">
        <v>294</v>
      </c>
      <c r="I340" s="494">
        <f>INDEX(D03_Skills!$AA$3:$BU$41,MATCH(C_Variables!$G346,D03_Skills!$Z$3:$Z$41,0),MATCH(C_Variables!N$313,D03_Skills!$AA$2:$BU$2,0))</f>
        <v>0</v>
      </c>
      <c r="J340" s="495">
        <f t="shared" si="340"/>
        <v>0</v>
      </c>
      <c r="K340" s="495">
        <f>IF(I340&gt;0,1+COUNTIF(K$314:K339,"&gt;0"),0)</f>
        <v>0</v>
      </c>
      <c r="L340" s="495" t="str">
        <f t="shared" si="341"/>
        <v/>
      </c>
      <c r="M340" s="495" t="str">
        <f t="shared" si="300"/>
        <v/>
      </c>
      <c r="N340" s="496">
        <f t="shared" si="301"/>
        <v>0</v>
      </c>
      <c r="O340" s="494">
        <f>INDEX(D03_Skills!$AA$3:$BU$41,MATCH(C_Variables!$G346,D03_Skills!$Z$3:$Z$41,0),MATCH(C_Variables!T$313,D03_Skills!$AA$2:$BU$2,0))</f>
        <v>0</v>
      </c>
      <c r="P340" s="495">
        <f t="shared" si="342"/>
        <v>0</v>
      </c>
      <c r="Q340" s="495">
        <f>IF(P340&gt;0,1+COUNTIF(Q$314:Q339,"&gt;0"),0)</f>
        <v>0</v>
      </c>
      <c r="R340" s="495" t="str">
        <f t="shared" si="343"/>
        <v/>
      </c>
      <c r="S340" s="495" t="str">
        <f t="shared" si="302"/>
        <v/>
      </c>
      <c r="T340" s="496">
        <f t="shared" si="303"/>
        <v>0</v>
      </c>
      <c r="U340" s="494">
        <f>INDEX(D03_Skills!$AA$3:$BU$41,MATCH(C_Variables!$G346,D03_Skills!$Z$3:$Z$41,0),MATCH(C_Variables!Z$313,D03_Skills!$AA$2:$BU$2,0))</f>
        <v>0</v>
      </c>
      <c r="V340" s="495">
        <f t="shared" si="344"/>
        <v>0</v>
      </c>
      <c r="W340" s="495">
        <f>IF(V340&gt;0,1+COUNTIF(W$314:W339,"&gt;0"),0)</f>
        <v>0</v>
      </c>
      <c r="X340" s="495" t="str">
        <f t="shared" si="345"/>
        <v/>
      </c>
      <c r="Y340" s="495" t="str">
        <f t="shared" si="304"/>
        <v/>
      </c>
      <c r="Z340" s="496">
        <f t="shared" si="305"/>
        <v>0</v>
      </c>
      <c r="AA340" s="494">
        <f>INDEX(D03_Skills!$AA$3:$BU$41,MATCH(C_Variables!$G346,D03_Skills!$Z$3:$Z$41,0),MATCH(C_Variables!AF$313,D03_Skills!$AA$2:$BU$2,0))</f>
        <v>0</v>
      </c>
      <c r="AB340" s="495">
        <f t="shared" si="346"/>
        <v>0</v>
      </c>
      <c r="AC340" s="495">
        <f>IF(AB340&gt;0,1+COUNTIF(AC$314:AC339,"&gt;0"),0)</f>
        <v>0</v>
      </c>
      <c r="AD340" s="495" t="str">
        <f t="shared" si="347"/>
        <v/>
      </c>
      <c r="AE340" s="495" t="str">
        <f t="shared" si="306"/>
        <v/>
      </c>
      <c r="AF340" s="496">
        <f t="shared" si="307"/>
        <v>0</v>
      </c>
      <c r="AG340" s="494">
        <f>INDEX(D03_Skills!$AA$3:$BU$41,MATCH(C_Variables!$G346,D03_Skills!$Z$3:$Z$41,0),MATCH(C_Variables!AL$313,D03_Skills!$AA$2:$BU$2,0))</f>
        <v>0</v>
      </c>
      <c r="AH340" s="495">
        <f t="shared" si="348"/>
        <v>0</v>
      </c>
      <c r="AI340" s="495">
        <f>IF(AH340&gt;0,1+COUNTIF(AI$314:AI339,"&gt;0"),0)</f>
        <v>0</v>
      </c>
      <c r="AJ340" s="495" t="str">
        <f t="shared" si="349"/>
        <v/>
      </c>
      <c r="AK340" s="495" t="str">
        <f t="shared" si="308"/>
        <v/>
      </c>
      <c r="AL340" s="496">
        <f t="shared" si="309"/>
        <v>0</v>
      </c>
      <c r="AM340" s="494">
        <f>INDEX(D03_Skills!$AA$3:$BU$41,MATCH(C_Variables!$G346,D03_Skills!$Z$3:$Z$41,0),MATCH(C_Variables!AR$313,D03_Skills!$AA$2:$BU$2,0))</f>
        <v>0</v>
      </c>
      <c r="AN340" s="495">
        <f t="shared" si="350"/>
        <v>0</v>
      </c>
      <c r="AO340" s="495">
        <f>IF(AN340&gt;0,1+COUNTIF(AO$314:AO339,"&gt;0"),0)</f>
        <v>0</v>
      </c>
      <c r="AP340" s="495" t="str">
        <f t="shared" si="351"/>
        <v/>
      </c>
      <c r="AQ340" s="495" t="str">
        <f t="shared" si="310"/>
        <v/>
      </c>
      <c r="AR340" s="496">
        <f t="shared" si="311"/>
        <v>0</v>
      </c>
      <c r="AS340" s="494">
        <f>INDEX(D03_Skills!$AA$3:$BU$41,MATCH(C_Variables!$G346,D03_Skills!$Z$3:$Z$41,0),MATCH(C_Variables!AX$313,D03_Skills!$AA$2:$BU$2,0))</f>
        <v>0</v>
      </c>
      <c r="AT340" s="495">
        <f t="shared" si="352"/>
        <v>0</v>
      </c>
      <c r="AU340" s="495">
        <f>IF(AT340&gt;0,1+COUNTIF(AU$314:AU339,"&gt;0"),0)</f>
        <v>0</v>
      </c>
      <c r="AV340" s="495" t="str">
        <f t="shared" si="353"/>
        <v/>
      </c>
      <c r="AW340" s="495" t="str">
        <f t="shared" si="312"/>
        <v/>
      </c>
      <c r="AX340" s="496">
        <f t="shared" si="313"/>
        <v>0</v>
      </c>
      <c r="AY340" s="494">
        <f>INDEX(D03_Skills!$AA$3:$BU$41,MATCH(C_Variables!$G346,D03_Skills!$Z$3:$Z$41,0),MATCH(C_Variables!BD$313,D03_Skills!$AA$2:$BU$2,0))</f>
        <v>0</v>
      </c>
      <c r="AZ340" s="495">
        <f t="shared" si="354"/>
        <v>0</v>
      </c>
      <c r="BA340" s="495">
        <f>IF(AZ340&gt;0,1+COUNTIF(BA$314:BA339,"&gt;0"),0)</f>
        <v>0</v>
      </c>
      <c r="BB340" s="495" t="str">
        <f t="shared" si="355"/>
        <v/>
      </c>
      <c r="BC340" s="495" t="str">
        <f t="shared" si="314"/>
        <v/>
      </c>
      <c r="BD340" s="496">
        <f t="shared" si="315"/>
        <v>0</v>
      </c>
      <c r="BE340" s="494">
        <f>INDEX(D03_Skills!$AA$3:$BU$41,MATCH(C_Variables!$G346,D03_Skills!$Z$3:$Z$41,0),MATCH(C_Variables!BJ$313,D03_Skills!$AA$2:$BU$2,0))</f>
        <v>0</v>
      </c>
      <c r="BF340" s="495">
        <f t="shared" si="356"/>
        <v>0</v>
      </c>
      <c r="BG340" s="495">
        <f>IF(BF340&gt;0,1+COUNTIF(BG$314:BG339,"&gt;0"),0)</f>
        <v>0</v>
      </c>
      <c r="BH340" s="495" t="str">
        <f t="shared" si="357"/>
        <v/>
      </c>
      <c r="BI340" s="495" t="str">
        <f t="shared" si="316"/>
        <v/>
      </c>
      <c r="BJ340" s="496">
        <f t="shared" si="317"/>
        <v>0</v>
      </c>
      <c r="BK340" s="494">
        <f>INDEX(D03_Skills!$AA$3:$BU$41,MATCH(C_Variables!$G346,D03_Skills!$Z$3:$Z$41,0),MATCH(C_Variables!BP$313,D03_Skills!$AA$2:$BU$2,0))</f>
        <v>0</v>
      </c>
      <c r="BL340" s="495">
        <f t="shared" si="358"/>
        <v>0</v>
      </c>
      <c r="BM340" s="495">
        <f>IF(BL340&gt;0,1+COUNTIF(BM$314:BM339,"&gt;0"),0)</f>
        <v>0</v>
      </c>
      <c r="BN340" s="495" t="str">
        <f t="shared" si="359"/>
        <v/>
      </c>
      <c r="BO340" s="495" t="str">
        <f t="shared" si="318"/>
        <v/>
      </c>
      <c r="BP340" s="496">
        <f t="shared" si="319"/>
        <v>0</v>
      </c>
      <c r="BQ340" s="494">
        <f>INDEX(D03_Skills!$AA$3:$BU$41,MATCH(C_Variables!$G346,D03_Skills!$Z$3:$Z$41,0),MATCH(C_Variables!BV$313,D03_Skills!$AA$2:$BU$2,0))</f>
        <v>0</v>
      </c>
      <c r="BR340" s="495">
        <f t="shared" si="360"/>
        <v>0</v>
      </c>
      <c r="BS340" s="495">
        <f>IF(BR340&gt;0,1+COUNTIF(BS$314:BS339,"&gt;0"),0)</f>
        <v>0</v>
      </c>
      <c r="BT340" s="495" t="str">
        <f t="shared" si="361"/>
        <v/>
      </c>
      <c r="BU340" s="495" t="str">
        <f t="shared" si="320"/>
        <v/>
      </c>
      <c r="BV340" s="496">
        <f t="shared" si="321"/>
        <v>0</v>
      </c>
      <c r="BW340" s="494">
        <f>INDEX(D03_Skills!$AA$3:$BU$41,MATCH(C_Variables!$G346,D03_Skills!$Z$3:$Z$41,0),MATCH(C_Variables!CB$313,D03_Skills!$AA$2:$BU$2,0))</f>
        <v>0</v>
      </c>
      <c r="BX340" s="495">
        <f t="shared" si="362"/>
        <v>0</v>
      </c>
      <c r="BY340" s="495">
        <f>IF(BX340&gt;0,1+COUNTIF(BY$314:BY339,"&gt;0"),0)</f>
        <v>0</v>
      </c>
      <c r="BZ340" s="495" t="str">
        <f t="shared" si="363"/>
        <v/>
      </c>
      <c r="CA340" s="495" t="str">
        <f t="shared" si="322"/>
        <v/>
      </c>
      <c r="CB340" s="496">
        <f t="shared" si="323"/>
        <v>0</v>
      </c>
      <c r="CC340" s="494" t="e">
        <f>INDEX(D03_Skills!$AA$3:$BU$41,MATCH(C_Variables!$G346,D03_Skills!$Z$3:$Z$41,0),MATCH(C_Variables!CH$313,D03_Skills!$AA$2:$BU$2,0))</f>
        <v>#N/A</v>
      </c>
      <c r="CD340" s="495" t="e">
        <f t="shared" si="364"/>
        <v>#N/A</v>
      </c>
      <c r="CE340" s="495" t="e">
        <f>IF(CD340&gt;0,1+COUNTIF(CE$314:CE339,"&gt;0"),0)</f>
        <v>#N/A</v>
      </c>
      <c r="CF340" s="495" t="e">
        <f t="shared" si="365"/>
        <v>#N/A</v>
      </c>
      <c r="CG340" s="495" t="e">
        <f t="shared" si="324"/>
        <v>#N/A</v>
      </c>
      <c r="CH340" s="496">
        <f t="shared" si="325"/>
        <v>0</v>
      </c>
      <c r="CI340" s="494" t="e">
        <f>INDEX(D03_Skills!$AA$3:$BU$41,MATCH(C_Variables!$G346,D03_Skills!$Z$3:$Z$41,0),MATCH(C_Variables!CN$313,D03_Skills!$AA$2:$BU$2,0))</f>
        <v>#N/A</v>
      </c>
      <c r="CJ340" s="495" t="e">
        <f t="shared" si="366"/>
        <v>#N/A</v>
      </c>
      <c r="CK340" s="495" t="e">
        <f>IF(CJ340&gt;0,1+COUNTIF(CK$314:CK339,"&gt;0"),0)</f>
        <v>#N/A</v>
      </c>
      <c r="CL340" s="495" t="e">
        <f t="shared" si="367"/>
        <v>#N/A</v>
      </c>
      <c r="CM340" s="495" t="e">
        <f t="shared" si="326"/>
        <v>#N/A</v>
      </c>
      <c r="CN340" s="496">
        <f t="shared" si="327"/>
        <v>0</v>
      </c>
      <c r="CO340" s="494" t="e">
        <f>INDEX(D03_Skills!$AA$3:$BU$41,MATCH(C_Variables!$G346,D03_Skills!$Z$3:$Z$41,0),MATCH(C_Variables!CT$313,D03_Skills!$AA$2:$BU$2,0))</f>
        <v>#N/A</v>
      </c>
      <c r="CP340" s="495" t="e">
        <f t="shared" si="368"/>
        <v>#N/A</v>
      </c>
      <c r="CQ340" s="495" t="e">
        <f>IF(CP340&gt;0,1+COUNTIF(CQ$314:CQ339,"&gt;0"),0)</f>
        <v>#N/A</v>
      </c>
      <c r="CR340" s="495" t="e">
        <f t="shared" si="369"/>
        <v>#N/A</v>
      </c>
      <c r="CS340" s="495" t="e">
        <f t="shared" si="328"/>
        <v>#N/A</v>
      </c>
      <c r="CT340" s="496">
        <f t="shared" si="329"/>
        <v>0</v>
      </c>
      <c r="CU340" s="494" t="e">
        <f>INDEX(D03_Skills!$AA$3:$BU$41,MATCH(C_Variables!$G346,D03_Skills!$Z$3:$Z$41,0),MATCH(C_Variables!CZ$313,D03_Skills!$AA$2:$BU$2,0))</f>
        <v>#N/A</v>
      </c>
      <c r="CV340" s="495" t="e">
        <f t="shared" si="370"/>
        <v>#N/A</v>
      </c>
      <c r="CW340" s="495" t="e">
        <f>IF(CV340&gt;0,1+COUNTIF(CW$314:CW339,"&gt;0"),0)</f>
        <v>#N/A</v>
      </c>
      <c r="CX340" s="495" t="e">
        <f t="shared" si="371"/>
        <v>#N/A</v>
      </c>
      <c r="CY340" s="495" t="e">
        <f t="shared" si="330"/>
        <v>#N/A</v>
      </c>
      <c r="CZ340" s="496">
        <f t="shared" si="331"/>
        <v>0</v>
      </c>
      <c r="DA340" s="494" t="e">
        <f>INDEX(D03_Skills!$AA$3:$BU$41,MATCH(C_Variables!$G346,D03_Skills!$Z$3:$Z$41,0),MATCH(C_Variables!DF$313,D03_Skills!$AA$2:$BU$2,0))</f>
        <v>#N/A</v>
      </c>
      <c r="DB340" s="495" t="e">
        <f t="shared" si="372"/>
        <v>#N/A</v>
      </c>
      <c r="DC340" s="495" t="e">
        <f>IF(DB340&gt;0,1+COUNTIF(DC$314:DC339,"&gt;0"),0)</f>
        <v>#N/A</v>
      </c>
      <c r="DD340" s="495" t="e">
        <f t="shared" si="373"/>
        <v>#N/A</v>
      </c>
      <c r="DE340" s="495" t="e">
        <f t="shared" si="332"/>
        <v>#N/A</v>
      </c>
      <c r="DF340" s="496">
        <f t="shared" si="333"/>
        <v>0</v>
      </c>
      <c r="DG340" s="494" t="e">
        <f>INDEX(D03_Skills!$AA$3:$BU$41,MATCH(C_Variables!$G346,D03_Skills!$Z$3:$Z$41,0),MATCH(C_Variables!DL$313,D03_Skills!$AA$2:$BU$2,0))</f>
        <v>#N/A</v>
      </c>
      <c r="DH340" s="495" t="e">
        <f t="shared" si="374"/>
        <v>#N/A</v>
      </c>
      <c r="DI340" s="495" t="e">
        <f>IF(DH340&gt;0,1+COUNTIF(DI$314:DI339,"&gt;0"),0)</f>
        <v>#N/A</v>
      </c>
      <c r="DJ340" s="495" t="e">
        <f t="shared" si="375"/>
        <v>#N/A</v>
      </c>
      <c r="DK340" s="495" t="e">
        <f t="shared" si="334"/>
        <v>#N/A</v>
      </c>
      <c r="DL340" s="496">
        <f t="shared" si="335"/>
        <v>0</v>
      </c>
      <c r="DM340" s="494" t="e">
        <f>INDEX(D03_Skills!$AA$3:$BU$41,MATCH(C_Variables!$G346,D03_Skills!$Z$3:$Z$41,0),MATCH(C_Variables!DR$313,D03_Skills!$AA$2:$BU$2,0))</f>
        <v>#N/A</v>
      </c>
      <c r="DN340" s="495" t="e">
        <f t="shared" si="376"/>
        <v>#N/A</v>
      </c>
      <c r="DO340" s="495" t="e">
        <f>IF(DN340&gt;0,1+COUNTIF(DO$314:DO339,"&gt;0"),0)</f>
        <v>#N/A</v>
      </c>
      <c r="DP340" s="495" t="e">
        <f t="shared" si="377"/>
        <v>#N/A</v>
      </c>
      <c r="DQ340" s="495" t="e">
        <f t="shared" si="336"/>
        <v>#N/A</v>
      </c>
      <c r="DR340" s="496">
        <f t="shared" si="337"/>
        <v>0</v>
      </c>
      <c r="DS340" s="494" t="e">
        <f>INDEX(D03_Skills!$AA$3:$BU$41,MATCH(C_Variables!$G346,D03_Skills!$Z$3:$Z$41,0),MATCH(C_Variables!DX$313,D03_Skills!$AA$2:$BU$2,0))</f>
        <v>#N/A</v>
      </c>
      <c r="DT340" s="495" t="e">
        <f t="shared" si="378"/>
        <v>#N/A</v>
      </c>
      <c r="DU340" s="495" t="e">
        <f>IF(DT340&gt;0,1+COUNTIF(DU$314:DU339,"&gt;0"),0)</f>
        <v>#N/A</v>
      </c>
      <c r="DV340" s="495" t="e">
        <f t="shared" si="379"/>
        <v>#N/A</v>
      </c>
      <c r="DW340" s="495" t="e">
        <f t="shared" si="338"/>
        <v>#N/A</v>
      </c>
      <c r="DX340" s="496">
        <f t="shared" si="339"/>
        <v>0</v>
      </c>
      <c r="DY340" s="501"/>
    </row>
    <row r="341" spans="1:129" ht="16.5" x14ac:dyDescent="0.3">
      <c r="A341" s="155">
        <f>IFERROR(IF(A340+1&lt;MAX(D041_ClassFeatures!$A$2:$A$2033),A340+1,""),"")</f>
        <v>338</v>
      </c>
      <c r="B341" s="153" t="str">
        <f>IFERROR(INDEX(D041_ClassFeatures!$B$2:$B$2033,MATCH(C_Variables!A341,D041_ClassFeatures!$A$2:$A$2033,0),1),"")</f>
        <v xml:space="preserve">Transmutation Savant </v>
      </c>
      <c r="C341" s="153">
        <f>IF(B341="",0,IF(IFERROR(MATCH(B341,C_Input!$BC$160:$BC$239,0),0)&gt;0,1,0))</f>
        <v>0</v>
      </c>
      <c r="E341" s="501"/>
      <c r="F341" s="501"/>
      <c r="G341" s="6" t="s">
        <v>400</v>
      </c>
      <c r="I341" s="494">
        <f>INDEX(D03_Skills!$AA$3:$BU$41,MATCH(C_Variables!$G347,D03_Skills!$Z$3:$Z$41,0),MATCH(C_Variables!N$313,D03_Skills!$AA$2:$BU$2,0))</f>
        <v>0</v>
      </c>
      <c r="J341" s="495">
        <f t="shared" si="340"/>
        <v>0</v>
      </c>
      <c r="K341" s="495">
        <f>IF(I341&gt;0,1+COUNTIF(K$314:K340,"&gt;0"),0)</f>
        <v>0</v>
      </c>
      <c r="L341" s="495" t="str">
        <f t="shared" si="341"/>
        <v/>
      </c>
      <c r="M341" s="495" t="str">
        <f t="shared" si="300"/>
        <v/>
      </c>
      <c r="N341" s="496">
        <f t="shared" si="301"/>
        <v>0</v>
      </c>
      <c r="O341" s="494">
        <f>INDEX(D03_Skills!$AA$3:$BU$41,MATCH(C_Variables!$G347,D03_Skills!$Z$3:$Z$41,0),MATCH(C_Variables!T$313,D03_Skills!$AA$2:$BU$2,0))</f>
        <v>0</v>
      </c>
      <c r="P341" s="495">
        <f t="shared" si="342"/>
        <v>0</v>
      </c>
      <c r="Q341" s="495">
        <f>IF(P341&gt;0,1+COUNTIF(Q$314:Q340,"&gt;0"),0)</f>
        <v>0</v>
      </c>
      <c r="R341" s="495" t="str">
        <f t="shared" si="343"/>
        <v/>
      </c>
      <c r="S341" s="495" t="str">
        <f t="shared" si="302"/>
        <v/>
      </c>
      <c r="T341" s="496">
        <f t="shared" si="303"/>
        <v>0</v>
      </c>
      <c r="U341" s="494">
        <f>INDEX(D03_Skills!$AA$3:$BU$41,MATCH(C_Variables!$G347,D03_Skills!$Z$3:$Z$41,0),MATCH(C_Variables!Z$313,D03_Skills!$AA$2:$BU$2,0))</f>
        <v>0</v>
      </c>
      <c r="V341" s="495">
        <f t="shared" si="344"/>
        <v>0</v>
      </c>
      <c r="W341" s="495">
        <f>IF(V341&gt;0,1+COUNTIF(W$314:W340,"&gt;0"),0)</f>
        <v>0</v>
      </c>
      <c r="X341" s="495" t="str">
        <f t="shared" si="345"/>
        <v/>
      </c>
      <c r="Y341" s="495" t="str">
        <f t="shared" si="304"/>
        <v/>
      </c>
      <c r="Z341" s="496">
        <f t="shared" si="305"/>
        <v>0</v>
      </c>
      <c r="AA341" s="494">
        <f>INDEX(D03_Skills!$AA$3:$BU$41,MATCH(C_Variables!$G347,D03_Skills!$Z$3:$Z$41,0),MATCH(C_Variables!AF$313,D03_Skills!$AA$2:$BU$2,0))</f>
        <v>0</v>
      </c>
      <c r="AB341" s="495">
        <f t="shared" si="346"/>
        <v>0</v>
      </c>
      <c r="AC341" s="495">
        <f>IF(AB341&gt;0,1+COUNTIF(AC$314:AC340,"&gt;0"),0)</f>
        <v>0</v>
      </c>
      <c r="AD341" s="495" t="str">
        <f t="shared" si="347"/>
        <v/>
      </c>
      <c r="AE341" s="495" t="str">
        <f t="shared" si="306"/>
        <v/>
      </c>
      <c r="AF341" s="496">
        <f t="shared" si="307"/>
        <v>0</v>
      </c>
      <c r="AG341" s="494">
        <f>INDEX(D03_Skills!$AA$3:$BU$41,MATCH(C_Variables!$G347,D03_Skills!$Z$3:$Z$41,0),MATCH(C_Variables!AL$313,D03_Skills!$AA$2:$BU$2,0))</f>
        <v>0</v>
      </c>
      <c r="AH341" s="495">
        <f t="shared" si="348"/>
        <v>0</v>
      </c>
      <c r="AI341" s="495">
        <f>IF(AH341&gt;0,1+COUNTIF(AI$314:AI340,"&gt;0"),0)</f>
        <v>0</v>
      </c>
      <c r="AJ341" s="495" t="str">
        <f t="shared" si="349"/>
        <v/>
      </c>
      <c r="AK341" s="495" t="str">
        <f t="shared" si="308"/>
        <v/>
      </c>
      <c r="AL341" s="496">
        <f t="shared" si="309"/>
        <v>0</v>
      </c>
      <c r="AM341" s="494">
        <f>INDEX(D03_Skills!$AA$3:$BU$41,MATCH(C_Variables!$G347,D03_Skills!$Z$3:$Z$41,0),MATCH(C_Variables!AR$313,D03_Skills!$AA$2:$BU$2,0))</f>
        <v>0</v>
      </c>
      <c r="AN341" s="495">
        <f t="shared" si="350"/>
        <v>0</v>
      </c>
      <c r="AO341" s="495">
        <f>IF(AN341&gt;0,1+COUNTIF(AO$314:AO340,"&gt;0"),0)</f>
        <v>0</v>
      </c>
      <c r="AP341" s="495" t="str">
        <f t="shared" si="351"/>
        <v/>
      </c>
      <c r="AQ341" s="495" t="str">
        <f t="shared" si="310"/>
        <v/>
      </c>
      <c r="AR341" s="496">
        <f t="shared" si="311"/>
        <v>0</v>
      </c>
      <c r="AS341" s="494">
        <f>INDEX(D03_Skills!$AA$3:$BU$41,MATCH(C_Variables!$G347,D03_Skills!$Z$3:$Z$41,0),MATCH(C_Variables!AX$313,D03_Skills!$AA$2:$BU$2,0))</f>
        <v>0</v>
      </c>
      <c r="AT341" s="495">
        <f t="shared" si="352"/>
        <v>0</v>
      </c>
      <c r="AU341" s="495">
        <f>IF(AT341&gt;0,1+COUNTIF(AU$314:AU340,"&gt;0"),0)</f>
        <v>0</v>
      </c>
      <c r="AV341" s="495" t="str">
        <f t="shared" si="353"/>
        <v/>
      </c>
      <c r="AW341" s="495" t="str">
        <f t="shared" si="312"/>
        <v/>
      </c>
      <c r="AX341" s="496">
        <f t="shared" si="313"/>
        <v>0</v>
      </c>
      <c r="AY341" s="494">
        <f>INDEX(D03_Skills!$AA$3:$BU$41,MATCH(C_Variables!$G347,D03_Skills!$Z$3:$Z$41,0),MATCH(C_Variables!BD$313,D03_Skills!$AA$2:$BU$2,0))</f>
        <v>0</v>
      </c>
      <c r="AZ341" s="495">
        <f t="shared" si="354"/>
        <v>0</v>
      </c>
      <c r="BA341" s="495">
        <f>IF(AZ341&gt;0,1+COUNTIF(BA$314:BA340,"&gt;0"),0)</f>
        <v>0</v>
      </c>
      <c r="BB341" s="495" t="str">
        <f t="shared" si="355"/>
        <v/>
      </c>
      <c r="BC341" s="495" t="str">
        <f t="shared" si="314"/>
        <v/>
      </c>
      <c r="BD341" s="496">
        <f t="shared" si="315"/>
        <v>0</v>
      </c>
      <c r="BE341" s="494">
        <f>INDEX(D03_Skills!$AA$3:$BU$41,MATCH(C_Variables!$G347,D03_Skills!$Z$3:$Z$41,0),MATCH(C_Variables!BJ$313,D03_Skills!$AA$2:$BU$2,0))</f>
        <v>0</v>
      </c>
      <c r="BF341" s="495">
        <f t="shared" si="356"/>
        <v>0</v>
      </c>
      <c r="BG341" s="495">
        <f>IF(BF341&gt;0,1+COUNTIF(BG$314:BG340,"&gt;0"),0)</f>
        <v>0</v>
      </c>
      <c r="BH341" s="495" t="str">
        <f t="shared" si="357"/>
        <v/>
      </c>
      <c r="BI341" s="495" t="str">
        <f t="shared" si="316"/>
        <v/>
      </c>
      <c r="BJ341" s="496">
        <f t="shared" si="317"/>
        <v>0</v>
      </c>
      <c r="BK341" s="494">
        <f>INDEX(D03_Skills!$AA$3:$BU$41,MATCH(C_Variables!$G347,D03_Skills!$Z$3:$Z$41,0),MATCH(C_Variables!BP$313,D03_Skills!$AA$2:$BU$2,0))</f>
        <v>0</v>
      </c>
      <c r="BL341" s="495">
        <f t="shared" si="358"/>
        <v>0</v>
      </c>
      <c r="BM341" s="495">
        <f>IF(BL341&gt;0,1+COUNTIF(BM$314:BM340,"&gt;0"),0)</f>
        <v>0</v>
      </c>
      <c r="BN341" s="495" t="str">
        <f t="shared" si="359"/>
        <v/>
      </c>
      <c r="BO341" s="495" t="str">
        <f t="shared" si="318"/>
        <v/>
      </c>
      <c r="BP341" s="496">
        <f t="shared" si="319"/>
        <v>0</v>
      </c>
      <c r="BQ341" s="494">
        <f>INDEX(D03_Skills!$AA$3:$BU$41,MATCH(C_Variables!$G347,D03_Skills!$Z$3:$Z$41,0),MATCH(C_Variables!BV$313,D03_Skills!$AA$2:$BU$2,0))</f>
        <v>0</v>
      </c>
      <c r="BR341" s="495">
        <f t="shared" si="360"/>
        <v>0</v>
      </c>
      <c r="BS341" s="495">
        <f>IF(BR341&gt;0,1+COUNTIF(BS$314:BS340,"&gt;0"),0)</f>
        <v>0</v>
      </c>
      <c r="BT341" s="495" t="str">
        <f t="shared" si="361"/>
        <v/>
      </c>
      <c r="BU341" s="495" t="str">
        <f t="shared" si="320"/>
        <v/>
      </c>
      <c r="BV341" s="496">
        <f t="shared" si="321"/>
        <v>0</v>
      </c>
      <c r="BW341" s="494">
        <f>INDEX(D03_Skills!$AA$3:$BU$41,MATCH(C_Variables!$G347,D03_Skills!$Z$3:$Z$41,0),MATCH(C_Variables!CB$313,D03_Skills!$AA$2:$BU$2,0))</f>
        <v>0</v>
      </c>
      <c r="BX341" s="495">
        <f t="shared" si="362"/>
        <v>0</v>
      </c>
      <c r="BY341" s="495">
        <f>IF(BX341&gt;0,1+COUNTIF(BY$314:BY340,"&gt;0"),0)</f>
        <v>0</v>
      </c>
      <c r="BZ341" s="495" t="str">
        <f t="shared" si="363"/>
        <v/>
      </c>
      <c r="CA341" s="495" t="str">
        <f t="shared" si="322"/>
        <v/>
      </c>
      <c r="CB341" s="496">
        <f t="shared" si="323"/>
        <v>0</v>
      </c>
      <c r="CC341" s="494" t="e">
        <f>INDEX(D03_Skills!$AA$3:$BU$41,MATCH(C_Variables!$G347,D03_Skills!$Z$3:$Z$41,0),MATCH(C_Variables!CH$313,D03_Skills!$AA$2:$BU$2,0))</f>
        <v>#N/A</v>
      </c>
      <c r="CD341" s="495" t="e">
        <f t="shared" si="364"/>
        <v>#N/A</v>
      </c>
      <c r="CE341" s="495" t="e">
        <f>IF(CD341&gt;0,1+COUNTIF(CE$314:CE340,"&gt;0"),0)</f>
        <v>#N/A</v>
      </c>
      <c r="CF341" s="495" t="e">
        <f t="shared" si="365"/>
        <v>#N/A</v>
      </c>
      <c r="CG341" s="495" t="e">
        <f t="shared" si="324"/>
        <v>#N/A</v>
      </c>
      <c r="CH341" s="496">
        <f t="shared" si="325"/>
        <v>0</v>
      </c>
      <c r="CI341" s="494" t="e">
        <f>INDEX(D03_Skills!$AA$3:$BU$41,MATCH(C_Variables!$G347,D03_Skills!$Z$3:$Z$41,0),MATCH(C_Variables!CN$313,D03_Skills!$AA$2:$BU$2,0))</f>
        <v>#N/A</v>
      </c>
      <c r="CJ341" s="495" t="e">
        <f t="shared" si="366"/>
        <v>#N/A</v>
      </c>
      <c r="CK341" s="495" t="e">
        <f>IF(CJ341&gt;0,1+COUNTIF(CK$314:CK340,"&gt;0"),0)</f>
        <v>#N/A</v>
      </c>
      <c r="CL341" s="495" t="e">
        <f t="shared" si="367"/>
        <v>#N/A</v>
      </c>
      <c r="CM341" s="495" t="e">
        <f t="shared" si="326"/>
        <v>#N/A</v>
      </c>
      <c r="CN341" s="496">
        <f t="shared" si="327"/>
        <v>0</v>
      </c>
      <c r="CO341" s="494" t="e">
        <f>INDEX(D03_Skills!$AA$3:$BU$41,MATCH(C_Variables!$G347,D03_Skills!$Z$3:$Z$41,0),MATCH(C_Variables!CT$313,D03_Skills!$AA$2:$BU$2,0))</f>
        <v>#N/A</v>
      </c>
      <c r="CP341" s="495" t="e">
        <f t="shared" si="368"/>
        <v>#N/A</v>
      </c>
      <c r="CQ341" s="495" t="e">
        <f>IF(CP341&gt;0,1+COUNTIF(CQ$314:CQ340,"&gt;0"),0)</f>
        <v>#N/A</v>
      </c>
      <c r="CR341" s="495" t="e">
        <f t="shared" si="369"/>
        <v>#N/A</v>
      </c>
      <c r="CS341" s="495" t="e">
        <f t="shared" si="328"/>
        <v>#N/A</v>
      </c>
      <c r="CT341" s="496">
        <f t="shared" si="329"/>
        <v>0</v>
      </c>
      <c r="CU341" s="494" t="e">
        <f>INDEX(D03_Skills!$AA$3:$BU$41,MATCH(C_Variables!$G347,D03_Skills!$Z$3:$Z$41,0),MATCH(C_Variables!CZ$313,D03_Skills!$AA$2:$BU$2,0))</f>
        <v>#N/A</v>
      </c>
      <c r="CV341" s="495" t="e">
        <f t="shared" si="370"/>
        <v>#N/A</v>
      </c>
      <c r="CW341" s="495" t="e">
        <f>IF(CV341&gt;0,1+COUNTIF(CW$314:CW340,"&gt;0"),0)</f>
        <v>#N/A</v>
      </c>
      <c r="CX341" s="495" t="e">
        <f t="shared" si="371"/>
        <v>#N/A</v>
      </c>
      <c r="CY341" s="495" t="e">
        <f t="shared" si="330"/>
        <v>#N/A</v>
      </c>
      <c r="CZ341" s="496">
        <f t="shared" si="331"/>
        <v>0</v>
      </c>
      <c r="DA341" s="494" t="e">
        <f>INDEX(D03_Skills!$AA$3:$BU$41,MATCH(C_Variables!$G347,D03_Skills!$Z$3:$Z$41,0),MATCH(C_Variables!DF$313,D03_Skills!$AA$2:$BU$2,0))</f>
        <v>#N/A</v>
      </c>
      <c r="DB341" s="495" t="e">
        <f t="shared" si="372"/>
        <v>#N/A</v>
      </c>
      <c r="DC341" s="495" t="e">
        <f>IF(DB341&gt;0,1+COUNTIF(DC$314:DC340,"&gt;0"),0)</f>
        <v>#N/A</v>
      </c>
      <c r="DD341" s="495" t="e">
        <f t="shared" si="373"/>
        <v>#N/A</v>
      </c>
      <c r="DE341" s="495" t="e">
        <f t="shared" si="332"/>
        <v>#N/A</v>
      </c>
      <c r="DF341" s="496">
        <f t="shared" si="333"/>
        <v>0</v>
      </c>
      <c r="DG341" s="494" t="e">
        <f>INDEX(D03_Skills!$AA$3:$BU$41,MATCH(C_Variables!$G347,D03_Skills!$Z$3:$Z$41,0),MATCH(C_Variables!DL$313,D03_Skills!$AA$2:$BU$2,0))</f>
        <v>#N/A</v>
      </c>
      <c r="DH341" s="495" t="e">
        <f t="shared" si="374"/>
        <v>#N/A</v>
      </c>
      <c r="DI341" s="495" t="e">
        <f>IF(DH341&gt;0,1+COUNTIF(DI$314:DI340,"&gt;0"),0)</f>
        <v>#N/A</v>
      </c>
      <c r="DJ341" s="495" t="e">
        <f t="shared" si="375"/>
        <v>#N/A</v>
      </c>
      <c r="DK341" s="495" t="e">
        <f t="shared" si="334"/>
        <v>#N/A</v>
      </c>
      <c r="DL341" s="496">
        <f t="shared" si="335"/>
        <v>0</v>
      </c>
      <c r="DM341" s="494" t="e">
        <f>INDEX(D03_Skills!$AA$3:$BU$41,MATCH(C_Variables!$G347,D03_Skills!$Z$3:$Z$41,0),MATCH(C_Variables!DR$313,D03_Skills!$AA$2:$BU$2,0))</f>
        <v>#N/A</v>
      </c>
      <c r="DN341" s="495" t="e">
        <f t="shared" si="376"/>
        <v>#N/A</v>
      </c>
      <c r="DO341" s="495" t="e">
        <f>IF(DN341&gt;0,1+COUNTIF(DO$314:DO340,"&gt;0"),0)</f>
        <v>#N/A</v>
      </c>
      <c r="DP341" s="495" t="e">
        <f t="shared" si="377"/>
        <v>#N/A</v>
      </c>
      <c r="DQ341" s="495" t="e">
        <f t="shared" si="336"/>
        <v>#N/A</v>
      </c>
      <c r="DR341" s="496">
        <f t="shared" si="337"/>
        <v>0</v>
      </c>
      <c r="DS341" s="494" t="e">
        <f>INDEX(D03_Skills!$AA$3:$BU$41,MATCH(C_Variables!$G347,D03_Skills!$Z$3:$Z$41,0),MATCH(C_Variables!DX$313,D03_Skills!$AA$2:$BU$2,0))</f>
        <v>#N/A</v>
      </c>
      <c r="DT341" s="495" t="e">
        <f t="shared" si="378"/>
        <v>#N/A</v>
      </c>
      <c r="DU341" s="495" t="e">
        <f>IF(DT341&gt;0,1+COUNTIF(DU$314:DU340,"&gt;0"),0)</f>
        <v>#N/A</v>
      </c>
      <c r="DV341" s="495" t="e">
        <f t="shared" si="379"/>
        <v>#N/A</v>
      </c>
      <c r="DW341" s="495" t="e">
        <f t="shared" si="338"/>
        <v>#N/A</v>
      </c>
      <c r="DX341" s="496">
        <f t="shared" si="339"/>
        <v>0</v>
      </c>
      <c r="DY341" s="501"/>
    </row>
    <row r="342" spans="1:129" ht="16.5" x14ac:dyDescent="0.3">
      <c r="A342" s="155">
        <f>IFERROR(IF(A341+1&lt;MAX(D041_ClassFeatures!$A$2:$A$2033),A341+1,""),"")</f>
        <v>339</v>
      </c>
      <c r="B342" s="153" t="str">
        <f>IFERROR(INDEX(D041_ClassFeatures!$B$2:$B$2033,MATCH(C_Variables!A342,D041_ClassFeatures!$A$2:$A$2033,0),1),"")</f>
        <v>Minor Alchemy</v>
      </c>
      <c r="C342" s="153">
        <f>IF(B342="",0,IF(IFERROR(MATCH(B342,C_Input!$BC$160:$BC$239,0),0)&gt;0,1,0))</f>
        <v>0</v>
      </c>
      <c r="E342" s="501"/>
      <c r="F342" s="501"/>
      <c r="G342" s="6" t="s">
        <v>472</v>
      </c>
      <c r="I342" s="494">
        <f>INDEX(D03_Skills!$AA$3:$BU$41,MATCH(C_Variables!$G348,D03_Skills!$Z$3:$Z$41,0),MATCH(C_Variables!N$313,D03_Skills!$AA$2:$BU$2,0))</f>
        <v>0</v>
      </c>
      <c r="J342" s="495">
        <f t="shared" si="340"/>
        <v>0</v>
      </c>
      <c r="K342" s="495">
        <f>IF(I342&gt;0,1+COUNTIF(K$314:K341,"&gt;0"),0)</f>
        <v>0</v>
      </c>
      <c r="L342" s="495" t="str">
        <f t="shared" si="341"/>
        <v/>
      </c>
      <c r="M342" s="495" t="str">
        <f t="shared" si="300"/>
        <v/>
      </c>
      <c r="N342" s="496">
        <f t="shared" si="301"/>
        <v>0</v>
      </c>
      <c r="O342" s="494">
        <f>INDEX(D03_Skills!$AA$3:$BU$41,MATCH(C_Variables!$G348,D03_Skills!$Z$3:$Z$41,0),MATCH(C_Variables!T$313,D03_Skills!$AA$2:$BU$2,0))</f>
        <v>0</v>
      </c>
      <c r="P342" s="495">
        <f t="shared" si="342"/>
        <v>0</v>
      </c>
      <c r="Q342" s="495">
        <f>IF(P342&gt;0,1+COUNTIF(Q$314:Q341,"&gt;0"),0)</f>
        <v>0</v>
      </c>
      <c r="R342" s="495" t="str">
        <f t="shared" si="343"/>
        <v/>
      </c>
      <c r="S342" s="495" t="str">
        <f t="shared" si="302"/>
        <v/>
      </c>
      <c r="T342" s="496">
        <f t="shared" si="303"/>
        <v>0</v>
      </c>
      <c r="U342" s="494">
        <f>INDEX(D03_Skills!$AA$3:$BU$41,MATCH(C_Variables!$G348,D03_Skills!$Z$3:$Z$41,0),MATCH(C_Variables!Z$313,D03_Skills!$AA$2:$BU$2,0))</f>
        <v>0</v>
      </c>
      <c r="V342" s="495">
        <f t="shared" si="344"/>
        <v>0</v>
      </c>
      <c r="W342" s="495">
        <f>IF(V342&gt;0,1+COUNTIF(W$314:W341,"&gt;0"),0)</f>
        <v>0</v>
      </c>
      <c r="X342" s="495" t="str">
        <f t="shared" si="345"/>
        <v/>
      </c>
      <c r="Y342" s="495" t="str">
        <f t="shared" si="304"/>
        <v/>
      </c>
      <c r="Z342" s="496">
        <f t="shared" si="305"/>
        <v>0</v>
      </c>
      <c r="AA342" s="494">
        <f>INDEX(D03_Skills!$AA$3:$BU$41,MATCH(C_Variables!$G348,D03_Skills!$Z$3:$Z$41,0),MATCH(C_Variables!AF$313,D03_Skills!$AA$2:$BU$2,0))</f>
        <v>0</v>
      </c>
      <c r="AB342" s="495">
        <f t="shared" si="346"/>
        <v>0</v>
      </c>
      <c r="AC342" s="495">
        <f>IF(AB342&gt;0,1+COUNTIF(AC$314:AC341,"&gt;0"),0)</f>
        <v>0</v>
      </c>
      <c r="AD342" s="495" t="str">
        <f t="shared" si="347"/>
        <v/>
      </c>
      <c r="AE342" s="495" t="str">
        <f t="shared" si="306"/>
        <v/>
      </c>
      <c r="AF342" s="496">
        <f t="shared" si="307"/>
        <v>0</v>
      </c>
      <c r="AG342" s="494">
        <f>INDEX(D03_Skills!$AA$3:$BU$41,MATCH(C_Variables!$G348,D03_Skills!$Z$3:$Z$41,0),MATCH(C_Variables!AL$313,D03_Skills!$AA$2:$BU$2,0))</f>
        <v>0</v>
      </c>
      <c r="AH342" s="495">
        <f t="shared" si="348"/>
        <v>0</v>
      </c>
      <c r="AI342" s="495">
        <f>IF(AH342&gt;0,1+COUNTIF(AI$314:AI341,"&gt;0"),0)</f>
        <v>0</v>
      </c>
      <c r="AJ342" s="495" t="str">
        <f t="shared" si="349"/>
        <v/>
      </c>
      <c r="AK342" s="495" t="str">
        <f t="shared" si="308"/>
        <v/>
      </c>
      <c r="AL342" s="496">
        <f t="shared" si="309"/>
        <v>0</v>
      </c>
      <c r="AM342" s="494">
        <f>INDEX(D03_Skills!$AA$3:$BU$41,MATCH(C_Variables!$G348,D03_Skills!$Z$3:$Z$41,0),MATCH(C_Variables!AR$313,D03_Skills!$AA$2:$BU$2,0))</f>
        <v>0</v>
      </c>
      <c r="AN342" s="495">
        <f t="shared" si="350"/>
        <v>0</v>
      </c>
      <c r="AO342" s="495">
        <f>IF(AN342&gt;0,1+COUNTIF(AO$314:AO341,"&gt;0"),0)</f>
        <v>0</v>
      </c>
      <c r="AP342" s="495" t="str">
        <f t="shared" si="351"/>
        <v/>
      </c>
      <c r="AQ342" s="495" t="str">
        <f t="shared" si="310"/>
        <v/>
      </c>
      <c r="AR342" s="496">
        <f t="shared" si="311"/>
        <v>0</v>
      </c>
      <c r="AS342" s="494">
        <f>INDEX(D03_Skills!$AA$3:$BU$41,MATCH(C_Variables!$G348,D03_Skills!$Z$3:$Z$41,0),MATCH(C_Variables!AX$313,D03_Skills!$AA$2:$BU$2,0))</f>
        <v>0</v>
      </c>
      <c r="AT342" s="495">
        <f t="shared" si="352"/>
        <v>0</v>
      </c>
      <c r="AU342" s="495">
        <f>IF(AT342&gt;0,1+COUNTIF(AU$314:AU341,"&gt;0"),0)</f>
        <v>0</v>
      </c>
      <c r="AV342" s="495" t="str">
        <f t="shared" si="353"/>
        <v/>
      </c>
      <c r="AW342" s="495" t="str">
        <f t="shared" si="312"/>
        <v/>
      </c>
      <c r="AX342" s="496">
        <f t="shared" si="313"/>
        <v>0</v>
      </c>
      <c r="AY342" s="494">
        <f>INDEX(D03_Skills!$AA$3:$BU$41,MATCH(C_Variables!$G348,D03_Skills!$Z$3:$Z$41,0),MATCH(C_Variables!BD$313,D03_Skills!$AA$2:$BU$2,0))</f>
        <v>0</v>
      </c>
      <c r="AZ342" s="495">
        <f t="shared" si="354"/>
        <v>0</v>
      </c>
      <c r="BA342" s="495">
        <f>IF(AZ342&gt;0,1+COUNTIF(BA$314:BA341,"&gt;0"),0)</f>
        <v>0</v>
      </c>
      <c r="BB342" s="495" t="str">
        <f t="shared" si="355"/>
        <v/>
      </c>
      <c r="BC342" s="495" t="str">
        <f t="shared" si="314"/>
        <v/>
      </c>
      <c r="BD342" s="496">
        <f t="shared" si="315"/>
        <v>0</v>
      </c>
      <c r="BE342" s="494">
        <f>INDEX(D03_Skills!$AA$3:$BU$41,MATCH(C_Variables!$G348,D03_Skills!$Z$3:$Z$41,0),MATCH(C_Variables!BJ$313,D03_Skills!$AA$2:$BU$2,0))</f>
        <v>0</v>
      </c>
      <c r="BF342" s="495">
        <f t="shared" si="356"/>
        <v>0</v>
      </c>
      <c r="BG342" s="495">
        <f>IF(BF342&gt;0,1+COUNTIF(BG$314:BG341,"&gt;0"),0)</f>
        <v>0</v>
      </c>
      <c r="BH342" s="495" t="str">
        <f t="shared" si="357"/>
        <v/>
      </c>
      <c r="BI342" s="495" t="str">
        <f t="shared" si="316"/>
        <v/>
      </c>
      <c r="BJ342" s="496">
        <f t="shared" si="317"/>
        <v>0</v>
      </c>
      <c r="BK342" s="494">
        <f>INDEX(D03_Skills!$AA$3:$BU$41,MATCH(C_Variables!$G348,D03_Skills!$Z$3:$Z$41,0),MATCH(C_Variables!BP$313,D03_Skills!$AA$2:$BU$2,0))</f>
        <v>0</v>
      </c>
      <c r="BL342" s="495">
        <f t="shared" si="358"/>
        <v>0</v>
      </c>
      <c r="BM342" s="495">
        <f>IF(BL342&gt;0,1+COUNTIF(BM$314:BM341,"&gt;0"),0)</f>
        <v>0</v>
      </c>
      <c r="BN342" s="495" t="str">
        <f t="shared" si="359"/>
        <v/>
      </c>
      <c r="BO342" s="495" t="str">
        <f t="shared" si="318"/>
        <v/>
      </c>
      <c r="BP342" s="496">
        <f t="shared" si="319"/>
        <v>0</v>
      </c>
      <c r="BQ342" s="494">
        <f>INDEX(D03_Skills!$AA$3:$BU$41,MATCH(C_Variables!$G348,D03_Skills!$Z$3:$Z$41,0),MATCH(C_Variables!BV$313,D03_Skills!$AA$2:$BU$2,0))</f>
        <v>0</v>
      </c>
      <c r="BR342" s="495">
        <f t="shared" si="360"/>
        <v>0</v>
      </c>
      <c r="BS342" s="495">
        <f>IF(BR342&gt;0,1+COUNTIF(BS$314:BS341,"&gt;0"),0)</f>
        <v>0</v>
      </c>
      <c r="BT342" s="495" t="str">
        <f t="shared" si="361"/>
        <v/>
      </c>
      <c r="BU342" s="495" t="str">
        <f t="shared" si="320"/>
        <v/>
      </c>
      <c r="BV342" s="496">
        <f t="shared" si="321"/>
        <v>0</v>
      </c>
      <c r="BW342" s="494">
        <f>INDEX(D03_Skills!$AA$3:$BU$41,MATCH(C_Variables!$G348,D03_Skills!$Z$3:$Z$41,0),MATCH(C_Variables!CB$313,D03_Skills!$AA$2:$BU$2,0))</f>
        <v>0</v>
      </c>
      <c r="BX342" s="495">
        <f t="shared" si="362"/>
        <v>0</v>
      </c>
      <c r="BY342" s="495">
        <f>IF(BX342&gt;0,1+COUNTIF(BY$314:BY341,"&gt;0"),0)</f>
        <v>0</v>
      </c>
      <c r="BZ342" s="495" t="str">
        <f t="shared" si="363"/>
        <v/>
      </c>
      <c r="CA342" s="495" t="str">
        <f t="shared" si="322"/>
        <v/>
      </c>
      <c r="CB342" s="496">
        <f t="shared" si="323"/>
        <v>0</v>
      </c>
      <c r="CC342" s="494" t="e">
        <f>INDEX(D03_Skills!$AA$3:$BU$41,MATCH(C_Variables!$G348,D03_Skills!$Z$3:$Z$41,0),MATCH(C_Variables!CH$313,D03_Skills!$AA$2:$BU$2,0))</f>
        <v>#N/A</v>
      </c>
      <c r="CD342" s="495" t="e">
        <f t="shared" si="364"/>
        <v>#N/A</v>
      </c>
      <c r="CE342" s="495" t="e">
        <f>IF(CD342&gt;0,1+COUNTIF(CE$314:CE341,"&gt;0"),0)</f>
        <v>#N/A</v>
      </c>
      <c r="CF342" s="495" t="e">
        <f t="shared" si="365"/>
        <v>#N/A</v>
      </c>
      <c r="CG342" s="495" t="e">
        <f t="shared" si="324"/>
        <v>#N/A</v>
      </c>
      <c r="CH342" s="496">
        <f t="shared" si="325"/>
        <v>0</v>
      </c>
      <c r="CI342" s="494" t="e">
        <f>INDEX(D03_Skills!$AA$3:$BU$41,MATCH(C_Variables!$G348,D03_Skills!$Z$3:$Z$41,0),MATCH(C_Variables!CN$313,D03_Skills!$AA$2:$BU$2,0))</f>
        <v>#N/A</v>
      </c>
      <c r="CJ342" s="495" t="e">
        <f t="shared" si="366"/>
        <v>#N/A</v>
      </c>
      <c r="CK342" s="495" t="e">
        <f>IF(CJ342&gt;0,1+COUNTIF(CK$314:CK341,"&gt;0"),0)</f>
        <v>#N/A</v>
      </c>
      <c r="CL342" s="495" t="e">
        <f t="shared" si="367"/>
        <v>#N/A</v>
      </c>
      <c r="CM342" s="495" t="e">
        <f t="shared" si="326"/>
        <v>#N/A</v>
      </c>
      <c r="CN342" s="496">
        <f t="shared" si="327"/>
        <v>0</v>
      </c>
      <c r="CO342" s="494" t="e">
        <f>INDEX(D03_Skills!$AA$3:$BU$41,MATCH(C_Variables!$G348,D03_Skills!$Z$3:$Z$41,0),MATCH(C_Variables!CT$313,D03_Skills!$AA$2:$BU$2,0))</f>
        <v>#N/A</v>
      </c>
      <c r="CP342" s="495" t="e">
        <f t="shared" si="368"/>
        <v>#N/A</v>
      </c>
      <c r="CQ342" s="495" t="e">
        <f>IF(CP342&gt;0,1+COUNTIF(CQ$314:CQ341,"&gt;0"),0)</f>
        <v>#N/A</v>
      </c>
      <c r="CR342" s="495" t="e">
        <f t="shared" si="369"/>
        <v>#N/A</v>
      </c>
      <c r="CS342" s="495" t="e">
        <f t="shared" si="328"/>
        <v>#N/A</v>
      </c>
      <c r="CT342" s="496">
        <f t="shared" si="329"/>
        <v>0</v>
      </c>
      <c r="CU342" s="494" t="e">
        <f>INDEX(D03_Skills!$AA$3:$BU$41,MATCH(C_Variables!$G348,D03_Skills!$Z$3:$Z$41,0),MATCH(C_Variables!CZ$313,D03_Skills!$AA$2:$BU$2,0))</f>
        <v>#N/A</v>
      </c>
      <c r="CV342" s="495" t="e">
        <f t="shared" si="370"/>
        <v>#N/A</v>
      </c>
      <c r="CW342" s="495" t="e">
        <f>IF(CV342&gt;0,1+COUNTIF(CW$314:CW341,"&gt;0"),0)</f>
        <v>#N/A</v>
      </c>
      <c r="CX342" s="495" t="e">
        <f t="shared" si="371"/>
        <v>#N/A</v>
      </c>
      <c r="CY342" s="495" t="e">
        <f t="shared" si="330"/>
        <v>#N/A</v>
      </c>
      <c r="CZ342" s="496">
        <f t="shared" si="331"/>
        <v>0</v>
      </c>
      <c r="DA342" s="494" t="e">
        <f>INDEX(D03_Skills!$AA$3:$BU$41,MATCH(C_Variables!$G348,D03_Skills!$Z$3:$Z$41,0),MATCH(C_Variables!DF$313,D03_Skills!$AA$2:$BU$2,0))</f>
        <v>#N/A</v>
      </c>
      <c r="DB342" s="495" t="e">
        <f t="shared" si="372"/>
        <v>#N/A</v>
      </c>
      <c r="DC342" s="495" t="e">
        <f>IF(DB342&gt;0,1+COUNTIF(DC$314:DC341,"&gt;0"),0)</f>
        <v>#N/A</v>
      </c>
      <c r="DD342" s="495" t="e">
        <f t="shared" si="373"/>
        <v>#N/A</v>
      </c>
      <c r="DE342" s="495" t="e">
        <f t="shared" si="332"/>
        <v>#N/A</v>
      </c>
      <c r="DF342" s="496">
        <f t="shared" si="333"/>
        <v>0</v>
      </c>
      <c r="DG342" s="494" t="e">
        <f>INDEX(D03_Skills!$AA$3:$BU$41,MATCH(C_Variables!$G348,D03_Skills!$Z$3:$Z$41,0),MATCH(C_Variables!DL$313,D03_Skills!$AA$2:$BU$2,0))</f>
        <v>#N/A</v>
      </c>
      <c r="DH342" s="495" t="e">
        <f t="shared" si="374"/>
        <v>#N/A</v>
      </c>
      <c r="DI342" s="495" t="e">
        <f>IF(DH342&gt;0,1+COUNTIF(DI$314:DI341,"&gt;0"),0)</f>
        <v>#N/A</v>
      </c>
      <c r="DJ342" s="495" t="e">
        <f t="shared" si="375"/>
        <v>#N/A</v>
      </c>
      <c r="DK342" s="495" t="e">
        <f t="shared" si="334"/>
        <v>#N/A</v>
      </c>
      <c r="DL342" s="496">
        <f t="shared" si="335"/>
        <v>0</v>
      </c>
      <c r="DM342" s="494" t="e">
        <f>INDEX(D03_Skills!$AA$3:$BU$41,MATCH(C_Variables!$G348,D03_Skills!$Z$3:$Z$41,0),MATCH(C_Variables!DR$313,D03_Skills!$AA$2:$BU$2,0))</f>
        <v>#N/A</v>
      </c>
      <c r="DN342" s="495" t="e">
        <f t="shared" si="376"/>
        <v>#N/A</v>
      </c>
      <c r="DO342" s="495" t="e">
        <f>IF(DN342&gt;0,1+COUNTIF(DO$314:DO341,"&gt;0"),0)</f>
        <v>#N/A</v>
      </c>
      <c r="DP342" s="495" t="e">
        <f t="shared" si="377"/>
        <v>#N/A</v>
      </c>
      <c r="DQ342" s="495" t="e">
        <f t="shared" si="336"/>
        <v>#N/A</v>
      </c>
      <c r="DR342" s="496">
        <f t="shared" si="337"/>
        <v>0</v>
      </c>
      <c r="DS342" s="494" t="e">
        <f>INDEX(D03_Skills!$AA$3:$BU$41,MATCH(C_Variables!$G348,D03_Skills!$Z$3:$Z$41,0),MATCH(C_Variables!DX$313,D03_Skills!$AA$2:$BU$2,0))</f>
        <v>#N/A</v>
      </c>
      <c r="DT342" s="495" t="e">
        <f t="shared" si="378"/>
        <v>#N/A</v>
      </c>
      <c r="DU342" s="495" t="e">
        <f>IF(DT342&gt;0,1+COUNTIF(DU$314:DU341,"&gt;0"),0)</f>
        <v>#N/A</v>
      </c>
      <c r="DV342" s="495" t="e">
        <f t="shared" si="379"/>
        <v>#N/A</v>
      </c>
      <c r="DW342" s="495" t="e">
        <f t="shared" si="338"/>
        <v>#N/A</v>
      </c>
      <c r="DX342" s="496">
        <f t="shared" si="339"/>
        <v>0</v>
      </c>
      <c r="DY342" s="501"/>
    </row>
    <row r="343" spans="1:129" ht="16.5" x14ac:dyDescent="0.3">
      <c r="A343" s="155">
        <f>IFERROR(IF(A342+1&lt;MAX(D041_ClassFeatures!$A$2:$A$2033),A342+1,""),"")</f>
        <v>340</v>
      </c>
      <c r="B343" s="153" t="str">
        <f>IFERROR(INDEX(D041_ClassFeatures!$B$2:$B$2033,MATCH(C_Variables!A343,D041_ClassFeatures!$A$2:$A$2033,0),1),"")</f>
        <v>Transmuter's Stone</v>
      </c>
      <c r="C343" s="153">
        <f>IF(B343="",0,IF(IFERROR(MATCH(B343,C_Input!$BC$160:$BC$239,0),0)&gt;0,1,0))</f>
        <v>0</v>
      </c>
      <c r="E343" s="501"/>
      <c r="F343" s="501"/>
      <c r="G343" s="6" t="s">
        <v>333</v>
      </c>
      <c r="I343" s="494">
        <f>INDEX(D03_Skills!$AA$3:$BU$41,MATCH(C_Variables!$G349,D03_Skills!$Z$3:$Z$41,0),MATCH(C_Variables!N$313,D03_Skills!$AA$2:$BU$2,0))</f>
        <v>0</v>
      </c>
      <c r="J343" s="495">
        <f t="shared" si="340"/>
        <v>0</v>
      </c>
      <c r="K343" s="495">
        <f>IF(I343&gt;0,1+COUNTIF(K$314:K342,"&gt;0"),0)</f>
        <v>0</v>
      </c>
      <c r="L343" s="495" t="str">
        <f t="shared" si="341"/>
        <v/>
      </c>
      <c r="M343" s="495" t="str">
        <f t="shared" si="300"/>
        <v/>
      </c>
      <c r="N343" s="496">
        <f t="shared" si="301"/>
        <v>0</v>
      </c>
      <c r="O343" s="494">
        <f>INDEX(D03_Skills!$AA$3:$BU$41,MATCH(C_Variables!$G349,D03_Skills!$Z$3:$Z$41,0),MATCH(C_Variables!T$313,D03_Skills!$AA$2:$BU$2,0))</f>
        <v>0</v>
      </c>
      <c r="P343" s="495">
        <f t="shared" si="342"/>
        <v>0</v>
      </c>
      <c r="Q343" s="495">
        <f>IF(P343&gt;0,1+COUNTIF(Q$314:Q342,"&gt;0"),0)</f>
        <v>0</v>
      </c>
      <c r="R343" s="495" t="str">
        <f t="shared" si="343"/>
        <v/>
      </c>
      <c r="S343" s="495" t="str">
        <f t="shared" si="302"/>
        <v/>
      </c>
      <c r="T343" s="496">
        <f t="shared" si="303"/>
        <v>0</v>
      </c>
      <c r="U343" s="494">
        <f>INDEX(D03_Skills!$AA$3:$BU$41,MATCH(C_Variables!$G349,D03_Skills!$Z$3:$Z$41,0),MATCH(C_Variables!Z$313,D03_Skills!$AA$2:$BU$2,0))</f>
        <v>0</v>
      </c>
      <c r="V343" s="495">
        <f t="shared" si="344"/>
        <v>0</v>
      </c>
      <c r="W343" s="495">
        <f>IF(V343&gt;0,1+COUNTIF(W$314:W342,"&gt;0"),0)</f>
        <v>0</v>
      </c>
      <c r="X343" s="495" t="str">
        <f t="shared" si="345"/>
        <v/>
      </c>
      <c r="Y343" s="495" t="str">
        <f t="shared" si="304"/>
        <v/>
      </c>
      <c r="Z343" s="496">
        <f t="shared" si="305"/>
        <v>0</v>
      </c>
      <c r="AA343" s="494">
        <f>INDEX(D03_Skills!$AA$3:$BU$41,MATCH(C_Variables!$G349,D03_Skills!$Z$3:$Z$41,0),MATCH(C_Variables!AF$313,D03_Skills!$AA$2:$BU$2,0))</f>
        <v>0</v>
      </c>
      <c r="AB343" s="495">
        <f t="shared" si="346"/>
        <v>0</v>
      </c>
      <c r="AC343" s="495">
        <f>IF(AB343&gt;0,1+COUNTIF(AC$314:AC342,"&gt;0"),0)</f>
        <v>0</v>
      </c>
      <c r="AD343" s="495" t="str">
        <f t="shared" si="347"/>
        <v/>
      </c>
      <c r="AE343" s="495" t="str">
        <f t="shared" si="306"/>
        <v/>
      </c>
      <c r="AF343" s="496">
        <f t="shared" si="307"/>
        <v>0</v>
      </c>
      <c r="AG343" s="494">
        <f>INDEX(D03_Skills!$AA$3:$BU$41,MATCH(C_Variables!$G349,D03_Skills!$Z$3:$Z$41,0),MATCH(C_Variables!AL$313,D03_Skills!$AA$2:$BU$2,0))</f>
        <v>0</v>
      </c>
      <c r="AH343" s="495">
        <f t="shared" si="348"/>
        <v>0</v>
      </c>
      <c r="AI343" s="495">
        <f>IF(AH343&gt;0,1+COUNTIF(AI$314:AI342,"&gt;0"),0)</f>
        <v>0</v>
      </c>
      <c r="AJ343" s="495" t="str">
        <f t="shared" si="349"/>
        <v/>
      </c>
      <c r="AK343" s="495" t="str">
        <f t="shared" si="308"/>
        <v/>
      </c>
      <c r="AL343" s="496">
        <f t="shared" si="309"/>
        <v>0</v>
      </c>
      <c r="AM343" s="494">
        <f>INDEX(D03_Skills!$AA$3:$BU$41,MATCH(C_Variables!$G349,D03_Skills!$Z$3:$Z$41,0),MATCH(C_Variables!AR$313,D03_Skills!$AA$2:$BU$2,0))</f>
        <v>0</v>
      </c>
      <c r="AN343" s="495">
        <f t="shared" si="350"/>
        <v>0</v>
      </c>
      <c r="AO343" s="495">
        <f>IF(AN343&gt;0,1+COUNTIF(AO$314:AO342,"&gt;0"),0)</f>
        <v>0</v>
      </c>
      <c r="AP343" s="495" t="str">
        <f t="shared" si="351"/>
        <v/>
      </c>
      <c r="AQ343" s="495" t="str">
        <f t="shared" si="310"/>
        <v/>
      </c>
      <c r="AR343" s="496">
        <f t="shared" si="311"/>
        <v>0</v>
      </c>
      <c r="AS343" s="494">
        <f>INDEX(D03_Skills!$AA$3:$BU$41,MATCH(C_Variables!$G349,D03_Skills!$Z$3:$Z$41,0),MATCH(C_Variables!AX$313,D03_Skills!$AA$2:$BU$2,0))</f>
        <v>0</v>
      </c>
      <c r="AT343" s="495">
        <f t="shared" si="352"/>
        <v>0</v>
      </c>
      <c r="AU343" s="495">
        <f>IF(AT343&gt;0,1+COUNTIF(AU$314:AU342,"&gt;0"),0)</f>
        <v>0</v>
      </c>
      <c r="AV343" s="495" t="str">
        <f t="shared" si="353"/>
        <v/>
      </c>
      <c r="AW343" s="495" t="str">
        <f t="shared" si="312"/>
        <v/>
      </c>
      <c r="AX343" s="496">
        <f t="shared" si="313"/>
        <v>0</v>
      </c>
      <c r="AY343" s="494">
        <f>INDEX(D03_Skills!$AA$3:$BU$41,MATCH(C_Variables!$G349,D03_Skills!$Z$3:$Z$41,0),MATCH(C_Variables!BD$313,D03_Skills!$AA$2:$BU$2,0))</f>
        <v>0</v>
      </c>
      <c r="AZ343" s="495">
        <f t="shared" si="354"/>
        <v>0</v>
      </c>
      <c r="BA343" s="495">
        <f>IF(AZ343&gt;0,1+COUNTIF(BA$314:BA342,"&gt;0"),0)</f>
        <v>0</v>
      </c>
      <c r="BB343" s="495" t="str">
        <f t="shared" si="355"/>
        <v/>
      </c>
      <c r="BC343" s="495" t="str">
        <f t="shared" si="314"/>
        <v/>
      </c>
      <c r="BD343" s="496">
        <f t="shared" si="315"/>
        <v>0</v>
      </c>
      <c r="BE343" s="494">
        <f>INDEX(D03_Skills!$AA$3:$BU$41,MATCH(C_Variables!$G349,D03_Skills!$Z$3:$Z$41,0),MATCH(C_Variables!BJ$313,D03_Skills!$AA$2:$BU$2,0))</f>
        <v>0</v>
      </c>
      <c r="BF343" s="495">
        <f t="shared" si="356"/>
        <v>0</v>
      </c>
      <c r="BG343" s="495">
        <f>IF(BF343&gt;0,1+COUNTIF(BG$314:BG342,"&gt;0"),0)</f>
        <v>0</v>
      </c>
      <c r="BH343" s="495" t="str">
        <f t="shared" si="357"/>
        <v/>
      </c>
      <c r="BI343" s="495" t="str">
        <f t="shared" si="316"/>
        <v/>
      </c>
      <c r="BJ343" s="496">
        <f t="shared" si="317"/>
        <v>0</v>
      </c>
      <c r="BK343" s="494">
        <f>INDEX(D03_Skills!$AA$3:$BU$41,MATCH(C_Variables!$G349,D03_Skills!$Z$3:$Z$41,0),MATCH(C_Variables!BP$313,D03_Skills!$AA$2:$BU$2,0))</f>
        <v>0</v>
      </c>
      <c r="BL343" s="495">
        <f t="shared" si="358"/>
        <v>0</v>
      </c>
      <c r="BM343" s="495">
        <f>IF(BL343&gt;0,1+COUNTIF(BM$314:BM342,"&gt;0"),0)</f>
        <v>0</v>
      </c>
      <c r="BN343" s="495" t="str">
        <f t="shared" si="359"/>
        <v/>
      </c>
      <c r="BO343" s="495" t="str">
        <f t="shared" si="318"/>
        <v/>
      </c>
      <c r="BP343" s="496">
        <f t="shared" si="319"/>
        <v>0</v>
      </c>
      <c r="BQ343" s="494">
        <f>INDEX(D03_Skills!$AA$3:$BU$41,MATCH(C_Variables!$G349,D03_Skills!$Z$3:$Z$41,0),MATCH(C_Variables!BV$313,D03_Skills!$AA$2:$BU$2,0))</f>
        <v>0</v>
      </c>
      <c r="BR343" s="495">
        <f t="shared" si="360"/>
        <v>0</v>
      </c>
      <c r="BS343" s="495">
        <f>IF(BR343&gt;0,1+COUNTIF(BS$314:BS342,"&gt;0"),0)</f>
        <v>0</v>
      </c>
      <c r="BT343" s="495" t="str">
        <f t="shared" si="361"/>
        <v/>
      </c>
      <c r="BU343" s="495" t="str">
        <f t="shared" si="320"/>
        <v/>
      </c>
      <c r="BV343" s="496">
        <f t="shared" si="321"/>
        <v>0</v>
      </c>
      <c r="BW343" s="494">
        <f>INDEX(D03_Skills!$AA$3:$BU$41,MATCH(C_Variables!$G349,D03_Skills!$Z$3:$Z$41,0),MATCH(C_Variables!CB$313,D03_Skills!$AA$2:$BU$2,0))</f>
        <v>0</v>
      </c>
      <c r="BX343" s="495">
        <f t="shared" si="362"/>
        <v>0</v>
      </c>
      <c r="BY343" s="495">
        <f>IF(BX343&gt;0,1+COUNTIF(BY$314:BY342,"&gt;0"),0)</f>
        <v>0</v>
      </c>
      <c r="BZ343" s="495" t="str">
        <f t="shared" si="363"/>
        <v/>
      </c>
      <c r="CA343" s="495" t="str">
        <f t="shared" si="322"/>
        <v/>
      </c>
      <c r="CB343" s="496">
        <f t="shared" si="323"/>
        <v>0</v>
      </c>
      <c r="CC343" s="494" t="e">
        <f>INDEX(D03_Skills!$AA$3:$BU$41,MATCH(C_Variables!$G349,D03_Skills!$Z$3:$Z$41,0),MATCH(C_Variables!CH$313,D03_Skills!$AA$2:$BU$2,0))</f>
        <v>#N/A</v>
      </c>
      <c r="CD343" s="495" t="e">
        <f t="shared" si="364"/>
        <v>#N/A</v>
      </c>
      <c r="CE343" s="495" t="e">
        <f>IF(CD343&gt;0,1+COUNTIF(CE$314:CE342,"&gt;0"),0)</f>
        <v>#N/A</v>
      </c>
      <c r="CF343" s="495" t="e">
        <f t="shared" si="365"/>
        <v>#N/A</v>
      </c>
      <c r="CG343" s="495" t="e">
        <f t="shared" si="324"/>
        <v>#N/A</v>
      </c>
      <c r="CH343" s="496">
        <f t="shared" si="325"/>
        <v>0</v>
      </c>
      <c r="CI343" s="494" t="e">
        <f>INDEX(D03_Skills!$AA$3:$BU$41,MATCH(C_Variables!$G349,D03_Skills!$Z$3:$Z$41,0),MATCH(C_Variables!CN$313,D03_Skills!$AA$2:$BU$2,0))</f>
        <v>#N/A</v>
      </c>
      <c r="CJ343" s="495" t="e">
        <f t="shared" si="366"/>
        <v>#N/A</v>
      </c>
      <c r="CK343" s="495" t="e">
        <f>IF(CJ343&gt;0,1+COUNTIF(CK$314:CK342,"&gt;0"),0)</f>
        <v>#N/A</v>
      </c>
      <c r="CL343" s="495" t="e">
        <f t="shared" si="367"/>
        <v>#N/A</v>
      </c>
      <c r="CM343" s="495" t="e">
        <f t="shared" si="326"/>
        <v>#N/A</v>
      </c>
      <c r="CN343" s="496">
        <f t="shared" si="327"/>
        <v>0</v>
      </c>
      <c r="CO343" s="494" t="e">
        <f>INDEX(D03_Skills!$AA$3:$BU$41,MATCH(C_Variables!$G349,D03_Skills!$Z$3:$Z$41,0),MATCH(C_Variables!CT$313,D03_Skills!$AA$2:$BU$2,0))</f>
        <v>#N/A</v>
      </c>
      <c r="CP343" s="495" t="e">
        <f t="shared" si="368"/>
        <v>#N/A</v>
      </c>
      <c r="CQ343" s="495" t="e">
        <f>IF(CP343&gt;0,1+COUNTIF(CQ$314:CQ342,"&gt;0"),0)</f>
        <v>#N/A</v>
      </c>
      <c r="CR343" s="495" t="e">
        <f t="shared" si="369"/>
        <v>#N/A</v>
      </c>
      <c r="CS343" s="495" t="e">
        <f t="shared" si="328"/>
        <v>#N/A</v>
      </c>
      <c r="CT343" s="496">
        <f t="shared" si="329"/>
        <v>0</v>
      </c>
      <c r="CU343" s="494" t="e">
        <f>INDEX(D03_Skills!$AA$3:$BU$41,MATCH(C_Variables!$G349,D03_Skills!$Z$3:$Z$41,0),MATCH(C_Variables!CZ$313,D03_Skills!$AA$2:$BU$2,0))</f>
        <v>#N/A</v>
      </c>
      <c r="CV343" s="495" t="e">
        <f t="shared" si="370"/>
        <v>#N/A</v>
      </c>
      <c r="CW343" s="495" t="e">
        <f>IF(CV343&gt;0,1+COUNTIF(CW$314:CW342,"&gt;0"),0)</f>
        <v>#N/A</v>
      </c>
      <c r="CX343" s="495" t="e">
        <f t="shared" si="371"/>
        <v>#N/A</v>
      </c>
      <c r="CY343" s="495" t="e">
        <f t="shared" si="330"/>
        <v>#N/A</v>
      </c>
      <c r="CZ343" s="496">
        <f t="shared" si="331"/>
        <v>0</v>
      </c>
      <c r="DA343" s="494" t="e">
        <f>INDEX(D03_Skills!$AA$3:$BU$41,MATCH(C_Variables!$G349,D03_Skills!$Z$3:$Z$41,0),MATCH(C_Variables!DF$313,D03_Skills!$AA$2:$BU$2,0))</f>
        <v>#N/A</v>
      </c>
      <c r="DB343" s="495" t="e">
        <f t="shared" si="372"/>
        <v>#N/A</v>
      </c>
      <c r="DC343" s="495" t="e">
        <f>IF(DB343&gt;0,1+COUNTIF(DC$314:DC342,"&gt;0"),0)</f>
        <v>#N/A</v>
      </c>
      <c r="DD343" s="495" t="e">
        <f t="shared" si="373"/>
        <v>#N/A</v>
      </c>
      <c r="DE343" s="495" t="e">
        <f t="shared" si="332"/>
        <v>#N/A</v>
      </c>
      <c r="DF343" s="496">
        <f t="shared" si="333"/>
        <v>0</v>
      </c>
      <c r="DG343" s="494" t="e">
        <f>INDEX(D03_Skills!$AA$3:$BU$41,MATCH(C_Variables!$G349,D03_Skills!$Z$3:$Z$41,0),MATCH(C_Variables!DL$313,D03_Skills!$AA$2:$BU$2,0))</f>
        <v>#N/A</v>
      </c>
      <c r="DH343" s="495" t="e">
        <f t="shared" si="374"/>
        <v>#N/A</v>
      </c>
      <c r="DI343" s="495" t="e">
        <f>IF(DH343&gt;0,1+COUNTIF(DI$314:DI342,"&gt;0"),0)</f>
        <v>#N/A</v>
      </c>
      <c r="DJ343" s="495" t="e">
        <f t="shared" si="375"/>
        <v>#N/A</v>
      </c>
      <c r="DK343" s="495" t="e">
        <f t="shared" si="334"/>
        <v>#N/A</v>
      </c>
      <c r="DL343" s="496">
        <f t="shared" si="335"/>
        <v>0</v>
      </c>
      <c r="DM343" s="494" t="e">
        <f>INDEX(D03_Skills!$AA$3:$BU$41,MATCH(C_Variables!$G349,D03_Skills!$Z$3:$Z$41,0),MATCH(C_Variables!DR$313,D03_Skills!$AA$2:$BU$2,0))</f>
        <v>#N/A</v>
      </c>
      <c r="DN343" s="495" t="e">
        <f t="shared" si="376"/>
        <v>#N/A</v>
      </c>
      <c r="DO343" s="495" t="e">
        <f>IF(DN343&gt;0,1+COUNTIF(DO$314:DO342,"&gt;0"),0)</f>
        <v>#N/A</v>
      </c>
      <c r="DP343" s="495" t="e">
        <f t="shared" si="377"/>
        <v>#N/A</v>
      </c>
      <c r="DQ343" s="495" t="e">
        <f t="shared" si="336"/>
        <v>#N/A</v>
      </c>
      <c r="DR343" s="496">
        <f t="shared" si="337"/>
        <v>0</v>
      </c>
      <c r="DS343" s="494" t="e">
        <f>INDEX(D03_Skills!$AA$3:$BU$41,MATCH(C_Variables!$G349,D03_Skills!$Z$3:$Z$41,0),MATCH(C_Variables!DX$313,D03_Skills!$AA$2:$BU$2,0))</f>
        <v>#N/A</v>
      </c>
      <c r="DT343" s="495" t="e">
        <f t="shared" si="378"/>
        <v>#N/A</v>
      </c>
      <c r="DU343" s="495" t="e">
        <f>IF(DT343&gt;0,1+COUNTIF(DU$314:DU342,"&gt;0"),0)</f>
        <v>#N/A</v>
      </c>
      <c r="DV343" s="495" t="e">
        <f t="shared" si="379"/>
        <v>#N/A</v>
      </c>
      <c r="DW343" s="495" t="e">
        <f t="shared" si="338"/>
        <v>#N/A</v>
      </c>
      <c r="DX343" s="496">
        <f t="shared" si="339"/>
        <v>0</v>
      </c>
      <c r="DY343" s="501"/>
    </row>
    <row r="344" spans="1:129" ht="16.5" x14ac:dyDescent="0.3">
      <c r="A344" s="155">
        <f>IFERROR(IF(A343+1&lt;MAX(D041_ClassFeatures!$A$2:$A$2033),A343+1,""),"")</f>
        <v>341</v>
      </c>
      <c r="B344" s="153" t="str">
        <f>IFERROR(INDEX(D041_ClassFeatures!$B$2:$B$2033,MATCH(C_Variables!A344,D041_ClassFeatures!$A$2:$A$2033,0),1),"")</f>
        <v>Shapechanger</v>
      </c>
      <c r="C344" s="153">
        <f>IF(B344="",0,IF(IFERROR(MATCH(B344,C_Input!$BC$160:$BC$239,0),0)&gt;0,1,0))</f>
        <v>0</v>
      </c>
      <c r="E344" s="501"/>
      <c r="F344" s="501"/>
      <c r="G344" s="6" t="s">
        <v>203</v>
      </c>
      <c r="I344" s="494">
        <f>INDEX(D03_Skills!$AA$3:$BU$41,MATCH(C_Variables!$G350,D03_Skills!$Z$3:$Z$41,0),MATCH(C_Variables!N$313,D03_Skills!$AA$2:$BU$2,0))</f>
        <v>0</v>
      </c>
      <c r="J344" s="495">
        <f t="shared" si="340"/>
        <v>0</v>
      </c>
      <c r="K344" s="495">
        <f>IF(I344&gt;0,1+COUNTIF(K$314:K343,"&gt;0"),0)</f>
        <v>0</v>
      </c>
      <c r="L344" s="495" t="str">
        <f t="shared" si="341"/>
        <v/>
      </c>
      <c r="M344" s="495" t="str">
        <f t="shared" si="300"/>
        <v/>
      </c>
      <c r="N344" s="496">
        <f t="shared" si="301"/>
        <v>0</v>
      </c>
      <c r="O344" s="494">
        <f>INDEX(D03_Skills!$AA$3:$BU$41,MATCH(C_Variables!$G350,D03_Skills!$Z$3:$Z$41,0),MATCH(C_Variables!T$313,D03_Skills!$AA$2:$BU$2,0))</f>
        <v>0</v>
      </c>
      <c r="P344" s="495">
        <f t="shared" si="342"/>
        <v>0</v>
      </c>
      <c r="Q344" s="495">
        <f>IF(P344&gt;0,1+COUNTIF(Q$314:Q343,"&gt;0"),0)</f>
        <v>0</v>
      </c>
      <c r="R344" s="495" t="str">
        <f t="shared" si="343"/>
        <v/>
      </c>
      <c r="S344" s="495" t="str">
        <f t="shared" si="302"/>
        <v/>
      </c>
      <c r="T344" s="496">
        <f t="shared" si="303"/>
        <v>0</v>
      </c>
      <c r="U344" s="494">
        <f>INDEX(D03_Skills!$AA$3:$BU$41,MATCH(C_Variables!$G350,D03_Skills!$Z$3:$Z$41,0),MATCH(C_Variables!Z$313,D03_Skills!$AA$2:$BU$2,0))</f>
        <v>0</v>
      </c>
      <c r="V344" s="495">
        <f t="shared" si="344"/>
        <v>0</v>
      </c>
      <c r="W344" s="495">
        <f>IF(V344&gt;0,1+COUNTIF(W$314:W343,"&gt;0"),0)</f>
        <v>0</v>
      </c>
      <c r="X344" s="495" t="str">
        <f t="shared" si="345"/>
        <v/>
      </c>
      <c r="Y344" s="495" t="str">
        <f t="shared" si="304"/>
        <v/>
      </c>
      <c r="Z344" s="496">
        <f t="shared" si="305"/>
        <v>0</v>
      </c>
      <c r="AA344" s="494">
        <f>INDEX(D03_Skills!$AA$3:$BU$41,MATCH(C_Variables!$G350,D03_Skills!$Z$3:$Z$41,0),MATCH(C_Variables!AF$313,D03_Skills!$AA$2:$BU$2,0))</f>
        <v>0</v>
      </c>
      <c r="AB344" s="495">
        <f t="shared" si="346"/>
        <v>0</v>
      </c>
      <c r="AC344" s="495">
        <f>IF(AB344&gt;0,1+COUNTIF(AC$314:AC343,"&gt;0"),0)</f>
        <v>0</v>
      </c>
      <c r="AD344" s="495" t="str">
        <f t="shared" si="347"/>
        <v/>
      </c>
      <c r="AE344" s="495" t="str">
        <f t="shared" si="306"/>
        <v/>
      </c>
      <c r="AF344" s="496">
        <f t="shared" si="307"/>
        <v>0</v>
      </c>
      <c r="AG344" s="494">
        <f>INDEX(D03_Skills!$AA$3:$BU$41,MATCH(C_Variables!$G350,D03_Skills!$Z$3:$Z$41,0),MATCH(C_Variables!AL$313,D03_Skills!$AA$2:$BU$2,0))</f>
        <v>0</v>
      </c>
      <c r="AH344" s="495">
        <f t="shared" si="348"/>
        <v>0</v>
      </c>
      <c r="AI344" s="495">
        <f>IF(AH344&gt;0,1+COUNTIF(AI$314:AI343,"&gt;0"),0)</f>
        <v>0</v>
      </c>
      <c r="AJ344" s="495" t="str">
        <f t="shared" si="349"/>
        <v/>
      </c>
      <c r="AK344" s="495" t="str">
        <f t="shared" si="308"/>
        <v/>
      </c>
      <c r="AL344" s="496">
        <f t="shared" si="309"/>
        <v>0</v>
      </c>
      <c r="AM344" s="494">
        <f>INDEX(D03_Skills!$AA$3:$BU$41,MATCH(C_Variables!$G350,D03_Skills!$Z$3:$Z$41,0),MATCH(C_Variables!AR$313,D03_Skills!$AA$2:$BU$2,0))</f>
        <v>0</v>
      </c>
      <c r="AN344" s="495">
        <f t="shared" si="350"/>
        <v>0</v>
      </c>
      <c r="AO344" s="495">
        <f>IF(AN344&gt;0,1+COUNTIF(AO$314:AO343,"&gt;0"),0)</f>
        <v>0</v>
      </c>
      <c r="AP344" s="495" t="str">
        <f t="shared" si="351"/>
        <v/>
      </c>
      <c r="AQ344" s="495" t="str">
        <f t="shared" si="310"/>
        <v/>
      </c>
      <c r="AR344" s="496">
        <f t="shared" si="311"/>
        <v>0</v>
      </c>
      <c r="AS344" s="494">
        <f>INDEX(D03_Skills!$AA$3:$BU$41,MATCH(C_Variables!$G350,D03_Skills!$Z$3:$Z$41,0),MATCH(C_Variables!AX$313,D03_Skills!$AA$2:$BU$2,0))</f>
        <v>0</v>
      </c>
      <c r="AT344" s="495">
        <f t="shared" si="352"/>
        <v>0</v>
      </c>
      <c r="AU344" s="495">
        <f>IF(AT344&gt;0,1+COUNTIF(AU$314:AU343,"&gt;0"),0)</f>
        <v>0</v>
      </c>
      <c r="AV344" s="495" t="str">
        <f t="shared" si="353"/>
        <v/>
      </c>
      <c r="AW344" s="495" t="str">
        <f t="shared" si="312"/>
        <v/>
      </c>
      <c r="AX344" s="496">
        <f t="shared" si="313"/>
        <v>0</v>
      </c>
      <c r="AY344" s="494">
        <f>INDEX(D03_Skills!$AA$3:$BU$41,MATCH(C_Variables!$G350,D03_Skills!$Z$3:$Z$41,0),MATCH(C_Variables!BD$313,D03_Skills!$AA$2:$BU$2,0))</f>
        <v>0</v>
      </c>
      <c r="AZ344" s="495">
        <f t="shared" si="354"/>
        <v>0</v>
      </c>
      <c r="BA344" s="495">
        <f>IF(AZ344&gt;0,1+COUNTIF(BA$314:BA343,"&gt;0"),0)</f>
        <v>0</v>
      </c>
      <c r="BB344" s="495" t="str">
        <f t="shared" si="355"/>
        <v/>
      </c>
      <c r="BC344" s="495" t="str">
        <f t="shared" si="314"/>
        <v/>
      </c>
      <c r="BD344" s="496">
        <f t="shared" si="315"/>
        <v>0</v>
      </c>
      <c r="BE344" s="494">
        <f>INDEX(D03_Skills!$AA$3:$BU$41,MATCH(C_Variables!$G350,D03_Skills!$Z$3:$Z$41,0),MATCH(C_Variables!BJ$313,D03_Skills!$AA$2:$BU$2,0))</f>
        <v>0</v>
      </c>
      <c r="BF344" s="495">
        <f t="shared" si="356"/>
        <v>0</v>
      </c>
      <c r="BG344" s="495">
        <f>IF(BF344&gt;0,1+COUNTIF(BG$314:BG343,"&gt;0"),0)</f>
        <v>0</v>
      </c>
      <c r="BH344" s="495" t="str">
        <f t="shared" si="357"/>
        <v/>
      </c>
      <c r="BI344" s="495" t="str">
        <f t="shared" si="316"/>
        <v/>
      </c>
      <c r="BJ344" s="496">
        <f t="shared" si="317"/>
        <v>0</v>
      </c>
      <c r="BK344" s="494">
        <f>INDEX(D03_Skills!$AA$3:$BU$41,MATCH(C_Variables!$G350,D03_Skills!$Z$3:$Z$41,0),MATCH(C_Variables!BP$313,D03_Skills!$AA$2:$BU$2,0))</f>
        <v>0</v>
      </c>
      <c r="BL344" s="495">
        <f t="shared" si="358"/>
        <v>0</v>
      </c>
      <c r="BM344" s="495">
        <f>IF(BL344&gt;0,1+COUNTIF(BM$314:BM343,"&gt;0"),0)</f>
        <v>0</v>
      </c>
      <c r="BN344" s="495" t="str">
        <f t="shared" si="359"/>
        <v/>
      </c>
      <c r="BO344" s="495" t="str">
        <f t="shared" si="318"/>
        <v/>
      </c>
      <c r="BP344" s="496">
        <f t="shared" si="319"/>
        <v>0</v>
      </c>
      <c r="BQ344" s="494">
        <f>INDEX(D03_Skills!$AA$3:$BU$41,MATCH(C_Variables!$G350,D03_Skills!$Z$3:$Z$41,0),MATCH(C_Variables!BV$313,D03_Skills!$AA$2:$BU$2,0))</f>
        <v>0</v>
      </c>
      <c r="BR344" s="495">
        <f t="shared" si="360"/>
        <v>0</v>
      </c>
      <c r="BS344" s="495">
        <f>IF(BR344&gt;0,1+COUNTIF(BS$314:BS343,"&gt;0"),0)</f>
        <v>0</v>
      </c>
      <c r="BT344" s="495" t="str">
        <f t="shared" si="361"/>
        <v/>
      </c>
      <c r="BU344" s="495" t="str">
        <f t="shared" si="320"/>
        <v/>
      </c>
      <c r="BV344" s="496">
        <f t="shared" si="321"/>
        <v>0</v>
      </c>
      <c r="BW344" s="494">
        <f>INDEX(D03_Skills!$AA$3:$BU$41,MATCH(C_Variables!$G350,D03_Skills!$Z$3:$Z$41,0),MATCH(C_Variables!CB$313,D03_Skills!$AA$2:$BU$2,0))</f>
        <v>0</v>
      </c>
      <c r="BX344" s="495">
        <f t="shared" si="362"/>
        <v>0</v>
      </c>
      <c r="BY344" s="495">
        <f>IF(BX344&gt;0,1+COUNTIF(BY$314:BY343,"&gt;0"),0)</f>
        <v>0</v>
      </c>
      <c r="BZ344" s="495" t="str">
        <f t="shared" si="363"/>
        <v/>
      </c>
      <c r="CA344" s="495" t="str">
        <f t="shared" si="322"/>
        <v/>
      </c>
      <c r="CB344" s="496">
        <f t="shared" si="323"/>
        <v>0</v>
      </c>
      <c r="CC344" s="494" t="e">
        <f>INDEX(D03_Skills!$AA$3:$BU$41,MATCH(C_Variables!$G350,D03_Skills!$Z$3:$Z$41,0),MATCH(C_Variables!CH$313,D03_Skills!$AA$2:$BU$2,0))</f>
        <v>#N/A</v>
      </c>
      <c r="CD344" s="495" t="e">
        <f t="shared" si="364"/>
        <v>#N/A</v>
      </c>
      <c r="CE344" s="495" t="e">
        <f>IF(CD344&gt;0,1+COUNTIF(CE$314:CE343,"&gt;0"),0)</f>
        <v>#N/A</v>
      </c>
      <c r="CF344" s="495" t="e">
        <f t="shared" si="365"/>
        <v>#N/A</v>
      </c>
      <c r="CG344" s="495" t="e">
        <f t="shared" si="324"/>
        <v>#N/A</v>
      </c>
      <c r="CH344" s="496">
        <f t="shared" si="325"/>
        <v>0</v>
      </c>
      <c r="CI344" s="494" t="e">
        <f>INDEX(D03_Skills!$AA$3:$BU$41,MATCH(C_Variables!$G350,D03_Skills!$Z$3:$Z$41,0),MATCH(C_Variables!CN$313,D03_Skills!$AA$2:$BU$2,0))</f>
        <v>#N/A</v>
      </c>
      <c r="CJ344" s="495" t="e">
        <f t="shared" si="366"/>
        <v>#N/A</v>
      </c>
      <c r="CK344" s="495" t="e">
        <f>IF(CJ344&gt;0,1+COUNTIF(CK$314:CK343,"&gt;0"),0)</f>
        <v>#N/A</v>
      </c>
      <c r="CL344" s="495" t="e">
        <f t="shared" si="367"/>
        <v>#N/A</v>
      </c>
      <c r="CM344" s="495" t="e">
        <f t="shared" si="326"/>
        <v>#N/A</v>
      </c>
      <c r="CN344" s="496">
        <f t="shared" si="327"/>
        <v>0</v>
      </c>
      <c r="CO344" s="494" t="e">
        <f>INDEX(D03_Skills!$AA$3:$BU$41,MATCH(C_Variables!$G350,D03_Skills!$Z$3:$Z$41,0),MATCH(C_Variables!CT$313,D03_Skills!$AA$2:$BU$2,0))</f>
        <v>#N/A</v>
      </c>
      <c r="CP344" s="495" t="e">
        <f t="shared" si="368"/>
        <v>#N/A</v>
      </c>
      <c r="CQ344" s="495" t="e">
        <f>IF(CP344&gt;0,1+COUNTIF(CQ$314:CQ343,"&gt;0"),0)</f>
        <v>#N/A</v>
      </c>
      <c r="CR344" s="495" t="e">
        <f t="shared" si="369"/>
        <v>#N/A</v>
      </c>
      <c r="CS344" s="495" t="e">
        <f t="shared" si="328"/>
        <v>#N/A</v>
      </c>
      <c r="CT344" s="496">
        <f t="shared" si="329"/>
        <v>0</v>
      </c>
      <c r="CU344" s="494" t="e">
        <f>INDEX(D03_Skills!$AA$3:$BU$41,MATCH(C_Variables!$G350,D03_Skills!$Z$3:$Z$41,0),MATCH(C_Variables!CZ$313,D03_Skills!$AA$2:$BU$2,0))</f>
        <v>#N/A</v>
      </c>
      <c r="CV344" s="495" t="e">
        <f t="shared" si="370"/>
        <v>#N/A</v>
      </c>
      <c r="CW344" s="495" t="e">
        <f>IF(CV344&gt;0,1+COUNTIF(CW$314:CW343,"&gt;0"),0)</f>
        <v>#N/A</v>
      </c>
      <c r="CX344" s="495" t="e">
        <f t="shared" si="371"/>
        <v>#N/A</v>
      </c>
      <c r="CY344" s="495" t="e">
        <f t="shared" si="330"/>
        <v>#N/A</v>
      </c>
      <c r="CZ344" s="496">
        <f t="shared" si="331"/>
        <v>0</v>
      </c>
      <c r="DA344" s="494" t="e">
        <f>INDEX(D03_Skills!$AA$3:$BU$41,MATCH(C_Variables!$G350,D03_Skills!$Z$3:$Z$41,0),MATCH(C_Variables!DF$313,D03_Skills!$AA$2:$BU$2,0))</f>
        <v>#N/A</v>
      </c>
      <c r="DB344" s="495" t="e">
        <f t="shared" si="372"/>
        <v>#N/A</v>
      </c>
      <c r="DC344" s="495" t="e">
        <f>IF(DB344&gt;0,1+COUNTIF(DC$314:DC343,"&gt;0"),0)</f>
        <v>#N/A</v>
      </c>
      <c r="DD344" s="495" t="e">
        <f t="shared" si="373"/>
        <v>#N/A</v>
      </c>
      <c r="DE344" s="495" t="e">
        <f t="shared" si="332"/>
        <v>#N/A</v>
      </c>
      <c r="DF344" s="496">
        <f t="shared" si="333"/>
        <v>0</v>
      </c>
      <c r="DG344" s="494" t="e">
        <f>INDEX(D03_Skills!$AA$3:$BU$41,MATCH(C_Variables!$G350,D03_Skills!$Z$3:$Z$41,0),MATCH(C_Variables!DL$313,D03_Skills!$AA$2:$BU$2,0))</f>
        <v>#N/A</v>
      </c>
      <c r="DH344" s="495" t="e">
        <f t="shared" si="374"/>
        <v>#N/A</v>
      </c>
      <c r="DI344" s="495" t="e">
        <f>IF(DH344&gt;0,1+COUNTIF(DI$314:DI343,"&gt;0"),0)</f>
        <v>#N/A</v>
      </c>
      <c r="DJ344" s="495" t="e">
        <f t="shared" si="375"/>
        <v>#N/A</v>
      </c>
      <c r="DK344" s="495" t="e">
        <f t="shared" si="334"/>
        <v>#N/A</v>
      </c>
      <c r="DL344" s="496">
        <f t="shared" si="335"/>
        <v>0</v>
      </c>
      <c r="DM344" s="494" t="e">
        <f>INDEX(D03_Skills!$AA$3:$BU$41,MATCH(C_Variables!$G350,D03_Skills!$Z$3:$Z$41,0),MATCH(C_Variables!DR$313,D03_Skills!$AA$2:$BU$2,0))</f>
        <v>#N/A</v>
      </c>
      <c r="DN344" s="495" t="e">
        <f t="shared" si="376"/>
        <v>#N/A</v>
      </c>
      <c r="DO344" s="495" t="e">
        <f>IF(DN344&gt;0,1+COUNTIF(DO$314:DO343,"&gt;0"),0)</f>
        <v>#N/A</v>
      </c>
      <c r="DP344" s="495" t="e">
        <f t="shared" si="377"/>
        <v>#N/A</v>
      </c>
      <c r="DQ344" s="495" t="e">
        <f t="shared" si="336"/>
        <v>#N/A</v>
      </c>
      <c r="DR344" s="496">
        <f t="shared" si="337"/>
        <v>0</v>
      </c>
      <c r="DS344" s="494" t="e">
        <f>INDEX(D03_Skills!$AA$3:$BU$41,MATCH(C_Variables!$G350,D03_Skills!$Z$3:$Z$41,0),MATCH(C_Variables!DX$313,D03_Skills!$AA$2:$BU$2,0))</f>
        <v>#N/A</v>
      </c>
      <c r="DT344" s="495" t="e">
        <f t="shared" si="378"/>
        <v>#N/A</v>
      </c>
      <c r="DU344" s="495" t="e">
        <f>IF(DT344&gt;0,1+COUNTIF(DU$314:DU343,"&gt;0"),0)</f>
        <v>#N/A</v>
      </c>
      <c r="DV344" s="495" t="e">
        <f t="shared" si="379"/>
        <v>#N/A</v>
      </c>
      <c r="DW344" s="495" t="e">
        <f t="shared" si="338"/>
        <v>#N/A</v>
      </c>
      <c r="DX344" s="496">
        <f t="shared" si="339"/>
        <v>0</v>
      </c>
      <c r="DY344" s="501"/>
    </row>
    <row r="345" spans="1:129" ht="16.5" x14ac:dyDescent="0.3">
      <c r="A345" s="155">
        <f>IFERROR(IF(A344+1&lt;MAX(D041_ClassFeatures!$A$2:$A$2033),A344+1,""),"")</f>
        <v>342</v>
      </c>
      <c r="B345" s="153" t="str">
        <f>IFERROR(INDEX(D041_ClassFeatures!$B$2:$B$2033,MATCH(C_Variables!A345,D041_ClassFeatures!$A$2:$A$2033,0),1),"")</f>
        <v>Master Transmuter</v>
      </c>
      <c r="C345" s="153">
        <f>IF(B345="",0,IF(IFERROR(MATCH(B345,C_Input!$BC$160:$BC$239,0),0)&gt;0,1,0))</f>
        <v>0</v>
      </c>
      <c r="E345" s="501"/>
      <c r="F345" s="501"/>
      <c r="G345" s="6" t="s">
        <v>295</v>
      </c>
      <c r="I345" s="494">
        <f>INDEX(D03_Skills!$AA$3:$BU$41,MATCH(C_Variables!$G351,D03_Skills!$Z$3:$Z$41,0),MATCH(C_Variables!N$313,D03_Skills!$AA$2:$BU$2,0))</f>
        <v>0</v>
      </c>
      <c r="J345" s="495">
        <f t="shared" si="340"/>
        <v>0</v>
      </c>
      <c r="K345" s="495">
        <f>IF(I345&gt;0,1+COUNTIF(K$314:K344,"&gt;0"),0)</f>
        <v>0</v>
      </c>
      <c r="L345" s="495" t="str">
        <f t="shared" si="341"/>
        <v/>
      </c>
      <c r="M345" s="495" t="str">
        <f t="shared" si="300"/>
        <v/>
      </c>
      <c r="N345" s="496">
        <f t="shared" si="301"/>
        <v>0</v>
      </c>
      <c r="O345" s="494">
        <f>INDEX(D03_Skills!$AA$3:$BU$41,MATCH(C_Variables!$G351,D03_Skills!$Z$3:$Z$41,0),MATCH(C_Variables!T$313,D03_Skills!$AA$2:$BU$2,0))</f>
        <v>0</v>
      </c>
      <c r="P345" s="495">
        <f t="shared" si="342"/>
        <v>0</v>
      </c>
      <c r="Q345" s="495">
        <f>IF(P345&gt;0,1+COUNTIF(Q$314:Q344,"&gt;0"),0)</f>
        <v>0</v>
      </c>
      <c r="R345" s="495" t="str">
        <f t="shared" si="343"/>
        <v/>
      </c>
      <c r="S345" s="495" t="str">
        <f t="shared" si="302"/>
        <v/>
      </c>
      <c r="T345" s="496">
        <f t="shared" si="303"/>
        <v>0</v>
      </c>
      <c r="U345" s="494">
        <f>INDEX(D03_Skills!$AA$3:$BU$41,MATCH(C_Variables!$G351,D03_Skills!$Z$3:$Z$41,0),MATCH(C_Variables!Z$313,D03_Skills!$AA$2:$BU$2,0))</f>
        <v>0</v>
      </c>
      <c r="V345" s="495">
        <f t="shared" si="344"/>
        <v>0</v>
      </c>
      <c r="W345" s="495">
        <f>IF(V345&gt;0,1+COUNTIF(W$314:W344,"&gt;0"),0)</f>
        <v>0</v>
      </c>
      <c r="X345" s="495" t="str">
        <f t="shared" si="345"/>
        <v/>
      </c>
      <c r="Y345" s="495" t="str">
        <f t="shared" si="304"/>
        <v/>
      </c>
      <c r="Z345" s="496">
        <f t="shared" si="305"/>
        <v>0</v>
      </c>
      <c r="AA345" s="494">
        <f>INDEX(D03_Skills!$AA$3:$BU$41,MATCH(C_Variables!$G351,D03_Skills!$Z$3:$Z$41,0),MATCH(C_Variables!AF$313,D03_Skills!$AA$2:$BU$2,0))</f>
        <v>0</v>
      </c>
      <c r="AB345" s="495">
        <f t="shared" si="346"/>
        <v>0</v>
      </c>
      <c r="AC345" s="495">
        <f>IF(AB345&gt;0,1+COUNTIF(AC$314:AC344,"&gt;0"),0)</f>
        <v>0</v>
      </c>
      <c r="AD345" s="495" t="str">
        <f t="shared" si="347"/>
        <v/>
      </c>
      <c r="AE345" s="495" t="str">
        <f t="shared" si="306"/>
        <v/>
      </c>
      <c r="AF345" s="496">
        <f t="shared" si="307"/>
        <v>0</v>
      </c>
      <c r="AG345" s="494">
        <f>INDEX(D03_Skills!$AA$3:$BU$41,MATCH(C_Variables!$G351,D03_Skills!$Z$3:$Z$41,0),MATCH(C_Variables!AL$313,D03_Skills!$AA$2:$BU$2,0))</f>
        <v>0</v>
      </c>
      <c r="AH345" s="495">
        <f t="shared" si="348"/>
        <v>0</v>
      </c>
      <c r="AI345" s="495">
        <f>IF(AH345&gt;0,1+COUNTIF(AI$314:AI344,"&gt;0"),0)</f>
        <v>0</v>
      </c>
      <c r="AJ345" s="495" t="str">
        <f t="shared" si="349"/>
        <v/>
      </c>
      <c r="AK345" s="495" t="str">
        <f t="shared" si="308"/>
        <v/>
      </c>
      <c r="AL345" s="496">
        <f t="shared" si="309"/>
        <v>0</v>
      </c>
      <c r="AM345" s="494">
        <f>INDEX(D03_Skills!$AA$3:$BU$41,MATCH(C_Variables!$G351,D03_Skills!$Z$3:$Z$41,0),MATCH(C_Variables!AR$313,D03_Skills!$AA$2:$BU$2,0))</f>
        <v>0</v>
      </c>
      <c r="AN345" s="495">
        <f t="shared" si="350"/>
        <v>0</v>
      </c>
      <c r="AO345" s="495">
        <f>IF(AN345&gt;0,1+COUNTIF(AO$314:AO344,"&gt;0"),0)</f>
        <v>0</v>
      </c>
      <c r="AP345" s="495" t="str">
        <f t="shared" si="351"/>
        <v/>
      </c>
      <c r="AQ345" s="495" t="str">
        <f t="shared" si="310"/>
        <v/>
      </c>
      <c r="AR345" s="496">
        <f t="shared" si="311"/>
        <v>0</v>
      </c>
      <c r="AS345" s="494">
        <f>INDEX(D03_Skills!$AA$3:$BU$41,MATCH(C_Variables!$G351,D03_Skills!$Z$3:$Z$41,0),MATCH(C_Variables!AX$313,D03_Skills!$AA$2:$BU$2,0))</f>
        <v>0</v>
      </c>
      <c r="AT345" s="495">
        <f t="shared" si="352"/>
        <v>0</v>
      </c>
      <c r="AU345" s="495">
        <f>IF(AT345&gt;0,1+COUNTIF(AU$314:AU344,"&gt;0"),0)</f>
        <v>0</v>
      </c>
      <c r="AV345" s="495" t="str">
        <f t="shared" si="353"/>
        <v/>
      </c>
      <c r="AW345" s="495" t="str">
        <f t="shared" si="312"/>
        <v/>
      </c>
      <c r="AX345" s="496">
        <f t="shared" si="313"/>
        <v>0</v>
      </c>
      <c r="AY345" s="494">
        <f>INDEX(D03_Skills!$AA$3:$BU$41,MATCH(C_Variables!$G351,D03_Skills!$Z$3:$Z$41,0),MATCH(C_Variables!BD$313,D03_Skills!$AA$2:$BU$2,0))</f>
        <v>0</v>
      </c>
      <c r="AZ345" s="495">
        <f t="shared" si="354"/>
        <v>0</v>
      </c>
      <c r="BA345" s="495">
        <f>IF(AZ345&gt;0,1+COUNTIF(BA$314:BA344,"&gt;0"),0)</f>
        <v>0</v>
      </c>
      <c r="BB345" s="495" t="str">
        <f t="shared" si="355"/>
        <v/>
      </c>
      <c r="BC345" s="495" t="str">
        <f t="shared" si="314"/>
        <v/>
      </c>
      <c r="BD345" s="496">
        <f t="shared" si="315"/>
        <v>0</v>
      </c>
      <c r="BE345" s="494">
        <f>INDEX(D03_Skills!$AA$3:$BU$41,MATCH(C_Variables!$G351,D03_Skills!$Z$3:$Z$41,0),MATCH(C_Variables!BJ$313,D03_Skills!$AA$2:$BU$2,0))</f>
        <v>0</v>
      </c>
      <c r="BF345" s="495">
        <f t="shared" si="356"/>
        <v>0</v>
      </c>
      <c r="BG345" s="495">
        <f>IF(BF345&gt;0,1+COUNTIF(BG$314:BG344,"&gt;0"),0)</f>
        <v>0</v>
      </c>
      <c r="BH345" s="495" t="str">
        <f t="shared" si="357"/>
        <v/>
      </c>
      <c r="BI345" s="495" t="str">
        <f t="shared" si="316"/>
        <v/>
      </c>
      <c r="BJ345" s="496">
        <f t="shared" si="317"/>
        <v>0</v>
      </c>
      <c r="BK345" s="494">
        <f>INDEX(D03_Skills!$AA$3:$BU$41,MATCH(C_Variables!$G351,D03_Skills!$Z$3:$Z$41,0),MATCH(C_Variables!BP$313,D03_Skills!$AA$2:$BU$2,0))</f>
        <v>0</v>
      </c>
      <c r="BL345" s="495">
        <f t="shared" si="358"/>
        <v>0</v>
      </c>
      <c r="BM345" s="495">
        <f>IF(BL345&gt;0,1+COUNTIF(BM$314:BM344,"&gt;0"),0)</f>
        <v>0</v>
      </c>
      <c r="BN345" s="495" t="str">
        <f t="shared" si="359"/>
        <v/>
      </c>
      <c r="BO345" s="495" t="str">
        <f t="shared" si="318"/>
        <v/>
      </c>
      <c r="BP345" s="496">
        <f t="shared" si="319"/>
        <v>0</v>
      </c>
      <c r="BQ345" s="494">
        <f>INDEX(D03_Skills!$AA$3:$BU$41,MATCH(C_Variables!$G351,D03_Skills!$Z$3:$Z$41,0),MATCH(C_Variables!BV$313,D03_Skills!$AA$2:$BU$2,0))</f>
        <v>0</v>
      </c>
      <c r="BR345" s="495">
        <f t="shared" si="360"/>
        <v>0</v>
      </c>
      <c r="BS345" s="495">
        <f>IF(BR345&gt;0,1+COUNTIF(BS$314:BS344,"&gt;0"),0)</f>
        <v>0</v>
      </c>
      <c r="BT345" s="495" t="str">
        <f t="shared" si="361"/>
        <v/>
      </c>
      <c r="BU345" s="495" t="str">
        <f t="shared" si="320"/>
        <v/>
      </c>
      <c r="BV345" s="496">
        <f t="shared" si="321"/>
        <v>0</v>
      </c>
      <c r="BW345" s="494">
        <f>INDEX(D03_Skills!$AA$3:$BU$41,MATCH(C_Variables!$G351,D03_Skills!$Z$3:$Z$41,0),MATCH(C_Variables!CB$313,D03_Skills!$AA$2:$BU$2,0))</f>
        <v>0</v>
      </c>
      <c r="BX345" s="495">
        <f t="shared" si="362"/>
        <v>0</v>
      </c>
      <c r="BY345" s="495">
        <f>IF(BX345&gt;0,1+COUNTIF(BY$314:BY344,"&gt;0"),0)</f>
        <v>0</v>
      </c>
      <c r="BZ345" s="495" t="str">
        <f t="shared" si="363"/>
        <v/>
      </c>
      <c r="CA345" s="495" t="str">
        <f t="shared" si="322"/>
        <v/>
      </c>
      <c r="CB345" s="496">
        <f t="shared" si="323"/>
        <v>0</v>
      </c>
      <c r="CC345" s="494" t="e">
        <f>INDEX(D03_Skills!$AA$3:$BU$41,MATCH(C_Variables!$G351,D03_Skills!$Z$3:$Z$41,0),MATCH(C_Variables!CH$313,D03_Skills!$AA$2:$BU$2,0))</f>
        <v>#N/A</v>
      </c>
      <c r="CD345" s="495" t="e">
        <f t="shared" si="364"/>
        <v>#N/A</v>
      </c>
      <c r="CE345" s="495" t="e">
        <f>IF(CD345&gt;0,1+COUNTIF(CE$314:CE344,"&gt;0"),0)</f>
        <v>#N/A</v>
      </c>
      <c r="CF345" s="495" t="e">
        <f t="shared" si="365"/>
        <v>#N/A</v>
      </c>
      <c r="CG345" s="495" t="e">
        <f t="shared" si="324"/>
        <v>#N/A</v>
      </c>
      <c r="CH345" s="496">
        <f t="shared" si="325"/>
        <v>0</v>
      </c>
      <c r="CI345" s="494" t="e">
        <f>INDEX(D03_Skills!$AA$3:$BU$41,MATCH(C_Variables!$G351,D03_Skills!$Z$3:$Z$41,0),MATCH(C_Variables!CN$313,D03_Skills!$AA$2:$BU$2,0))</f>
        <v>#N/A</v>
      </c>
      <c r="CJ345" s="495" t="e">
        <f t="shared" si="366"/>
        <v>#N/A</v>
      </c>
      <c r="CK345" s="495" t="e">
        <f>IF(CJ345&gt;0,1+COUNTIF(CK$314:CK344,"&gt;0"),0)</f>
        <v>#N/A</v>
      </c>
      <c r="CL345" s="495" t="e">
        <f t="shared" si="367"/>
        <v>#N/A</v>
      </c>
      <c r="CM345" s="495" t="e">
        <f t="shared" si="326"/>
        <v>#N/A</v>
      </c>
      <c r="CN345" s="496">
        <f t="shared" si="327"/>
        <v>0</v>
      </c>
      <c r="CO345" s="494" t="e">
        <f>INDEX(D03_Skills!$AA$3:$BU$41,MATCH(C_Variables!$G351,D03_Skills!$Z$3:$Z$41,0),MATCH(C_Variables!CT$313,D03_Skills!$AA$2:$BU$2,0))</f>
        <v>#N/A</v>
      </c>
      <c r="CP345" s="495" t="e">
        <f t="shared" si="368"/>
        <v>#N/A</v>
      </c>
      <c r="CQ345" s="495" t="e">
        <f>IF(CP345&gt;0,1+COUNTIF(CQ$314:CQ344,"&gt;0"),0)</f>
        <v>#N/A</v>
      </c>
      <c r="CR345" s="495" t="e">
        <f t="shared" si="369"/>
        <v>#N/A</v>
      </c>
      <c r="CS345" s="495" t="e">
        <f t="shared" si="328"/>
        <v>#N/A</v>
      </c>
      <c r="CT345" s="496">
        <f t="shared" si="329"/>
        <v>0</v>
      </c>
      <c r="CU345" s="494" t="e">
        <f>INDEX(D03_Skills!$AA$3:$BU$41,MATCH(C_Variables!$G351,D03_Skills!$Z$3:$Z$41,0),MATCH(C_Variables!CZ$313,D03_Skills!$AA$2:$BU$2,0))</f>
        <v>#N/A</v>
      </c>
      <c r="CV345" s="495" t="e">
        <f t="shared" si="370"/>
        <v>#N/A</v>
      </c>
      <c r="CW345" s="495" t="e">
        <f>IF(CV345&gt;0,1+COUNTIF(CW$314:CW344,"&gt;0"),0)</f>
        <v>#N/A</v>
      </c>
      <c r="CX345" s="495" t="e">
        <f t="shared" si="371"/>
        <v>#N/A</v>
      </c>
      <c r="CY345" s="495" t="e">
        <f t="shared" si="330"/>
        <v>#N/A</v>
      </c>
      <c r="CZ345" s="496">
        <f t="shared" si="331"/>
        <v>0</v>
      </c>
      <c r="DA345" s="494" t="e">
        <f>INDEX(D03_Skills!$AA$3:$BU$41,MATCH(C_Variables!$G351,D03_Skills!$Z$3:$Z$41,0),MATCH(C_Variables!DF$313,D03_Skills!$AA$2:$BU$2,0))</f>
        <v>#N/A</v>
      </c>
      <c r="DB345" s="495" t="e">
        <f t="shared" si="372"/>
        <v>#N/A</v>
      </c>
      <c r="DC345" s="495" t="e">
        <f>IF(DB345&gt;0,1+COUNTIF(DC$314:DC344,"&gt;0"),0)</f>
        <v>#N/A</v>
      </c>
      <c r="DD345" s="495" t="e">
        <f t="shared" si="373"/>
        <v>#N/A</v>
      </c>
      <c r="DE345" s="495" t="e">
        <f t="shared" si="332"/>
        <v>#N/A</v>
      </c>
      <c r="DF345" s="496">
        <f t="shared" si="333"/>
        <v>0</v>
      </c>
      <c r="DG345" s="494" t="e">
        <f>INDEX(D03_Skills!$AA$3:$BU$41,MATCH(C_Variables!$G351,D03_Skills!$Z$3:$Z$41,0),MATCH(C_Variables!DL$313,D03_Skills!$AA$2:$BU$2,0))</f>
        <v>#N/A</v>
      </c>
      <c r="DH345" s="495" t="e">
        <f t="shared" si="374"/>
        <v>#N/A</v>
      </c>
      <c r="DI345" s="495" t="e">
        <f>IF(DH345&gt;0,1+COUNTIF(DI$314:DI344,"&gt;0"),0)</f>
        <v>#N/A</v>
      </c>
      <c r="DJ345" s="495" t="e">
        <f t="shared" si="375"/>
        <v>#N/A</v>
      </c>
      <c r="DK345" s="495" t="e">
        <f t="shared" si="334"/>
        <v>#N/A</v>
      </c>
      <c r="DL345" s="496">
        <f t="shared" si="335"/>
        <v>0</v>
      </c>
      <c r="DM345" s="494" t="e">
        <f>INDEX(D03_Skills!$AA$3:$BU$41,MATCH(C_Variables!$G351,D03_Skills!$Z$3:$Z$41,0),MATCH(C_Variables!DR$313,D03_Skills!$AA$2:$BU$2,0))</f>
        <v>#N/A</v>
      </c>
      <c r="DN345" s="495" t="e">
        <f t="shared" si="376"/>
        <v>#N/A</v>
      </c>
      <c r="DO345" s="495" t="e">
        <f>IF(DN345&gt;0,1+COUNTIF(DO$314:DO344,"&gt;0"),0)</f>
        <v>#N/A</v>
      </c>
      <c r="DP345" s="495" t="e">
        <f t="shared" si="377"/>
        <v>#N/A</v>
      </c>
      <c r="DQ345" s="495" t="e">
        <f t="shared" si="336"/>
        <v>#N/A</v>
      </c>
      <c r="DR345" s="496">
        <f t="shared" si="337"/>
        <v>0</v>
      </c>
      <c r="DS345" s="494" t="e">
        <f>INDEX(D03_Skills!$AA$3:$BU$41,MATCH(C_Variables!$G351,D03_Skills!$Z$3:$Z$41,0),MATCH(C_Variables!DX$313,D03_Skills!$AA$2:$BU$2,0))</f>
        <v>#N/A</v>
      </c>
      <c r="DT345" s="495" t="e">
        <f t="shared" si="378"/>
        <v>#N/A</v>
      </c>
      <c r="DU345" s="495" t="e">
        <f>IF(DT345&gt;0,1+COUNTIF(DU$314:DU344,"&gt;0"),0)</f>
        <v>#N/A</v>
      </c>
      <c r="DV345" s="495" t="e">
        <f t="shared" si="379"/>
        <v>#N/A</v>
      </c>
      <c r="DW345" s="495" t="e">
        <f t="shared" si="338"/>
        <v>#N/A</v>
      </c>
      <c r="DX345" s="496">
        <f t="shared" si="339"/>
        <v>0</v>
      </c>
      <c r="DY345" s="501"/>
    </row>
    <row r="346" spans="1:129" ht="16.5" x14ac:dyDescent="0.3">
      <c r="A346" s="155">
        <f>IFERROR(IF(A345+1&lt;MAX(D041_ClassFeatures!$A$2:$A$2033),A345+1,""),"")</f>
        <v>343</v>
      </c>
      <c r="B346" s="153" t="str">
        <f>IFERROR(INDEX(D041_ClassFeatures!$B$2:$B$2033,MATCH(C_Variables!A346,D041_ClassFeatures!$A$2:$A$2033,0),1),"")</f>
        <v>Spellcasting (Bard)</v>
      </c>
      <c r="C346" s="153">
        <f>IF(B346="",0,IF(IFERROR(MATCH(B346,C_Input!$BC$160:$BC$239,0),0)&gt;0,1,0))</f>
        <v>0</v>
      </c>
      <c r="E346" s="501"/>
      <c r="F346" s="501"/>
      <c r="G346" s="6" t="s">
        <v>296</v>
      </c>
      <c r="I346" s="494">
        <f>INDEX(D03_Skills!$AA$3:$BU$41,MATCH(C_Variables!$G352,D03_Skills!$Z$3:$Z$41,0),MATCH(C_Variables!N$313,D03_Skills!$AA$2:$BU$2,0))</f>
        <v>0</v>
      </c>
      <c r="J346" s="495">
        <f t="shared" si="340"/>
        <v>0</v>
      </c>
      <c r="K346" s="495">
        <f>IF(I346&gt;0,1+COUNTIF(K$314:K345,"&gt;0"),0)</f>
        <v>0</v>
      </c>
      <c r="L346" s="495" t="str">
        <f t="shared" si="341"/>
        <v/>
      </c>
      <c r="M346" s="495" t="str">
        <f t="shared" si="300"/>
        <v/>
      </c>
      <c r="N346" s="496">
        <f t="shared" si="301"/>
        <v>0</v>
      </c>
      <c r="O346" s="494">
        <f>INDEX(D03_Skills!$AA$3:$BU$41,MATCH(C_Variables!$G352,D03_Skills!$Z$3:$Z$41,0),MATCH(C_Variables!T$313,D03_Skills!$AA$2:$BU$2,0))</f>
        <v>0</v>
      </c>
      <c r="P346" s="495">
        <f t="shared" si="342"/>
        <v>0</v>
      </c>
      <c r="Q346" s="495">
        <f>IF(P346&gt;0,1+COUNTIF(Q$314:Q345,"&gt;0"),0)</f>
        <v>0</v>
      </c>
      <c r="R346" s="495" t="str">
        <f t="shared" si="343"/>
        <v/>
      </c>
      <c r="S346" s="495" t="str">
        <f t="shared" si="302"/>
        <v/>
      </c>
      <c r="T346" s="496">
        <f t="shared" si="303"/>
        <v>0</v>
      </c>
      <c r="U346" s="494">
        <f>INDEX(D03_Skills!$AA$3:$BU$41,MATCH(C_Variables!$G352,D03_Skills!$Z$3:$Z$41,0),MATCH(C_Variables!Z$313,D03_Skills!$AA$2:$BU$2,0))</f>
        <v>0</v>
      </c>
      <c r="V346" s="495">
        <f t="shared" si="344"/>
        <v>0</v>
      </c>
      <c r="W346" s="495">
        <f>IF(V346&gt;0,1+COUNTIF(W$314:W345,"&gt;0"),0)</f>
        <v>0</v>
      </c>
      <c r="X346" s="495" t="str">
        <f t="shared" si="345"/>
        <v/>
      </c>
      <c r="Y346" s="495" t="str">
        <f t="shared" si="304"/>
        <v/>
      </c>
      <c r="Z346" s="496">
        <f t="shared" si="305"/>
        <v>0</v>
      </c>
      <c r="AA346" s="494">
        <f>INDEX(D03_Skills!$AA$3:$BU$41,MATCH(C_Variables!$G352,D03_Skills!$Z$3:$Z$41,0),MATCH(C_Variables!AF$313,D03_Skills!$AA$2:$BU$2,0))</f>
        <v>0</v>
      </c>
      <c r="AB346" s="495">
        <f t="shared" si="346"/>
        <v>0</v>
      </c>
      <c r="AC346" s="495">
        <f>IF(AB346&gt;0,1+COUNTIF(AC$314:AC345,"&gt;0"),0)</f>
        <v>0</v>
      </c>
      <c r="AD346" s="495" t="str">
        <f t="shared" si="347"/>
        <v/>
      </c>
      <c r="AE346" s="495" t="str">
        <f t="shared" si="306"/>
        <v/>
      </c>
      <c r="AF346" s="496">
        <f t="shared" si="307"/>
        <v>0</v>
      </c>
      <c r="AG346" s="494">
        <f>INDEX(D03_Skills!$AA$3:$BU$41,MATCH(C_Variables!$G352,D03_Skills!$Z$3:$Z$41,0),MATCH(C_Variables!AL$313,D03_Skills!$AA$2:$BU$2,0))</f>
        <v>0</v>
      </c>
      <c r="AH346" s="495">
        <f t="shared" si="348"/>
        <v>0</v>
      </c>
      <c r="AI346" s="495">
        <f>IF(AH346&gt;0,1+COUNTIF(AI$314:AI345,"&gt;0"),0)</f>
        <v>0</v>
      </c>
      <c r="AJ346" s="495" t="str">
        <f t="shared" si="349"/>
        <v/>
      </c>
      <c r="AK346" s="495" t="str">
        <f t="shared" si="308"/>
        <v/>
      </c>
      <c r="AL346" s="496">
        <f t="shared" si="309"/>
        <v>0</v>
      </c>
      <c r="AM346" s="494">
        <f>INDEX(D03_Skills!$AA$3:$BU$41,MATCH(C_Variables!$G352,D03_Skills!$Z$3:$Z$41,0),MATCH(C_Variables!AR$313,D03_Skills!$AA$2:$BU$2,0))</f>
        <v>0</v>
      </c>
      <c r="AN346" s="495">
        <f t="shared" si="350"/>
        <v>0</v>
      </c>
      <c r="AO346" s="495">
        <f>IF(AN346&gt;0,1+COUNTIF(AO$314:AO345,"&gt;0"),0)</f>
        <v>0</v>
      </c>
      <c r="AP346" s="495" t="str">
        <f t="shared" si="351"/>
        <v/>
      </c>
      <c r="AQ346" s="495" t="str">
        <f t="shared" si="310"/>
        <v/>
      </c>
      <c r="AR346" s="496">
        <f t="shared" si="311"/>
        <v>0</v>
      </c>
      <c r="AS346" s="494">
        <f>INDEX(D03_Skills!$AA$3:$BU$41,MATCH(C_Variables!$G352,D03_Skills!$Z$3:$Z$41,0),MATCH(C_Variables!AX$313,D03_Skills!$AA$2:$BU$2,0))</f>
        <v>0</v>
      </c>
      <c r="AT346" s="495">
        <f t="shared" si="352"/>
        <v>0</v>
      </c>
      <c r="AU346" s="495">
        <f>IF(AT346&gt;0,1+COUNTIF(AU$314:AU345,"&gt;0"),0)</f>
        <v>0</v>
      </c>
      <c r="AV346" s="495" t="str">
        <f t="shared" si="353"/>
        <v/>
      </c>
      <c r="AW346" s="495" t="str">
        <f t="shared" si="312"/>
        <v/>
      </c>
      <c r="AX346" s="496">
        <f t="shared" si="313"/>
        <v>0</v>
      </c>
      <c r="AY346" s="494">
        <f>INDEX(D03_Skills!$AA$3:$BU$41,MATCH(C_Variables!$G352,D03_Skills!$Z$3:$Z$41,0),MATCH(C_Variables!BD$313,D03_Skills!$AA$2:$BU$2,0))</f>
        <v>0</v>
      </c>
      <c r="AZ346" s="495">
        <f t="shared" si="354"/>
        <v>0</v>
      </c>
      <c r="BA346" s="495">
        <f>IF(AZ346&gt;0,1+COUNTIF(BA$314:BA345,"&gt;0"),0)</f>
        <v>0</v>
      </c>
      <c r="BB346" s="495" t="str">
        <f t="shared" si="355"/>
        <v/>
      </c>
      <c r="BC346" s="495" t="str">
        <f t="shared" si="314"/>
        <v/>
      </c>
      <c r="BD346" s="496">
        <f t="shared" si="315"/>
        <v>0</v>
      </c>
      <c r="BE346" s="494">
        <f>INDEX(D03_Skills!$AA$3:$BU$41,MATCH(C_Variables!$G352,D03_Skills!$Z$3:$Z$41,0),MATCH(C_Variables!BJ$313,D03_Skills!$AA$2:$BU$2,0))</f>
        <v>0</v>
      </c>
      <c r="BF346" s="495">
        <f t="shared" si="356"/>
        <v>0</v>
      </c>
      <c r="BG346" s="495">
        <f>IF(BF346&gt;0,1+COUNTIF(BG$314:BG345,"&gt;0"),0)</f>
        <v>0</v>
      </c>
      <c r="BH346" s="495" t="str">
        <f t="shared" si="357"/>
        <v/>
      </c>
      <c r="BI346" s="495" t="str">
        <f t="shared" si="316"/>
        <v/>
      </c>
      <c r="BJ346" s="496">
        <f t="shared" si="317"/>
        <v>0</v>
      </c>
      <c r="BK346" s="494">
        <f>INDEX(D03_Skills!$AA$3:$BU$41,MATCH(C_Variables!$G352,D03_Skills!$Z$3:$Z$41,0),MATCH(C_Variables!BP$313,D03_Skills!$AA$2:$BU$2,0))</f>
        <v>0</v>
      </c>
      <c r="BL346" s="495">
        <f t="shared" si="358"/>
        <v>0</v>
      </c>
      <c r="BM346" s="495">
        <f>IF(BL346&gt;0,1+COUNTIF(BM$314:BM345,"&gt;0"),0)</f>
        <v>0</v>
      </c>
      <c r="BN346" s="495" t="str">
        <f t="shared" si="359"/>
        <v/>
      </c>
      <c r="BO346" s="495" t="str">
        <f t="shared" si="318"/>
        <v/>
      </c>
      <c r="BP346" s="496">
        <f t="shared" si="319"/>
        <v>0</v>
      </c>
      <c r="BQ346" s="494">
        <f>INDEX(D03_Skills!$AA$3:$BU$41,MATCH(C_Variables!$G352,D03_Skills!$Z$3:$Z$41,0),MATCH(C_Variables!BV$313,D03_Skills!$AA$2:$BU$2,0))</f>
        <v>0</v>
      </c>
      <c r="BR346" s="495">
        <f t="shared" si="360"/>
        <v>0</v>
      </c>
      <c r="BS346" s="495">
        <f>IF(BR346&gt;0,1+COUNTIF(BS$314:BS345,"&gt;0"),0)</f>
        <v>0</v>
      </c>
      <c r="BT346" s="495" t="str">
        <f t="shared" si="361"/>
        <v/>
      </c>
      <c r="BU346" s="495" t="str">
        <f t="shared" si="320"/>
        <v/>
      </c>
      <c r="BV346" s="496">
        <f t="shared" si="321"/>
        <v>0</v>
      </c>
      <c r="BW346" s="494">
        <f>INDEX(D03_Skills!$AA$3:$BU$41,MATCH(C_Variables!$G352,D03_Skills!$Z$3:$Z$41,0),MATCH(C_Variables!CB$313,D03_Skills!$AA$2:$BU$2,0))</f>
        <v>0</v>
      </c>
      <c r="BX346" s="495">
        <f t="shared" si="362"/>
        <v>0</v>
      </c>
      <c r="BY346" s="495">
        <f>IF(BX346&gt;0,1+COUNTIF(BY$314:BY345,"&gt;0"),0)</f>
        <v>0</v>
      </c>
      <c r="BZ346" s="495" t="str">
        <f t="shared" si="363"/>
        <v/>
      </c>
      <c r="CA346" s="495" t="str">
        <f t="shared" si="322"/>
        <v/>
      </c>
      <c r="CB346" s="496">
        <f t="shared" si="323"/>
        <v>0</v>
      </c>
      <c r="CC346" s="494" t="e">
        <f>INDEX(D03_Skills!$AA$3:$BU$41,MATCH(C_Variables!$G352,D03_Skills!$Z$3:$Z$41,0),MATCH(C_Variables!CH$313,D03_Skills!$AA$2:$BU$2,0))</f>
        <v>#N/A</v>
      </c>
      <c r="CD346" s="495" t="e">
        <f t="shared" si="364"/>
        <v>#N/A</v>
      </c>
      <c r="CE346" s="495" t="e">
        <f>IF(CD346&gt;0,1+COUNTIF(CE$314:CE345,"&gt;0"),0)</f>
        <v>#N/A</v>
      </c>
      <c r="CF346" s="495" t="e">
        <f t="shared" si="365"/>
        <v>#N/A</v>
      </c>
      <c r="CG346" s="495" t="e">
        <f t="shared" si="324"/>
        <v>#N/A</v>
      </c>
      <c r="CH346" s="496">
        <f t="shared" si="325"/>
        <v>0</v>
      </c>
      <c r="CI346" s="494" t="e">
        <f>INDEX(D03_Skills!$AA$3:$BU$41,MATCH(C_Variables!$G352,D03_Skills!$Z$3:$Z$41,0),MATCH(C_Variables!CN$313,D03_Skills!$AA$2:$BU$2,0))</f>
        <v>#N/A</v>
      </c>
      <c r="CJ346" s="495" t="e">
        <f t="shared" si="366"/>
        <v>#N/A</v>
      </c>
      <c r="CK346" s="495" t="e">
        <f>IF(CJ346&gt;0,1+COUNTIF(CK$314:CK345,"&gt;0"),0)</f>
        <v>#N/A</v>
      </c>
      <c r="CL346" s="495" t="e">
        <f t="shared" si="367"/>
        <v>#N/A</v>
      </c>
      <c r="CM346" s="495" t="e">
        <f t="shared" si="326"/>
        <v>#N/A</v>
      </c>
      <c r="CN346" s="496">
        <f t="shared" si="327"/>
        <v>0</v>
      </c>
      <c r="CO346" s="494" t="e">
        <f>INDEX(D03_Skills!$AA$3:$BU$41,MATCH(C_Variables!$G352,D03_Skills!$Z$3:$Z$41,0),MATCH(C_Variables!CT$313,D03_Skills!$AA$2:$BU$2,0))</f>
        <v>#N/A</v>
      </c>
      <c r="CP346" s="495" t="e">
        <f t="shared" si="368"/>
        <v>#N/A</v>
      </c>
      <c r="CQ346" s="495" t="e">
        <f>IF(CP346&gt;0,1+COUNTIF(CQ$314:CQ345,"&gt;0"),0)</f>
        <v>#N/A</v>
      </c>
      <c r="CR346" s="495" t="e">
        <f t="shared" si="369"/>
        <v>#N/A</v>
      </c>
      <c r="CS346" s="495" t="e">
        <f t="shared" si="328"/>
        <v>#N/A</v>
      </c>
      <c r="CT346" s="496">
        <f t="shared" si="329"/>
        <v>0</v>
      </c>
      <c r="CU346" s="494" t="e">
        <f>INDEX(D03_Skills!$AA$3:$BU$41,MATCH(C_Variables!$G352,D03_Skills!$Z$3:$Z$41,0),MATCH(C_Variables!CZ$313,D03_Skills!$AA$2:$BU$2,0))</f>
        <v>#N/A</v>
      </c>
      <c r="CV346" s="495" t="e">
        <f t="shared" si="370"/>
        <v>#N/A</v>
      </c>
      <c r="CW346" s="495" t="e">
        <f>IF(CV346&gt;0,1+COUNTIF(CW$314:CW345,"&gt;0"),0)</f>
        <v>#N/A</v>
      </c>
      <c r="CX346" s="495" t="e">
        <f t="shared" si="371"/>
        <v>#N/A</v>
      </c>
      <c r="CY346" s="495" t="e">
        <f t="shared" si="330"/>
        <v>#N/A</v>
      </c>
      <c r="CZ346" s="496">
        <f t="shared" si="331"/>
        <v>0</v>
      </c>
      <c r="DA346" s="494" t="e">
        <f>INDEX(D03_Skills!$AA$3:$BU$41,MATCH(C_Variables!$G352,D03_Skills!$Z$3:$Z$41,0),MATCH(C_Variables!DF$313,D03_Skills!$AA$2:$BU$2,0))</f>
        <v>#N/A</v>
      </c>
      <c r="DB346" s="495" t="e">
        <f t="shared" si="372"/>
        <v>#N/A</v>
      </c>
      <c r="DC346" s="495" t="e">
        <f>IF(DB346&gt;0,1+COUNTIF(DC$314:DC345,"&gt;0"),0)</f>
        <v>#N/A</v>
      </c>
      <c r="DD346" s="495" t="e">
        <f t="shared" si="373"/>
        <v>#N/A</v>
      </c>
      <c r="DE346" s="495" t="e">
        <f t="shared" si="332"/>
        <v>#N/A</v>
      </c>
      <c r="DF346" s="496">
        <f t="shared" si="333"/>
        <v>0</v>
      </c>
      <c r="DG346" s="494" t="e">
        <f>INDEX(D03_Skills!$AA$3:$BU$41,MATCH(C_Variables!$G352,D03_Skills!$Z$3:$Z$41,0),MATCH(C_Variables!DL$313,D03_Skills!$AA$2:$BU$2,0))</f>
        <v>#N/A</v>
      </c>
      <c r="DH346" s="495" t="e">
        <f t="shared" si="374"/>
        <v>#N/A</v>
      </c>
      <c r="DI346" s="495" t="e">
        <f>IF(DH346&gt;0,1+COUNTIF(DI$314:DI345,"&gt;0"),0)</f>
        <v>#N/A</v>
      </c>
      <c r="DJ346" s="495" t="e">
        <f t="shared" si="375"/>
        <v>#N/A</v>
      </c>
      <c r="DK346" s="495" t="e">
        <f t="shared" si="334"/>
        <v>#N/A</v>
      </c>
      <c r="DL346" s="496">
        <f t="shared" si="335"/>
        <v>0</v>
      </c>
      <c r="DM346" s="494" t="e">
        <f>INDEX(D03_Skills!$AA$3:$BU$41,MATCH(C_Variables!$G352,D03_Skills!$Z$3:$Z$41,0),MATCH(C_Variables!DR$313,D03_Skills!$AA$2:$BU$2,0))</f>
        <v>#N/A</v>
      </c>
      <c r="DN346" s="495" t="e">
        <f t="shared" si="376"/>
        <v>#N/A</v>
      </c>
      <c r="DO346" s="495" t="e">
        <f>IF(DN346&gt;0,1+COUNTIF(DO$314:DO345,"&gt;0"),0)</f>
        <v>#N/A</v>
      </c>
      <c r="DP346" s="495" t="e">
        <f t="shared" si="377"/>
        <v>#N/A</v>
      </c>
      <c r="DQ346" s="495" t="e">
        <f t="shared" si="336"/>
        <v>#N/A</v>
      </c>
      <c r="DR346" s="496">
        <f t="shared" si="337"/>
        <v>0</v>
      </c>
      <c r="DS346" s="494" t="e">
        <f>INDEX(D03_Skills!$AA$3:$BU$41,MATCH(C_Variables!$G352,D03_Skills!$Z$3:$Z$41,0),MATCH(C_Variables!DX$313,D03_Skills!$AA$2:$BU$2,0))</f>
        <v>#N/A</v>
      </c>
      <c r="DT346" s="495" t="e">
        <f t="shared" si="378"/>
        <v>#N/A</v>
      </c>
      <c r="DU346" s="495" t="e">
        <f>IF(DT346&gt;0,1+COUNTIF(DU$314:DU345,"&gt;0"),0)</f>
        <v>#N/A</v>
      </c>
      <c r="DV346" s="495" t="e">
        <f t="shared" si="379"/>
        <v>#N/A</v>
      </c>
      <c r="DW346" s="495" t="e">
        <f t="shared" si="338"/>
        <v>#N/A</v>
      </c>
      <c r="DX346" s="496">
        <f t="shared" si="339"/>
        <v>0</v>
      </c>
      <c r="DY346" s="501"/>
    </row>
    <row r="347" spans="1:129" ht="16.5" x14ac:dyDescent="0.3">
      <c r="A347" s="155">
        <f>IFERROR(IF(A346+1&lt;MAX(D041_ClassFeatures!$A$2:$A$2033),A346+1,""),"")</f>
        <v>344</v>
      </c>
      <c r="B347" s="153" t="str">
        <f>IFERROR(INDEX(D041_ClassFeatures!$B$2:$B$2033,MATCH(C_Variables!A347,D041_ClassFeatures!$A$2:$A$2033,0),1),"")</f>
        <v>Archery</v>
      </c>
      <c r="C347" s="153">
        <f>IF(B347="",0,IF(IFERROR(MATCH(B347,C_Input!$BC$160:$BC$239,0),0)&gt;0,1,0))</f>
        <v>0</v>
      </c>
      <c r="E347" s="501"/>
      <c r="F347" s="501"/>
      <c r="G347" s="6" t="s">
        <v>316</v>
      </c>
      <c r="I347" s="494">
        <f>INDEX(D03_Skills!$AA$3:$BU$41,MATCH(C_Variables!$G353,D03_Skills!$Z$3:$Z$41,0),MATCH(C_Variables!N$313,D03_Skills!$AA$2:$BU$2,0))</f>
        <v>0</v>
      </c>
      <c r="J347" s="495">
        <f t="shared" si="340"/>
        <v>0</v>
      </c>
      <c r="K347" s="495">
        <f>IF(I347&gt;0,1+COUNTIF(K$314:K346,"&gt;0"),0)</f>
        <v>0</v>
      </c>
      <c r="L347" s="495" t="str">
        <f t="shared" si="341"/>
        <v/>
      </c>
      <c r="M347" s="495" t="str">
        <f t="shared" si="300"/>
        <v/>
      </c>
      <c r="N347" s="496">
        <f t="shared" si="301"/>
        <v>0</v>
      </c>
      <c r="O347" s="494">
        <f>INDEX(D03_Skills!$AA$3:$BU$41,MATCH(C_Variables!$G353,D03_Skills!$Z$3:$Z$41,0),MATCH(C_Variables!T$313,D03_Skills!$AA$2:$BU$2,0))</f>
        <v>0</v>
      </c>
      <c r="P347" s="495">
        <f t="shared" si="342"/>
        <v>0</v>
      </c>
      <c r="Q347" s="495">
        <f>IF(P347&gt;0,1+COUNTIF(Q$314:Q346,"&gt;0"),0)</f>
        <v>0</v>
      </c>
      <c r="R347" s="495" t="str">
        <f t="shared" si="343"/>
        <v/>
      </c>
      <c r="S347" s="495" t="str">
        <f t="shared" si="302"/>
        <v/>
      </c>
      <c r="T347" s="496">
        <f t="shared" si="303"/>
        <v>0</v>
      </c>
      <c r="U347" s="494">
        <f>INDEX(D03_Skills!$AA$3:$BU$41,MATCH(C_Variables!$G353,D03_Skills!$Z$3:$Z$41,0),MATCH(C_Variables!Z$313,D03_Skills!$AA$2:$BU$2,0))</f>
        <v>0</v>
      </c>
      <c r="V347" s="495">
        <f t="shared" si="344"/>
        <v>0</v>
      </c>
      <c r="W347" s="495">
        <f>IF(V347&gt;0,1+COUNTIF(W$314:W346,"&gt;0"),0)</f>
        <v>0</v>
      </c>
      <c r="X347" s="495" t="str">
        <f t="shared" si="345"/>
        <v/>
      </c>
      <c r="Y347" s="495" t="str">
        <f t="shared" si="304"/>
        <v/>
      </c>
      <c r="Z347" s="496">
        <f t="shared" si="305"/>
        <v>0</v>
      </c>
      <c r="AA347" s="494">
        <f>INDEX(D03_Skills!$AA$3:$BU$41,MATCH(C_Variables!$G353,D03_Skills!$Z$3:$Z$41,0),MATCH(C_Variables!AF$313,D03_Skills!$AA$2:$BU$2,0))</f>
        <v>0</v>
      </c>
      <c r="AB347" s="495">
        <f t="shared" si="346"/>
        <v>0</v>
      </c>
      <c r="AC347" s="495">
        <f>IF(AB347&gt;0,1+COUNTIF(AC$314:AC346,"&gt;0"),0)</f>
        <v>0</v>
      </c>
      <c r="AD347" s="495" t="str">
        <f t="shared" si="347"/>
        <v/>
      </c>
      <c r="AE347" s="495" t="str">
        <f t="shared" si="306"/>
        <v/>
      </c>
      <c r="AF347" s="496">
        <f t="shared" si="307"/>
        <v>0</v>
      </c>
      <c r="AG347" s="494">
        <f>INDEX(D03_Skills!$AA$3:$BU$41,MATCH(C_Variables!$G353,D03_Skills!$Z$3:$Z$41,0),MATCH(C_Variables!AL$313,D03_Skills!$AA$2:$BU$2,0))</f>
        <v>0</v>
      </c>
      <c r="AH347" s="495">
        <f t="shared" si="348"/>
        <v>0</v>
      </c>
      <c r="AI347" s="495">
        <f>IF(AH347&gt;0,1+COUNTIF(AI$314:AI346,"&gt;0"),0)</f>
        <v>0</v>
      </c>
      <c r="AJ347" s="495" t="str">
        <f t="shared" si="349"/>
        <v/>
      </c>
      <c r="AK347" s="495" t="str">
        <f t="shared" si="308"/>
        <v/>
      </c>
      <c r="AL347" s="496">
        <f t="shared" si="309"/>
        <v>0</v>
      </c>
      <c r="AM347" s="494">
        <f>INDEX(D03_Skills!$AA$3:$BU$41,MATCH(C_Variables!$G353,D03_Skills!$Z$3:$Z$41,0),MATCH(C_Variables!AR$313,D03_Skills!$AA$2:$BU$2,0))</f>
        <v>0</v>
      </c>
      <c r="AN347" s="495">
        <f t="shared" si="350"/>
        <v>0</v>
      </c>
      <c r="AO347" s="495">
        <f>IF(AN347&gt;0,1+COUNTIF(AO$314:AO346,"&gt;0"),0)</f>
        <v>0</v>
      </c>
      <c r="AP347" s="495" t="str">
        <f t="shared" si="351"/>
        <v/>
      </c>
      <c r="AQ347" s="495" t="str">
        <f t="shared" si="310"/>
        <v/>
      </c>
      <c r="AR347" s="496">
        <f t="shared" si="311"/>
        <v>0</v>
      </c>
      <c r="AS347" s="494">
        <f>INDEX(D03_Skills!$AA$3:$BU$41,MATCH(C_Variables!$G353,D03_Skills!$Z$3:$Z$41,0),MATCH(C_Variables!AX$313,D03_Skills!$AA$2:$BU$2,0))</f>
        <v>0</v>
      </c>
      <c r="AT347" s="495">
        <f t="shared" si="352"/>
        <v>0</v>
      </c>
      <c r="AU347" s="495">
        <f>IF(AT347&gt;0,1+COUNTIF(AU$314:AU346,"&gt;0"),0)</f>
        <v>0</v>
      </c>
      <c r="AV347" s="495" t="str">
        <f t="shared" si="353"/>
        <v/>
      </c>
      <c r="AW347" s="495" t="str">
        <f t="shared" si="312"/>
        <v/>
      </c>
      <c r="AX347" s="496">
        <f t="shared" si="313"/>
        <v>0</v>
      </c>
      <c r="AY347" s="494">
        <f>INDEX(D03_Skills!$AA$3:$BU$41,MATCH(C_Variables!$G353,D03_Skills!$Z$3:$Z$41,0),MATCH(C_Variables!BD$313,D03_Skills!$AA$2:$BU$2,0))</f>
        <v>0</v>
      </c>
      <c r="AZ347" s="495">
        <f t="shared" si="354"/>
        <v>0</v>
      </c>
      <c r="BA347" s="495">
        <f>IF(AZ347&gt;0,1+COUNTIF(BA$314:BA346,"&gt;0"),0)</f>
        <v>0</v>
      </c>
      <c r="BB347" s="495" t="str">
        <f t="shared" si="355"/>
        <v/>
      </c>
      <c r="BC347" s="495" t="str">
        <f t="shared" si="314"/>
        <v/>
      </c>
      <c r="BD347" s="496">
        <f t="shared" si="315"/>
        <v>0</v>
      </c>
      <c r="BE347" s="494">
        <f>INDEX(D03_Skills!$AA$3:$BU$41,MATCH(C_Variables!$G353,D03_Skills!$Z$3:$Z$41,0),MATCH(C_Variables!BJ$313,D03_Skills!$AA$2:$BU$2,0))</f>
        <v>0</v>
      </c>
      <c r="BF347" s="495">
        <f t="shared" si="356"/>
        <v>0</v>
      </c>
      <c r="BG347" s="495">
        <f>IF(BF347&gt;0,1+COUNTIF(BG$314:BG346,"&gt;0"),0)</f>
        <v>0</v>
      </c>
      <c r="BH347" s="495" t="str">
        <f t="shared" si="357"/>
        <v/>
      </c>
      <c r="BI347" s="495" t="str">
        <f t="shared" si="316"/>
        <v/>
      </c>
      <c r="BJ347" s="496">
        <f t="shared" si="317"/>
        <v>0</v>
      </c>
      <c r="BK347" s="494">
        <f>INDEX(D03_Skills!$AA$3:$BU$41,MATCH(C_Variables!$G353,D03_Skills!$Z$3:$Z$41,0),MATCH(C_Variables!BP$313,D03_Skills!$AA$2:$BU$2,0))</f>
        <v>0</v>
      </c>
      <c r="BL347" s="495">
        <f t="shared" si="358"/>
        <v>0</v>
      </c>
      <c r="BM347" s="495">
        <f>IF(BL347&gt;0,1+COUNTIF(BM$314:BM346,"&gt;0"),0)</f>
        <v>0</v>
      </c>
      <c r="BN347" s="495" t="str">
        <f t="shared" si="359"/>
        <v/>
      </c>
      <c r="BO347" s="495" t="str">
        <f t="shared" si="318"/>
        <v/>
      </c>
      <c r="BP347" s="496">
        <f t="shared" si="319"/>
        <v>0</v>
      </c>
      <c r="BQ347" s="494">
        <f>INDEX(D03_Skills!$AA$3:$BU$41,MATCH(C_Variables!$G353,D03_Skills!$Z$3:$Z$41,0),MATCH(C_Variables!BV$313,D03_Skills!$AA$2:$BU$2,0))</f>
        <v>0</v>
      </c>
      <c r="BR347" s="495">
        <f t="shared" si="360"/>
        <v>0</v>
      </c>
      <c r="BS347" s="495">
        <f>IF(BR347&gt;0,1+COUNTIF(BS$314:BS346,"&gt;0"),0)</f>
        <v>0</v>
      </c>
      <c r="BT347" s="495" t="str">
        <f t="shared" si="361"/>
        <v/>
      </c>
      <c r="BU347" s="495" t="str">
        <f t="shared" si="320"/>
        <v/>
      </c>
      <c r="BV347" s="496">
        <f t="shared" si="321"/>
        <v>0</v>
      </c>
      <c r="BW347" s="494">
        <f>INDEX(D03_Skills!$AA$3:$BU$41,MATCH(C_Variables!$G353,D03_Skills!$Z$3:$Z$41,0),MATCH(C_Variables!CB$313,D03_Skills!$AA$2:$BU$2,0))</f>
        <v>0</v>
      </c>
      <c r="BX347" s="495">
        <f t="shared" si="362"/>
        <v>0</v>
      </c>
      <c r="BY347" s="495">
        <f>IF(BX347&gt;0,1+COUNTIF(BY$314:BY346,"&gt;0"),0)</f>
        <v>0</v>
      </c>
      <c r="BZ347" s="495" t="str">
        <f t="shared" si="363"/>
        <v/>
      </c>
      <c r="CA347" s="495" t="str">
        <f t="shared" si="322"/>
        <v/>
      </c>
      <c r="CB347" s="496">
        <f t="shared" si="323"/>
        <v>0</v>
      </c>
      <c r="CC347" s="494" t="e">
        <f>INDEX(D03_Skills!$AA$3:$BU$41,MATCH(C_Variables!$G353,D03_Skills!$Z$3:$Z$41,0),MATCH(C_Variables!CH$313,D03_Skills!$AA$2:$BU$2,0))</f>
        <v>#N/A</v>
      </c>
      <c r="CD347" s="495" t="e">
        <f t="shared" si="364"/>
        <v>#N/A</v>
      </c>
      <c r="CE347" s="495" t="e">
        <f>IF(CD347&gt;0,1+COUNTIF(CE$314:CE346,"&gt;0"),0)</f>
        <v>#N/A</v>
      </c>
      <c r="CF347" s="495" t="e">
        <f t="shared" si="365"/>
        <v>#N/A</v>
      </c>
      <c r="CG347" s="495" t="e">
        <f t="shared" si="324"/>
        <v>#N/A</v>
      </c>
      <c r="CH347" s="496">
        <f t="shared" si="325"/>
        <v>0</v>
      </c>
      <c r="CI347" s="494" t="e">
        <f>INDEX(D03_Skills!$AA$3:$BU$41,MATCH(C_Variables!$G353,D03_Skills!$Z$3:$Z$41,0),MATCH(C_Variables!CN$313,D03_Skills!$AA$2:$BU$2,0))</f>
        <v>#N/A</v>
      </c>
      <c r="CJ347" s="495" t="e">
        <f t="shared" si="366"/>
        <v>#N/A</v>
      </c>
      <c r="CK347" s="495" t="e">
        <f>IF(CJ347&gt;0,1+COUNTIF(CK$314:CK346,"&gt;0"),0)</f>
        <v>#N/A</v>
      </c>
      <c r="CL347" s="495" t="e">
        <f t="shared" si="367"/>
        <v>#N/A</v>
      </c>
      <c r="CM347" s="495" t="e">
        <f t="shared" si="326"/>
        <v>#N/A</v>
      </c>
      <c r="CN347" s="496">
        <f t="shared" si="327"/>
        <v>0</v>
      </c>
      <c r="CO347" s="494" t="e">
        <f>INDEX(D03_Skills!$AA$3:$BU$41,MATCH(C_Variables!$G353,D03_Skills!$Z$3:$Z$41,0),MATCH(C_Variables!CT$313,D03_Skills!$AA$2:$BU$2,0))</f>
        <v>#N/A</v>
      </c>
      <c r="CP347" s="495" t="e">
        <f t="shared" si="368"/>
        <v>#N/A</v>
      </c>
      <c r="CQ347" s="495" t="e">
        <f>IF(CP347&gt;0,1+COUNTIF(CQ$314:CQ346,"&gt;0"),0)</f>
        <v>#N/A</v>
      </c>
      <c r="CR347" s="495" t="e">
        <f t="shared" si="369"/>
        <v>#N/A</v>
      </c>
      <c r="CS347" s="495" t="e">
        <f t="shared" si="328"/>
        <v>#N/A</v>
      </c>
      <c r="CT347" s="496">
        <f t="shared" si="329"/>
        <v>0</v>
      </c>
      <c r="CU347" s="494" t="e">
        <f>INDEX(D03_Skills!$AA$3:$BU$41,MATCH(C_Variables!$G353,D03_Skills!$Z$3:$Z$41,0),MATCH(C_Variables!CZ$313,D03_Skills!$AA$2:$BU$2,0))</f>
        <v>#N/A</v>
      </c>
      <c r="CV347" s="495" t="e">
        <f t="shared" si="370"/>
        <v>#N/A</v>
      </c>
      <c r="CW347" s="495" t="e">
        <f>IF(CV347&gt;0,1+COUNTIF(CW$314:CW346,"&gt;0"),0)</f>
        <v>#N/A</v>
      </c>
      <c r="CX347" s="495" t="e">
        <f t="shared" si="371"/>
        <v>#N/A</v>
      </c>
      <c r="CY347" s="495" t="e">
        <f t="shared" si="330"/>
        <v>#N/A</v>
      </c>
      <c r="CZ347" s="496">
        <f t="shared" si="331"/>
        <v>0</v>
      </c>
      <c r="DA347" s="494" t="e">
        <f>INDEX(D03_Skills!$AA$3:$BU$41,MATCH(C_Variables!$G353,D03_Skills!$Z$3:$Z$41,0),MATCH(C_Variables!DF$313,D03_Skills!$AA$2:$BU$2,0))</f>
        <v>#N/A</v>
      </c>
      <c r="DB347" s="495" t="e">
        <f t="shared" si="372"/>
        <v>#N/A</v>
      </c>
      <c r="DC347" s="495" t="e">
        <f>IF(DB347&gt;0,1+COUNTIF(DC$314:DC346,"&gt;0"),0)</f>
        <v>#N/A</v>
      </c>
      <c r="DD347" s="495" t="e">
        <f t="shared" si="373"/>
        <v>#N/A</v>
      </c>
      <c r="DE347" s="495" t="e">
        <f t="shared" si="332"/>
        <v>#N/A</v>
      </c>
      <c r="DF347" s="496">
        <f t="shared" si="333"/>
        <v>0</v>
      </c>
      <c r="DG347" s="494" t="e">
        <f>INDEX(D03_Skills!$AA$3:$BU$41,MATCH(C_Variables!$G353,D03_Skills!$Z$3:$Z$41,0),MATCH(C_Variables!DL$313,D03_Skills!$AA$2:$BU$2,0))</f>
        <v>#N/A</v>
      </c>
      <c r="DH347" s="495" t="e">
        <f t="shared" si="374"/>
        <v>#N/A</v>
      </c>
      <c r="DI347" s="495" t="e">
        <f>IF(DH347&gt;0,1+COUNTIF(DI$314:DI346,"&gt;0"),0)</f>
        <v>#N/A</v>
      </c>
      <c r="DJ347" s="495" t="e">
        <f t="shared" si="375"/>
        <v>#N/A</v>
      </c>
      <c r="DK347" s="495" t="e">
        <f t="shared" si="334"/>
        <v>#N/A</v>
      </c>
      <c r="DL347" s="496">
        <f t="shared" si="335"/>
        <v>0</v>
      </c>
      <c r="DM347" s="494" t="e">
        <f>INDEX(D03_Skills!$AA$3:$BU$41,MATCH(C_Variables!$G353,D03_Skills!$Z$3:$Z$41,0),MATCH(C_Variables!DR$313,D03_Skills!$AA$2:$BU$2,0))</f>
        <v>#N/A</v>
      </c>
      <c r="DN347" s="495" t="e">
        <f t="shared" si="376"/>
        <v>#N/A</v>
      </c>
      <c r="DO347" s="495" t="e">
        <f>IF(DN347&gt;0,1+COUNTIF(DO$314:DO346,"&gt;0"),0)</f>
        <v>#N/A</v>
      </c>
      <c r="DP347" s="495" t="e">
        <f t="shared" si="377"/>
        <v>#N/A</v>
      </c>
      <c r="DQ347" s="495" t="e">
        <f t="shared" si="336"/>
        <v>#N/A</v>
      </c>
      <c r="DR347" s="496">
        <f t="shared" si="337"/>
        <v>0</v>
      </c>
      <c r="DS347" s="494" t="e">
        <f>INDEX(D03_Skills!$AA$3:$BU$41,MATCH(C_Variables!$G353,D03_Skills!$Z$3:$Z$41,0),MATCH(C_Variables!DX$313,D03_Skills!$AA$2:$BU$2,0))</f>
        <v>#N/A</v>
      </c>
      <c r="DT347" s="495" t="e">
        <f t="shared" si="378"/>
        <v>#N/A</v>
      </c>
      <c r="DU347" s="495" t="e">
        <f>IF(DT347&gt;0,1+COUNTIF(DU$314:DU346,"&gt;0"),0)</f>
        <v>#N/A</v>
      </c>
      <c r="DV347" s="495" t="e">
        <f t="shared" si="379"/>
        <v>#N/A</v>
      </c>
      <c r="DW347" s="495" t="e">
        <f t="shared" si="338"/>
        <v>#N/A</v>
      </c>
      <c r="DX347" s="496">
        <f t="shared" si="339"/>
        <v>0</v>
      </c>
      <c r="DY347" s="501"/>
    </row>
    <row r="348" spans="1:129" ht="16.5" x14ac:dyDescent="0.3">
      <c r="A348" s="155">
        <f>IFERROR(IF(A347+1&lt;MAX(D041_ClassFeatures!$A$2:$A$2033),A347+1,""),"")</f>
        <v>345</v>
      </c>
      <c r="B348" s="153" t="str">
        <f>IFERROR(INDEX(D041_ClassFeatures!$B$2:$B$2033,MATCH(C_Variables!A348,D041_ClassFeatures!$A$2:$A$2033,0),1),"")</f>
        <v>Defense</v>
      </c>
      <c r="C348" s="153">
        <f>IF(B348="",0,IF(IFERROR(MATCH(B348,C_Input!$BC$160:$BC$239,0),0)&gt;0,1,0))</f>
        <v>0</v>
      </c>
      <c r="E348" s="501"/>
      <c r="F348" s="501"/>
      <c r="G348" s="6" t="s">
        <v>339</v>
      </c>
      <c r="I348" s="494">
        <f>INDEX(D03_Skills!$AA$3:$BU$41,MATCH(C_Variables!$G354,D03_Skills!$Z$3:$Z$41,0),MATCH(C_Variables!N$313,D03_Skills!$AA$2:$BU$2,0))</f>
        <v>0</v>
      </c>
      <c r="J348" s="495">
        <f t="shared" si="340"/>
        <v>0</v>
      </c>
      <c r="K348" s="495">
        <f>IF(I348&gt;0,1+COUNTIF(K$314:K347,"&gt;0"),0)</f>
        <v>0</v>
      </c>
      <c r="L348" s="495" t="str">
        <f t="shared" si="341"/>
        <v/>
      </c>
      <c r="M348" s="495" t="str">
        <f t="shared" si="300"/>
        <v/>
      </c>
      <c r="N348" s="496">
        <f t="shared" si="301"/>
        <v>0</v>
      </c>
      <c r="O348" s="494">
        <f>INDEX(D03_Skills!$AA$3:$BU$41,MATCH(C_Variables!$G354,D03_Skills!$Z$3:$Z$41,0),MATCH(C_Variables!T$313,D03_Skills!$AA$2:$BU$2,0))</f>
        <v>0</v>
      </c>
      <c r="P348" s="495">
        <f t="shared" si="342"/>
        <v>0</v>
      </c>
      <c r="Q348" s="495">
        <f>IF(P348&gt;0,1+COUNTIF(Q$314:Q347,"&gt;0"),0)</f>
        <v>0</v>
      </c>
      <c r="R348" s="495" t="str">
        <f t="shared" si="343"/>
        <v/>
      </c>
      <c r="S348" s="495" t="str">
        <f t="shared" si="302"/>
        <v/>
      </c>
      <c r="T348" s="496">
        <f t="shared" si="303"/>
        <v>0</v>
      </c>
      <c r="U348" s="494">
        <f>INDEX(D03_Skills!$AA$3:$BU$41,MATCH(C_Variables!$G354,D03_Skills!$Z$3:$Z$41,0),MATCH(C_Variables!Z$313,D03_Skills!$AA$2:$BU$2,0))</f>
        <v>0</v>
      </c>
      <c r="V348" s="495">
        <f t="shared" si="344"/>
        <v>0</v>
      </c>
      <c r="W348" s="495">
        <f>IF(V348&gt;0,1+COUNTIF(W$314:W347,"&gt;0"),0)</f>
        <v>0</v>
      </c>
      <c r="X348" s="495" t="str">
        <f t="shared" si="345"/>
        <v/>
      </c>
      <c r="Y348" s="495" t="str">
        <f t="shared" si="304"/>
        <v/>
      </c>
      <c r="Z348" s="496">
        <f t="shared" si="305"/>
        <v>0</v>
      </c>
      <c r="AA348" s="494">
        <f>INDEX(D03_Skills!$AA$3:$BU$41,MATCH(C_Variables!$G354,D03_Skills!$Z$3:$Z$41,0),MATCH(C_Variables!AF$313,D03_Skills!$AA$2:$BU$2,0))</f>
        <v>0</v>
      </c>
      <c r="AB348" s="495">
        <f t="shared" si="346"/>
        <v>0</v>
      </c>
      <c r="AC348" s="495">
        <f>IF(AB348&gt;0,1+COUNTIF(AC$314:AC347,"&gt;0"),0)</f>
        <v>0</v>
      </c>
      <c r="AD348" s="495" t="str">
        <f t="shared" si="347"/>
        <v/>
      </c>
      <c r="AE348" s="495" t="str">
        <f t="shared" si="306"/>
        <v/>
      </c>
      <c r="AF348" s="496">
        <f t="shared" si="307"/>
        <v>0</v>
      </c>
      <c r="AG348" s="494">
        <f>INDEX(D03_Skills!$AA$3:$BU$41,MATCH(C_Variables!$G354,D03_Skills!$Z$3:$Z$41,0),MATCH(C_Variables!AL$313,D03_Skills!$AA$2:$BU$2,0))</f>
        <v>0</v>
      </c>
      <c r="AH348" s="495">
        <f t="shared" si="348"/>
        <v>0</v>
      </c>
      <c r="AI348" s="495">
        <f>IF(AH348&gt;0,1+COUNTIF(AI$314:AI347,"&gt;0"),0)</f>
        <v>0</v>
      </c>
      <c r="AJ348" s="495" t="str">
        <f t="shared" si="349"/>
        <v/>
      </c>
      <c r="AK348" s="495" t="str">
        <f t="shared" si="308"/>
        <v/>
      </c>
      <c r="AL348" s="496">
        <f t="shared" si="309"/>
        <v>0</v>
      </c>
      <c r="AM348" s="494">
        <f>INDEX(D03_Skills!$AA$3:$BU$41,MATCH(C_Variables!$G354,D03_Skills!$Z$3:$Z$41,0),MATCH(C_Variables!AR$313,D03_Skills!$AA$2:$BU$2,0))</f>
        <v>1</v>
      </c>
      <c r="AN348" s="495">
        <f t="shared" si="350"/>
        <v>1</v>
      </c>
      <c r="AO348" s="495">
        <f>IF(AN348&gt;0,1+COUNTIF(AO$314:AO347,"&gt;0"),0)</f>
        <v>1</v>
      </c>
      <c r="AP348" s="495" t="str">
        <f t="shared" si="351"/>
        <v/>
      </c>
      <c r="AQ348" s="495" t="str">
        <f t="shared" si="310"/>
        <v/>
      </c>
      <c r="AR348" s="496">
        <f t="shared" si="311"/>
        <v>0</v>
      </c>
      <c r="AS348" s="494">
        <f>INDEX(D03_Skills!$AA$3:$BU$41,MATCH(C_Variables!$G354,D03_Skills!$Z$3:$Z$41,0),MATCH(C_Variables!AX$313,D03_Skills!$AA$2:$BU$2,0))</f>
        <v>0</v>
      </c>
      <c r="AT348" s="495">
        <f t="shared" si="352"/>
        <v>0</v>
      </c>
      <c r="AU348" s="495">
        <f>IF(AT348&gt;0,1+COUNTIF(AU$314:AU347,"&gt;0"),0)</f>
        <v>0</v>
      </c>
      <c r="AV348" s="495" t="str">
        <f t="shared" si="353"/>
        <v/>
      </c>
      <c r="AW348" s="495" t="str">
        <f t="shared" si="312"/>
        <v/>
      </c>
      <c r="AX348" s="496">
        <f t="shared" si="313"/>
        <v>0</v>
      </c>
      <c r="AY348" s="494">
        <f>INDEX(D03_Skills!$AA$3:$BU$41,MATCH(C_Variables!$G354,D03_Skills!$Z$3:$Z$41,0),MATCH(C_Variables!BD$313,D03_Skills!$AA$2:$BU$2,0))</f>
        <v>0</v>
      </c>
      <c r="AZ348" s="495">
        <f t="shared" si="354"/>
        <v>0</v>
      </c>
      <c r="BA348" s="495">
        <f>IF(AZ348&gt;0,1+COUNTIF(BA$314:BA347,"&gt;0"),0)</f>
        <v>0</v>
      </c>
      <c r="BB348" s="495" t="str">
        <f t="shared" si="355"/>
        <v/>
      </c>
      <c r="BC348" s="495" t="str">
        <f t="shared" si="314"/>
        <v/>
      </c>
      <c r="BD348" s="496">
        <f t="shared" si="315"/>
        <v>0</v>
      </c>
      <c r="BE348" s="494">
        <f>INDEX(D03_Skills!$AA$3:$BU$41,MATCH(C_Variables!$G354,D03_Skills!$Z$3:$Z$41,0),MATCH(C_Variables!BJ$313,D03_Skills!$AA$2:$BU$2,0))</f>
        <v>0</v>
      </c>
      <c r="BF348" s="495">
        <f t="shared" si="356"/>
        <v>0</v>
      </c>
      <c r="BG348" s="495">
        <f>IF(BF348&gt;0,1+COUNTIF(BG$314:BG347,"&gt;0"),0)</f>
        <v>0</v>
      </c>
      <c r="BH348" s="495" t="str">
        <f t="shared" si="357"/>
        <v/>
      </c>
      <c r="BI348" s="495" t="str">
        <f t="shared" si="316"/>
        <v/>
      </c>
      <c r="BJ348" s="496">
        <f t="shared" si="317"/>
        <v>0</v>
      </c>
      <c r="BK348" s="494">
        <f>INDEX(D03_Skills!$AA$3:$BU$41,MATCH(C_Variables!$G354,D03_Skills!$Z$3:$Z$41,0),MATCH(C_Variables!BP$313,D03_Skills!$AA$2:$BU$2,0))</f>
        <v>0</v>
      </c>
      <c r="BL348" s="495">
        <f t="shared" si="358"/>
        <v>0</v>
      </c>
      <c r="BM348" s="495">
        <f>IF(BL348&gt;0,1+COUNTIF(BM$314:BM347,"&gt;0"),0)</f>
        <v>0</v>
      </c>
      <c r="BN348" s="495" t="str">
        <f t="shared" si="359"/>
        <v/>
      </c>
      <c r="BO348" s="495" t="str">
        <f t="shared" si="318"/>
        <v/>
      </c>
      <c r="BP348" s="496">
        <f t="shared" si="319"/>
        <v>0</v>
      </c>
      <c r="BQ348" s="494">
        <f>INDEX(D03_Skills!$AA$3:$BU$41,MATCH(C_Variables!$G354,D03_Skills!$Z$3:$Z$41,0),MATCH(C_Variables!BV$313,D03_Skills!$AA$2:$BU$2,0))</f>
        <v>0</v>
      </c>
      <c r="BR348" s="495">
        <f t="shared" si="360"/>
        <v>0</v>
      </c>
      <c r="BS348" s="495">
        <f>IF(BR348&gt;0,1+COUNTIF(BS$314:BS347,"&gt;0"),0)</f>
        <v>0</v>
      </c>
      <c r="BT348" s="495" t="str">
        <f t="shared" si="361"/>
        <v/>
      </c>
      <c r="BU348" s="495" t="str">
        <f t="shared" si="320"/>
        <v/>
      </c>
      <c r="BV348" s="496">
        <f t="shared" si="321"/>
        <v>0</v>
      </c>
      <c r="BW348" s="494">
        <f>INDEX(D03_Skills!$AA$3:$BU$41,MATCH(C_Variables!$G354,D03_Skills!$Z$3:$Z$41,0),MATCH(C_Variables!CB$313,D03_Skills!$AA$2:$BU$2,0))</f>
        <v>0</v>
      </c>
      <c r="BX348" s="495">
        <f t="shared" si="362"/>
        <v>0</v>
      </c>
      <c r="BY348" s="495">
        <f>IF(BX348&gt;0,1+COUNTIF(BY$314:BY347,"&gt;0"),0)</f>
        <v>0</v>
      </c>
      <c r="BZ348" s="495" t="str">
        <f t="shared" si="363"/>
        <v/>
      </c>
      <c r="CA348" s="495" t="str">
        <f t="shared" si="322"/>
        <v/>
      </c>
      <c r="CB348" s="496">
        <f t="shared" si="323"/>
        <v>0</v>
      </c>
      <c r="CC348" s="494" t="e">
        <f>INDEX(D03_Skills!$AA$3:$BU$41,MATCH(C_Variables!$G354,D03_Skills!$Z$3:$Z$41,0),MATCH(C_Variables!CH$313,D03_Skills!$AA$2:$BU$2,0))</f>
        <v>#N/A</v>
      </c>
      <c r="CD348" s="495" t="e">
        <f t="shared" si="364"/>
        <v>#N/A</v>
      </c>
      <c r="CE348" s="495" t="e">
        <f>IF(CD348&gt;0,1+COUNTIF(CE$314:CE347,"&gt;0"),0)</f>
        <v>#N/A</v>
      </c>
      <c r="CF348" s="495" t="e">
        <f t="shared" si="365"/>
        <v>#N/A</v>
      </c>
      <c r="CG348" s="495" t="e">
        <f t="shared" si="324"/>
        <v>#N/A</v>
      </c>
      <c r="CH348" s="496">
        <f t="shared" si="325"/>
        <v>0</v>
      </c>
      <c r="CI348" s="494" t="e">
        <f>INDEX(D03_Skills!$AA$3:$BU$41,MATCH(C_Variables!$G354,D03_Skills!$Z$3:$Z$41,0),MATCH(C_Variables!CN$313,D03_Skills!$AA$2:$BU$2,0))</f>
        <v>#N/A</v>
      </c>
      <c r="CJ348" s="495" t="e">
        <f t="shared" si="366"/>
        <v>#N/A</v>
      </c>
      <c r="CK348" s="495" t="e">
        <f>IF(CJ348&gt;0,1+COUNTIF(CK$314:CK347,"&gt;0"),0)</f>
        <v>#N/A</v>
      </c>
      <c r="CL348" s="495" t="e">
        <f t="shared" si="367"/>
        <v>#N/A</v>
      </c>
      <c r="CM348" s="495" t="e">
        <f t="shared" si="326"/>
        <v>#N/A</v>
      </c>
      <c r="CN348" s="496">
        <f t="shared" si="327"/>
        <v>0</v>
      </c>
      <c r="CO348" s="494" t="e">
        <f>INDEX(D03_Skills!$AA$3:$BU$41,MATCH(C_Variables!$G354,D03_Skills!$Z$3:$Z$41,0),MATCH(C_Variables!CT$313,D03_Skills!$AA$2:$BU$2,0))</f>
        <v>#N/A</v>
      </c>
      <c r="CP348" s="495" t="e">
        <f t="shared" si="368"/>
        <v>#N/A</v>
      </c>
      <c r="CQ348" s="495" t="e">
        <f>IF(CP348&gt;0,1+COUNTIF(CQ$314:CQ347,"&gt;0"),0)</f>
        <v>#N/A</v>
      </c>
      <c r="CR348" s="495" t="e">
        <f t="shared" si="369"/>
        <v>#N/A</v>
      </c>
      <c r="CS348" s="495" t="e">
        <f t="shared" si="328"/>
        <v>#N/A</v>
      </c>
      <c r="CT348" s="496">
        <f t="shared" si="329"/>
        <v>0</v>
      </c>
      <c r="CU348" s="494" t="e">
        <f>INDEX(D03_Skills!$AA$3:$BU$41,MATCH(C_Variables!$G354,D03_Skills!$Z$3:$Z$41,0),MATCH(C_Variables!CZ$313,D03_Skills!$AA$2:$BU$2,0))</f>
        <v>#N/A</v>
      </c>
      <c r="CV348" s="495" t="e">
        <f t="shared" si="370"/>
        <v>#N/A</v>
      </c>
      <c r="CW348" s="495" t="e">
        <f>IF(CV348&gt;0,1+COUNTIF(CW$314:CW347,"&gt;0"),0)</f>
        <v>#N/A</v>
      </c>
      <c r="CX348" s="495" t="e">
        <f t="shared" si="371"/>
        <v>#N/A</v>
      </c>
      <c r="CY348" s="495" t="e">
        <f t="shared" si="330"/>
        <v>#N/A</v>
      </c>
      <c r="CZ348" s="496">
        <f t="shared" si="331"/>
        <v>0</v>
      </c>
      <c r="DA348" s="494" t="e">
        <f>INDEX(D03_Skills!$AA$3:$BU$41,MATCH(C_Variables!$G354,D03_Skills!$Z$3:$Z$41,0),MATCH(C_Variables!DF$313,D03_Skills!$AA$2:$BU$2,0))</f>
        <v>#N/A</v>
      </c>
      <c r="DB348" s="495" t="e">
        <f t="shared" si="372"/>
        <v>#N/A</v>
      </c>
      <c r="DC348" s="495" t="e">
        <f>IF(DB348&gt;0,1+COUNTIF(DC$314:DC347,"&gt;0"),0)</f>
        <v>#N/A</v>
      </c>
      <c r="DD348" s="495" t="e">
        <f t="shared" si="373"/>
        <v>#N/A</v>
      </c>
      <c r="DE348" s="495" t="e">
        <f t="shared" si="332"/>
        <v>#N/A</v>
      </c>
      <c r="DF348" s="496">
        <f t="shared" si="333"/>
        <v>0</v>
      </c>
      <c r="DG348" s="494" t="e">
        <f>INDEX(D03_Skills!$AA$3:$BU$41,MATCH(C_Variables!$G354,D03_Skills!$Z$3:$Z$41,0),MATCH(C_Variables!DL$313,D03_Skills!$AA$2:$BU$2,0))</f>
        <v>#N/A</v>
      </c>
      <c r="DH348" s="495" t="e">
        <f t="shared" si="374"/>
        <v>#N/A</v>
      </c>
      <c r="DI348" s="495" t="e">
        <f>IF(DH348&gt;0,1+COUNTIF(DI$314:DI347,"&gt;0"),0)</f>
        <v>#N/A</v>
      </c>
      <c r="DJ348" s="495" t="e">
        <f t="shared" si="375"/>
        <v>#N/A</v>
      </c>
      <c r="DK348" s="495" t="e">
        <f t="shared" si="334"/>
        <v>#N/A</v>
      </c>
      <c r="DL348" s="496">
        <f t="shared" si="335"/>
        <v>0</v>
      </c>
      <c r="DM348" s="494" t="e">
        <f>INDEX(D03_Skills!$AA$3:$BU$41,MATCH(C_Variables!$G354,D03_Skills!$Z$3:$Z$41,0),MATCH(C_Variables!DR$313,D03_Skills!$AA$2:$BU$2,0))</f>
        <v>#N/A</v>
      </c>
      <c r="DN348" s="495" t="e">
        <f t="shared" si="376"/>
        <v>#N/A</v>
      </c>
      <c r="DO348" s="495" t="e">
        <f>IF(DN348&gt;0,1+COUNTIF(DO$314:DO347,"&gt;0"),0)</f>
        <v>#N/A</v>
      </c>
      <c r="DP348" s="495" t="e">
        <f t="shared" si="377"/>
        <v>#N/A</v>
      </c>
      <c r="DQ348" s="495" t="e">
        <f t="shared" si="336"/>
        <v>#N/A</v>
      </c>
      <c r="DR348" s="496">
        <f t="shared" si="337"/>
        <v>0</v>
      </c>
      <c r="DS348" s="494" t="e">
        <f>INDEX(D03_Skills!$AA$3:$BU$41,MATCH(C_Variables!$G354,D03_Skills!$Z$3:$Z$41,0),MATCH(C_Variables!DX$313,D03_Skills!$AA$2:$BU$2,0))</f>
        <v>#N/A</v>
      </c>
      <c r="DT348" s="495" t="e">
        <f t="shared" si="378"/>
        <v>#N/A</v>
      </c>
      <c r="DU348" s="495" t="e">
        <f>IF(DT348&gt;0,1+COUNTIF(DU$314:DU347,"&gt;0"),0)</f>
        <v>#N/A</v>
      </c>
      <c r="DV348" s="495" t="e">
        <f t="shared" si="379"/>
        <v>#N/A</v>
      </c>
      <c r="DW348" s="495" t="e">
        <f t="shared" si="338"/>
        <v>#N/A</v>
      </c>
      <c r="DX348" s="496">
        <f t="shared" si="339"/>
        <v>0</v>
      </c>
      <c r="DY348" s="501"/>
    </row>
    <row r="349" spans="1:129" ht="16.5" x14ac:dyDescent="0.3">
      <c r="A349" s="155">
        <f>IFERROR(IF(A348+1&lt;MAX(D041_ClassFeatures!$A$2:$A$2033),A348+1,""),"")</f>
        <v>346</v>
      </c>
      <c r="B349" s="153" t="str">
        <f>IFERROR(INDEX(D041_ClassFeatures!$B$2:$B$2033,MATCH(C_Variables!A349,D041_ClassFeatures!$A$2:$A$2033,0),1),"")</f>
        <v>Dueling</v>
      </c>
      <c r="C349" s="153">
        <f>IF(B349="",0,IF(IFERROR(MATCH(B349,C_Input!$BC$160:$BC$239,0),0)&gt;0,1,0))</f>
        <v>0</v>
      </c>
      <c r="E349" s="501"/>
      <c r="F349" s="501"/>
      <c r="G349" s="6" t="s">
        <v>365</v>
      </c>
      <c r="I349" s="494">
        <f>INDEX(D03_Skills!$AA$3:$BU$41,MATCH(C_Variables!$G355,D03_Skills!$Z$3:$Z$41,0),MATCH(C_Variables!N$313,D03_Skills!$AA$2:$BU$2,0))</f>
        <v>0</v>
      </c>
      <c r="J349" s="495">
        <f t="shared" si="340"/>
        <v>0</v>
      </c>
      <c r="K349" s="495">
        <f>IF(I349&gt;0,1+COUNTIF(K$314:K348,"&gt;0"),0)</f>
        <v>0</v>
      </c>
      <c r="L349" s="495" t="str">
        <f t="shared" si="341"/>
        <v/>
      </c>
      <c r="M349" s="495" t="str">
        <f t="shared" si="300"/>
        <v/>
      </c>
      <c r="N349" s="496">
        <f t="shared" si="301"/>
        <v>0</v>
      </c>
      <c r="O349" s="494">
        <f>INDEX(D03_Skills!$AA$3:$BU$41,MATCH(C_Variables!$G355,D03_Skills!$Z$3:$Z$41,0),MATCH(C_Variables!T$313,D03_Skills!$AA$2:$BU$2,0))</f>
        <v>0</v>
      </c>
      <c r="P349" s="495">
        <f t="shared" si="342"/>
        <v>0</v>
      </c>
      <c r="Q349" s="495">
        <f>IF(P349&gt;0,1+COUNTIF(Q$314:Q348,"&gt;0"),0)</f>
        <v>0</v>
      </c>
      <c r="R349" s="495" t="str">
        <f t="shared" si="343"/>
        <v/>
      </c>
      <c r="S349" s="495" t="str">
        <f t="shared" si="302"/>
        <v/>
      </c>
      <c r="T349" s="496">
        <f t="shared" si="303"/>
        <v>0</v>
      </c>
      <c r="U349" s="494">
        <f>INDEX(D03_Skills!$AA$3:$BU$41,MATCH(C_Variables!$G355,D03_Skills!$Z$3:$Z$41,0),MATCH(C_Variables!Z$313,D03_Skills!$AA$2:$BU$2,0))</f>
        <v>0</v>
      </c>
      <c r="V349" s="495">
        <f t="shared" si="344"/>
        <v>0</v>
      </c>
      <c r="W349" s="495">
        <f>IF(V349&gt;0,1+COUNTIF(W$314:W348,"&gt;0"),0)</f>
        <v>0</v>
      </c>
      <c r="X349" s="495" t="str">
        <f t="shared" si="345"/>
        <v/>
      </c>
      <c r="Y349" s="495" t="str">
        <f t="shared" si="304"/>
        <v/>
      </c>
      <c r="Z349" s="496">
        <f t="shared" si="305"/>
        <v>0</v>
      </c>
      <c r="AA349" s="494">
        <f>INDEX(D03_Skills!$AA$3:$BU$41,MATCH(C_Variables!$G355,D03_Skills!$Z$3:$Z$41,0),MATCH(C_Variables!AF$313,D03_Skills!$AA$2:$BU$2,0))</f>
        <v>0</v>
      </c>
      <c r="AB349" s="495">
        <f t="shared" si="346"/>
        <v>0</v>
      </c>
      <c r="AC349" s="495">
        <f>IF(AB349&gt;0,1+COUNTIF(AC$314:AC348,"&gt;0"),0)</f>
        <v>0</v>
      </c>
      <c r="AD349" s="495" t="str">
        <f t="shared" si="347"/>
        <v/>
      </c>
      <c r="AE349" s="495" t="str">
        <f t="shared" si="306"/>
        <v/>
      </c>
      <c r="AF349" s="496">
        <f t="shared" si="307"/>
        <v>0</v>
      </c>
      <c r="AG349" s="494">
        <f>INDEX(D03_Skills!$AA$3:$BU$41,MATCH(C_Variables!$G355,D03_Skills!$Z$3:$Z$41,0),MATCH(C_Variables!AL$313,D03_Skills!$AA$2:$BU$2,0))</f>
        <v>0</v>
      </c>
      <c r="AH349" s="495">
        <f t="shared" si="348"/>
        <v>0</v>
      </c>
      <c r="AI349" s="495">
        <f>IF(AH349&gt;0,1+COUNTIF(AI$314:AI348,"&gt;0"),0)</f>
        <v>0</v>
      </c>
      <c r="AJ349" s="495" t="str">
        <f t="shared" si="349"/>
        <v/>
      </c>
      <c r="AK349" s="495" t="str">
        <f t="shared" si="308"/>
        <v/>
      </c>
      <c r="AL349" s="496">
        <f t="shared" si="309"/>
        <v>0</v>
      </c>
      <c r="AM349" s="494">
        <f>INDEX(D03_Skills!$AA$3:$BU$41,MATCH(C_Variables!$G355,D03_Skills!$Z$3:$Z$41,0),MATCH(C_Variables!AR$313,D03_Skills!$AA$2:$BU$2,0))</f>
        <v>0</v>
      </c>
      <c r="AN349" s="495">
        <f t="shared" si="350"/>
        <v>0</v>
      </c>
      <c r="AO349" s="495">
        <f>IF(AN349&gt;0,1+COUNTIF(AO$314:AO348,"&gt;0"),0)</f>
        <v>0</v>
      </c>
      <c r="AP349" s="495" t="str">
        <f t="shared" si="351"/>
        <v/>
      </c>
      <c r="AQ349" s="495" t="str">
        <f t="shared" si="310"/>
        <v>n/a</v>
      </c>
      <c r="AR349" s="496">
        <f t="shared" si="311"/>
        <v>0</v>
      </c>
      <c r="AS349" s="494">
        <f>INDEX(D03_Skills!$AA$3:$BU$41,MATCH(C_Variables!$G355,D03_Skills!$Z$3:$Z$41,0),MATCH(C_Variables!AX$313,D03_Skills!$AA$2:$BU$2,0))</f>
        <v>1</v>
      </c>
      <c r="AT349" s="495">
        <f t="shared" si="352"/>
        <v>1</v>
      </c>
      <c r="AU349" s="495">
        <f>IF(AT349&gt;0,1+COUNTIF(AU$314:AU348,"&gt;0"),0)</f>
        <v>1</v>
      </c>
      <c r="AV349" s="495" t="str">
        <f t="shared" si="353"/>
        <v/>
      </c>
      <c r="AW349" s="495" t="str">
        <f t="shared" si="312"/>
        <v/>
      </c>
      <c r="AX349" s="496">
        <f t="shared" si="313"/>
        <v>0</v>
      </c>
      <c r="AY349" s="494">
        <f>INDEX(D03_Skills!$AA$3:$BU$41,MATCH(C_Variables!$G355,D03_Skills!$Z$3:$Z$41,0),MATCH(C_Variables!BD$313,D03_Skills!$AA$2:$BU$2,0))</f>
        <v>0</v>
      </c>
      <c r="AZ349" s="495">
        <f t="shared" si="354"/>
        <v>0</v>
      </c>
      <c r="BA349" s="495">
        <f>IF(AZ349&gt;0,1+COUNTIF(BA$314:BA348,"&gt;0"),0)</f>
        <v>0</v>
      </c>
      <c r="BB349" s="495" t="str">
        <f t="shared" si="355"/>
        <v/>
      </c>
      <c r="BC349" s="495" t="str">
        <f t="shared" si="314"/>
        <v/>
      </c>
      <c r="BD349" s="496">
        <f t="shared" si="315"/>
        <v>0</v>
      </c>
      <c r="BE349" s="494">
        <f>INDEX(D03_Skills!$AA$3:$BU$41,MATCH(C_Variables!$G355,D03_Skills!$Z$3:$Z$41,0),MATCH(C_Variables!BJ$313,D03_Skills!$AA$2:$BU$2,0))</f>
        <v>0</v>
      </c>
      <c r="BF349" s="495">
        <f t="shared" si="356"/>
        <v>0</v>
      </c>
      <c r="BG349" s="495">
        <f>IF(BF349&gt;0,1+COUNTIF(BG$314:BG348,"&gt;0"),0)</f>
        <v>0</v>
      </c>
      <c r="BH349" s="495" t="str">
        <f t="shared" si="357"/>
        <v/>
      </c>
      <c r="BI349" s="495" t="str">
        <f t="shared" si="316"/>
        <v/>
      </c>
      <c r="BJ349" s="496">
        <f t="shared" si="317"/>
        <v>0</v>
      </c>
      <c r="BK349" s="494">
        <f>INDEX(D03_Skills!$AA$3:$BU$41,MATCH(C_Variables!$G355,D03_Skills!$Z$3:$Z$41,0),MATCH(C_Variables!BP$313,D03_Skills!$AA$2:$BU$2,0))</f>
        <v>0</v>
      </c>
      <c r="BL349" s="495">
        <f t="shared" si="358"/>
        <v>0</v>
      </c>
      <c r="BM349" s="495">
        <f>IF(BL349&gt;0,1+COUNTIF(BM$314:BM348,"&gt;0"),0)</f>
        <v>0</v>
      </c>
      <c r="BN349" s="495" t="str">
        <f t="shared" si="359"/>
        <v/>
      </c>
      <c r="BO349" s="495" t="str">
        <f t="shared" si="318"/>
        <v/>
      </c>
      <c r="BP349" s="496">
        <f t="shared" si="319"/>
        <v>0</v>
      </c>
      <c r="BQ349" s="494">
        <f>INDEX(D03_Skills!$AA$3:$BU$41,MATCH(C_Variables!$G355,D03_Skills!$Z$3:$Z$41,0),MATCH(C_Variables!BV$313,D03_Skills!$AA$2:$BU$2,0))</f>
        <v>0</v>
      </c>
      <c r="BR349" s="495">
        <f t="shared" si="360"/>
        <v>0</v>
      </c>
      <c r="BS349" s="495">
        <f>IF(BR349&gt;0,1+COUNTIF(BS$314:BS348,"&gt;0"),0)</f>
        <v>0</v>
      </c>
      <c r="BT349" s="495" t="str">
        <f t="shared" si="361"/>
        <v/>
      </c>
      <c r="BU349" s="495" t="str">
        <f t="shared" si="320"/>
        <v/>
      </c>
      <c r="BV349" s="496">
        <f t="shared" si="321"/>
        <v>0</v>
      </c>
      <c r="BW349" s="494">
        <f>INDEX(D03_Skills!$AA$3:$BU$41,MATCH(C_Variables!$G355,D03_Skills!$Z$3:$Z$41,0),MATCH(C_Variables!CB$313,D03_Skills!$AA$2:$BU$2,0))</f>
        <v>0</v>
      </c>
      <c r="BX349" s="495">
        <f t="shared" si="362"/>
        <v>0</v>
      </c>
      <c r="BY349" s="495">
        <f>IF(BX349&gt;0,1+COUNTIF(BY$314:BY348,"&gt;0"),0)</f>
        <v>0</v>
      </c>
      <c r="BZ349" s="495" t="str">
        <f t="shared" si="363"/>
        <v/>
      </c>
      <c r="CA349" s="495" t="str">
        <f t="shared" si="322"/>
        <v/>
      </c>
      <c r="CB349" s="496">
        <f t="shared" si="323"/>
        <v>0</v>
      </c>
      <c r="CC349" s="494" t="e">
        <f>INDEX(D03_Skills!$AA$3:$BU$41,MATCH(C_Variables!$G355,D03_Skills!$Z$3:$Z$41,0),MATCH(C_Variables!CH$313,D03_Skills!$AA$2:$BU$2,0))</f>
        <v>#N/A</v>
      </c>
      <c r="CD349" s="495" t="e">
        <f t="shared" si="364"/>
        <v>#N/A</v>
      </c>
      <c r="CE349" s="495" t="e">
        <f>IF(CD349&gt;0,1+COUNTIF(CE$314:CE348,"&gt;0"),0)</f>
        <v>#N/A</v>
      </c>
      <c r="CF349" s="495" t="e">
        <f t="shared" si="365"/>
        <v>#N/A</v>
      </c>
      <c r="CG349" s="495" t="e">
        <f t="shared" si="324"/>
        <v>#N/A</v>
      </c>
      <c r="CH349" s="496">
        <f t="shared" si="325"/>
        <v>0</v>
      </c>
      <c r="CI349" s="494" t="e">
        <f>INDEX(D03_Skills!$AA$3:$BU$41,MATCH(C_Variables!$G355,D03_Skills!$Z$3:$Z$41,0),MATCH(C_Variables!CN$313,D03_Skills!$AA$2:$BU$2,0))</f>
        <v>#N/A</v>
      </c>
      <c r="CJ349" s="495" t="e">
        <f t="shared" si="366"/>
        <v>#N/A</v>
      </c>
      <c r="CK349" s="495" t="e">
        <f>IF(CJ349&gt;0,1+COUNTIF(CK$314:CK348,"&gt;0"),0)</f>
        <v>#N/A</v>
      </c>
      <c r="CL349" s="495" t="e">
        <f t="shared" si="367"/>
        <v>#N/A</v>
      </c>
      <c r="CM349" s="495" t="e">
        <f t="shared" si="326"/>
        <v>#N/A</v>
      </c>
      <c r="CN349" s="496">
        <f t="shared" si="327"/>
        <v>0</v>
      </c>
      <c r="CO349" s="494" t="e">
        <f>INDEX(D03_Skills!$AA$3:$BU$41,MATCH(C_Variables!$G355,D03_Skills!$Z$3:$Z$41,0),MATCH(C_Variables!CT$313,D03_Skills!$AA$2:$BU$2,0))</f>
        <v>#N/A</v>
      </c>
      <c r="CP349" s="495" t="e">
        <f t="shared" si="368"/>
        <v>#N/A</v>
      </c>
      <c r="CQ349" s="495" t="e">
        <f>IF(CP349&gt;0,1+COUNTIF(CQ$314:CQ348,"&gt;0"),0)</f>
        <v>#N/A</v>
      </c>
      <c r="CR349" s="495" t="e">
        <f t="shared" si="369"/>
        <v>#N/A</v>
      </c>
      <c r="CS349" s="495" t="e">
        <f t="shared" si="328"/>
        <v>#N/A</v>
      </c>
      <c r="CT349" s="496">
        <f t="shared" si="329"/>
        <v>0</v>
      </c>
      <c r="CU349" s="494" t="e">
        <f>INDEX(D03_Skills!$AA$3:$BU$41,MATCH(C_Variables!$G355,D03_Skills!$Z$3:$Z$41,0),MATCH(C_Variables!CZ$313,D03_Skills!$AA$2:$BU$2,0))</f>
        <v>#N/A</v>
      </c>
      <c r="CV349" s="495" t="e">
        <f t="shared" si="370"/>
        <v>#N/A</v>
      </c>
      <c r="CW349" s="495" t="e">
        <f>IF(CV349&gt;0,1+COUNTIF(CW$314:CW348,"&gt;0"),0)</f>
        <v>#N/A</v>
      </c>
      <c r="CX349" s="495" t="e">
        <f t="shared" si="371"/>
        <v>#N/A</v>
      </c>
      <c r="CY349" s="495" t="e">
        <f t="shared" si="330"/>
        <v>#N/A</v>
      </c>
      <c r="CZ349" s="496">
        <f t="shared" si="331"/>
        <v>0</v>
      </c>
      <c r="DA349" s="494" t="e">
        <f>INDEX(D03_Skills!$AA$3:$BU$41,MATCH(C_Variables!$G355,D03_Skills!$Z$3:$Z$41,0),MATCH(C_Variables!DF$313,D03_Skills!$AA$2:$BU$2,0))</f>
        <v>#N/A</v>
      </c>
      <c r="DB349" s="495" t="e">
        <f t="shared" si="372"/>
        <v>#N/A</v>
      </c>
      <c r="DC349" s="495" t="e">
        <f>IF(DB349&gt;0,1+COUNTIF(DC$314:DC348,"&gt;0"),0)</f>
        <v>#N/A</v>
      </c>
      <c r="DD349" s="495" t="e">
        <f t="shared" si="373"/>
        <v>#N/A</v>
      </c>
      <c r="DE349" s="495" t="e">
        <f t="shared" si="332"/>
        <v>#N/A</v>
      </c>
      <c r="DF349" s="496">
        <f t="shared" si="333"/>
        <v>0</v>
      </c>
      <c r="DG349" s="494" t="e">
        <f>INDEX(D03_Skills!$AA$3:$BU$41,MATCH(C_Variables!$G355,D03_Skills!$Z$3:$Z$41,0),MATCH(C_Variables!DL$313,D03_Skills!$AA$2:$BU$2,0))</f>
        <v>#N/A</v>
      </c>
      <c r="DH349" s="495" t="e">
        <f t="shared" si="374"/>
        <v>#N/A</v>
      </c>
      <c r="DI349" s="495" t="e">
        <f>IF(DH349&gt;0,1+COUNTIF(DI$314:DI348,"&gt;0"),0)</f>
        <v>#N/A</v>
      </c>
      <c r="DJ349" s="495" t="e">
        <f t="shared" si="375"/>
        <v>#N/A</v>
      </c>
      <c r="DK349" s="495" t="e">
        <f t="shared" si="334"/>
        <v>#N/A</v>
      </c>
      <c r="DL349" s="496">
        <f t="shared" si="335"/>
        <v>0</v>
      </c>
      <c r="DM349" s="494" t="e">
        <f>INDEX(D03_Skills!$AA$3:$BU$41,MATCH(C_Variables!$G355,D03_Skills!$Z$3:$Z$41,0),MATCH(C_Variables!DR$313,D03_Skills!$AA$2:$BU$2,0))</f>
        <v>#N/A</v>
      </c>
      <c r="DN349" s="495" t="e">
        <f t="shared" si="376"/>
        <v>#N/A</v>
      </c>
      <c r="DO349" s="495" t="e">
        <f>IF(DN349&gt;0,1+COUNTIF(DO$314:DO348,"&gt;0"),0)</f>
        <v>#N/A</v>
      </c>
      <c r="DP349" s="495" t="e">
        <f t="shared" si="377"/>
        <v>#N/A</v>
      </c>
      <c r="DQ349" s="495" t="e">
        <f t="shared" si="336"/>
        <v>#N/A</v>
      </c>
      <c r="DR349" s="496">
        <f t="shared" si="337"/>
        <v>0</v>
      </c>
      <c r="DS349" s="494" t="e">
        <f>INDEX(D03_Skills!$AA$3:$BU$41,MATCH(C_Variables!$G355,D03_Skills!$Z$3:$Z$41,0),MATCH(C_Variables!DX$313,D03_Skills!$AA$2:$BU$2,0))</f>
        <v>#N/A</v>
      </c>
      <c r="DT349" s="495" t="e">
        <f t="shared" si="378"/>
        <v>#N/A</v>
      </c>
      <c r="DU349" s="495" t="e">
        <f>IF(DT349&gt;0,1+COUNTIF(DU$314:DU348,"&gt;0"),0)</f>
        <v>#N/A</v>
      </c>
      <c r="DV349" s="495" t="e">
        <f t="shared" si="379"/>
        <v>#N/A</v>
      </c>
      <c r="DW349" s="495" t="e">
        <f t="shared" si="338"/>
        <v>#N/A</v>
      </c>
      <c r="DX349" s="496">
        <f t="shared" si="339"/>
        <v>0</v>
      </c>
      <c r="DY349" s="501"/>
    </row>
    <row r="350" spans="1:129" ht="16.5" x14ac:dyDescent="0.3">
      <c r="A350" s="155">
        <f>IFERROR(IF(A349+1&lt;MAX(D041_ClassFeatures!$A$2:$A$2033),A349+1,""),"")</f>
        <v>347</v>
      </c>
      <c r="B350" s="153" t="str">
        <f>IFERROR(INDEX(D041_ClassFeatures!$B$2:$B$2033,MATCH(C_Variables!A350,D041_ClassFeatures!$A$2:$A$2033,0),1),"")</f>
        <v>Great Weapon Fighting</v>
      </c>
      <c r="C350" s="153">
        <f>IF(B350="",0,IF(IFERROR(MATCH(B350,C_Input!$BC$160:$BC$239,0),0)&gt;0,1,0))</f>
        <v>0</v>
      </c>
      <c r="E350" s="501"/>
      <c r="F350" s="501"/>
      <c r="G350" s="6" t="s">
        <v>366</v>
      </c>
      <c r="I350" s="494">
        <f>INDEX(D03_Skills!$AA$3:$BU$41,MATCH(C_Variables!$G356,D03_Skills!$Z$3:$Z$41,0),MATCH(C_Variables!N$313,D03_Skills!$AA$2:$BU$2,0))</f>
        <v>0</v>
      </c>
      <c r="J350" s="495">
        <f t="shared" si="340"/>
        <v>0</v>
      </c>
      <c r="K350" s="495">
        <f>IF(I350&gt;0,1+COUNTIF(K$314:K349,"&gt;0"),0)</f>
        <v>0</v>
      </c>
      <c r="L350" s="495" t="str">
        <f t="shared" si="341"/>
        <v/>
      </c>
      <c r="M350" s="495" t="str">
        <f t="shared" si="300"/>
        <v/>
      </c>
      <c r="N350" s="496">
        <f t="shared" si="301"/>
        <v>0</v>
      </c>
      <c r="O350" s="494">
        <f>INDEX(D03_Skills!$AA$3:$BU$41,MATCH(C_Variables!$G356,D03_Skills!$Z$3:$Z$41,0),MATCH(C_Variables!T$313,D03_Skills!$AA$2:$BU$2,0))</f>
        <v>0</v>
      </c>
      <c r="P350" s="495">
        <f t="shared" si="342"/>
        <v>0</v>
      </c>
      <c r="Q350" s="495">
        <f>IF(P350&gt;0,1+COUNTIF(Q$314:Q349,"&gt;0"),0)</f>
        <v>0</v>
      </c>
      <c r="R350" s="495" t="str">
        <f t="shared" si="343"/>
        <v/>
      </c>
      <c r="S350" s="495" t="str">
        <f t="shared" si="302"/>
        <v/>
      </c>
      <c r="T350" s="496">
        <f t="shared" si="303"/>
        <v>0</v>
      </c>
      <c r="U350" s="494">
        <f>INDEX(D03_Skills!$AA$3:$BU$41,MATCH(C_Variables!$G356,D03_Skills!$Z$3:$Z$41,0),MATCH(C_Variables!Z$313,D03_Skills!$AA$2:$BU$2,0))</f>
        <v>0</v>
      </c>
      <c r="V350" s="495">
        <f t="shared" si="344"/>
        <v>0</v>
      </c>
      <c r="W350" s="495">
        <f>IF(V350&gt;0,1+COUNTIF(W$314:W349,"&gt;0"),0)</f>
        <v>0</v>
      </c>
      <c r="X350" s="495" t="str">
        <f t="shared" si="345"/>
        <v/>
      </c>
      <c r="Y350" s="495" t="str">
        <f t="shared" si="304"/>
        <v/>
      </c>
      <c r="Z350" s="496">
        <f t="shared" si="305"/>
        <v>0</v>
      </c>
      <c r="AA350" s="494">
        <f>INDEX(D03_Skills!$AA$3:$BU$41,MATCH(C_Variables!$G356,D03_Skills!$Z$3:$Z$41,0),MATCH(C_Variables!AF$313,D03_Skills!$AA$2:$BU$2,0))</f>
        <v>0</v>
      </c>
      <c r="AB350" s="495">
        <f t="shared" si="346"/>
        <v>0</v>
      </c>
      <c r="AC350" s="495">
        <f>IF(AB350&gt;0,1+COUNTIF(AC$314:AC349,"&gt;0"),0)</f>
        <v>0</v>
      </c>
      <c r="AD350" s="495" t="str">
        <f t="shared" si="347"/>
        <v/>
      </c>
      <c r="AE350" s="495" t="str">
        <f t="shared" si="306"/>
        <v/>
      </c>
      <c r="AF350" s="496">
        <f t="shared" si="307"/>
        <v>0</v>
      </c>
      <c r="AG350" s="494">
        <f>INDEX(D03_Skills!$AA$3:$BU$41,MATCH(C_Variables!$G356,D03_Skills!$Z$3:$Z$41,0),MATCH(C_Variables!AL$313,D03_Skills!$AA$2:$BU$2,0))</f>
        <v>0</v>
      </c>
      <c r="AH350" s="495">
        <f t="shared" si="348"/>
        <v>0</v>
      </c>
      <c r="AI350" s="495">
        <f>IF(AH350&gt;0,1+COUNTIF(AI$314:AI349,"&gt;0"),0)</f>
        <v>0</v>
      </c>
      <c r="AJ350" s="495" t="str">
        <f t="shared" si="349"/>
        <v/>
      </c>
      <c r="AK350" s="495" t="str">
        <f t="shared" si="308"/>
        <v/>
      </c>
      <c r="AL350" s="496">
        <f t="shared" si="309"/>
        <v>0</v>
      </c>
      <c r="AM350" s="494">
        <f>INDEX(D03_Skills!$AA$3:$BU$41,MATCH(C_Variables!$G356,D03_Skills!$Z$3:$Z$41,0),MATCH(C_Variables!AR$313,D03_Skills!$AA$2:$BU$2,0))</f>
        <v>0</v>
      </c>
      <c r="AN350" s="495">
        <f t="shared" si="350"/>
        <v>0</v>
      </c>
      <c r="AO350" s="495">
        <f>IF(AN350&gt;0,1+COUNTIF(AO$314:AO349,"&gt;0"),0)</f>
        <v>0</v>
      </c>
      <c r="AP350" s="495" t="str">
        <f t="shared" si="351"/>
        <v/>
      </c>
      <c r="AQ350" s="495" t="str">
        <f t="shared" si="310"/>
        <v/>
      </c>
      <c r="AR350" s="496">
        <f t="shared" si="311"/>
        <v>0</v>
      </c>
      <c r="AS350" s="494">
        <f>INDEX(D03_Skills!$AA$3:$BU$41,MATCH(C_Variables!$G356,D03_Skills!$Z$3:$Z$41,0),MATCH(C_Variables!AX$313,D03_Skills!$AA$2:$BU$2,0))</f>
        <v>0</v>
      </c>
      <c r="AT350" s="495">
        <f t="shared" si="352"/>
        <v>0</v>
      </c>
      <c r="AU350" s="495">
        <f>IF(AT350&gt;0,1+COUNTIF(AU$314:AU349,"&gt;0"),0)</f>
        <v>0</v>
      </c>
      <c r="AV350" s="495" t="str">
        <f t="shared" si="353"/>
        <v/>
      </c>
      <c r="AW350" s="495" t="str">
        <f t="shared" si="312"/>
        <v>n/a</v>
      </c>
      <c r="AX350" s="496">
        <f t="shared" si="313"/>
        <v>0</v>
      </c>
      <c r="AY350" s="494">
        <f>INDEX(D03_Skills!$AA$3:$BU$41,MATCH(C_Variables!$G356,D03_Skills!$Z$3:$Z$41,0),MATCH(C_Variables!BD$313,D03_Skills!$AA$2:$BU$2,0))</f>
        <v>0</v>
      </c>
      <c r="AZ350" s="495">
        <f t="shared" si="354"/>
        <v>0</v>
      </c>
      <c r="BA350" s="495">
        <f>IF(AZ350&gt;0,1+COUNTIF(BA$314:BA349,"&gt;0"),0)</f>
        <v>0</v>
      </c>
      <c r="BB350" s="495" t="str">
        <f t="shared" si="355"/>
        <v/>
      </c>
      <c r="BC350" s="495" t="str">
        <f t="shared" si="314"/>
        <v/>
      </c>
      <c r="BD350" s="496">
        <f t="shared" si="315"/>
        <v>0</v>
      </c>
      <c r="BE350" s="494">
        <f>INDEX(D03_Skills!$AA$3:$BU$41,MATCH(C_Variables!$G356,D03_Skills!$Z$3:$Z$41,0),MATCH(C_Variables!BJ$313,D03_Skills!$AA$2:$BU$2,0))</f>
        <v>0</v>
      </c>
      <c r="BF350" s="495">
        <f t="shared" si="356"/>
        <v>0</v>
      </c>
      <c r="BG350" s="495">
        <f>IF(BF350&gt;0,1+COUNTIF(BG$314:BG349,"&gt;0"),0)</f>
        <v>0</v>
      </c>
      <c r="BH350" s="495" t="str">
        <f t="shared" si="357"/>
        <v/>
      </c>
      <c r="BI350" s="495" t="str">
        <f t="shared" si="316"/>
        <v/>
      </c>
      <c r="BJ350" s="496">
        <f t="shared" si="317"/>
        <v>0</v>
      </c>
      <c r="BK350" s="494">
        <f>INDEX(D03_Skills!$AA$3:$BU$41,MATCH(C_Variables!$G356,D03_Skills!$Z$3:$Z$41,0),MATCH(C_Variables!BP$313,D03_Skills!$AA$2:$BU$2,0))</f>
        <v>0</v>
      </c>
      <c r="BL350" s="495">
        <f t="shared" si="358"/>
        <v>0</v>
      </c>
      <c r="BM350" s="495">
        <f>IF(BL350&gt;0,1+COUNTIF(BM$314:BM349,"&gt;0"),0)</f>
        <v>0</v>
      </c>
      <c r="BN350" s="495" t="str">
        <f t="shared" si="359"/>
        <v/>
      </c>
      <c r="BO350" s="495" t="str">
        <f t="shared" si="318"/>
        <v/>
      </c>
      <c r="BP350" s="496">
        <f t="shared" si="319"/>
        <v>0</v>
      </c>
      <c r="BQ350" s="494">
        <f>INDEX(D03_Skills!$AA$3:$BU$41,MATCH(C_Variables!$G356,D03_Skills!$Z$3:$Z$41,0),MATCH(C_Variables!BV$313,D03_Skills!$AA$2:$BU$2,0))</f>
        <v>0</v>
      </c>
      <c r="BR350" s="495">
        <f t="shared" si="360"/>
        <v>0</v>
      </c>
      <c r="BS350" s="495">
        <f>IF(BR350&gt;0,1+COUNTIF(BS$314:BS349,"&gt;0"),0)</f>
        <v>0</v>
      </c>
      <c r="BT350" s="495" t="str">
        <f t="shared" si="361"/>
        <v/>
      </c>
      <c r="BU350" s="495" t="str">
        <f t="shared" si="320"/>
        <v/>
      </c>
      <c r="BV350" s="496">
        <f t="shared" si="321"/>
        <v>0</v>
      </c>
      <c r="BW350" s="494">
        <f>INDEX(D03_Skills!$AA$3:$BU$41,MATCH(C_Variables!$G356,D03_Skills!$Z$3:$Z$41,0),MATCH(C_Variables!CB$313,D03_Skills!$AA$2:$BU$2,0))</f>
        <v>0</v>
      </c>
      <c r="BX350" s="495">
        <f t="shared" si="362"/>
        <v>0</v>
      </c>
      <c r="BY350" s="495">
        <f>IF(BX350&gt;0,1+COUNTIF(BY$314:BY349,"&gt;0"),0)</f>
        <v>0</v>
      </c>
      <c r="BZ350" s="495" t="str">
        <f t="shared" si="363"/>
        <v/>
      </c>
      <c r="CA350" s="495" t="str">
        <f t="shared" si="322"/>
        <v/>
      </c>
      <c r="CB350" s="496">
        <f t="shared" si="323"/>
        <v>0</v>
      </c>
      <c r="CC350" s="494" t="e">
        <f>INDEX(D03_Skills!$AA$3:$BU$41,MATCH(C_Variables!$G356,D03_Skills!$Z$3:$Z$41,0),MATCH(C_Variables!CH$313,D03_Skills!$AA$2:$BU$2,0))</f>
        <v>#N/A</v>
      </c>
      <c r="CD350" s="495" t="e">
        <f t="shared" si="364"/>
        <v>#N/A</v>
      </c>
      <c r="CE350" s="495" t="e">
        <f>IF(CD350&gt;0,1+COUNTIF(CE$314:CE349,"&gt;0"),0)</f>
        <v>#N/A</v>
      </c>
      <c r="CF350" s="495" t="e">
        <f t="shared" si="365"/>
        <v>#N/A</v>
      </c>
      <c r="CG350" s="495" t="e">
        <f t="shared" si="324"/>
        <v>#N/A</v>
      </c>
      <c r="CH350" s="496">
        <f t="shared" si="325"/>
        <v>0</v>
      </c>
      <c r="CI350" s="494" t="e">
        <f>INDEX(D03_Skills!$AA$3:$BU$41,MATCH(C_Variables!$G356,D03_Skills!$Z$3:$Z$41,0),MATCH(C_Variables!CN$313,D03_Skills!$AA$2:$BU$2,0))</f>
        <v>#N/A</v>
      </c>
      <c r="CJ350" s="495" t="e">
        <f t="shared" si="366"/>
        <v>#N/A</v>
      </c>
      <c r="CK350" s="495" t="e">
        <f>IF(CJ350&gt;0,1+COUNTIF(CK$314:CK349,"&gt;0"),0)</f>
        <v>#N/A</v>
      </c>
      <c r="CL350" s="495" t="e">
        <f t="shared" si="367"/>
        <v>#N/A</v>
      </c>
      <c r="CM350" s="495" t="e">
        <f t="shared" si="326"/>
        <v>#N/A</v>
      </c>
      <c r="CN350" s="496">
        <f t="shared" si="327"/>
        <v>0</v>
      </c>
      <c r="CO350" s="494" t="e">
        <f>INDEX(D03_Skills!$AA$3:$BU$41,MATCH(C_Variables!$G356,D03_Skills!$Z$3:$Z$41,0),MATCH(C_Variables!CT$313,D03_Skills!$AA$2:$BU$2,0))</f>
        <v>#N/A</v>
      </c>
      <c r="CP350" s="495" t="e">
        <f t="shared" si="368"/>
        <v>#N/A</v>
      </c>
      <c r="CQ350" s="495" t="e">
        <f>IF(CP350&gt;0,1+COUNTIF(CQ$314:CQ349,"&gt;0"),0)</f>
        <v>#N/A</v>
      </c>
      <c r="CR350" s="495" t="e">
        <f t="shared" si="369"/>
        <v>#N/A</v>
      </c>
      <c r="CS350" s="495" t="e">
        <f t="shared" si="328"/>
        <v>#N/A</v>
      </c>
      <c r="CT350" s="496">
        <f t="shared" si="329"/>
        <v>0</v>
      </c>
      <c r="CU350" s="494" t="e">
        <f>INDEX(D03_Skills!$AA$3:$BU$41,MATCH(C_Variables!$G356,D03_Skills!$Z$3:$Z$41,0),MATCH(C_Variables!CZ$313,D03_Skills!$AA$2:$BU$2,0))</f>
        <v>#N/A</v>
      </c>
      <c r="CV350" s="495" t="e">
        <f t="shared" si="370"/>
        <v>#N/A</v>
      </c>
      <c r="CW350" s="495" t="e">
        <f>IF(CV350&gt;0,1+COUNTIF(CW$314:CW349,"&gt;0"),0)</f>
        <v>#N/A</v>
      </c>
      <c r="CX350" s="495" t="e">
        <f t="shared" si="371"/>
        <v>#N/A</v>
      </c>
      <c r="CY350" s="495" t="e">
        <f t="shared" si="330"/>
        <v>#N/A</v>
      </c>
      <c r="CZ350" s="496">
        <f t="shared" si="331"/>
        <v>0</v>
      </c>
      <c r="DA350" s="494" t="e">
        <f>INDEX(D03_Skills!$AA$3:$BU$41,MATCH(C_Variables!$G356,D03_Skills!$Z$3:$Z$41,0),MATCH(C_Variables!DF$313,D03_Skills!$AA$2:$BU$2,0))</f>
        <v>#N/A</v>
      </c>
      <c r="DB350" s="495" t="e">
        <f t="shared" si="372"/>
        <v>#N/A</v>
      </c>
      <c r="DC350" s="495" t="e">
        <f>IF(DB350&gt;0,1+COUNTIF(DC$314:DC349,"&gt;0"),0)</f>
        <v>#N/A</v>
      </c>
      <c r="DD350" s="495" t="e">
        <f t="shared" si="373"/>
        <v>#N/A</v>
      </c>
      <c r="DE350" s="495" t="e">
        <f t="shared" si="332"/>
        <v>#N/A</v>
      </c>
      <c r="DF350" s="496">
        <f t="shared" si="333"/>
        <v>0</v>
      </c>
      <c r="DG350" s="494" t="e">
        <f>INDEX(D03_Skills!$AA$3:$BU$41,MATCH(C_Variables!$G356,D03_Skills!$Z$3:$Z$41,0),MATCH(C_Variables!DL$313,D03_Skills!$AA$2:$BU$2,0))</f>
        <v>#N/A</v>
      </c>
      <c r="DH350" s="495" t="e">
        <f t="shared" si="374"/>
        <v>#N/A</v>
      </c>
      <c r="DI350" s="495" t="e">
        <f>IF(DH350&gt;0,1+COUNTIF(DI$314:DI349,"&gt;0"),0)</f>
        <v>#N/A</v>
      </c>
      <c r="DJ350" s="495" t="e">
        <f t="shared" si="375"/>
        <v>#N/A</v>
      </c>
      <c r="DK350" s="495" t="e">
        <f t="shared" si="334"/>
        <v>#N/A</v>
      </c>
      <c r="DL350" s="496">
        <f t="shared" si="335"/>
        <v>0</v>
      </c>
      <c r="DM350" s="494" t="e">
        <f>INDEX(D03_Skills!$AA$3:$BU$41,MATCH(C_Variables!$G356,D03_Skills!$Z$3:$Z$41,0),MATCH(C_Variables!DR$313,D03_Skills!$AA$2:$BU$2,0))</f>
        <v>#N/A</v>
      </c>
      <c r="DN350" s="495" t="e">
        <f t="shared" si="376"/>
        <v>#N/A</v>
      </c>
      <c r="DO350" s="495" t="e">
        <f>IF(DN350&gt;0,1+COUNTIF(DO$314:DO349,"&gt;0"),0)</f>
        <v>#N/A</v>
      </c>
      <c r="DP350" s="495" t="e">
        <f t="shared" si="377"/>
        <v>#N/A</v>
      </c>
      <c r="DQ350" s="495" t="e">
        <f t="shared" si="336"/>
        <v>#N/A</v>
      </c>
      <c r="DR350" s="496">
        <f t="shared" si="337"/>
        <v>0</v>
      </c>
      <c r="DS350" s="494" t="e">
        <f>INDEX(D03_Skills!$AA$3:$BU$41,MATCH(C_Variables!$G356,D03_Skills!$Z$3:$Z$41,0),MATCH(C_Variables!DX$313,D03_Skills!$AA$2:$BU$2,0))</f>
        <v>#N/A</v>
      </c>
      <c r="DT350" s="495" t="e">
        <f t="shared" si="378"/>
        <v>#N/A</v>
      </c>
      <c r="DU350" s="495" t="e">
        <f>IF(DT350&gt;0,1+COUNTIF(DU$314:DU349,"&gt;0"),0)</f>
        <v>#N/A</v>
      </c>
      <c r="DV350" s="495" t="e">
        <f t="shared" si="379"/>
        <v>#N/A</v>
      </c>
      <c r="DW350" s="495" t="e">
        <f t="shared" si="338"/>
        <v>#N/A</v>
      </c>
      <c r="DX350" s="496">
        <f t="shared" si="339"/>
        <v>0</v>
      </c>
      <c r="DY350" s="501"/>
    </row>
    <row r="351" spans="1:129" ht="16.5" x14ac:dyDescent="0.3">
      <c r="A351" s="155">
        <f>IFERROR(IF(A350+1&lt;MAX(D041_ClassFeatures!$A$2:$A$2033),A350+1,""),"")</f>
        <v>348</v>
      </c>
      <c r="B351" s="153" t="str">
        <f>IFERROR(INDEX(D041_ClassFeatures!$B$2:$B$2033,MATCH(C_Variables!A351,D041_ClassFeatures!$A$2:$A$2033,0),1),"")</f>
        <v>Protection</v>
      </c>
      <c r="C351" s="153">
        <f>IF(B351="",0,IF(IFERROR(MATCH(B351,C_Input!$BC$160:$BC$239,0),0)&gt;0,1,0))</f>
        <v>0</v>
      </c>
      <c r="E351" s="501"/>
      <c r="F351" s="501"/>
      <c r="G351" s="6" t="s">
        <v>395</v>
      </c>
      <c r="I351" s="494">
        <f>INDEX(D03_Skills!$AA$3:$BU$41,MATCH(C_Variables!$G357,D03_Skills!$Z$3:$Z$41,0),MATCH(C_Variables!N$313,D03_Skills!$AA$2:$BU$2,0))</f>
        <v>0</v>
      </c>
      <c r="J351" s="495">
        <f t="shared" si="340"/>
        <v>0</v>
      </c>
      <c r="K351" s="495">
        <f>IF(I351&gt;0,1+COUNTIF(K$314:K350,"&gt;0"),0)</f>
        <v>0</v>
      </c>
      <c r="L351" s="495" t="str">
        <f t="shared" si="341"/>
        <v/>
      </c>
      <c r="M351" s="495" t="str">
        <f t="shared" si="300"/>
        <v/>
      </c>
      <c r="N351" s="496">
        <f t="shared" si="301"/>
        <v>0</v>
      </c>
      <c r="O351" s="494">
        <f>INDEX(D03_Skills!$AA$3:$BU$41,MATCH(C_Variables!$G357,D03_Skills!$Z$3:$Z$41,0),MATCH(C_Variables!T$313,D03_Skills!$AA$2:$BU$2,0))</f>
        <v>0</v>
      </c>
      <c r="P351" s="495">
        <f t="shared" si="342"/>
        <v>0</v>
      </c>
      <c r="Q351" s="495">
        <f>IF(P351&gt;0,1+COUNTIF(Q$314:Q350,"&gt;0"),0)</f>
        <v>0</v>
      </c>
      <c r="R351" s="495" t="str">
        <f t="shared" si="343"/>
        <v/>
      </c>
      <c r="S351" s="495" t="str">
        <f t="shared" si="302"/>
        <v/>
      </c>
      <c r="T351" s="496">
        <f t="shared" si="303"/>
        <v>0</v>
      </c>
      <c r="U351" s="494">
        <f>INDEX(D03_Skills!$AA$3:$BU$41,MATCH(C_Variables!$G357,D03_Skills!$Z$3:$Z$41,0),MATCH(C_Variables!Z$313,D03_Skills!$AA$2:$BU$2,0))</f>
        <v>0</v>
      </c>
      <c r="V351" s="495">
        <f t="shared" si="344"/>
        <v>0</v>
      </c>
      <c r="W351" s="495">
        <f>IF(V351&gt;0,1+COUNTIF(W$314:W350,"&gt;0"),0)</f>
        <v>0</v>
      </c>
      <c r="X351" s="495" t="str">
        <f t="shared" si="345"/>
        <v/>
      </c>
      <c r="Y351" s="495" t="str">
        <f t="shared" si="304"/>
        <v/>
      </c>
      <c r="Z351" s="496">
        <f t="shared" si="305"/>
        <v>0</v>
      </c>
      <c r="AA351" s="494">
        <f>INDEX(D03_Skills!$AA$3:$BU$41,MATCH(C_Variables!$G357,D03_Skills!$Z$3:$Z$41,0),MATCH(C_Variables!AF$313,D03_Skills!$AA$2:$BU$2,0))</f>
        <v>0</v>
      </c>
      <c r="AB351" s="495">
        <f t="shared" si="346"/>
        <v>0</v>
      </c>
      <c r="AC351" s="495">
        <f>IF(AB351&gt;0,1+COUNTIF(AC$314:AC350,"&gt;0"),0)</f>
        <v>0</v>
      </c>
      <c r="AD351" s="495" t="str">
        <f t="shared" si="347"/>
        <v/>
      </c>
      <c r="AE351" s="495" t="str">
        <f t="shared" si="306"/>
        <v/>
      </c>
      <c r="AF351" s="496">
        <f t="shared" si="307"/>
        <v>0</v>
      </c>
      <c r="AG351" s="494">
        <f>INDEX(D03_Skills!$AA$3:$BU$41,MATCH(C_Variables!$G357,D03_Skills!$Z$3:$Z$41,0),MATCH(C_Variables!AL$313,D03_Skills!$AA$2:$BU$2,0))</f>
        <v>0</v>
      </c>
      <c r="AH351" s="495">
        <f t="shared" si="348"/>
        <v>0</v>
      </c>
      <c r="AI351" s="495">
        <f>IF(AH351&gt;0,1+COUNTIF(AI$314:AI350,"&gt;0"),0)</f>
        <v>0</v>
      </c>
      <c r="AJ351" s="495" t="str">
        <f t="shared" si="349"/>
        <v/>
      </c>
      <c r="AK351" s="495" t="str">
        <f t="shared" si="308"/>
        <v/>
      </c>
      <c r="AL351" s="496">
        <f t="shared" si="309"/>
        <v>0</v>
      </c>
      <c r="AM351" s="494">
        <f>INDEX(D03_Skills!$AA$3:$BU$41,MATCH(C_Variables!$G357,D03_Skills!$Z$3:$Z$41,0),MATCH(C_Variables!AR$313,D03_Skills!$AA$2:$BU$2,0))</f>
        <v>0</v>
      </c>
      <c r="AN351" s="495">
        <f t="shared" si="350"/>
        <v>0</v>
      </c>
      <c r="AO351" s="495">
        <f>IF(AN351&gt;0,1+COUNTIF(AO$314:AO350,"&gt;0"),0)</f>
        <v>0</v>
      </c>
      <c r="AP351" s="495" t="str">
        <f t="shared" si="351"/>
        <v/>
      </c>
      <c r="AQ351" s="495" t="str">
        <f t="shared" si="310"/>
        <v/>
      </c>
      <c r="AR351" s="496">
        <f t="shared" si="311"/>
        <v>0</v>
      </c>
      <c r="AS351" s="494">
        <f>INDEX(D03_Skills!$AA$3:$BU$41,MATCH(C_Variables!$G357,D03_Skills!$Z$3:$Z$41,0),MATCH(C_Variables!AX$313,D03_Skills!$AA$2:$BU$2,0))</f>
        <v>0</v>
      </c>
      <c r="AT351" s="495">
        <f t="shared" si="352"/>
        <v>0</v>
      </c>
      <c r="AU351" s="495">
        <f>IF(AT351&gt;0,1+COUNTIF(AU$314:AU350,"&gt;0"),0)</f>
        <v>0</v>
      </c>
      <c r="AV351" s="495" t="str">
        <f t="shared" si="353"/>
        <v/>
      </c>
      <c r="AW351" s="495" t="str">
        <f t="shared" si="312"/>
        <v/>
      </c>
      <c r="AX351" s="496">
        <f t="shared" si="313"/>
        <v>0</v>
      </c>
      <c r="AY351" s="494">
        <f>INDEX(D03_Skills!$AA$3:$BU$41,MATCH(C_Variables!$G357,D03_Skills!$Z$3:$Z$41,0),MATCH(C_Variables!BD$313,D03_Skills!$AA$2:$BU$2,0))</f>
        <v>0</v>
      </c>
      <c r="AZ351" s="495">
        <f t="shared" si="354"/>
        <v>0</v>
      </c>
      <c r="BA351" s="495">
        <f>IF(AZ351&gt;0,1+COUNTIF(BA$314:BA350,"&gt;0"),0)</f>
        <v>0</v>
      </c>
      <c r="BB351" s="495" t="str">
        <f t="shared" si="355"/>
        <v/>
      </c>
      <c r="BC351" s="495" t="str">
        <f t="shared" si="314"/>
        <v/>
      </c>
      <c r="BD351" s="496">
        <f t="shared" si="315"/>
        <v>0</v>
      </c>
      <c r="BE351" s="494">
        <f>INDEX(D03_Skills!$AA$3:$BU$41,MATCH(C_Variables!$G357,D03_Skills!$Z$3:$Z$41,0),MATCH(C_Variables!BJ$313,D03_Skills!$AA$2:$BU$2,0))</f>
        <v>0</v>
      </c>
      <c r="BF351" s="495">
        <f t="shared" si="356"/>
        <v>0</v>
      </c>
      <c r="BG351" s="495">
        <f>IF(BF351&gt;0,1+COUNTIF(BG$314:BG350,"&gt;0"),0)</f>
        <v>0</v>
      </c>
      <c r="BH351" s="495" t="str">
        <f t="shared" si="357"/>
        <v/>
      </c>
      <c r="BI351" s="495" t="str">
        <f t="shared" si="316"/>
        <v/>
      </c>
      <c r="BJ351" s="496">
        <f t="shared" si="317"/>
        <v>0</v>
      </c>
      <c r="BK351" s="494">
        <f>INDEX(D03_Skills!$AA$3:$BU$41,MATCH(C_Variables!$G357,D03_Skills!$Z$3:$Z$41,0),MATCH(C_Variables!BP$313,D03_Skills!$AA$2:$BU$2,0))</f>
        <v>0</v>
      </c>
      <c r="BL351" s="495">
        <f t="shared" si="358"/>
        <v>0</v>
      </c>
      <c r="BM351" s="495">
        <f>IF(BL351&gt;0,1+COUNTIF(BM$314:BM350,"&gt;0"),0)</f>
        <v>0</v>
      </c>
      <c r="BN351" s="495" t="str">
        <f t="shared" si="359"/>
        <v/>
      </c>
      <c r="BO351" s="495" t="str">
        <f t="shared" si="318"/>
        <v/>
      </c>
      <c r="BP351" s="496">
        <f t="shared" si="319"/>
        <v>0</v>
      </c>
      <c r="BQ351" s="494">
        <f>INDEX(D03_Skills!$AA$3:$BU$41,MATCH(C_Variables!$G357,D03_Skills!$Z$3:$Z$41,0),MATCH(C_Variables!BV$313,D03_Skills!$AA$2:$BU$2,0))</f>
        <v>0</v>
      </c>
      <c r="BR351" s="495">
        <f t="shared" si="360"/>
        <v>0</v>
      </c>
      <c r="BS351" s="495">
        <f>IF(BR351&gt;0,1+COUNTIF(BS$314:BS350,"&gt;0"),0)</f>
        <v>0</v>
      </c>
      <c r="BT351" s="495" t="str">
        <f t="shared" si="361"/>
        <v/>
      </c>
      <c r="BU351" s="495" t="str">
        <f t="shared" si="320"/>
        <v/>
      </c>
      <c r="BV351" s="496">
        <f t="shared" si="321"/>
        <v>0</v>
      </c>
      <c r="BW351" s="494">
        <f>INDEX(D03_Skills!$AA$3:$BU$41,MATCH(C_Variables!$G357,D03_Skills!$Z$3:$Z$41,0),MATCH(C_Variables!CB$313,D03_Skills!$AA$2:$BU$2,0))</f>
        <v>0</v>
      </c>
      <c r="BX351" s="495">
        <f t="shared" si="362"/>
        <v>0</v>
      </c>
      <c r="BY351" s="495">
        <f>IF(BX351&gt;0,1+COUNTIF(BY$314:BY350,"&gt;0"),0)</f>
        <v>0</v>
      </c>
      <c r="BZ351" s="495" t="str">
        <f t="shared" si="363"/>
        <v/>
      </c>
      <c r="CA351" s="495" t="str">
        <f t="shared" si="322"/>
        <v/>
      </c>
      <c r="CB351" s="496">
        <f t="shared" si="323"/>
        <v>0</v>
      </c>
      <c r="CC351" s="494" t="e">
        <f>INDEX(D03_Skills!$AA$3:$BU$41,MATCH(C_Variables!$G357,D03_Skills!$Z$3:$Z$41,0),MATCH(C_Variables!CH$313,D03_Skills!$AA$2:$BU$2,0))</f>
        <v>#N/A</v>
      </c>
      <c r="CD351" s="495" t="e">
        <f t="shared" si="364"/>
        <v>#N/A</v>
      </c>
      <c r="CE351" s="495" t="e">
        <f>IF(CD351&gt;0,1+COUNTIF(CE$314:CE350,"&gt;0"),0)</f>
        <v>#N/A</v>
      </c>
      <c r="CF351" s="495" t="e">
        <f t="shared" si="365"/>
        <v>#N/A</v>
      </c>
      <c r="CG351" s="495" t="e">
        <f t="shared" si="324"/>
        <v>#N/A</v>
      </c>
      <c r="CH351" s="496">
        <f t="shared" si="325"/>
        <v>0</v>
      </c>
      <c r="CI351" s="494" t="e">
        <f>INDEX(D03_Skills!$AA$3:$BU$41,MATCH(C_Variables!$G357,D03_Skills!$Z$3:$Z$41,0),MATCH(C_Variables!CN$313,D03_Skills!$AA$2:$BU$2,0))</f>
        <v>#N/A</v>
      </c>
      <c r="CJ351" s="495" t="e">
        <f t="shared" si="366"/>
        <v>#N/A</v>
      </c>
      <c r="CK351" s="495" t="e">
        <f>IF(CJ351&gt;0,1+COUNTIF(CK$314:CK350,"&gt;0"),0)</f>
        <v>#N/A</v>
      </c>
      <c r="CL351" s="495" t="e">
        <f t="shared" si="367"/>
        <v>#N/A</v>
      </c>
      <c r="CM351" s="495" t="e">
        <f t="shared" si="326"/>
        <v>#N/A</v>
      </c>
      <c r="CN351" s="496">
        <f t="shared" si="327"/>
        <v>0</v>
      </c>
      <c r="CO351" s="494" t="e">
        <f>INDEX(D03_Skills!$AA$3:$BU$41,MATCH(C_Variables!$G357,D03_Skills!$Z$3:$Z$41,0),MATCH(C_Variables!CT$313,D03_Skills!$AA$2:$BU$2,0))</f>
        <v>#N/A</v>
      </c>
      <c r="CP351" s="495" t="e">
        <f t="shared" si="368"/>
        <v>#N/A</v>
      </c>
      <c r="CQ351" s="495" t="e">
        <f>IF(CP351&gt;0,1+COUNTIF(CQ$314:CQ350,"&gt;0"),0)</f>
        <v>#N/A</v>
      </c>
      <c r="CR351" s="495" t="e">
        <f t="shared" si="369"/>
        <v>#N/A</v>
      </c>
      <c r="CS351" s="495" t="e">
        <f t="shared" si="328"/>
        <v>#N/A</v>
      </c>
      <c r="CT351" s="496">
        <f t="shared" si="329"/>
        <v>0</v>
      </c>
      <c r="CU351" s="494" t="e">
        <f>INDEX(D03_Skills!$AA$3:$BU$41,MATCH(C_Variables!$G357,D03_Skills!$Z$3:$Z$41,0),MATCH(C_Variables!CZ$313,D03_Skills!$AA$2:$BU$2,0))</f>
        <v>#N/A</v>
      </c>
      <c r="CV351" s="495" t="e">
        <f t="shared" si="370"/>
        <v>#N/A</v>
      </c>
      <c r="CW351" s="495" t="e">
        <f>IF(CV351&gt;0,1+COUNTIF(CW$314:CW350,"&gt;0"),0)</f>
        <v>#N/A</v>
      </c>
      <c r="CX351" s="495" t="e">
        <f t="shared" si="371"/>
        <v>#N/A</v>
      </c>
      <c r="CY351" s="495" t="e">
        <f t="shared" si="330"/>
        <v>#N/A</v>
      </c>
      <c r="CZ351" s="496">
        <f t="shared" si="331"/>
        <v>0</v>
      </c>
      <c r="DA351" s="494" t="e">
        <f>INDEX(D03_Skills!$AA$3:$BU$41,MATCH(C_Variables!$G357,D03_Skills!$Z$3:$Z$41,0),MATCH(C_Variables!DF$313,D03_Skills!$AA$2:$BU$2,0))</f>
        <v>#N/A</v>
      </c>
      <c r="DB351" s="495" t="e">
        <f t="shared" si="372"/>
        <v>#N/A</v>
      </c>
      <c r="DC351" s="495" t="e">
        <f>IF(DB351&gt;0,1+COUNTIF(DC$314:DC350,"&gt;0"),0)</f>
        <v>#N/A</v>
      </c>
      <c r="DD351" s="495" t="e">
        <f t="shared" si="373"/>
        <v>#N/A</v>
      </c>
      <c r="DE351" s="495" t="e">
        <f t="shared" si="332"/>
        <v>#N/A</v>
      </c>
      <c r="DF351" s="496">
        <f t="shared" si="333"/>
        <v>0</v>
      </c>
      <c r="DG351" s="494" t="e">
        <f>INDEX(D03_Skills!$AA$3:$BU$41,MATCH(C_Variables!$G357,D03_Skills!$Z$3:$Z$41,0),MATCH(C_Variables!DL$313,D03_Skills!$AA$2:$BU$2,0))</f>
        <v>#N/A</v>
      </c>
      <c r="DH351" s="495" t="e">
        <f t="shared" si="374"/>
        <v>#N/A</v>
      </c>
      <c r="DI351" s="495" t="e">
        <f>IF(DH351&gt;0,1+COUNTIF(DI$314:DI350,"&gt;0"),0)</f>
        <v>#N/A</v>
      </c>
      <c r="DJ351" s="495" t="e">
        <f t="shared" si="375"/>
        <v>#N/A</v>
      </c>
      <c r="DK351" s="495" t="e">
        <f t="shared" si="334"/>
        <v>#N/A</v>
      </c>
      <c r="DL351" s="496">
        <f t="shared" si="335"/>
        <v>0</v>
      </c>
      <c r="DM351" s="494" t="e">
        <f>INDEX(D03_Skills!$AA$3:$BU$41,MATCH(C_Variables!$G357,D03_Skills!$Z$3:$Z$41,0),MATCH(C_Variables!DR$313,D03_Skills!$AA$2:$BU$2,0))</f>
        <v>#N/A</v>
      </c>
      <c r="DN351" s="495" t="e">
        <f t="shared" si="376"/>
        <v>#N/A</v>
      </c>
      <c r="DO351" s="495" t="e">
        <f>IF(DN351&gt;0,1+COUNTIF(DO$314:DO350,"&gt;0"),0)</f>
        <v>#N/A</v>
      </c>
      <c r="DP351" s="495" t="e">
        <f t="shared" si="377"/>
        <v>#N/A</v>
      </c>
      <c r="DQ351" s="495" t="e">
        <f t="shared" si="336"/>
        <v>#N/A</v>
      </c>
      <c r="DR351" s="496">
        <f t="shared" si="337"/>
        <v>0</v>
      </c>
      <c r="DS351" s="494" t="e">
        <f>INDEX(D03_Skills!$AA$3:$BU$41,MATCH(C_Variables!$G357,D03_Skills!$Z$3:$Z$41,0),MATCH(C_Variables!DX$313,D03_Skills!$AA$2:$BU$2,0))</f>
        <v>#N/A</v>
      </c>
      <c r="DT351" s="495" t="e">
        <f t="shared" si="378"/>
        <v>#N/A</v>
      </c>
      <c r="DU351" s="495" t="e">
        <f>IF(DT351&gt;0,1+COUNTIF(DU$314:DU350,"&gt;0"),0)</f>
        <v>#N/A</v>
      </c>
      <c r="DV351" s="495" t="e">
        <f t="shared" si="379"/>
        <v>#N/A</v>
      </c>
      <c r="DW351" s="495" t="e">
        <f t="shared" si="338"/>
        <v>#N/A</v>
      </c>
      <c r="DX351" s="496">
        <f t="shared" si="339"/>
        <v>0</v>
      </c>
      <c r="DY351" s="501"/>
    </row>
    <row r="352" spans="1:129" ht="17.25" thickBot="1" x14ac:dyDescent="0.35">
      <c r="A352" s="155">
        <f>IFERROR(IF(A351+1&lt;MAX(D041_ClassFeatures!$A$2:$A$2033),A351+1,""),"")</f>
        <v>349</v>
      </c>
      <c r="B352" s="153" t="str">
        <f>IFERROR(INDEX(D041_ClassFeatures!$B$2:$B$2033,MATCH(C_Variables!A352,D041_ClassFeatures!$A$2:$A$2033,0),1),"")</f>
        <v>Two-Weapon Fighting</v>
      </c>
      <c r="C352" s="153">
        <f>IF(B352="",0,IF(IFERROR(MATCH(B352,C_Input!$BC$160:$BC$239,0),0)&gt;0,1,0))</f>
        <v>0</v>
      </c>
      <c r="E352" s="501"/>
      <c r="F352" s="501"/>
      <c r="G352" s="6" t="s">
        <v>441</v>
      </c>
      <c r="I352" s="497">
        <f>INDEX(D03_Skills!$AA$3:$BU$41,MATCH(C_Variables!$G358,D03_Skills!$Z$3:$Z$41,0),MATCH(C_Variables!N$313,D03_Skills!$AA$2:$BU$2,0))</f>
        <v>0</v>
      </c>
      <c r="J352" s="495">
        <f t="shared" si="340"/>
        <v>0</v>
      </c>
      <c r="K352" s="498">
        <f>IF(I352&gt;0,1+COUNTIF(K$314:K351,"&gt;0"),0)</f>
        <v>0</v>
      </c>
      <c r="L352" s="498" t="str">
        <f t="shared" si="341"/>
        <v/>
      </c>
      <c r="M352" s="498" t="str">
        <f t="shared" si="300"/>
        <v/>
      </c>
      <c r="N352" s="496">
        <f t="shared" si="301"/>
        <v>0</v>
      </c>
      <c r="O352" s="497">
        <f>INDEX(D03_Skills!$AA$3:$BU$41,MATCH(C_Variables!$G358,D03_Skills!$Z$3:$Z$41,0),MATCH(C_Variables!T$313,D03_Skills!$AA$2:$BU$2,0))</f>
        <v>0</v>
      </c>
      <c r="P352" s="495">
        <f t="shared" si="342"/>
        <v>0</v>
      </c>
      <c r="Q352" s="495">
        <f>IF(P352&gt;0,1+COUNTIF(Q$314:Q351,"&gt;0"),0)</f>
        <v>0</v>
      </c>
      <c r="R352" s="498" t="str">
        <f t="shared" si="343"/>
        <v/>
      </c>
      <c r="S352" s="498" t="str">
        <f t="shared" si="302"/>
        <v/>
      </c>
      <c r="T352" s="499">
        <f t="shared" si="303"/>
        <v>0</v>
      </c>
      <c r="U352" s="497">
        <f>INDEX(D03_Skills!$AA$3:$BU$41,MATCH(C_Variables!$G358,D03_Skills!$Z$3:$Z$41,0),MATCH(C_Variables!Z$313,D03_Skills!$AA$2:$BU$2,0))</f>
        <v>0</v>
      </c>
      <c r="V352" s="495">
        <f t="shared" si="344"/>
        <v>0</v>
      </c>
      <c r="W352" s="495">
        <f>IF(V352&gt;0,1+COUNTIF(W$314:W351,"&gt;0"),0)</f>
        <v>0</v>
      </c>
      <c r="X352" s="498" t="str">
        <f t="shared" si="345"/>
        <v/>
      </c>
      <c r="Y352" s="498" t="str">
        <f t="shared" si="304"/>
        <v/>
      </c>
      <c r="Z352" s="496">
        <f t="shared" si="305"/>
        <v>0</v>
      </c>
      <c r="AA352" s="497">
        <f>INDEX(D03_Skills!$AA$3:$BU$41,MATCH(C_Variables!$G358,D03_Skills!$Z$3:$Z$41,0),MATCH(C_Variables!AF$313,D03_Skills!$AA$2:$BU$2,0))</f>
        <v>0</v>
      </c>
      <c r="AB352" s="495">
        <f t="shared" si="346"/>
        <v>0</v>
      </c>
      <c r="AC352" s="495">
        <f>IF(AB352&gt;0,1+COUNTIF(AC$314:AC351,"&gt;0"),0)</f>
        <v>0</v>
      </c>
      <c r="AD352" s="498" t="str">
        <f t="shared" si="347"/>
        <v/>
      </c>
      <c r="AE352" s="498" t="str">
        <f t="shared" si="306"/>
        <v/>
      </c>
      <c r="AF352" s="499">
        <f t="shared" si="307"/>
        <v>0</v>
      </c>
      <c r="AG352" s="497">
        <f>INDEX(D03_Skills!$AA$3:$BU$41,MATCH(C_Variables!$G358,D03_Skills!$Z$3:$Z$41,0),MATCH(C_Variables!AL$313,D03_Skills!$AA$2:$BU$2,0))</f>
        <v>0</v>
      </c>
      <c r="AH352" s="495">
        <f t="shared" si="348"/>
        <v>0</v>
      </c>
      <c r="AI352" s="495">
        <f>IF(AH352&gt;0,1+COUNTIF(AI$314:AI351,"&gt;0"),0)</f>
        <v>0</v>
      </c>
      <c r="AJ352" s="498" t="str">
        <f t="shared" si="349"/>
        <v/>
      </c>
      <c r="AK352" s="498" t="str">
        <f t="shared" si="308"/>
        <v/>
      </c>
      <c r="AL352" s="499">
        <f t="shared" si="309"/>
        <v>0</v>
      </c>
      <c r="AM352" s="497">
        <f>INDEX(D03_Skills!$AA$3:$BU$41,MATCH(C_Variables!$G358,D03_Skills!$Z$3:$Z$41,0),MATCH(C_Variables!AR$313,D03_Skills!$AA$2:$BU$2,0))</f>
        <v>0</v>
      </c>
      <c r="AN352" s="495">
        <f t="shared" si="350"/>
        <v>0</v>
      </c>
      <c r="AO352" s="495">
        <f>IF(AN352&gt;0,1+COUNTIF(AO$314:AO351,"&gt;0"),0)</f>
        <v>0</v>
      </c>
      <c r="AP352" s="498" t="str">
        <f t="shared" si="351"/>
        <v/>
      </c>
      <c r="AQ352" s="498" t="str">
        <f t="shared" si="310"/>
        <v/>
      </c>
      <c r="AR352" s="499">
        <f t="shared" si="311"/>
        <v>0</v>
      </c>
      <c r="AS352" s="497">
        <f>INDEX(D03_Skills!$AA$3:$BU$41,MATCH(C_Variables!$G358,D03_Skills!$Z$3:$Z$41,0),MATCH(C_Variables!AX$313,D03_Skills!$AA$2:$BU$2,0))</f>
        <v>0</v>
      </c>
      <c r="AT352" s="495">
        <f t="shared" si="352"/>
        <v>0</v>
      </c>
      <c r="AU352" s="495">
        <f>IF(AT352&gt;0,1+COUNTIF(AU$314:AU351,"&gt;0"),0)</f>
        <v>0</v>
      </c>
      <c r="AV352" s="498" t="str">
        <f t="shared" si="353"/>
        <v/>
      </c>
      <c r="AW352" s="498" t="str">
        <f t="shared" si="312"/>
        <v/>
      </c>
      <c r="AX352" s="499">
        <f t="shared" si="313"/>
        <v>0</v>
      </c>
      <c r="AY352" s="497">
        <f>INDEX(D03_Skills!$AA$3:$BU$41,MATCH(C_Variables!$G358,D03_Skills!$Z$3:$Z$41,0),MATCH(C_Variables!BD$313,D03_Skills!$AA$2:$BU$2,0))</f>
        <v>0</v>
      </c>
      <c r="AZ352" s="495">
        <f t="shared" si="354"/>
        <v>0</v>
      </c>
      <c r="BA352" s="495">
        <f>IF(AZ352&gt;0,1+COUNTIF(BA$314:BA351,"&gt;0"),0)</f>
        <v>0</v>
      </c>
      <c r="BB352" s="498" t="str">
        <f t="shared" si="355"/>
        <v/>
      </c>
      <c r="BC352" s="498" t="str">
        <f t="shared" si="314"/>
        <v/>
      </c>
      <c r="BD352" s="499">
        <f t="shared" si="315"/>
        <v>0</v>
      </c>
      <c r="BE352" s="497">
        <f>INDEX(D03_Skills!$AA$3:$BU$41,MATCH(C_Variables!$G358,D03_Skills!$Z$3:$Z$41,0),MATCH(C_Variables!BJ$313,D03_Skills!$AA$2:$BU$2,0))</f>
        <v>0</v>
      </c>
      <c r="BF352" s="495">
        <f t="shared" si="356"/>
        <v>0</v>
      </c>
      <c r="BG352" s="495">
        <f>IF(BF352&gt;0,1+COUNTIF(BG$314:BG351,"&gt;0"),0)</f>
        <v>0</v>
      </c>
      <c r="BH352" s="498" t="str">
        <f t="shared" si="357"/>
        <v/>
      </c>
      <c r="BI352" s="498" t="str">
        <f t="shared" si="316"/>
        <v/>
      </c>
      <c r="BJ352" s="499">
        <f t="shared" si="317"/>
        <v>0</v>
      </c>
      <c r="BK352" s="497">
        <f>INDEX(D03_Skills!$AA$3:$BU$41,MATCH(C_Variables!$G358,D03_Skills!$Z$3:$Z$41,0),MATCH(C_Variables!BP$313,D03_Skills!$AA$2:$BU$2,0))</f>
        <v>0</v>
      </c>
      <c r="BL352" s="495">
        <f t="shared" si="358"/>
        <v>0</v>
      </c>
      <c r="BM352" s="495">
        <f>IF(BL352&gt;0,1+COUNTIF(BM$314:BM351,"&gt;0"),0)</f>
        <v>0</v>
      </c>
      <c r="BN352" s="498" t="str">
        <f t="shared" si="359"/>
        <v/>
      </c>
      <c r="BO352" s="498" t="str">
        <f t="shared" si="318"/>
        <v/>
      </c>
      <c r="BP352" s="499">
        <f t="shared" si="319"/>
        <v>0</v>
      </c>
      <c r="BQ352" s="497">
        <f>INDEX(D03_Skills!$AA$3:$BU$41,MATCH(C_Variables!$G358,D03_Skills!$Z$3:$Z$41,0),MATCH(C_Variables!BV$313,D03_Skills!$AA$2:$BU$2,0))</f>
        <v>0</v>
      </c>
      <c r="BR352" s="495">
        <f t="shared" si="360"/>
        <v>0</v>
      </c>
      <c r="BS352" s="495">
        <f>IF(BR352&gt;0,1+COUNTIF(BS$314:BS351,"&gt;0"),0)</f>
        <v>0</v>
      </c>
      <c r="BT352" s="498" t="str">
        <f t="shared" si="361"/>
        <v/>
      </c>
      <c r="BU352" s="498" t="str">
        <f t="shared" si="320"/>
        <v/>
      </c>
      <c r="BV352" s="499">
        <f t="shared" si="321"/>
        <v>0</v>
      </c>
      <c r="BW352" s="497">
        <f>INDEX(D03_Skills!$AA$3:$BU$41,MATCH(C_Variables!$G358,D03_Skills!$Z$3:$Z$41,0),MATCH(C_Variables!CB$313,D03_Skills!$AA$2:$BU$2,0))</f>
        <v>0</v>
      </c>
      <c r="BX352" s="495">
        <f t="shared" si="362"/>
        <v>0</v>
      </c>
      <c r="BY352" s="495">
        <f>IF(BX352&gt;0,1+COUNTIF(BY$314:BY351,"&gt;0"),0)</f>
        <v>0</v>
      </c>
      <c r="BZ352" s="498" t="str">
        <f t="shared" si="363"/>
        <v/>
      </c>
      <c r="CA352" s="498" t="str">
        <f t="shared" si="322"/>
        <v/>
      </c>
      <c r="CB352" s="499">
        <f t="shared" si="323"/>
        <v>0</v>
      </c>
      <c r="CC352" s="497" t="e">
        <f>INDEX(D03_Skills!$AA$3:$BU$41,MATCH(C_Variables!$G358,D03_Skills!$Z$3:$Z$41,0),MATCH(C_Variables!CH$313,D03_Skills!$AA$2:$BU$2,0))</f>
        <v>#N/A</v>
      </c>
      <c r="CD352" s="495" t="e">
        <f t="shared" si="364"/>
        <v>#N/A</v>
      </c>
      <c r="CE352" s="495" t="e">
        <f>IF(CD352&gt;0,1+COUNTIF(CE$314:CE351,"&gt;0"),0)</f>
        <v>#N/A</v>
      </c>
      <c r="CF352" s="498" t="e">
        <f t="shared" si="365"/>
        <v>#N/A</v>
      </c>
      <c r="CG352" s="498" t="e">
        <f t="shared" si="324"/>
        <v>#N/A</v>
      </c>
      <c r="CH352" s="499">
        <f t="shared" si="325"/>
        <v>0</v>
      </c>
      <c r="CI352" s="497" t="e">
        <f>INDEX(D03_Skills!$AA$3:$BU$41,MATCH(C_Variables!$G358,D03_Skills!$Z$3:$Z$41,0),MATCH(C_Variables!CN$313,D03_Skills!$AA$2:$BU$2,0))</f>
        <v>#N/A</v>
      </c>
      <c r="CJ352" s="495" t="e">
        <f t="shared" si="366"/>
        <v>#N/A</v>
      </c>
      <c r="CK352" s="495" t="e">
        <f>IF(CJ352&gt;0,1+COUNTIF(CK$314:CK351,"&gt;0"),0)</f>
        <v>#N/A</v>
      </c>
      <c r="CL352" s="498" t="e">
        <f t="shared" si="367"/>
        <v>#N/A</v>
      </c>
      <c r="CM352" s="498" t="e">
        <f t="shared" si="326"/>
        <v>#N/A</v>
      </c>
      <c r="CN352" s="499">
        <f t="shared" si="327"/>
        <v>0</v>
      </c>
      <c r="CO352" s="497" t="e">
        <f>INDEX(D03_Skills!$AA$3:$BU$41,MATCH(C_Variables!$G358,D03_Skills!$Z$3:$Z$41,0),MATCH(C_Variables!CT$313,D03_Skills!$AA$2:$BU$2,0))</f>
        <v>#N/A</v>
      </c>
      <c r="CP352" s="495" t="e">
        <f t="shared" si="368"/>
        <v>#N/A</v>
      </c>
      <c r="CQ352" s="495" t="e">
        <f>IF(CP352&gt;0,1+COUNTIF(CQ$314:CQ351,"&gt;0"),0)</f>
        <v>#N/A</v>
      </c>
      <c r="CR352" s="498" t="e">
        <f t="shared" si="369"/>
        <v>#N/A</v>
      </c>
      <c r="CS352" s="498" t="e">
        <f t="shared" si="328"/>
        <v>#N/A</v>
      </c>
      <c r="CT352" s="499">
        <f t="shared" si="329"/>
        <v>0</v>
      </c>
      <c r="CU352" s="497" t="e">
        <f>INDEX(D03_Skills!$AA$3:$BU$41,MATCH(C_Variables!$G358,D03_Skills!$Z$3:$Z$41,0),MATCH(C_Variables!CZ$313,D03_Skills!$AA$2:$BU$2,0))</f>
        <v>#N/A</v>
      </c>
      <c r="CV352" s="495" t="e">
        <f t="shared" si="370"/>
        <v>#N/A</v>
      </c>
      <c r="CW352" s="495" t="e">
        <f>IF(CV352&gt;0,1+COUNTIF(CW$314:CW351,"&gt;0"),0)</f>
        <v>#N/A</v>
      </c>
      <c r="CX352" s="498" t="e">
        <f t="shared" si="371"/>
        <v>#N/A</v>
      </c>
      <c r="CY352" s="498" t="e">
        <f t="shared" si="330"/>
        <v>#N/A</v>
      </c>
      <c r="CZ352" s="499">
        <f t="shared" si="331"/>
        <v>0</v>
      </c>
      <c r="DA352" s="497" t="e">
        <f>INDEX(D03_Skills!$AA$3:$BU$41,MATCH(C_Variables!$G358,D03_Skills!$Z$3:$Z$41,0),MATCH(C_Variables!DF$313,D03_Skills!$AA$2:$BU$2,0))</f>
        <v>#N/A</v>
      </c>
      <c r="DB352" s="495" t="e">
        <f t="shared" si="372"/>
        <v>#N/A</v>
      </c>
      <c r="DC352" s="495" t="e">
        <f>IF(DB352&gt;0,1+COUNTIF(DC$314:DC351,"&gt;0"),0)</f>
        <v>#N/A</v>
      </c>
      <c r="DD352" s="498" t="e">
        <f t="shared" si="373"/>
        <v>#N/A</v>
      </c>
      <c r="DE352" s="498" t="e">
        <f t="shared" si="332"/>
        <v>#N/A</v>
      </c>
      <c r="DF352" s="499">
        <f t="shared" si="333"/>
        <v>0</v>
      </c>
      <c r="DG352" s="497" t="e">
        <f>INDEX(D03_Skills!$AA$3:$BU$41,MATCH(C_Variables!$G358,D03_Skills!$Z$3:$Z$41,0),MATCH(C_Variables!DL$313,D03_Skills!$AA$2:$BU$2,0))</f>
        <v>#N/A</v>
      </c>
      <c r="DH352" s="495" t="e">
        <f t="shared" si="374"/>
        <v>#N/A</v>
      </c>
      <c r="DI352" s="495" t="e">
        <f>IF(DH352&gt;0,1+COUNTIF(DI$314:DI351,"&gt;0"),0)</f>
        <v>#N/A</v>
      </c>
      <c r="DJ352" s="498" t="e">
        <f t="shared" si="375"/>
        <v>#N/A</v>
      </c>
      <c r="DK352" s="498" t="e">
        <f t="shared" si="334"/>
        <v>#N/A</v>
      </c>
      <c r="DL352" s="499">
        <f t="shared" si="335"/>
        <v>0</v>
      </c>
      <c r="DM352" s="497" t="e">
        <f>INDEX(D03_Skills!$AA$3:$BU$41,MATCH(C_Variables!$G358,D03_Skills!$Z$3:$Z$41,0),MATCH(C_Variables!DR$313,D03_Skills!$AA$2:$BU$2,0))</f>
        <v>#N/A</v>
      </c>
      <c r="DN352" s="495" t="e">
        <f t="shared" si="376"/>
        <v>#N/A</v>
      </c>
      <c r="DO352" s="495" t="e">
        <f>IF(DN352&gt;0,1+COUNTIF(DO$314:DO351,"&gt;0"),0)</f>
        <v>#N/A</v>
      </c>
      <c r="DP352" s="498" t="e">
        <f t="shared" si="377"/>
        <v>#N/A</v>
      </c>
      <c r="DQ352" s="498" t="e">
        <f t="shared" si="336"/>
        <v>#N/A</v>
      </c>
      <c r="DR352" s="499">
        <f t="shared" si="337"/>
        <v>0</v>
      </c>
      <c r="DS352" s="497" t="e">
        <f>INDEX(D03_Skills!$AA$3:$BU$41,MATCH(C_Variables!$G358,D03_Skills!$Z$3:$Z$41,0),MATCH(C_Variables!DX$313,D03_Skills!$AA$2:$BU$2,0))</f>
        <v>#N/A</v>
      </c>
      <c r="DT352" s="495" t="e">
        <f t="shared" si="378"/>
        <v>#N/A</v>
      </c>
      <c r="DU352" s="495" t="e">
        <f>IF(DT352&gt;0,1+COUNTIF(DU$314:DU351,"&gt;0"),0)</f>
        <v>#N/A</v>
      </c>
      <c r="DV352" s="498" t="e">
        <f t="shared" si="379"/>
        <v>#N/A</v>
      </c>
      <c r="DW352" s="498" t="e">
        <f t="shared" si="338"/>
        <v>#N/A</v>
      </c>
      <c r="DX352" s="499">
        <f t="shared" si="339"/>
        <v>0</v>
      </c>
      <c r="DY352" s="501"/>
    </row>
    <row r="353" spans="1:129" ht="16.5" x14ac:dyDescent="0.3">
      <c r="A353" s="155">
        <f>IFERROR(IF(A352+1&lt;MAX(D041_ClassFeatures!$A$2:$A$2033),A352+1,""),"")</f>
        <v>350</v>
      </c>
      <c r="B353" s="153" t="str">
        <f>IFERROR(INDEX(D041_ClassFeatures!$B$2:$B$2033,MATCH(C_Variables!A353,D041_ClassFeatures!$A$2:$A$2033,0),1),"")</f>
        <v>Commander’s Strike</v>
      </c>
      <c r="C353" s="153">
        <f>IF(B353="",0,IF(IFERROR(MATCH(B353,C_Input!$BC$160:$BC$239,0),0)&gt;0,1,0))</f>
        <v>0</v>
      </c>
      <c r="E353" s="501"/>
      <c r="F353" s="501"/>
      <c r="G353" s="6" t="s">
        <v>485</v>
      </c>
      <c r="I353" s="492"/>
      <c r="K353" s="485"/>
      <c r="L353" s="485"/>
      <c r="M353" s="485"/>
      <c r="N353" s="486"/>
      <c r="DY353" s="501"/>
    </row>
    <row r="354" spans="1:129" ht="16.5" x14ac:dyDescent="0.3">
      <c r="A354" s="155">
        <f>IFERROR(IF(A353+1&lt;MAX(D041_ClassFeatures!$A$2:$A$2033),A353+1,""),"")</f>
        <v>351</v>
      </c>
      <c r="B354" s="153" t="str">
        <f>IFERROR(INDEX(D041_ClassFeatures!$B$2:$B$2033,MATCH(C_Variables!A354,D041_ClassFeatures!$A$2:$A$2033,0),1),"")</f>
        <v>Disarming Attack</v>
      </c>
      <c r="C354" s="153">
        <f>IF(B354="",0,IF(IFERROR(MATCH(B354,C_Input!$BC$160:$BC$239,0),0)&gt;0,1,0))</f>
        <v>0</v>
      </c>
      <c r="E354" s="501"/>
      <c r="F354" s="501"/>
      <c r="G354" s="6" t="s">
        <v>387</v>
      </c>
      <c r="I354" s="492"/>
      <c r="K354" s="485"/>
      <c r="L354" s="485"/>
      <c r="M354" s="485"/>
      <c r="N354" s="486"/>
      <c r="DY354" s="501"/>
    </row>
    <row r="355" spans="1:129" ht="16.5" x14ac:dyDescent="0.3">
      <c r="A355" s="155">
        <f>IFERROR(IF(A354+1&lt;MAX(D041_ClassFeatures!$A$2:$A$2033),A354+1,""),"")</f>
        <v>352</v>
      </c>
      <c r="B355" s="153" t="str">
        <f>IFERROR(INDEX(D041_ClassFeatures!$B$2:$B$2033,MATCH(C_Variables!A355,D041_ClassFeatures!$A$2:$A$2033,0),1),"")</f>
        <v>Distracting Strike</v>
      </c>
      <c r="C355" s="153">
        <f>IF(B355="",0,IF(IFERROR(MATCH(B355,C_Input!$BC$160:$BC$239,0),0)&gt;0,1,0))</f>
        <v>0</v>
      </c>
      <c r="E355" s="501"/>
      <c r="F355" s="501"/>
      <c r="G355" s="6" t="s">
        <v>401</v>
      </c>
      <c r="I355" s="492"/>
      <c r="K355" s="485"/>
      <c r="L355" s="485"/>
      <c r="M355" s="485"/>
      <c r="N355" s="486"/>
      <c r="DY355" s="501"/>
    </row>
    <row r="356" spans="1:129" ht="16.5" x14ac:dyDescent="0.3">
      <c r="A356" s="155">
        <f>IFERROR(IF(A355+1&lt;MAX(D041_ClassFeatures!$A$2:$A$2033),A355+1,""),"")</f>
        <v>353</v>
      </c>
      <c r="B356" s="153" t="str">
        <f>IFERROR(INDEX(D041_ClassFeatures!$B$2:$B$2033,MATCH(C_Variables!A356,D041_ClassFeatures!$A$2:$A$2033,0),1),"")</f>
        <v>Evasive Footwork</v>
      </c>
      <c r="C356" s="153">
        <f>IF(B356="",0,IF(IFERROR(MATCH(B356,C_Input!$BC$160:$BC$239,0),0)&gt;0,1,0))</f>
        <v>0</v>
      </c>
      <c r="E356" s="501"/>
      <c r="F356" s="501"/>
      <c r="G356" s="6" t="s">
        <v>76</v>
      </c>
      <c r="I356" s="492"/>
      <c r="DY356" s="501"/>
    </row>
    <row r="357" spans="1:129" ht="16.5" x14ac:dyDescent="0.3">
      <c r="A357" s="155">
        <f>IFERROR(IF(A356+1&lt;MAX(D041_ClassFeatures!$A$2:$A$2033),A356+1,""),"")</f>
        <v>354</v>
      </c>
      <c r="B357" s="153" t="str">
        <f>IFERROR(INDEX(D041_ClassFeatures!$B$2:$B$2033,MATCH(C_Variables!A357,D041_ClassFeatures!$A$2:$A$2033,0),1),"")</f>
        <v>Feinting Attack</v>
      </c>
      <c r="C357" s="153">
        <f>IF(B357="",0,IF(IFERROR(MATCH(B357,C_Input!$BC$160:$BC$239,0),0)&gt;0,1,0))</f>
        <v>0</v>
      </c>
      <c r="E357" s="501"/>
      <c r="F357" s="501"/>
      <c r="G357" s="6" t="s">
        <v>81</v>
      </c>
      <c r="DY357" s="501"/>
    </row>
    <row r="358" spans="1:129" ht="16.5" x14ac:dyDescent="0.3">
      <c r="A358" s="155">
        <f>IFERROR(IF(A357+1&lt;MAX(D041_ClassFeatures!$A$2:$A$2033),A357+1,""),"")</f>
        <v>355</v>
      </c>
      <c r="B358" s="153" t="str">
        <f>IFERROR(INDEX(D041_ClassFeatures!$B$2:$B$2033,MATCH(C_Variables!A358,D041_ClassFeatures!$A$2:$A$2033,0),1),"")</f>
        <v>Goading Attack</v>
      </c>
      <c r="C358" s="153">
        <f>IF(B358="",0,IF(IFERROR(MATCH(B358,C_Input!$BC$160:$BC$239,0),0)&gt;0,1,0))</f>
        <v>0</v>
      </c>
      <c r="E358" s="501"/>
      <c r="F358" s="501"/>
      <c r="G358" s="6" t="s">
        <v>4401</v>
      </c>
      <c r="DY358" s="501"/>
    </row>
    <row r="359" spans="1:129" ht="16.5" x14ac:dyDescent="0.3">
      <c r="A359" s="155">
        <f>IFERROR(IF(A358+1&lt;MAX(D041_ClassFeatures!$A$2:$A$2033),A358+1,""),"")</f>
        <v>356</v>
      </c>
      <c r="B359" s="153" t="str">
        <f>IFERROR(INDEX(D041_ClassFeatures!$B$2:$B$2033,MATCH(C_Variables!A359,D041_ClassFeatures!$A$2:$A$2033,0),1),"")</f>
        <v>Lunging Attack</v>
      </c>
      <c r="C359" s="153">
        <f>IF(B359="",0,IF(IFERROR(MATCH(B359,C_Input!$BC$160:$BC$239,0),0)&gt;0,1,0))</f>
        <v>0</v>
      </c>
      <c r="E359" s="501"/>
      <c r="F359" s="501"/>
      <c r="R359" t="s">
        <v>6935</v>
      </c>
      <c r="S359" t="s">
        <v>6933</v>
      </c>
      <c r="DY359" s="501"/>
    </row>
    <row r="360" spans="1:129" ht="16.5" x14ac:dyDescent="0.3">
      <c r="A360" s="155">
        <f>IFERROR(IF(A359+1&lt;MAX(D041_ClassFeatures!$A$2:$A$2033),A359+1,""),"")</f>
        <v>357</v>
      </c>
      <c r="B360" s="153" t="str">
        <f>IFERROR(INDEX(D041_ClassFeatures!$B$2:$B$2033,MATCH(C_Variables!A360,D041_ClassFeatures!$A$2:$A$2033,0),1),"")</f>
        <v>Maneuvering Attack</v>
      </c>
      <c r="C360" s="153">
        <f>IF(B360="",0,IF(IFERROR(MATCH(B360,C_Input!$BC$160:$BC$239,0),0)&gt;0,1,0))</f>
        <v>0</v>
      </c>
      <c r="E360" s="501"/>
      <c r="F360" s="501"/>
      <c r="I360" t="s">
        <v>6932</v>
      </c>
      <c r="J360" t="str">
        <f>H313</f>
        <v/>
      </c>
      <c r="K360" t="str">
        <f t="shared" ref="K360:K366" si="380">IF(OR(J360="",J360=0),"",J360)</f>
        <v/>
      </c>
      <c r="L360">
        <v>1</v>
      </c>
      <c r="M360">
        <f>IF(K360="",0,1)</f>
        <v>0</v>
      </c>
      <c r="O360">
        <v>1</v>
      </c>
      <c r="P360" t="str">
        <f>IFERROR(INDEX($K$360:$K$367,MATCH(O360,$M$360:$M$367,0),1),"")</f>
        <v>Gaming set</v>
      </c>
      <c r="R360">
        <v>1</v>
      </c>
      <c r="S360" t="s">
        <v>625</v>
      </c>
      <c r="T360">
        <f>K218</f>
        <v>0</v>
      </c>
      <c r="U360" t="s">
        <v>4400</v>
      </c>
      <c r="X360" s="6">
        <v>1</v>
      </c>
      <c r="Y360" s="284">
        <f>SMALL($T$360:$T$373,X360)</f>
        <v>0</v>
      </c>
      <c r="Z360" t="str">
        <f>INDEX($U$360:$U$373,MATCH(Y360,$T$360:$T$373,0),1)</f>
        <v>Thieve's Tools</v>
      </c>
      <c r="AA360">
        <f>IF(Y360=0,0,1)</f>
        <v>0</v>
      </c>
      <c r="AB360">
        <f>IF(AA360=0,0,AA360+MAX($O$360:$O$367))</f>
        <v>0</v>
      </c>
      <c r="AD360" s="6">
        <v>1</v>
      </c>
      <c r="AE360" s="6" t="str">
        <f>IFERROR(INDEX($P$360:$P$367,MATCH(AD360,$O$360:$O$367,0),1),"")&amp;IFERROR(INDEX($Z$360:$Z$373,MATCH(AD360,$AB$360:$AB$373,0),1),"")</f>
        <v>Gaming set</v>
      </c>
      <c r="DY360" s="501"/>
    </row>
    <row r="361" spans="1:129" ht="16.5" x14ac:dyDescent="0.3">
      <c r="A361" s="155">
        <f>IFERROR(IF(A360+1&lt;MAX(D041_ClassFeatures!$A$2:$A$2033),A360+1,""),"")</f>
        <v>358</v>
      </c>
      <c r="B361" s="153" t="str">
        <f>IFERROR(INDEX(D041_ClassFeatures!$B$2:$B$2033,MATCH(C_Variables!A361,D041_ClassFeatures!$A$2:$A$2033,0),1),"")</f>
        <v>Menacing Attack</v>
      </c>
      <c r="C361" s="153">
        <f>IF(B361="",0,IF(IFERROR(MATCH(B361,C_Input!$BC$160:$BC$239,0),0)&gt;0,1,0))</f>
        <v>0</v>
      </c>
      <c r="E361" s="501"/>
      <c r="F361" s="501"/>
      <c r="I361" t="s">
        <v>6911</v>
      </c>
      <c r="J361" t="str">
        <f>H314</f>
        <v>Gaming set</v>
      </c>
      <c r="K361" t="str">
        <f t="shared" si="380"/>
        <v>Gaming set</v>
      </c>
      <c r="L361">
        <v>1</v>
      </c>
      <c r="M361">
        <f>IF(K361&lt;&gt;"",COUNTIF($M$360:M360,"&gt;0")+1,0)</f>
        <v>1</v>
      </c>
      <c r="O361" t="str">
        <f>IFERROR(IF(O360&lt;MAX($M$360:$M$367),O360+1,""),"")</f>
        <v/>
      </c>
      <c r="P361" t="str">
        <f t="shared" ref="P361:P367" si="381">IFERROR(INDEX($K$360:$K$367,MATCH(O361,$M$360:$M$367,0),1),"")</f>
        <v/>
      </c>
      <c r="R361">
        <v>1</v>
      </c>
      <c r="S361" t="s">
        <v>1112</v>
      </c>
      <c r="T361">
        <f>K217</f>
        <v>0</v>
      </c>
      <c r="U361" t="s">
        <v>3777</v>
      </c>
      <c r="X361" s="6">
        <v>2</v>
      </c>
      <c r="Y361" s="284">
        <f t="shared" ref="Y361:Y373" si="382">SMALL($T$360:$T$373,X361)</f>
        <v>0</v>
      </c>
      <c r="Z361" t="str">
        <f t="shared" ref="Z361:Z373" si="383">INDEX($U$360:$U$373,MATCH(Y361,$T$360:$T$373,0),1)</f>
        <v>Thieve's Tools</v>
      </c>
      <c r="AA361">
        <f>IF(Y361=0,0,COUNTIF(AA360:$AA$360,"&gt;0")+1)</f>
        <v>0</v>
      </c>
      <c r="AB361">
        <f t="shared" ref="AB361:AB373" si="384">IF(AA361=0,0,AA361+MAX($O$360:$O$367))</f>
        <v>0</v>
      </c>
      <c r="AD361" s="6">
        <f>IF(AD360&lt;MAX($AB$360:$AB$373),AD360+1,"")</f>
        <v>2</v>
      </c>
      <c r="AE361" s="6" t="str">
        <f t="shared" ref="AE361:AE379" si="385">IFERROR(INDEX($P$360:$P$367,MATCH(AD361,$O$360:$O$367,0),1),"")&amp;IFERROR(INDEX($Z$360:$Z$373,MATCH(AD361,$AB$360:$AB$373,0),1),"")</f>
        <v>Artisan's Tools</v>
      </c>
      <c r="DY361" s="501"/>
    </row>
    <row r="362" spans="1:129" ht="16.5" x14ac:dyDescent="0.3">
      <c r="A362" s="155">
        <f>IFERROR(IF(A361+1&lt;MAX(D041_ClassFeatures!$A$2:$A$2033),A361+1,""),"")</f>
        <v>359</v>
      </c>
      <c r="B362" s="153" t="str">
        <f>IFERROR(INDEX(D041_ClassFeatures!$B$2:$B$2033,MATCH(C_Variables!A362,D041_ClassFeatures!$A$2:$A$2033,0),1),"")</f>
        <v>Parry</v>
      </c>
      <c r="C362" s="153">
        <f>IF(B362="",0,IF(IFERROR(MATCH(B362,C_Input!$BC$160:$BC$239,0),0)&gt;0,1,0))</f>
        <v>0</v>
      </c>
      <c r="E362" s="501"/>
      <c r="F362" s="501"/>
      <c r="I362" t="s">
        <v>6911</v>
      </c>
      <c r="J362" t="str">
        <f>H315</f>
        <v>Thieve's tools</v>
      </c>
      <c r="K362" t="str">
        <f t="shared" si="380"/>
        <v>Thieve's tools</v>
      </c>
      <c r="L362">
        <v>1</v>
      </c>
      <c r="M362">
        <f>IF(K362&lt;&gt;"",COUNTIF($M$360:M361,"&gt;0")+1,0)</f>
        <v>2</v>
      </c>
      <c r="O362" t="str">
        <f t="shared" ref="O362:O367" si="386">IFERROR(IF(O361&lt;MAX($M$360:$M$367),O361+1,""),"")</f>
        <v/>
      </c>
      <c r="P362" t="str">
        <f t="shared" si="381"/>
        <v/>
      </c>
      <c r="R362">
        <v>1</v>
      </c>
      <c r="S362" t="s">
        <v>624</v>
      </c>
      <c r="T362">
        <f>K219</f>
        <v>0</v>
      </c>
      <c r="U362" t="s">
        <v>1126</v>
      </c>
      <c r="X362" s="6">
        <v>3</v>
      </c>
      <c r="Y362" s="284">
        <f t="shared" si="382"/>
        <v>0</v>
      </c>
      <c r="Z362" t="str">
        <f t="shared" si="383"/>
        <v>Thieve's Tools</v>
      </c>
      <c r="AA362">
        <f>IF(Y362=0,0,COUNTIF(AA$360:$AA361,"&gt;0")+1)</f>
        <v>0</v>
      </c>
      <c r="AB362">
        <f t="shared" si="384"/>
        <v>0</v>
      </c>
      <c r="AD362" s="6">
        <f t="shared" ref="AD362:AD379" si="387">IF(AD361&lt;MAX($AB$360:$AB$373),AD361+1,"")</f>
        <v>3</v>
      </c>
      <c r="AE362" s="6" t="str">
        <f t="shared" si="385"/>
        <v>Artisan's Tools</v>
      </c>
      <c r="DY362" s="501"/>
    </row>
    <row r="363" spans="1:129" ht="16.5" x14ac:dyDescent="0.3">
      <c r="A363" s="155">
        <f>IFERROR(IF(A362+1&lt;MAX(D041_ClassFeatures!$A$2:$A$2033),A362+1,""),"")</f>
        <v>360</v>
      </c>
      <c r="B363" s="153" t="str">
        <f>IFERROR(INDEX(D041_ClassFeatures!$B$2:$B$2033,MATCH(C_Variables!A363,D041_ClassFeatures!$A$2:$A$2033,0),1),"")</f>
        <v>Precision Attack</v>
      </c>
      <c r="C363" s="153">
        <f>IF(B363="",0,IF(IFERROR(MATCH(B363,C_Input!$BC$160:$BC$239,0),0)&gt;0,1,0))</f>
        <v>0</v>
      </c>
      <c r="E363" s="501"/>
      <c r="F363" s="501"/>
      <c r="I363" t="str">
        <f>G316</f>
        <v>Class Tools1</v>
      </c>
      <c r="J363" t="e">
        <f>H316</f>
        <v>#N/A</v>
      </c>
      <c r="K363" t="e">
        <f t="shared" si="380"/>
        <v>#N/A</v>
      </c>
      <c r="L363">
        <v>1</v>
      </c>
      <c r="M363" t="e">
        <f>IF(K363&lt;&gt;"",COUNTIF($M$360:M362,"&gt;0")+1,0)</f>
        <v>#N/A</v>
      </c>
      <c r="O363" t="str">
        <f t="shared" si="386"/>
        <v/>
      </c>
      <c r="P363" t="str">
        <f t="shared" si="381"/>
        <v/>
      </c>
      <c r="R363">
        <v>1</v>
      </c>
      <c r="S363" t="s">
        <v>6934</v>
      </c>
      <c r="T363" s="196">
        <v>5</v>
      </c>
      <c r="U363" t="s">
        <v>77</v>
      </c>
      <c r="X363" s="6">
        <v>4</v>
      </c>
      <c r="Y363" s="284">
        <f t="shared" si="382"/>
        <v>2</v>
      </c>
      <c r="Z363" t="str">
        <f t="shared" si="383"/>
        <v>Artisan's Tools</v>
      </c>
      <c r="AA363">
        <f>IF(Y363=0,0,COUNTIF(AA$360:$AA362,"&gt;0")+1)</f>
        <v>1</v>
      </c>
      <c r="AB363">
        <f t="shared" si="384"/>
        <v>2</v>
      </c>
      <c r="AD363" s="6">
        <f t="shared" si="387"/>
        <v>4</v>
      </c>
      <c r="AE363" s="6" t="str">
        <f t="shared" si="385"/>
        <v>Artisan's Tools</v>
      </c>
      <c r="DY363" s="501"/>
    </row>
    <row r="364" spans="1:129" ht="16.5" x14ac:dyDescent="0.3">
      <c r="A364" s="155">
        <f>IFERROR(IF(A363+1&lt;MAX(D041_ClassFeatures!$A$2:$A$2033),A363+1,""),"")</f>
        <v>361</v>
      </c>
      <c r="B364" s="153" t="str">
        <f>IFERROR(INDEX(D041_ClassFeatures!$B$2:$B$2033,MATCH(C_Variables!A364,D041_ClassFeatures!$A$2:$A$2033,0),1),"")</f>
        <v>Pushing Attack</v>
      </c>
      <c r="C364" s="153">
        <f>IF(B364="",0,IF(IFERROR(MATCH(B364,C_Input!$BC$160:$BC$239,0),0)&gt;0,1,0))</f>
        <v>0</v>
      </c>
      <c r="E364" s="501"/>
      <c r="F364" s="501"/>
      <c r="I364" t="str">
        <f>G317</f>
        <v>Class Tools2</v>
      </c>
      <c r="J364" t="e">
        <f>H317</f>
        <v>#N/A</v>
      </c>
      <c r="K364" t="e">
        <f t="shared" si="380"/>
        <v>#N/A</v>
      </c>
      <c r="L364">
        <v>1</v>
      </c>
      <c r="M364" t="e">
        <f>IF(K364&lt;&gt;"",COUNTIF($M$360:M363,"&gt;0")+1,0)</f>
        <v>#N/A</v>
      </c>
      <c r="O364" t="str">
        <f t="shared" si="386"/>
        <v/>
      </c>
      <c r="P364" t="str">
        <f t="shared" si="381"/>
        <v/>
      </c>
      <c r="S364" t="s">
        <v>6934</v>
      </c>
      <c r="T364" s="196">
        <v>6</v>
      </c>
      <c r="U364" t="s">
        <v>387</v>
      </c>
      <c r="X364" s="6">
        <v>5</v>
      </c>
      <c r="Y364" s="284">
        <f t="shared" si="382"/>
        <v>3</v>
      </c>
      <c r="Z364" t="str">
        <f t="shared" si="383"/>
        <v>Artisan's Tools</v>
      </c>
      <c r="AA364">
        <f>IF(Y364=0,0,COUNTIF(AA$360:$AA363,"&gt;0")+1)</f>
        <v>2</v>
      </c>
      <c r="AB364">
        <f t="shared" si="384"/>
        <v>3</v>
      </c>
      <c r="AD364" s="6">
        <f t="shared" si="387"/>
        <v>5</v>
      </c>
      <c r="AE364" s="6" t="str">
        <f t="shared" si="385"/>
        <v>Gaming set</v>
      </c>
      <c r="DY364" s="501"/>
    </row>
    <row r="365" spans="1:129" ht="16.5" x14ac:dyDescent="0.3">
      <c r="A365" s="155">
        <f>IFERROR(IF(A364+1&lt;MAX(D041_ClassFeatures!$A$2:$A$2033),A364+1,""),"")</f>
        <v>362</v>
      </c>
      <c r="B365" s="153" t="str">
        <f>IFERROR(INDEX(D041_ClassFeatures!$B$2:$B$2033,MATCH(C_Variables!A365,D041_ClassFeatures!$A$2:$A$2033,0),1),"")</f>
        <v>Rally</v>
      </c>
      <c r="C365" s="153">
        <f>IF(B365="",0,IF(IFERROR(MATCH(B365,C_Input!$BC$160:$BC$239,0),0)&gt;0,1,0))</f>
        <v>0</v>
      </c>
      <c r="E365" s="501"/>
      <c r="F365" s="501"/>
      <c r="I365" t="s">
        <v>6913</v>
      </c>
      <c r="J365" t="e">
        <f>IF(J367&gt;1,J363,"")</f>
        <v>#N/A</v>
      </c>
      <c r="K365" t="e">
        <f t="shared" si="380"/>
        <v>#N/A</v>
      </c>
      <c r="L365">
        <v>1</v>
      </c>
      <c r="M365" t="e">
        <f>IF(K365&lt;&gt;"",COUNTIF($M$360:M364,"&gt;0")+1,0)</f>
        <v>#N/A</v>
      </c>
      <c r="O365" t="str">
        <f t="shared" si="386"/>
        <v/>
      </c>
      <c r="P365" t="str">
        <f t="shared" si="381"/>
        <v/>
      </c>
      <c r="S365" t="s">
        <v>6934</v>
      </c>
      <c r="T365" s="196">
        <v>7</v>
      </c>
      <c r="U365" t="s">
        <v>401</v>
      </c>
      <c r="X365" s="6">
        <v>6</v>
      </c>
      <c r="Y365" s="284">
        <f t="shared" si="382"/>
        <v>4</v>
      </c>
      <c r="Z365" t="str">
        <f t="shared" si="383"/>
        <v>Artisan's Tools</v>
      </c>
      <c r="AA365">
        <f>IF(Y365=0,0,COUNTIF(AA$360:$AA364,"&gt;0")+1)</f>
        <v>3</v>
      </c>
      <c r="AB365">
        <f t="shared" si="384"/>
        <v>4</v>
      </c>
      <c r="AD365" s="6">
        <f t="shared" si="387"/>
        <v>6</v>
      </c>
      <c r="AE365" s="6" t="str">
        <f t="shared" si="385"/>
        <v>Navigator’s tools</v>
      </c>
      <c r="DY365" s="501"/>
    </row>
    <row r="366" spans="1:129" ht="16.5" x14ac:dyDescent="0.3">
      <c r="A366" s="155">
        <f>IFERROR(IF(A365+1&lt;MAX(D041_ClassFeatures!$A$2:$A$2033),A365+1,""),"")</f>
        <v>363</v>
      </c>
      <c r="B366" s="153" t="str">
        <f>IFERROR(INDEX(D041_ClassFeatures!$B$2:$B$2033,MATCH(C_Variables!A366,D041_ClassFeatures!$A$2:$A$2033,0),1),"")</f>
        <v>Riposte</v>
      </c>
      <c r="C366" s="153">
        <f>IF(B366="",0,IF(IFERROR(MATCH(B366,C_Input!$BC$160:$BC$239,0),0)&gt;0,1,0))</f>
        <v>0</v>
      </c>
      <c r="E366" s="501"/>
      <c r="F366" s="501"/>
      <c r="I366" t="s">
        <v>6913</v>
      </c>
      <c r="J366" t="e">
        <f>IF(J367&gt;2,J363,"")</f>
        <v>#N/A</v>
      </c>
      <c r="K366" t="e">
        <f t="shared" si="380"/>
        <v>#N/A</v>
      </c>
      <c r="L366">
        <v>1</v>
      </c>
      <c r="M366" t="e">
        <f>IF(K366&lt;&gt;"",COUNTIF($M$360:M365,"&gt;0")+1,0)</f>
        <v>#N/A</v>
      </c>
      <c r="O366" t="str">
        <f t="shared" si="386"/>
        <v/>
      </c>
      <c r="P366" t="str">
        <f t="shared" si="381"/>
        <v/>
      </c>
      <c r="S366" t="s">
        <v>6934</v>
      </c>
      <c r="T366" s="196">
        <v>8</v>
      </c>
      <c r="U366" t="s">
        <v>1126</v>
      </c>
      <c r="X366" s="6">
        <v>7</v>
      </c>
      <c r="Y366" s="284">
        <f t="shared" si="382"/>
        <v>5</v>
      </c>
      <c r="Z366" t="str">
        <f t="shared" si="383"/>
        <v>Gaming set</v>
      </c>
      <c r="AA366">
        <f>IF(Y366=0,0,COUNTIF(AA$360:$AA365,"&gt;0")+1)</f>
        <v>4</v>
      </c>
      <c r="AB366">
        <f t="shared" si="384"/>
        <v>5</v>
      </c>
      <c r="AD366" s="6">
        <f t="shared" si="387"/>
        <v>7</v>
      </c>
      <c r="AE366" s="6" t="str">
        <f t="shared" si="385"/>
        <v>Poisoner’s kit</v>
      </c>
      <c r="DY366" s="501"/>
    </row>
    <row r="367" spans="1:129" ht="16.5" x14ac:dyDescent="0.3">
      <c r="A367" s="155">
        <f>IFERROR(IF(A366+1&lt;MAX(D041_ClassFeatures!$A$2:$A$2033),A366+1,""),"")</f>
        <v>364</v>
      </c>
      <c r="B367" s="153" t="str">
        <f>IFERROR(INDEX(D041_ClassFeatures!$B$2:$B$2033,MATCH(C_Variables!A367,D041_ClassFeatures!$A$2:$A$2033,0),1),"")</f>
        <v>Sweeping Attack</v>
      </c>
      <c r="C367" s="153">
        <f>IF(B367="",0,IF(IFERROR(MATCH(B367,C_Input!$BC$160:$BC$239,0),0)&gt;0,1,0))</f>
        <v>0</v>
      </c>
      <c r="E367" s="501"/>
      <c r="F367" s="501"/>
      <c r="I367" t="str">
        <f>G318</f>
        <v>Number of proficiency</v>
      </c>
      <c r="J367" t="e">
        <f>H318</f>
        <v>#N/A</v>
      </c>
      <c r="L367">
        <v>1</v>
      </c>
      <c r="M367">
        <f>IF(K367&lt;&gt;"",COUNTIF($M$360:M366,"&gt;0")+1,0)</f>
        <v>0</v>
      </c>
      <c r="O367" t="str">
        <f t="shared" si="386"/>
        <v/>
      </c>
      <c r="P367" t="str">
        <f t="shared" si="381"/>
        <v/>
      </c>
      <c r="S367" t="s">
        <v>6934</v>
      </c>
      <c r="T367" s="196">
        <v>9</v>
      </c>
      <c r="U367" t="s">
        <v>1126</v>
      </c>
      <c r="X367" s="6">
        <v>8</v>
      </c>
      <c r="Y367" s="284">
        <f t="shared" si="382"/>
        <v>6</v>
      </c>
      <c r="Z367" t="str">
        <f t="shared" si="383"/>
        <v>Navigator’s tools</v>
      </c>
      <c r="AA367">
        <f>IF(Y367=0,0,COUNTIF(AA$360:$AA366,"&gt;0")+1)</f>
        <v>5</v>
      </c>
      <c r="AB367">
        <f t="shared" si="384"/>
        <v>6</v>
      </c>
      <c r="AD367" s="6">
        <f t="shared" si="387"/>
        <v>8</v>
      </c>
      <c r="AE367" s="6" t="str">
        <f t="shared" si="385"/>
        <v>Artisan's Tools</v>
      </c>
      <c r="DY367" s="501"/>
    </row>
    <row r="368" spans="1:129" ht="16.5" x14ac:dyDescent="0.3">
      <c r="A368" s="155">
        <f>IFERROR(IF(A367+1&lt;MAX(D041_ClassFeatures!$A$2:$A$2033),A367+1,""),"")</f>
        <v>365</v>
      </c>
      <c r="B368" s="153" t="str">
        <f>IFERROR(INDEX(D041_ClassFeatures!$B$2:$B$2033,MATCH(C_Variables!A368,D041_ClassFeatures!$A$2:$A$2033,0),1),"")</f>
        <v>Trip Attack</v>
      </c>
      <c r="C368" s="153">
        <f>IF(B368="",0,IF(IFERROR(MATCH(B368,C_Input!$BC$160:$BC$239,0),0)&gt;0,1,0))</f>
        <v>0</v>
      </c>
      <c r="E368" s="501"/>
      <c r="F368" s="501"/>
      <c r="S368" t="s">
        <v>6934</v>
      </c>
      <c r="T368" s="196">
        <v>10</v>
      </c>
      <c r="U368" t="s">
        <v>1126</v>
      </c>
      <c r="X368" s="6">
        <v>9</v>
      </c>
      <c r="Y368" s="284">
        <f t="shared" si="382"/>
        <v>7</v>
      </c>
      <c r="Z368" t="str">
        <f t="shared" si="383"/>
        <v>Poisoner’s kit</v>
      </c>
      <c r="AA368">
        <f>IF(Y368=0,0,COUNTIF(AA$360:$AA367,"&gt;0")+1)</f>
        <v>6</v>
      </c>
      <c r="AB368">
        <f t="shared" si="384"/>
        <v>7</v>
      </c>
      <c r="AD368" s="6">
        <f t="shared" si="387"/>
        <v>9</v>
      </c>
      <c r="AE368" s="6" t="str">
        <f t="shared" si="385"/>
        <v>Artisan's Tools</v>
      </c>
      <c r="DY368" s="501"/>
    </row>
    <row r="369" spans="1:129" ht="16.5" x14ac:dyDescent="0.3">
      <c r="A369" s="155">
        <f>IFERROR(IF(A368+1&lt;MAX(D041_ClassFeatures!$A$2:$A$2033),A368+1,""),"")</f>
        <v>366</v>
      </c>
      <c r="B369" s="153" t="str">
        <f>IFERROR(INDEX(D041_ClassFeatures!$B$2:$B$2033,MATCH(C_Variables!A369,D041_ClassFeatures!$A$2:$A$2033,0),1),"")</f>
        <v>Breath of Winter</v>
      </c>
      <c r="C369" s="153">
        <f>IF(B369="",0,IF(IFERROR(MATCH(B369,C_Input!$BC$160:$BC$239,0),0)&gt;0,1,0))</f>
        <v>0</v>
      </c>
      <c r="E369" s="501"/>
      <c r="F369" s="501"/>
      <c r="S369" t="s">
        <v>6934</v>
      </c>
      <c r="T369" s="196">
        <v>11</v>
      </c>
      <c r="U369" t="s">
        <v>1126</v>
      </c>
      <c r="X369" s="267">
        <v>10</v>
      </c>
      <c r="Y369" s="284">
        <f t="shared" si="382"/>
        <v>8</v>
      </c>
      <c r="Z369" t="str">
        <f t="shared" si="383"/>
        <v>Artisan's Tools</v>
      </c>
      <c r="AA369">
        <f>IF(Y369=0,0,COUNTIF(AA$360:$AA368,"&gt;0")+1)</f>
        <v>7</v>
      </c>
      <c r="AB369">
        <f t="shared" si="384"/>
        <v>8</v>
      </c>
      <c r="AD369" s="6">
        <f t="shared" si="387"/>
        <v>10</v>
      </c>
      <c r="AE369" s="6" t="str">
        <f t="shared" si="385"/>
        <v>Artisan's Tools</v>
      </c>
      <c r="DY369" s="501"/>
    </row>
    <row r="370" spans="1:129" ht="16.5" x14ac:dyDescent="0.3">
      <c r="A370" s="155">
        <f>IFERROR(IF(A369+1&lt;MAX(D041_ClassFeatures!$A$2:$A$2033),A369+1,""),"")</f>
        <v>367</v>
      </c>
      <c r="B370" s="153" t="str">
        <f>IFERROR(INDEX(D041_ClassFeatures!$B$2:$B$2033,MATCH(C_Variables!A370,D041_ClassFeatures!$A$2:$A$2033,0),1),"")</f>
        <v>Clench of the North Wind</v>
      </c>
      <c r="C370" s="153">
        <f>IF(B370="",0,IF(IFERROR(MATCH(B370,C_Input!$BC$160:$BC$239,0),0)&gt;0,1,0))</f>
        <v>0</v>
      </c>
      <c r="E370" s="501"/>
      <c r="F370" s="501"/>
      <c r="S370" t="s">
        <v>6934</v>
      </c>
      <c r="T370" s="196">
        <v>12</v>
      </c>
      <c r="U370" t="s">
        <v>1126</v>
      </c>
      <c r="X370" s="267">
        <v>11</v>
      </c>
      <c r="Y370" s="284">
        <f t="shared" si="382"/>
        <v>9</v>
      </c>
      <c r="Z370" t="str">
        <f t="shared" si="383"/>
        <v>Artisan's Tools</v>
      </c>
      <c r="AA370">
        <f>IF(Y370=0,0,COUNTIF(AA$360:$AA369,"&gt;0")+1)</f>
        <v>8</v>
      </c>
      <c r="AB370">
        <f t="shared" si="384"/>
        <v>9</v>
      </c>
      <c r="AD370" s="6">
        <f t="shared" si="387"/>
        <v>11</v>
      </c>
      <c r="AE370" s="6" t="str">
        <f t="shared" si="385"/>
        <v>Artisan's Tools</v>
      </c>
      <c r="DY370" s="501"/>
    </row>
    <row r="371" spans="1:129" ht="16.5" x14ac:dyDescent="0.3">
      <c r="A371" s="155">
        <f>IFERROR(IF(A370+1&lt;MAX(D041_ClassFeatures!$A$2:$A$2033),A370+1,""),"")</f>
        <v>368</v>
      </c>
      <c r="B371" s="153" t="str">
        <f>IFERROR(INDEX(D041_ClassFeatures!$B$2:$B$2033,MATCH(C_Variables!A371,D041_ClassFeatures!$A$2:$A$2033,0),1),"")</f>
        <v>Eternal Mountain Defense</v>
      </c>
      <c r="C371" s="153">
        <f>IF(B371="",0,IF(IFERROR(MATCH(B371,C_Input!$BC$160:$BC$239,0),0)&gt;0,1,0))</f>
        <v>0</v>
      </c>
      <c r="E371" s="501"/>
      <c r="F371" s="501"/>
      <c r="S371" t="s">
        <v>6934</v>
      </c>
      <c r="T371" s="196">
        <v>4</v>
      </c>
      <c r="U371" t="s">
        <v>1126</v>
      </c>
      <c r="X371" s="267">
        <v>12</v>
      </c>
      <c r="Y371" s="284">
        <f t="shared" si="382"/>
        <v>10</v>
      </c>
      <c r="Z371" t="str">
        <f t="shared" si="383"/>
        <v>Artisan's Tools</v>
      </c>
      <c r="AA371">
        <f>IF(Y371=0,0,COUNTIF(AA$360:$AA370,"&gt;0")+1)</f>
        <v>9</v>
      </c>
      <c r="AB371">
        <f t="shared" si="384"/>
        <v>10</v>
      </c>
      <c r="AD371" s="6">
        <f t="shared" si="387"/>
        <v>12</v>
      </c>
      <c r="AE371" s="6" t="str">
        <f t="shared" si="385"/>
        <v>Artisan's Tools</v>
      </c>
      <c r="DY371" s="501"/>
    </row>
    <row r="372" spans="1:129" ht="16.5" x14ac:dyDescent="0.3">
      <c r="A372" s="155">
        <f>IFERROR(IF(A371+1&lt;MAX(D041_ClassFeatures!$A$2:$A$2033),A371+1,""),"")</f>
        <v>369</v>
      </c>
      <c r="B372" s="153" t="str">
        <f>IFERROR(INDEX(D041_ClassFeatures!$B$2:$B$2033,MATCH(C_Variables!A372,D041_ClassFeatures!$A$2:$A$2033,0),1),"")</f>
        <v>Fangs of the Fire Snake</v>
      </c>
      <c r="C372" s="153">
        <f>IF(B372="",0,IF(IFERROR(MATCH(B372,C_Input!$BC$160:$BC$239,0),0)&gt;0,1,0))</f>
        <v>0</v>
      </c>
      <c r="E372" s="501"/>
      <c r="F372" s="501"/>
      <c r="S372" t="s">
        <v>6934</v>
      </c>
      <c r="T372" s="196">
        <v>3</v>
      </c>
      <c r="U372" t="s">
        <v>1126</v>
      </c>
      <c r="X372" s="267">
        <v>13</v>
      </c>
      <c r="Y372" s="284">
        <f t="shared" si="382"/>
        <v>11</v>
      </c>
      <c r="Z372" t="str">
        <f t="shared" si="383"/>
        <v>Artisan's Tools</v>
      </c>
      <c r="AA372">
        <f>IF(Y372=0,0,COUNTIF(AA$360:$AA371,"&gt;0")+1)</f>
        <v>10</v>
      </c>
      <c r="AB372">
        <f t="shared" si="384"/>
        <v>11</v>
      </c>
      <c r="AD372" s="6" t="str">
        <f t="shared" si="387"/>
        <v/>
      </c>
      <c r="AE372" s="6" t="str">
        <f t="shared" si="385"/>
        <v/>
      </c>
      <c r="DY372" s="501"/>
    </row>
    <row r="373" spans="1:129" ht="16.5" x14ac:dyDescent="0.3">
      <c r="A373" s="155">
        <f>IFERROR(IF(A372+1&lt;MAX(D041_ClassFeatures!$A$2:$A$2033),A372+1,""),"")</f>
        <v>370</v>
      </c>
      <c r="B373" s="153" t="str">
        <f>IFERROR(INDEX(D041_ClassFeatures!$B$2:$B$2033,MATCH(C_Variables!A373,D041_ClassFeatures!$A$2:$A$2033,0),1),"")</f>
        <v>Fist of Four Thunders</v>
      </c>
      <c r="C373" s="153">
        <f>IF(B373="",0,IF(IFERROR(MATCH(B373,C_Input!$BC$160:$BC$239,0),0)&gt;0,1,0))</f>
        <v>0</v>
      </c>
      <c r="E373" s="501"/>
      <c r="F373" s="501"/>
      <c r="S373" t="s">
        <v>6934</v>
      </c>
      <c r="T373" s="196">
        <v>2</v>
      </c>
      <c r="U373" t="s">
        <v>1126</v>
      </c>
      <c r="X373" s="267">
        <v>14</v>
      </c>
      <c r="Y373" s="284">
        <f t="shared" si="382"/>
        <v>12</v>
      </c>
      <c r="Z373" t="str">
        <f t="shared" si="383"/>
        <v>Artisan's Tools</v>
      </c>
      <c r="AA373">
        <f>IF(Y373=0,0,COUNTIF(AA$360:$AA372,"&gt;0")+1)</f>
        <v>11</v>
      </c>
      <c r="AB373">
        <f t="shared" si="384"/>
        <v>12</v>
      </c>
      <c r="AD373" s="6" t="str">
        <f t="shared" si="387"/>
        <v/>
      </c>
      <c r="AE373" s="6" t="str">
        <f t="shared" si="385"/>
        <v/>
      </c>
      <c r="DY373" s="501"/>
    </row>
    <row r="374" spans="1:129" ht="16.5" x14ac:dyDescent="0.3">
      <c r="A374" s="155">
        <f>IFERROR(IF(A373+1&lt;MAX(D041_ClassFeatures!$A$2:$A$2033),A373+1,""),"")</f>
        <v>371</v>
      </c>
      <c r="B374" s="153" t="str">
        <f>IFERROR(INDEX(D041_ClassFeatures!$B$2:$B$2033,MATCH(C_Variables!A374,D041_ClassFeatures!$A$2:$A$2033,0),1),"")</f>
        <v>Fist of Unbroken Air</v>
      </c>
      <c r="C374" s="153">
        <f>IF(B374="",0,IF(IFERROR(MATCH(B374,C_Input!$BC$160:$BC$239,0),0)&gt;0,1,0))</f>
        <v>0</v>
      </c>
      <c r="E374" s="501"/>
      <c r="F374" s="501"/>
      <c r="AD374" s="6" t="str">
        <f t="shared" si="387"/>
        <v/>
      </c>
      <c r="AE374" s="6" t="str">
        <f t="shared" si="385"/>
        <v/>
      </c>
      <c r="DY374" s="501"/>
    </row>
    <row r="375" spans="1:129" ht="16.5" x14ac:dyDescent="0.3">
      <c r="A375" s="155">
        <f>IFERROR(IF(A374+1&lt;MAX(D041_ClassFeatures!$A$2:$A$2033),A374+1,""),"")</f>
        <v>372</v>
      </c>
      <c r="B375" s="153" t="str">
        <f>IFERROR(INDEX(D041_ClassFeatures!$B$2:$B$2033,MATCH(C_Variables!A375,D041_ClassFeatures!$A$2:$A$2033,0),1),"")</f>
        <v>Flames of the Phoenix</v>
      </c>
      <c r="C375" s="153">
        <f>IF(B375="",0,IF(IFERROR(MATCH(B375,C_Input!$BC$160:$BC$239,0),0)&gt;0,1,0))</f>
        <v>0</v>
      </c>
      <c r="E375" s="501"/>
      <c r="F375" s="501"/>
      <c r="AD375" s="6" t="str">
        <f t="shared" si="387"/>
        <v/>
      </c>
      <c r="AE375" s="6" t="str">
        <f t="shared" si="385"/>
        <v/>
      </c>
      <c r="DY375" s="501"/>
    </row>
    <row r="376" spans="1:129" ht="16.5" x14ac:dyDescent="0.3">
      <c r="A376" s="155">
        <f>IFERROR(IF(A375+1&lt;MAX(D041_ClassFeatures!$A$2:$A$2033),A375+1,""),"")</f>
        <v>373</v>
      </c>
      <c r="B376" s="153" t="str">
        <f>IFERROR(INDEX(D041_ClassFeatures!$B$2:$B$2033,MATCH(C_Variables!A376,D041_ClassFeatures!$A$2:$A$2033,0),1),"")</f>
        <v>Gong of the Summit</v>
      </c>
      <c r="C376" s="153">
        <f>IF(B376="",0,IF(IFERROR(MATCH(B376,C_Input!$BC$160:$BC$239,0),0)&gt;0,1,0))</f>
        <v>0</v>
      </c>
      <c r="E376" s="501"/>
      <c r="F376" s="501"/>
      <c r="AD376" s="6" t="str">
        <f t="shared" si="387"/>
        <v/>
      </c>
      <c r="AE376" s="6" t="str">
        <f t="shared" si="385"/>
        <v/>
      </c>
      <c r="DY376" s="501"/>
    </row>
    <row r="377" spans="1:129" ht="16.5" x14ac:dyDescent="0.3">
      <c r="A377" s="155">
        <f>IFERROR(IF(A376+1&lt;MAX(D041_ClassFeatures!$A$2:$A$2033),A376+1,""),"")</f>
        <v>374</v>
      </c>
      <c r="B377" s="153" t="str">
        <f>IFERROR(INDEX(D041_ClassFeatures!$B$2:$B$2033,MATCH(C_Variables!A377,D041_ClassFeatures!$A$2:$A$2033,0),1),"")</f>
        <v>Mist Stance</v>
      </c>
      <c r="C377" s="153">
        <f>IF(B377="",0,IF(IFERROR(MATCH(B377,C_Input!$BC$160:$BC$239,0),0)&gt;0,1,0))</f>
        <v>0</v>
      </c>
      <c r="E377" s="501"/>
      <c r="F377" s="501"/>
      <c r="AD377" s="6" t="str">
        <f t="shared" si="387"/>
        <v/>
      </c>
      <c r="AE377" s="6" t="str">
        <f t="shared" si="385"/>
        <v/>
      </c>
      <c r="DY377" s="501"/>
    </row>
    <row r="378" spans="1:129" ht="16.5" x14ac:dyDescent="0.3">
      <c r="A378" s="155">
        <f>IFERROR(IF(A377+1&lt;MAX(D041_ClassFeatures!$A$2:$A$2033),A377+1,""),"")</f>
        <v>375</v>
      </c>
      <c r="B378" s="153" t="str">
        <f>IFERROR(INDEX(D041_ClassFeatures!$B$2:$B$2033,MATCH(C_Variables!A378,D041_ClassFeatures!$A$2:$A$2033,0),1),"")</f>
        <v>Ride the Wind</v>
      </c>
      <c r="C378" s="153">
        <f>IF(B378="",0,IF(IFERROR(MATCH(B378,C_Input!$BC$160:$BC$239,0),0)&gt;0,1,0))</f>
        <v>0</v>
      </c>
      <c r="E378" s="501"/>
      <c r="F378" s="501"/>
      <c r="AD378" s="6" t="str">
        <f t="shared" si="387"/>
        <v/>
      </c>
      <c r="AE378" s="6" t="str">
        <f t="shared" si="385"/>
        <v/>
      </c>
      <c r="DY378" s="501"/>
    </row>
    <row r="379" spans="1:129" ht="16.5" x14ac:dyDescent="0.3">
      <c r="A379" s="155">
        <f>IFERROR(IF(A378+1&lt;MAX(D041_ClassFeatures!$A$2:$A$2033),A378+1,""),"")</f>
        <v>376</v>
      </c>
      <c r="B379" s="153" t="str">
        <f>IFERROR(INDEX(D041_ClassFeatures!$B$2:$B$2033,MATCH(C_Variables!A379,D041_ClassFeatures!$A$2:$A$2033,0),1),"")</f>
        <v>River of Hungry Flame</v>
      </c>
      <c r="C379" s="153">
        <f>IF(B379="",0,IF(IFERROR(MATCH(B379,C_Input!$BC$160:$BC$239,0),0)&gt;0,1,0))</f>
        <v>0</v>
      </c>
      <c r="E379" s="501"/>
      <c r="F379" s="501"/>
      <c r="AD379" s="6" t="str">
        <f t="shared" si="387"/>
        <v/>
      </c>
      <c r="AE379" s="6" t="str">
        <f t="shared" si="385"/>
        <v/>
      </c>
      <c r="DY379" s="501"/>
    </row>
    <row r="380" spans="1:129" ht="16.5" x14ac:dyDescent="0.3">
      <c r="A380" s="155">
        <f>IFERROR(IF(A379+1&lt;MAX(D041_ClassFeatures!$A$2:$A$2033),A379+1,""),"")</f>
        <v>377</v>
      </c>
      <c r="B380" s="153" t="str">
        <f>IFERROR(INDEX(D041_ClassFeatures!$B$2:$B$2033,MATCH(C_Variables!A380,D041_ClassFeatures!$A$2:$A$2033,0),1),"")</f>
        <v>Rush of the Gale Spirits</v>
      </c>
      <c r="C380" s="153">
        <f>IF(B380="",0,IF(IFERROR(MATCH(B380,C_Input!$BC$160:$BC$239,0),0)&gt;0,1,0))</f>
        <v>0</v>
      </c>
      <c r="E380" s="501"/>
      <c r="F380" s="501"/>
      <c r="G380" s="501"/>
      <c r="H380" s="501"/>
      <c r="I380" s="501"/>
      <c r="J380" s="501"/>
      <c r="K380" s="501"/>
      <c r="L380" s="501"/>
      <c r="M380" s="501"/>
      <c r="N380" s="501"/>
      <c r="O380" s="501"/>
      <c r="P380" s="501"/>
      <c r="Q380" s="501"/>
      <c r="R380" s="501"/>
      <c r="S380" s="501"/>
      <c r="T380" s="501"/>
      <c r="U380" s="501"/>
      <c r="V380" s="501"/>
      <c r="W380" s="501"/>
      <c r="X380" s="501"/>
      <c r="Y380" s="501"/>
      <c r="Z380" s="501"/>
      <c r="AA380" s="501"/>
      <c r="AB380" s="501"/>
      <c r="AC380" s="501"/>
      <c r="AD380" s="501"/>
      <c r="AE380" s="501"/>
      <c r="AF380" s="501"/>
      <c r="AG380" s="501"/>
      <c r="AH380" s="501"/>
      <c r="AI380" s="501"/>
      <c r="AJ380" s="501"/>
      <c r="AK380" s="501"/>
      <c r="AL380" s="501"/>
      <c r="AM380" s="501"/>
      <c r="AN380" s="501"/>
      <c r="AO380" s="501"/>
      <c r="AP380" s="501"/>
      <c r="AQ380" s="501"/>
      <c r="AR380" s="501"/>
      <c r="AS380" s="501"/>
      <c r="AT380" s="501"/>
      <c r="AU380" s="501"/>
      <c r="AV380" s="501"/>
      <c r="AW380" s="501"/>
      <c r="AX380" s="501"/>
      <c r="AY380" s="501"/>
      <c r="AZ380" s="501"/>
      <c r="BA380" s="501"/>
      <c r="BB380" s="501"/>
      <c r="BC380" s="501"/>
      <c r="BD380" s="501"/>
      <c r="BE380" s="501"/>
      <c r="BF380" s="501"/>
      <c r="BG380" s="501"/>
      <c r="BH380" s="501"/>
      <c r="BI380" s="501"/>
      <c r="BJ380" s="501"/>
      <c r="BK380" s="501"/>
      <c r="BL380" s="501"/>
      <c r="BM380" s="501"/>
      <c r="BN380" s="501"/>
      <c r="BO380" s="501"/>
      <c r="BP380" s="501"/>
      <c r="BQ380" s="501"/>
      <c r="BR380" s="501"/>
      <c r="BS380" s="501"/>
      <c r="BT380" s="501"/>
      <c r="BU380" s="501"/>
      <c r="BV380" s="501"/>
      <c r="BW380" s="501"/>
      <c r="BX380" s="501"/>
      <c r="BY380" s="501"/>
      <c r="BZ380" s="501"/>
      <c r="CA380" s="501"/>
      <c r="CB380" s="501"/>
      <c r="CC380" s="501"/>
      <c r="CD380" s="501"/>
      <c r="CE380" s="501"/>
      <c r="CF380" s="501"/>
      <c r="CG380" s="501"/>
      <c r="CH380" s="501"/>
      <c r="CI380" s="501"/>
      <c r="CJ380" s="501"/>
      <c r="CK380" s="501"/>
      <c r="CL380" s="501"/>
      <c r="CM380" s="501"/>
      <c r="CN380" s="501"/>
      <c r="CO380" s="501"/>
      <c r="CP380" s="501"/>
      <c r="CQ380" s="501"/>
      <c r="CR380" s="501"/>
      <c r="CS380" s="501"/>
      <c r="CT380" s="501"/>
      <c r="CU380" s="501"/>
      <c r="CV380" s="501"/>
      <c r="CW380" s="501"/>
      <c r="CX380" s="501"/>
      <c r="CY380" s="501"/>
      <c r="CZ380" s="501"/>
      <c r="DA380" s="501"/>
      <c r="DB380" s="501"/>
      <c r="DC380" s="501"/>
      <c r="DD380" s="501"/>
      <c r="DE380" s="501"/>
      <c r="DF380" s="501"/>
      <c r="DG380" s="501"/>
      <c r="DH380" s="501"/>
      <c r="DI380" s="501"/>
      <c r="DJ380" s="501"/>
      <c r="DK380" s="501"/>
      <c r="DL380" s="501"/>
      <c r="DM380" s="501"/>
      <c r="DN380" s="501"/>
      <c r="DO380" s="501"/>
      <c r="DP380" s="501"/>
      <c r="DQ380" s="501"/>
      <c r="DR380" s="501"/>
      <c r="DS380" s="501"/>
      <c r="DT380" s="501"/>
      <c r="DU380" s="501"/>
      <c r="DV380" s="501"/>
      <c r="DW380" s="501"/>
      <c r="DX380" s="501"/>
      <c r="DY380" s="501"/>
    </row>
    <row r="381" spans="1:129" ht="16.5" x14ac:dyDescent="0.3">
      <c r="A381" s="155">
        <f>IFERROR(IF(A380+1&lt;MAX(D041_ClassFeatures!$A$2:$A$2033),A380+1,""),"")</f>
        <v>378</v>
      </c>
      <c r="B381" s="153" t="str">
        <f>IFERROR(INDEX(D041_ClassFeatures!$B$2:$B$2033,MATCH(C_Variables!A381,D041_ClassFeatures!$A$2:$A$2033,0),1),"")</f>
        <v>Shape the Flowing River</v>
      </c>
      <c r="C381" s="153">
        <f>IF(B381="",0,IF(IFERROR(MATCH(B381,C_Input!$BC$160:$BC$239,0),0)&gt;0,1,0))</f>
        <v>0</v>
      </c>
    </row>
    <row r="382" spans="1:129" ht="16.5" x14ac:dyDescent="0.3">
      <c r="A382" s="155">
        <f>IFERROR(IF(A381+1&lt;MAX(D041_ClassFeatures!$A$2:$A$2033),A381+1,""),"")</f>
        <v>379</v>
      </c>
      <c r="B382" s="153" t="str">
        <f>IFERROR(INDEX(D041_ClassFeatures!$B$2:$B$2033,MATCH(C_Variables!A382,D041_ClassFeatures!$A$2:$A$2033,0),1),"")</f>
        <v>Sweeping Cinder Strike</v>
      </c>
      <c r="C382" s="153">
        <f>IF(B382="",0,IF(IFERROR(MATCH(B382,C_Input!$BC$160:$BC$239,0),0)&gt;0,1,0))</f>
        <v>0</v>
      </c>
    </row>
    <row r="383" spans="1:129" ht="16.5" x14ac:dyDescent="0.3">
      <c r="A383" s="155">
        <f>IFERROR(IF(A382+1&lt;MAX(D041_ClassFeatures!$A$2:$A$2033),A382+1,""),"")</f>
        <v>380</v>
      </c>
      <c r="B383" s="153" t="str">
        <f>IFERROR(INDEX(D041_ClassFeatures!$B$2:$B$2033,MATCH(C_Variables!A383,D041_ClassFeatures!$A$2:$A$2033,0),1),"")</f>
        <v>Water Whip</v>
      </c>
      <c r="C383" s="153">
        <f>IF(B383="",0,IF(IFERROR(MATCH(B383,C_Input!$BC$160:$BC$239,0),0)&gt;0,1,0))</f>
        <v>0</v>
      </c>
      <c r="G383" t="s">
        <v>270</v>
      </c>
    </row>
    <row r="384" spans="1:129" ht="16.5" x14ac:dyDescent="0.3">
      <c r="A384" s="155">
        <f>IFERROR(IF(A383+1&lt;MAX(D041_ClassFeatures!$A$2:$A$2033),A383+1,""),"")</f>
        <v>381</v>
      </c>
      <c r="B384" s="153" t="str">
        <f>IFERROR(INDEX(D041_ClassFeatures!$B$2:$B$2033,MATCH(C_Variables!A384,D041_ClassFeatures!$A$2:$A$2033,0),1),"")</f>
        <v>Wave of Rolling Earth</v>
      </c>
      <c r="C384" s="153">
        <f>IF(B384="",0,IF(IFERROR(MATCH(B384,C_Input!$BC$160:$BC$239,0),0)&gt;0,1,0))</f>
        <v>0</v>
      </c>
      <c r="J384" t="s">
        <v>6939</v>
      </c>
      <c r="K384" t="s">
        <v>60</v>
      </c>
      <c r="L384" t="s">
        <v>6940</v>
      </c>
      <c r="M384" t="s">
        <v>6941</v>
      </c>
      <c r="N384" t="s">
        <v>6942</v>
      </c>
      <c r="O384" t="s">
        <v>6943</v>
      </c>
      <c r="P384" t="s">
        <v>5392</v>
      </c>
      <c r="Q384" t="s">
        <v>2310</v>
      </c>
      <c r="R384" t="s">
        <v>6945</v>
      </c>
    </row>
    <row r="385" spans="1:18" ht="16.5" x14ac:dyDescent="0.3">
      <c r="A385" s="155">
        <f>IFERROR(IF(A384+1&lt;MAX(D041_ClassFeatures!$A$2:$A$2033),A384+1,""),"")</f>
        <v>382</v>
      </c>
      <c r="B385" s="153" t="str">
        <f>IFERROR(INDEX(D041_ClassFeatures!$B$2:$B$2033,MATCH(C_Variables!A385,D041_ClassFeatures!$A$2:$A$2033,0),1),"")</f>
        <v>Agonizing Blast</v>
      </c>
      <c r="C385" s="153">
        <f>IF(B385="",0,IF(IFERROR(MATCH(B385,C_Input!$BC$160:$BC$239,0),0)&gt;0,1,0))</f>
        <v>0</v>
      </c>
      <c r="G385" s="400" t="s">
        <v>2302</v>
      </c>
      <c r="H385">
        <f>IF(IFERROR(MATCH(C_Variables!G385,C_Input!$BC$160:$BC$239,0),0)=0,0,1)</f>
        <v>0</v>
      </c>
      <c r="I385" t="s">
        <v>3774</v>
      </c>
      <c r="J385">
        <f>Intelligence</f>
        <v>13</v>
      </c>
      <c r="K385" t="s">
        <v>622</v>
      </c>
      <c r="L385">
        <f>IFERROR(INDEX($Q$4:$Q$9,MATCH(K385,$M$4:$M$9,0),1),0)</f>
        <v>0</v>
      </c>
      <c r="M385">
        <f>IntMOD</f>
        <v>1</v>
      </c>
      <c r="N385">
        <f>ROUNDDOWN(L385/3,0)</f>
        <v>0</v>
      </c>
      <c r="P385">
        <f>IFERROR(INDEX(D00_Leveling!$AK$4:$AK$23,C_Variables!L385,1),0)</f>
        <v>0</v>
      </c>
      <c r="Q385">
        <f>IFERROR(INDEX(D00_Leveling!$AJ$4:$AJ$23,L385,1),0)</f>
        <v>0</v>
      </c>
      <c r="R385">
        <f>IFERROR(INDEX(D00_Leveling!$T$4:$T$23,C_Variables!L385,1),0)</f>
        <v>0</v>
      </c>
    </row>
    <row r="386" spans="1:18" ht="16.5" x14ac:dyDescent="0.3">
      <c r="A386" s="155">
        <f>IFERROR(IF(A385+1&lt;MAX(D041_ClassFeatures!$A$2:$A$2033),A385+1,""),"")</f>
        <v>383</v>
      </c>
      <c r="B386" s="153" t="str">
        <f>IFERROR(INDEX(D041_ClassFeatures!$B$2:$B$2033,MATCH(C_Variables!A386,D041_ClassFeatures!$A$2:$A$2033,0),1),"")</f>
        <v>Armor of Shadows</v>
      </c>
      <c r="C386" s="153">
        <f>IF(B386="",0,IF(IFERROR(MATCH(B386,C_Input!$BC$160:$BC$239,0),0)&gt;0,1,0))</f>
        <v>0</v>
      </c>
      <c r="G386" s="400" t="s">
        <v>2303</v>
      </c>
      <c r="H386">
        <f>IF(IFERROR(MATCH(C_Variables!G386,C_Input!$BC$160:$BC$239,0),0)=0,0,1)</f>
        <v>0</v>
      </c>
      <c r="I386" t="s">
        <v>3774</v>
      </c>
      <c r="J386">
        <f>Intelligence</f>
        <v>13</v>
      </c>
      <c r="K386" t="s">
        <v>625</v>
      </c>
      <c r="L386">
        <f t="shared" ref="L386:L393" si="388">IFERROR(INDEX($Q$4:$Q$9,MATCH(K386,$M$4:$M$9,0),1),0)</f>
        <v>0</v>
      </c>
      <c r="M386">
        <f>IntMOD</f>
        <v>1</v>
      </c>
      <c r="N386">
        <f>ROUNDDOWN(L386/3,0)</f>
        <v>0</v>
      </c>
      <c r="P386">
        <f>IFERROR(INDEX(D00_Leveling!$AU$4:$AU$23,C_Variables!L386,1),0)</f>
        <v>0</v>
      </c>
      <c r="Q386">
        <f>IFERROR(INDEX(D00_Leveling!$AT$4:$AT$23,L386,1),0)</f>
        <v>0</v>
      </c>
      <c r="R386">
        <f>IFERROR(INDEX(D00_Leveling!$T$4:$T$23,C_Variables!L386,1),0)</f>
        <v>0</v>
      </c>
    </row>
    <row r="387" spans="1:18" ht="16.5" x14ac:dyDescent="0.3">
      <c r="A387" s="155">
        <f>IFERROR(IF(A386+1&lt;MAX(D041_ClassFeatures!$A$2:$A$2033),A386+1,""),"")</f>
        <v>384</v>
      </c>
      <c r="B387" s="153" t="str">
        <f>IFERROR(INDEX(D041_ClassFeatures!$B$2:$B$2033,MATCH(C_Variables!A387,D041_ClassFeatures!$A$2:$A$2033,0),1),"")</f>
        <v>Ascendant Step</v>
      </c>
      <c r="C387" s="153">
        <f>IF(B387="",0,IF(IFERROR(MATCH(B387,C_Input!$BC$160:$BC$239,0),0)&gt;0,1,0))</f>
        <v>0</v>
      </c>
      <c r="G387" s="401" t="s">
        <v>5172</v>
      </c>
      <c r="H387">
        <f>IF(IFERROR(MATCH(C_Variables!G387,C_Input!$BC$160:$BC$239,0),0)=0,0,1)</f>
        <v>0</v>
      </c>
      <c r="I387" t="s">
        <v>3771</v>
      </c>
      <c r="J387">
        <f>Charisma</f>
        <v>18</v>
      </c>
      <c r="K387" t="s">
        <v>1112</v>
      </c>
      <c r="L387">
        <f t="shared" si="388"/>
        <v>0</v>
      </c>
      <c r="M387">
        <f>ChaMOD</f>
        <v>4</v>
      </c>
      <c r="N387">
        <f>L387</f>
        <v>0</v>
      </c>
      <c r="P387">
        <f>IFERROR(INDEX(D00_Leveling!$Z$4:$Z$23,C_Variables!L387,1),0)</f>
        <v>0</v>
      </c>
      <c r="Q387">
        <f>IFERROR(INDEX(D00_Leveling!$Y$4:$Y$23,L387,1),0)</f>
        <v>0</v>
      </c>
      <c r="R387">
        <f>IFERROR(INDEX(D00_Leveling!$D$4:$D$23,C_Variables!L387,1),0)</f>
        <v>0</v>
      </c>
    </row>
    <row r="388" spans="1:18" ht="16.5" x14ac:dyDescent="0.3">
      <c r="A388" s="155">
        <f>IFERROR(IF(A387+1&lt;MAX(D041_ClassFeatures!$A$2:$A$2033),A387+1,""),"")</f>
        <v>385</v>
      </c>
      <c r="B388" s="153" t="str">
        <f>IFERROR(INDEX(D041_ClassFeatures!$B$2:$B$2033,MATCH(C_Variables!A388,D041_ClassFeatures!$A$2:$A$2033,0),1),"")</f>
        <v>Beast Speech</v>
      </c>
      <c r="C388" s="153">
        <f>IF(B388="",0,IF(IFERROR(MATCH(B388,C_Input!$BC$160:$BC$239,0),0)&gt;0,1,0))</f>
        <v>0</v>
      </c>
      <c r="G388" s="400" t="s">
        <v>5326</v>
      </c>
      <c r="H388">
        <f>IF(IFERROR(MATCH(C_Variables!G388,C_Input!$BC$160:$BC$239,0),0)=0,0,1)</f>
        <v>0</v>
      </c>
      <c r="I388" t="s">
        <v>3774</v>
      </c>
      <c r="J388">
        <f>Intelligence</f>
        <v>13</v>
      </c>
      <c r="K388" t="s">
        <v>628</v>
      </c>
      <c r="L388">
        <f t="shared" si="388"/>
        <v>0</v>
      </c>
      <c r="M388">
        <f>IntMOD</f>
        <v>1</v>
      </c>
      <c r="N388">
        <f t="shared" ref="N388:N391" si="389">L388</f>
        <v>0</v>
      </c>
      <c r="O388">
        <f>IF(L388&gt;0,L388+M388,0)</f>
        <v>0</v>
      </c>
      <c r="Q388">
        <f>IFERROR(INDEX(D00_Leveling!$AZ$4:$AZ$23,L388,1),0)</f>
        <v>0</v>
      </c>
      <c r="R388">
        <f>IFERROR(INDEX(D00_Leveling!$D$4:$D$23,C_Variables!L388,1),0)</f>
        <v>0</v>
      </c>
    </row>
    <row r="389" spans="1:18" ht="16.5" x14ac:dyDescent="0.3">
      <c r="A389" s="155">
        <f>IFERROR(IF(A388+1&lt;MAX(D041_ClassFeatures!$A$2:$A$2033),A388+1,""),"")</f>
        <v>386</v>
      </c>
      <c r="B389" s="153" t="str">
        <f>IFERROR(INDEX(D041_ClassFeatures!$B$2:$B$2033,MATCH(C_Variables!A389,D041_ClassFeatures!$A$2:$A$2033,0),1),"")</f>
        <v>Beguiling Influence</v>
      </c>
      <c r="C389" s="153">
        <f>IF(B389="",0,IF(IFERROR(MATCH(B389,C_Input!$BC$160:$BC$239,0),0)&gt;0,1,0))</f>
        <v>0</v>
      </c>
      <c r="G389" s="400" t="s">
        <v>5327</v>
      </c>
      <c r="H389">
        <f>IF(IFERROR(MATCH(C_Variables!G389,C_Input!$BC$160:$BC$239,0),0)=0,0,1)</f>
        <v>0</v>
      </c>
      <c r="I389" t="s">
        <v>3771</v>
      </c>
      <c r="J389">
        <f>Charisma</f>
        <v>18</v>
      </c>
      <c r="K389" t="s">
        <v>626</v>
      </c>
      <c r="L389">
        <f t="shared" si="388"/>
        <v>0</v>
      </c>
      <c r="M389">
        <f>ChaMOD</f>
        <v>4</v>
      </c>
      <c r="N389">
        <f t="shared" si="389"/>
        <v>0</v>
      </c>
      <c r="P389">
        <f>IFERROR(INDEX(D00_Leveling!$AX$4:$AX$23,C_Variables!L389,1),0)</f>
        <v>0</v>
      </c>
      <c r="Q389">
        <f>IFERROR(INDEX(D00_Leveling!$AW$4:$AW$23,L389,1),0)</f>
        <v>0</v>
      </c>
      <c r="R389">
        <f>IFERROR(INDEX(D00_Leveling!$D$4:$D$23,C_Variables!L389,1),0)</f>
        <v>0</v>
      </c>
    </row>
    <row r="390" spans="1:18" ht="16.5" x14ac:dyDescent="0.3">
      <c r="A390" s="155">
        <f>IFERROR(IF(A389+1&lt;MAX(D041_ClassFeatures!$A$2:$A$2033),A389+1,""),"")</f>
        <v>387</v>
      </c>
      <c r="B390" s="153" t="str">
        <f>IFERROR(INDEX(D041_ClassFeatures!$B$2:$B$2033,MATCH(C_Variables!A390,D041_ClassFeatures!$A$2:$A$2033,0),1),"")</f>
        <v>Bewitching Whispers</v>
      </c>
      <c r="C390" s="153">
        <f>IF(B390="",0,IF(IFERROR(MATCH(B390,C_Input!$BC$160:$BC$239,0),0)&gt;0,1,0))</f>
        <v>0</v>
      </c>
      <c r="G390" s="400" t="s">
        <v>5328</v>
      </c>
      <c r="H390">
        <f>IF(IFERROR(MATCH(C_Variables!G390,C_Input!$BC$160:$BC$239,0),0)=0,0,1)</f>
        <v>0</v>
      </c>
      <c r="I390" t="s">
        <v>3772</v>
      </c>
      <c r="J390">
        <f>Wisdom</f>
        <v>10</v>
      </c>
      <c r="K390" t="s">
        <v>620</v>
      </c>
      <c r="L390">
        <f t="shared" si="388"/>
        <v>0</v>
      </c>
      <c r="M390">
        <f>WisMOD</f>
        <v>0</v>
      </c>
      <c r="N390">
        <f t="shared" si="389"/>
        <v>0</v>
      </c>
      <c r="O390">
        <f>IF(L390&gt;0,L390+M390,0)</f>
        <v>0</v>
      </c>
      <c r="Q390">
        <f>IFERROR(INDEX(D00_Leveling!$AD$4:$AD$23,L390,1),0)</f>
        <v>0</v>
      </c>
      <c r="R390">
        <f>IFERROR(INDEX(D00_Leveling!$D$4:$D$23,C_Variables!L390,1),0)</f>
        <v>0</v>
      </c>
    </row>
    <row r="391" spans="1:18" ht="16.5" x14ac:dyDescent="0.3">
      <c r="A391" s="155">
        <f>IFERROR(IF(A390+1&lt;MAX(D041_ClassFeatures!$A$2:$A$2033),A390+1,""),"")</f>
        <v>388</v>
      </c>
      <c r="B391" s="153" t="str">
        <f>IFERROR(INDEX(D041_ClassFeatures!$B$2:$B$2033,MATCH(C_Variables!A391,D041_ClassFeatures!$A$2:$A$2033,0),1),"")</f>
        <v>Book of Ancient Secrets</v>
      </c>
      <c r="C391" s="153">
        <f>IF(B391="",0,IF(IFERROR(MATCH(B391,C_Input!$BC$160:$BC$239,0),0)&gt;0,1,0))</f>
        <v>0</v>
      </c>
      <c r="G391" s="400" t="s">
        <v>5329</v>
      </c>
      <c r="H391">
        <f>IF(IFERROR(MATCH(C_Variables!G391,C_Input!$BC$160:$BC$239,0),0)=0,0,1)</f>
        <v>0</v>
      </c>
      <c r="I391" t="s">
        <v>3772</v>
      </c>
      <c r="J391">
        <f>Wisdom</f>
        <v>10</v>
      </c>
      <c r="K391" t="s">
        <v>621</v>
      </c>
      <c r="L391">
        <f t="shared" si="388"/>
        <v>0</v>
      </c>
      <c r="M391">
        <f>WisMOD</f>
        <v>0</v>
      </c>
      <c r="N391">
        <f t="shared" si="389"/>
        <v>0</v>
      </c>
      <c r="O391">
        <f>IF(L391&gt;0,L391+M391,0)</f>
        <v>0</v>
      </c>
      <c r="Q391">
        <f>IFERROR(INDEX(D00_Leveling!$AF$4:$AF$23,L391,1),0)</f>
        <v>0</v>
      </c>
      <c r="R391">
        <f>IFERROR(INDEX(D00_Leveling!$D$4:$D$23,C_Variables!L391,1),0)</f>
        <v>0</v>
      </c>
    </row>
    <row r="392" spans="1:18" ht="16.5" x14ac:dyDescent="0.3">
      <c r="A392" s="155">
        <f>IFERROR(IF(A391+1&lt;MAX(D041_ClassFeatures!$A$2:$A$2033),A391+1,""),"")</f>
        <v>389</v>
      </c>
      <c r="B392" s="153" t="str">
        <f>IFERROR(INDEX(D041_ClassFeatures!$B$2:$B$2033,MATCH(C_Variables!A392,D041_ClassFeatures!$A$2:$A$2033,0),1),"")</f>
        <v>Chains of Carceri</v>
      </c>
      <c r="C392" s="153">
        <f>IF(B392="",0,IF(IFERROR(MATCH(B392,C_Input!$BC$160:$BC$239,0),0)&gt;0,1,0))</f>
        <v>0</v>
      </c>
      <c r="G392" s="400" t="s">
        <v>5330</v>
      </c>
      <c r="H392">
        <f>IF(IFERROR(MATCH(C_Variables!G392,C_Input!$BC$160:$BC$239,0),0)=0,0,1)</f>
        <v>0</v>
      </c>
      <c r="I392" t="s">
        <v>3772</v>
      </c>
      <c r="J392">
        <f>Wisdom</f>
        <v>10</v>
      </c>
      <c r="K392" t="s">
        <v>624</v>
      </c>
      <c r="L392">
        <f t="shared" si="388"/>
        <v>0</v>
      </c>
      <c r="M392">
        <f>WisMOD</f>
        <v>0</v>
      </c>
      <c r="N392">
        <f>ROUNDDOWN(L392/2,0)</f>
        <v>0</v>
      </c>
      <c r="P392">
        <f>IFERROR(INDEX(D00_Leveling!$AQ$4:$AQ$23,C_Variables!L393,1),0)</f>
        <v>0</v>
      </c>
      <c r="Q392">
        <v>0</v>
      </c>
      <c r="R392">
        <f>IFERROR(INDEX(D00_Leveling!$N$4:$N$23,C_Variables!L392,1),0)</f>
        <v>0</v>
      </c>
    </row>
    <row r="393" spans="1:18" ht="16.5" x14ac:dyDescent="0.3">
      <c r="A393" s="155">
        <f>IFERROR(IF(A392+1&lt;MAX(D041_ClassFeatures!$A$2:$A$2033),A392+1,""),"")</f>
        <v>390</v>
      </c>
      <c r="B393" s="153" t="str">
        <f>IFERROR(INDEX(D041_ClassFeatures!$B$2:$B$2033,MATCH(C_Variables!A393,D041_ClassFeatures!$A$2:$A$2033,0),1),"")</f>
        <v>Devil’s Sight</v>
      </c>
      <c r="C393" s="153">
        <f>IF(B393="",0,IF(IFERROR(MATCH(B393,C_Input!$BC$160:$BC$239,0),0)&gt;0,1,0))</f>
        <v>0</v>
      </c>
      <c r="G393" s="400" t="s">
        <v>5331</v>
      </c>
      <c r="H393">
        <f>IF(IFERROR(MATCH(C_Variables!G393,C_Input!$BC$160:$BC$239,0),0)=0,0,1)</f>
        <v>0</v>
      </c>
      <c r="I393" t="s">
        <v>3771</v>
      </c>
      <c r="J393">
        <f>Charisma</f>
        <v>18</v>
      </c>
      <c r="K393" t="s">
        <v>1113</v>
      </c>
      <c r="L393">
        <f t="shared" si="388"/>
        <v>0</v>
      </c>
      <c r="M393">
        <f>ChaMOD</f>
        <v>4</v>
      </c>
      <c r="N393">
        <f>ROUNDDOWN(L393/2,0)</f>
        <v>0</v>
      </c>
      <c r="O393">
        <f>IF(L393&gt;0,ROUNDDOWN(L393/2,0)+M393,0)</f>
        <v>0</v>
      </c>
      <c r="Q393">
        <v>0</v>
      </c>
      <c r="R393">
        <f>IFERROR(INDEX(D00_Leveling!$N$4:$N$23,C_Variables!L393,1),0)</f>
        <v>0</v>
      </c>
    </row>
    <row r="394" spans="1:18" ht="16.5" x14ac:dyDescent="0.3">
      <c r="A394" s="155">
        <f>IFERROR(IF(A393+1&lt;MAX(D041_ClassFeatures!$A$2:$A$2033),A393+1,""),"")</f>
        <v>391</v>
      </c>
      <c r="B394" s="153" t="str">
        <f>IFERROR(INDEX(D041_ClassFeatures!$B$2:$B$2033,MATCH(C_Variables!A394,D041_ClassFeatures!$A$2:$A$2033,0),1),"")</f>
        <v>Dreadful Word</v>
      </c>
      <c r="C394" s="153">
        <f>IF(B394="",0,IF(IFERROR(MATCH(B394,C_Input!$BC$160:$BC$239,0),0)&gt;0,1,0))</f>
        <v>0</v>
      </c>
    </row>
    <row r="395" spans="1:18" ht="16.5" x14ac:dyDescent="0.3">
      <c r="A395" s="155">
        <f>IFERROR(IF(A394+1&lt;MAX(D041_ClassFeatures!$A$2:$A$2033),A394+1,""),"")</f>
        <v>392</v>
      </c>
      <c r="B395" s="153" t="str">
        <f>IFERROR(INDEX(D041_ClassFeatures!$B$2:$B$2033,MATCH(C_Variables!A395,D041_ClassFeatures!$A$2:$A$2033,0),1),"")</f>
        <v>Eldritch Sight</v>
      </c>
      <c r="C395" s="153">
        <f>IF(B395="",0,IF(IFERROR(MATCH(B395,C_Input!$BC$160:$BC$239,0),0)&gt;0,1,0))</f>
        <v>0</v>
      </c>
      <c r="G395" t="s">
        <v>6944</v>
      </c>
      <c r="I395">
        <f>SUM(N385:N393)</f>
        <v>0</v>
      </c>
    </row>
    <row r="396" spans="1:18" ht="16.5" x14ac:dyDescent="0.3">
      <c r="A396" s="155">
        <f>IFERROR(IF(A395+1&lt;MAX(D041_ClassFeatures!$A$2:$A$2033),A395+1,""),"")</f>
        <v>393</v>
      </c>
      <c r="B396" s="153" t="str">
        <f>IFERROR(INDEX(D041_ClassFeatures!$B$2:$B$2033,MATCH(C_Variables!A396,D041_ClassFeatures!$A$2:$A$2033,0),1),"")</f>
        <v>Eldritch Spear</v>
      </c>
      <c r="C396" s="153">
        <f>IF(B396="",0,IF(IFERROR(MATCH(B396,C_Input!$BC$160:$BC$239,0),0)&gt;0,1,0))</f>
        <v>0</v>
      </c>
    </row>
    <row r="397" spans="1:18" ht="16.5" x14ac:dyDescent="0.3">
      <c r="A397" s="155">
        <f>IFERROR(IF(A396+1&lt;MAX(D041_ClassFeatures!$A$2:$A$2033),A396+1,""),"")</f>
        <v>394</v>
      </c>
      <c r="B397" s="153" t="str">
        <f>IFERROR(INDEX(D041_ClassFeatures!$B$2:$B$2033,MATCH(C_Variables!A397,D041_ClassFeatures!$A$2:$A$2033,0),1),"")</f>
        <v>Eyes of the Rune Keeper</v>
      </c>
      <c r="C397" s="153">
        <f>IF(B397="",0,IF(IFERROR(MATCH(B397,C_Input!$BC$160:$BC$239,0),0)&gt;0,1,0))</f>
        <v>0</v>
      </c>
    </row>
    <row r="398" spans="1:18" ht="16.5" x14ac:dyDescent="0.3">
      <c r="A398" s="155">
        <f>IFERROR(IF(A397+1&lt;MAX(D041_ClassFeatures!$A$2:$A$2033),A397+1,""),"")</f>
        <v>395</v>
      </c>
      <c r="B398" s="153" t="str">
        <f>IFERROR(INDEX(D041_ClassFeatures!$B$2:$B$2033,MATCH(C_Variables!A398,D041_ClassFeatures!$A$2:$A$2033,0),1),"")</f>
        <v>Fiendish Vigor</v>
      </c>
      <c r="C398" s="153">
        <f>IF(B398="",0,IF(IFERROR(MATCH(B398,C_Input!$BC$160:$BC$239,0),0)&gt;0,1,0))</f>
        <v>0</v>
      </c>
    </row>
    <row r="399" spans="1:18" ht="16.5" x14ac:dyDescent="0.3">
      <c r="A399" s="155">
        <f>IFERROR(IF(A398+1&lt;MAX(D041_ClassFeatures!$A$2:$A$2033),A398+1,""),"")</f>
        <v>396</v>
      </c>
      <c r="B399" s="153" t="str">
        <f>IFERROR(INDEX(D041_ClassFeatures!$B$2:$B$2033,MATCH(C_Variables!A399,D041_ClassFeatures!$A$2:$A$2033,0),1),"")</f>
        <v>Gaze of Two Minds</v>
      </c>
      <c r="C399" s="153">
        <f>IF(B399="",0,IF(IFERROR(MATCH(B399,C_Input!$BC$160:$BC$239,0),0)&gt;0,1,0))</f>
        <v>0</v>
      </c>
    </row>
    <row r="400" spans="1:18" ht="16.5" x14ac:dyDescent="0.3">
      <c r="A400" s="155">
        <f>IFERROR(IF(A399+1&lt;MAX(D041_ClassFeatures!$A$2:$A$2033),A399+1,""),"")</f>
        <v>397</v>
      </c>
      <c r="B400" s="153" t="str">
        <f>IFERROR(INDEX(D041_ClassFeatures!$B$2:$B$2033,MATCH(C_Variables!A400,D041_ClassFeatures!$A$2:$A$2033,0),1),"")</f>
        <v>Lifedrinker</v>
      </c>
      <c r="C400" s="153">
        <f>IF(B400="",0,IF(IFERROR(MATCH(B400,C_Input!$BC$160:$BC$239,0),0)&gt;0,1,0))</f>
        <v>0</v>
      </c>
    </row>
    <row r="401" spans="1:3" ht="16.5" x14ac:dyDescent="0.3">
      <c r="A401" s="155">
        <f>IFERROR(IF(A400+1&lt;MAX(D041_ClassFeatures!$A$2:$A$2033),A400+1,""),"")</f>
        <v>398</v>
      </c>
      <c r="B401" s="153" t="str">
        <f>IFERROR(INDEX(D041_ClassFeatures!$B$2:$B$2033,MATCH(C_Variables!A401,D041_ClassFeatures!$A$2:$A$2033,0),1),"")</f>
        <v>Mask of Many Faces</v>
      </c>
      <c r="C401" s="153">
        <f>IF(B401="",0,IF(IFERROR(MATCH(B401,C_Input!$BC$160:$BC$239,0),0)&gt;0,1,0))</f>
        <v>0</v>
      </c>
    </row>
    <row r="402" spans="1:3" ht="16.5" x14ac:dyDescent="0.3">
      <c r="A402" s="155">
        <f>IFERROR(IF(A401+1&lt;MAX(D041_ClassFeatures!$A$2:$A$2033),A401+1,""),"")</f>
        <v>399</v>
      </c>
      <c r="B402" s="153" t="str">
        <f>IFERROR(INDEX(D041_ClassFeatures!$B$2:$B$2033,MATCH(C_Variables!A402,D041_ClassFeatures!$A$2:$A$2033,0),1),"")</f>
        <v>Master of Myriad Forms</v>
      </c>
      <c r="C402" s="153">
        <f>IF(B402="",0,IF(IFERROR(MATCH(B402,C_Input!$BC$160:$BC$239,0),0)&gt;0,1,0))</f>
        <v>0</v>
      </c>
    </row>
    <row r="403" spans="1:3" ht="16.5" x14ac:dyDescent="0.3">
      <c r="A403" s="155">
        <f>IFERROR(IF(A402+1&lt;MAX(D041_ClassFeatures!$A$2:$A$2033),A402+1,""),"")</f>
        <v>400</v>
      </c>
      <c r="B403" s="153" t="str">
        <f>IFERROR(INDEX(D041_ClassFeatures!$B$2:$B$2033,MATCH(C_Variables!A403,D041_ClassFeatures!$A$2:$A$2033,0),1),"")</f>
        <v>Minions of Chaos</v>
      </c>
      <c r="C403" s="153">
        <f>IF(B403="",0,IF(IFERROR(MATCH(B403,C_Input!$BC$160:$BC$239,0),0)&gt;0,1,0))</f>
        <v>0</v>
      </c>
    </row>
    <row r="404" spans="1:3" ht="16.5" x14ac:dyDescent="0.3">
      <c r="A404" s="155">
        <f>IFERROR(IF(A403+1&lt;MAX(D041_ClassFeatures!$A$2:$A$2033),A403+1,""),"")</f>
        <v>401</v>
      </c>
      <c r="B404" s="153" t="str">
        <f>IFERROR(INDEX(D041_ClassFeatures!$B$2:$B$2033,MATCH(C_Variables!A404,D041_ClassFeatures!$A$2:$A$2033,0),1),"")</f>
        <v>Mire the Mind</v>
      </c>
      <c r="C404" s="153">
        <f>IF(B404="",0,IF(IFERROR(MATCH(B404,C_Input!$BC$160:$BC$239,0),0)&gt;0,1,0))</f>
        <v>0</v>
      </c>
    </row>
    <row r="405" spans="1:3" ht="16.5" x14ac:dyDescent="0.3">
      <c r="A405" s="155">
        <f>IFERROR(IF(A404+1&lt;MAX(D041_ClassFeatures!$A$2:$A$2033),A404+1,""),"")</f>
        <v>402</v>
      </c>
      <c r="B405" s="153" t="str">
        <f>IFERROR(INDEX(D041_ClassFeatures!$B$2:$B$2033,MATCH(C_Variables!A405,D041_ClassFeatures!$A$2:$A$2033,0),1),"")</f>
        <v>Misty Visions</v>
      </c>
      <c r="C405" s="153">
        <f>IF(B405="",0,IF(IFERROR(MATCH(B405,C_Input!$BC$160:$BC$239,0),0)&gt;0,1,0))</f>
        <v>0</v>
      </c>
    </row>
    <row r="406" spans="1:3" ht="16.5" x14ac:dyDescent="0.3">
      <c r="A406" s="155">
        <f>IFERROR(IF(A405+1&lt;MAX(D041_ClassFeatures!$A$2:$A$2033),A405+1,""),"")</f>
        <v>403</v>
      </c>
      <c r="B406" s="153" t="str">
        <f>IFERROR(INDEX(D041_ClassFeatures!$B$2:$B$2033,MATCH(C_Variables!A406,D041_ClassFeatures!$A$2:$A$2033,0),1),"")</f>
        <v>One with Shadows</v>
      </c>
      <c r="C406" s="153">
        <f>IF(B406="",0,IF(IFERROR(MATCH(B406,C_Input!$BC$160:$BC$239,0),0)&gt;0,1,0))</f>
        <v>0</v>
      </c>
    </row>
    <row r="407" spans="1:3" ht="16.5" x14ac:dyDescent="0.3">
      <c r="A407" s="155">
        <f>IFERROR(IF(A406+1&lt;MAX(D041_ClassFeatures!$A$2:$A$2033),A406+1,""),"")</f>
        <v>404</v>
      </c>
      <c r="B407" s="153" t="str">
        <f>IFERROR(INDEX(D041_ClassFeatures!$B$2:$B$2033,MATCH(C_Variables!A407,D041_ClassFeatures!$A$2:$A$2033,0),1),"")</f>
        <v>Otherworldly Leap</v>
      </c>
      <c r="C407" s="153">
        <f>IF(B407="",0,IF(IFERROR(MATCH(B407,C_Input!$BC$160:$BC$239,0),0)&gt;0,1,0))</f>
        <v>0</v>
      </c>
    </row>
    <row r="408" spans="1:3" ht="16.5" x14ac:dyDescent="0.3">
      <c r="A408" s="155">
        <f>IFERROR(IF(A407+1&lt;MAX(D041_ClassFeatures!$A$2:$A$2033),A407+1,""),"")</f>
        <v>405</v>
      </c>
      <c r="B408" s="153" t="str">
        <f>IFERROR(INDEX(D041_ClassFeatures!$B$2:$B$2033,MATCH(C_Variables!A408,D041_ClassFeatures!$A$2:$A$2033,0),1),"")</f>
        <v>Repelling Blast</v>
      </c>
      <c r="C408" s="153">
        <f>IF(B408="",0,IF(IFERROR(MATCH(B408,C_Input!$BC$160:$BC$239,0),0)&gt;0,1,0))</f>
        <v>0</v>
      </c>
    </row>
    <row r="409" spans="1:3" ht="16.5" x14ac:dyDescent="0.3">
      <c r="A409" s="155">
        <f>IFERROR(IF(A408+1&lt;MAX(D041_ClassFeatures!$A$2:$A$2033),A408+1,""),"")</f>
        <v>406</v>
      </c>
      <c r="B409" s="153" t="str">
        <f>IFERROR(INDEX(D041_ClassFeatures!$B$2:$B$2033,MATCH(C_Variables!A409,D041_ClassFeatures!$A$2:$A$2033,0),1),"")</f>
        <v>Sculptor of Flesh</v>
      </c>
      <c r="C409" s="153">
        <f>IF(B409="",0,IF(IFERROR(MATCH(B409,C_Input!$BC$160:$BC$239,0),0)&gt;0,1,0))</f>
        <v>0</v>
      </c>
    </row>
    <row r="410" spans="1:3" ht="16.5" x14ac:dyDescent="0.3">
      <c r="A410" s="155">
        <f>IFERROR(IF(A409+1&lt;MAX(D041_ClassFeatures!$A$2:$A$2033),A409+1,""),"")</f>
        <v>407</v>
      </c>
      <c r="B410" s="153" t="str">
        <f>IFERROR(INDEX(D041_ClassFeatures!$B$2:$B$2033,MATCH(C_Variables!A410,D041_ClassFeatures!$A$2:$A$2033,0),1),"")</f>
        <v>Sign of Ill Omen</v>
      </c>
      <c r="C410" s="153">
        <f>IF(B410="",0,IF(IFERROR(MATCH(B410,C_Input!$BC$160:$BC$239,0),0)&gt;0,1,0))</f>
        <v>0</v>
      </c>
    </row>
    <row r="411" spans="1:3" ht="16.5" x14ac:dyDescent="0.3">
      <c r="A411" s="155">
        <f>IFERROR(IF(A410+1&lt;MAX(D041_ClassFeatures!$A$2:$A$2033),A410+1,""),"")</f>
        <v>408</v>
      </c>
      <c r="B411" s="153" t="str">
        <f>IFERROR(INDEX(D041_ClassFeatures!$B$2:$B$2033,MATCH(C_Variables!A411,D041_ClassFeatures!$A$2:$A$2033,0),1),"")</f>
        <v>Thief of Five Fates</v>
      </c>
      <c r="C411" s="153">
        <f>IF(B411="",0,IF(IFERROR(MATCH(B411,C_Input!$BC$160:$BC$239,0),0)&gt;0,1,0))</f>
        <v>0</v>
      </c>
    </row>
    <row r="412" spans="1:3" ht="16.5" x14ac:dyDescent="0.3">
      <c r="A412" s="155">
        <f>IFERROR(IF(A411+1&lt;MAX(D041_ClassFeatures!$A$2:$A$2033),A411+1,""),"")</f>
        <v>409</v>
      </c>
      <c r="B412" s="153" t="str">
        <f>IFERROR(INDEX(D041_ClassFeatures!$B$2:$B$2033,MATCH(C_Variables!A412,D041_ClassFeatures!$A$2:$A$2033,0),1),"")</f>
        <v>Thirsting Blade</v>
      </c>
      <c r="C412" s="153">
        <f>IF(B412="",0,IF(IFERROR(MATCH(B412,C_Input!$BC$160:$BC$239,0),0)&gt;0,1,0))</f>
        <v>0</v>
      </c>
    </row>
    <row r="413" spans="1:3" ht="16.5" x14ac:dyDescent="0.3">
      <c r="A413" s="155">
        <f>IFERROR(IF(A412+1&lt;MAX(D041_ClassFeatures!$A$2:$A$2033),A412+1,""),"")</f>
        <v>410</v>
      </c>
      <c r="B413" s="153" t="str">
        <f>IFERROR(INDEX(D041_ClassFeatures!$B$2:$B$2033,MATCH(C_Variables!A413,D041_ClassFeatures!$A$2:$A$2033,0),1),"")</f>
        <v>Visions of Distant Realms</v>
      </c>
      <c r="C413" s="153">
        <f>IF(B413="",0,IF(IFERROR(MATCH(B413,C_Input!$BC$160:$BC$239,0),0)&gt;0,1,0))</f>
        <v>0</v>
      </c>
    </row>
    <row r="414" spans="1:3" ht="16.5" x14ac:dyDescent="0.3">
      <c r="A414" s="155">
        <f>IFERROR(IF(A413+1&lt;MAX(D041_ClassFeatures!$A$2:$A$2033),A413+1,""),"")</f>
        <v>411</v>
      </c>
      <c r="B414" s="153" t="str">
        <f>IFERROR(INDEX(D041_ClassFeatures!$B$2:$B$2033,MATCH(C_Variables!A414,D041_ClassFeatures!$A$2:$A$2033,0),1),"")</f>
        <v>Voice of the Chain Master</v>
      </c>
      <c r="C414" s="153">
        <f>IF(B414="",0,IF(IFERROR(MATCH(B414,C_Input!$BC$160:$BC$239,0),0)&gt;0,1,0))</f>
        <v>0</v>
      </c>
    </row>
    <row r="415" spans="1:3" ht="16.5" x14ac:dyDescent="0.3">
      <c r="A415" s="155">
        <f>IFERROR(IF(A414+1&lt;MAX(D041_ClassFeatures!$A$2:$A$2033),A414+1,""),"")</f>
        <v>412</v>
      </c>
      <c r="B415" s="153" t="str">
        <f>IFERROR(INDEX(D041_ClassFeatures!$B$2:$B$2033,MATCH(C_Variables!A415,D041_ClassFeatures!$A$2:$A$2033,0),1),"")</f>
        <v>Whispers of the Grave</v>
      </c>
      <c r="C415" s="153">
        <f>IF(B415="",0,IF(IFERROR(MATCH(B415,C_Input!$BC$160:$BC$239,0),0)&gt;0,1,0))</f>
        <v>0</v>
      </c>
    </row>
    <row r="416" spans="1:3" ht="16.5" x14ac:dyDescent="0.3">
      <c r="A416" s="155">
        <f>IFERROR(IF(A415+1&lt;MAX(D041_ClassFeatures!$A$2:$A$2033),A415+1,""),"")</f>
        <v>413</v>
      </c>
      <c r="B416" s="153" t="str">
        <f>IFERROR(INDEX(D041_ClassFeatures!$B$2:$B$2033,MATCH(C_Variables!A416,D041_ClassFeatures!$A$2:$A$2033,0),1),"")</f>
        <v>Witch Sight</v>
      </c>
      <c r="C416" s="153">
        <f>IF(B416="",0,IF(IFERROR(MATCH(B416,C_Input!$BC$160:$BC$239,0),0)&gt;0,1,0))</f>
        <v>0</v>
      </c>
    </row>
    <row r="417" spans="1:3" ht="16.5" x14ac:dyDescent="0.3">
      <c r="A417" s="155">
        <f>IFERROR(IF(A416+1&lt;MAX(D041_ClassFeatures!$A$2:$A$2033),A416+1,""),"")</f>
        <v>414</v>
      </c>
      <c r="B417" s="153" t="str">
        <f>IFERROR(INDEX(D041_ClassFeatures!$B$2:$B$2033,MATCH(C_Variables!A417,D041_ClassFeatures!$A$2:$A$2033,0),1),"")</f>
        <v>Spellcasting (Wizard)</v>
      </c>
      <c r="C417" s="153">
        <f>IF(B417="",0,IF(IFERROR(MATCH(B417,C_Input!$BC$160:$BC$239,0),0)&gt;0,1,0))</f>
        <v>0</v>
      </c>
    </row>
    <row r="418" spans="1:3" ht="16.5" x14ac:dyDescent="0.3">
      <c r="A418" s="155">
        <f>IFERROR(IF(A417+1&lt;MAX(D041_ClassFeatures!$A$2:$A$2033),A417+1,""),"")</f>
        <v>415</v>
      </c>
      <c r="B418" s="153" t="str">
        <f>IFERROR(INDEX(D041_ClassFeatures!$B$2:$B$2033,MATCH(C_Variables!A418,D041_ClassFeatures!$A$2:$A$2033,0),1),"")</f>
        <v>Spellcasting (Sorcerer)</v>
      </c>
      <c r="C418" s="153">
        <f>IF(B418="",0,IF(IFERROR(MATCH(B418,C_Input!$BC$160:$BC$239,0),0)&gt;0,1,0))</f>
        <v>0</v>
      </c>
    </row>
    <row r="419" spans="1:3" ht="16.5" x14ac:dyDescent="0.3">
      <c r="A419" s="155">
        <f>IFERROR(IF(A418+1&lt;MAX(D041_ClassFeatures!$A$2:$A$2033),A418+1,""),"")</f>
        <v>416</v>
      </c>
      <c r="B419" s="153" t="str">
        <f>IFERROR(INDEX(D041_ClassFeatures!$B$2:$B$2033,MATCH(C_Variables!A419,D041_ClassFeatures!$A$2:$A$2033,0),1),"")</f>
        <v>Spellcasting (Cleric)</v>
      </c>
      <c r="C419" s="153">
        <f>IF(B419="",0,IF(IFERROR(MATCH(B419,C_Input!$BC$160:$BC$239,0),0)&gt;0,1,0))</f>
        <v>0</v>
      </c>
    </row>
    <row r="420" spans="1:3" ht="16.5" x14ac:dyDescent="0.3">
      <c r="A420" s="155">
        <f>IFERROR(IF(A419+1&lt;MAX(D041_ClassFeatures!$A$2:$A$2033),A419+1,""),"")</f>
        <v>417</v>
      </c>
      <c r="B420" s="153" t="str">
        <f>IFERROR(INDEX(D041_ClassFeatures!$B$2:$B$2033,MATCH(C_Variables!A420,D041_ClassFeatures!$A$2:$A$2033,0),1),"")</f>
        <v>Spellcasting (Druid)</v>
      </c>
      <c r="C420" s="153">
        <f>IF(B420="",0,IF(IFERROR(MATCH(B420,C_Input!$BC$160:$BC$239,0),0)&gt;0,1,0))</f>
        <v>0</v>
      </c>
    </row>
    <row r="421" spans="1:3" ht="16.5" x14ac:dyDescent="0.3">
      <c r="A421" s="155">
        <f>IFERROR(IF(A420+1&lt;MAX(D041_ClassFeatures!$A$2:$A$2033),A420+1,""),"")</f>
        <v>418</v>
      </c>
      <c r="B421" s="153" t="str">
        <f>IFERROR(INDEX(D041_ClassFeatures!$B$2:$B$2033,MATCH(C_Variables!A421,D041_ClassFeatures!$A$2:$A$2033,0),1),"")</f>
        <v>Spellcasting (Ranger)</v>
      </c>
      <c r="C421" s="153">
        <f>IF(B421="",0,IF(IFERROR(MATCH(B421,C_Input!$BC$160:$BC$239,0),0)&gt;0,1,0))</f>
        <v>0</v>
      </c>
    </row>
    <row r="422" spans="1:3" ht="16.5" x14ac:dyDescent="0.3">
      <c r="A422" s="155">
        <f>IFERROR(IF(A421+1&lt;MAX(D041_ClassFeatures!$A$2:$A$2033),A421+1,""),"")</f>
        <v>419</v>
      </c>
      <c r="B422" s="153" t="str">
        <f>IFERROR(INDEX(D041_ClassFeatures!$B$2:$B$2033,MATCH(C_Variables!A422,D041_ClassFeatures!$A$2:$A$2033,0),1),"")</f>
        <v>Spellcasting (Paladin)</v>
      </c>
      <c r="C422" s="153">
        <f>IF(B422="",0,IF(IFERROR(MATCH(B422,C_Input!$BC$160:$BC$239,0),0)&gt;0,1,0))</f>
        <v>0</v>
      </c>
    </row>
    <row r="423" spans="1:3" ht="16.5" x14ac:dyDescent="0.3">
      <c r="A423" s="155">
        <f>IFERROR(IF(A422+1&lt;MAX(D041_ClassFeatures!$A$2:$A$2033),A422+1,""),"")</f>
        <v>420</v>
      </c>
      <c r="B423" s="153" t="str">
        <f>IFERROR(INDEX(D041_ClassFeatures!$B$2:$B$2033,MATCH(C_Variables!A423,D041_ClassFeatures!$A$2:$A$2033,0),1),"")</f>
        <v>Unarmored Defense (wis)</v>
      </c>
      <c r="C423" s="153">
        <f>IF(B423="",0,IF(IFERROR(MATCH(B423,C_Input!$BC$160:$BC$239,0),0)&gt;0,1,0))</f>
        <v>0</v>
      </c>
    </row>
    <row r="424" spans="1:3" ht="16.5" x14ac:dyDescent="0.3">
      <c r="A424" s="155">
        <f>IFERROR(IF(A423+1&lt;MAX(D041_ClassFeatures!$A$2:$A$2033),A423+1,""),"")</f>
        <v>421</v>
      </c>
      <c r="B424" s="153" t="str">
        <f>IFERROR(INDEX(D041_ClassFeatures!$B$2:$B$2033,MATCH(C_Variables!A424,D041_ClassFeatures!$A$2:$A$2033,0),1),"")</f>
        <v>Fighting style (paladin)</v>
      </c>
      <c r="C424" s="153">
        <f>IF(B424="",0,IF(IFERROR(MATCH(B424,C_Input!$BC$160:$BC$239,0),0)&gt;0,1,0))</f>
        <v>0</v>
      </c>
    </row>
    <row r="425" spans="1:3" ht="16.5" x14ac:dyDescent="0.3">
      <c r="A425" s="155">
        <f>IFERROR(IF(A424+1&lt;MAX(D041_ClassFeatures!$A$2:$A$2033),A424+1,""),"")</f>
        <v>422</v>
      </c>
      <c r="B425" s="153" t="str">
        <f>IFERROR(INDEX(D041_ClassFeatures!$B$2:$B$2033,MATCH(C_Variables!A425,D041_ClassFeatures!$A$2:$A$2033,0),1),"")</f>
        <v>Fighting style (Ranger)</v>
      </c>
      <c r="C425" s="153">
        <f>IF(B425="",0,IF(IFERROR(MATCH(B425,C_Input!$BC$160:$BC$239,0),0)&gt;0,1,0))</f>
        <v>0</v>
      </c>
    </row>
    <row r="426" spans="1:3" ht="16.5" x14ac:dyDescent="0.3">
      <c r="A426" s="155">
        <f>IFERROR(IF(A425+1&lt;MAX(D041_ClassFeatures!$A$2:$A$2033),A425+1,""),"")</f>
        <v>423</v>
      </c>
      <c r="B426" s="153" t="str">
        <f>IFERROR(INDEX(D041_ClassFeatures!$B$2:$B$2033,MATCH(C_Variables!A426,D041_ClassFeatures!$A$2:$A$2033,0),1),"")</f>
        <v>Bonus Proficiency: Death Domain</v>
      </c>
      <c r="C426" s="153">
        <f>IF(B426="",0,IF(IFERROR(MATCH(B426,C_Input!$BC$160:$BC$239,0),0)&gt;0,1,0))</f>
        <v>0</v>
      </c>
    </row>
    <row r="427" spans="1:3" ht="16.5" x14ac:dyDescent="0.3">
      <c r="A427" s="155">
        <f>IFERROR(IF(A426+1&lt;MAX(D041_ClassFeatures!$A$2:$A$2033),A426+1,""),"")</f>
        <v>424</v>
      </c>
      <c r="B427" s="153" t="str">
        <f>IFERROR(INDEX(D041_ClassFeatures!$B$2:$B$2033,MATCH(C_Variables!A427,D041_ClassFeatures!$A$2:$A$2033,0),1),"")</f>
        <v>Reaper</v>
      </c>
      <c r="C427" s="153">
        <f>IF(B427="",0,IF(IFERROR(MATCH(B427,C_Input!$BC$160:$BC$239,0),0)&gt;0,1,0))</f>
        <v>0</v>
      </c>
    </row>
    <row r="428" spans="1:3" ht="16.5" x14ac:dyDescent="0.3">
      <c r="A428" s="155">
        <f>IFERROR(IF(A427+1&lt;MAX(D041_ClassFeatures!$A$2:$A$2033),A427+1,""),"")</f>
        <v>425</v>
      </c>
      <c r="B428" s="153" t="str">
        <f>IFERROR(INDEX(D041_ClassFeatures!$B$2:$B$2033,MATCH(C_Variables!A428,D041_ClassFeatures!$A$2:$A$2033,0),1),"")</f>
        <v>Channel Divinity: Touch of Death</v>
      </c>
      <c r="C428" s="153">
        <f>IF(B428="",0,IF(IFERROR(MATCH(B428,C_Input!$BC$160:$BC$239,0),0)&gt;0,1,0))</f>
        <v>0</v>
      </c>
    </row>
    <row r="429" spans="1:3" ht="16.5" x14ac:dyDescent="0.3">
      <c r="A429" s="155">
        <f>IFERROR(IF(A428+1&lt;MAX(D041_ClassFeatures!$A$2:$A$2033),A428+1,""),"")</f>
        <v>426</v>
      </c>
      <c r="B429" s="153" t="str">
        <f>IFERROR(INDEX(D041_ClassFeatures!$B$2:$B$2033,MATCH(C_Variables!A429,D041_ClassFeatures!$A$2:$A$2033,0),1),"")</f>
        <v>Inescapable Destruction</v>
      </c>
      <c r="C429" s="153">
        <f>IF(B429="",0,IF(IFERROR(MATCH(B429,C_Input!$BC$160:$BC$239,0),0)&gt;0,1,0))</f>
        <v>0</v>
      </c>
    </row>
    <row r="430" spans="1:3" ht="16.5" x14ac:dyDescent="0.3">
      <c r="A430" s="155">
        <f>IFERROR(IF(A429+1&lt;MAX(D041_ClassFeatures!$A$2:$A$2033),A429+1,""),"")</f>
        <v>427</v>
      </c>
      <c r="B430" s="153" t="str">
        <f>IFERROR(INDEX(D041_ClassFeatures!$B$2:$B$2033,MATCH(C_Variables!A430,D041_ClassFeatures!$A$2:$A$2033,0),1),"")</f>
        <v>Divine Strike (necrotic)</v>
      </c>
      <c r="C430" s="153">
        <f>IF(B430="",0,IF(IFERROR(MATCH(B430,C_Input!$BC$160:$BC$239,0),0)&gt;0,1,0))</f>
        <v>0</v>
      </c>
    </row>
    <row r="431" spans="1:3" ht="16.5" x14ac:dyDescent="0.3">
      <c r="A431" s="155">
        <f>IFERROR(IF(A430+1&lt;MAX(D041_ClassFeatures!$A$2:$A$2033),A430+1,""),"")</f>
        <v>428</v>
      </c>
      <c r="B431" s="153" t="str">
        <f>IFERROR(INDEX(D041_ClassFeatures!$B$2:$B$2033,MATCH(C_Variables!A431,D041_ClassFeatures!$A$2:$A$2033,0),1),"")</f>
        <v>Improved Reaper</v>
      </c>
      <c r="C431" s="153">
        <f>IF(B431="",0,IF(IFERROR(MATCH(B431,C_Input!$BC$160:$BC$239,0),0)&gt;0,1,0))</f>
        <v>0</v>
      </c>
    </row>
    <row r="432" spans="1:3" ht="16.5" x14ac:dyDescent="0.3">
      <c r="A432" s="155">
        <f>IFERROR(IF(A431+1&lt;MAX(D041_ClassFeatures!$A$2:$A$2033),A431+1,""),"")</f>
        <v>429</v>
      </c>
      <c r="B432" s="153" t="str">
        <f>IFERROR(INDEX(D041_ClassFeatures!$B$2:$B$2033,MATCH(C_Variables!A432,D041_ClassFeatures!$A$2:$A$2033,0),1),"")</f>
        <v>Channel Divinity: Control Undead</v>
      </c>
      <c r="C432" s="153">
        <f>IF(B432="",0,IF(IFERROR(MATCH(B432,C_Input!$BC$160:$BC$239,0),0)&gt;0,1,0))</f>
        <v>0</v>
      </c>
    </row>
    <row r="433" spans="1:3" ht="16.5" x14ac:dyDescent="0.3">
      <c r="A433" s="155">
        <f>IFERROR(IF(A432+1&lt;MAX(D041_ClassFeatures!$A$2:$A$2033),A432+1,""),"")</f>
        <v>430</v>
      </c>
      <c r="B433" s="153" t="str">
        <f>IFERROR(INDEX(D041_ClassFeatures!$B$2:$B$2033,MATCH(C_Variables!A433,D041_ClassFeatures!$A$2:$A$2033,0),1),"")</f>
        <v>Channel Divinity: Dreadful Aspect</v>
      </c>
      <c r="C433" s="153">
        <f>IF(B433="",0,IF(IFERROR(MATCH(B433,C_Input!$BC$160:$BC$239,0),0)&gt;0,1,0))</f>
        <v>0</v>
      </c>
    </row>
    <row r="434" spans="1:3" ht="16.5" x14ac:dyDescent="0.3">
      <c r="A434" s="155">
        <f>IFERROR(IF(A433+1&lt;MAX(D041_ClassFeatures!$A$2:$A$2033),A433+1,""),"")</f>
        <v>431</v>
      </c>
      <c r="B434" s="153" t="str">
        <f>IFERROR(INDEX(D041_ClassFeatures!$B$2:$B$2033,MATCH(C_Variables!A434,D041_ClassFeatures!$A$2:$A$2033,0),1),"")</f>
        <v>Aura of Hate</v>
      </c>
      <c r="C434" s="153">
        <f>IF(B434="",0,IF(IFERROR(MATCH(B434,C_Input!$BC$160:$BC$239,0),0)&gt;0,1,0))</f>
        <v>0</v>
      </c>
    </row>
    <row r="435" spans="1:3" ht="16.5" x14ac:dyDescent="0.3">
      <c r="A435" s="155">
        <f>IFERROR(IF(A434+1&lt;MAX(D041_ClassFeatures!$A$2:$A$2033),A434+1,""),"")</f>
        <v>432</v>
      </c>
      <c r="B435" s="153" t="str">
        <f>IFERROR(INDEX(D041_ClassFeatures!$B$2:$B$2033,MATCH(C_Variables!A435,D041_ClassFeatures!$A$2:$A$2033,0),1),"")</f>
        <v>Supernatural Resistance</v>
      </c>
      <c r="C435" s="153">
        <f>IF(B435="",0,IF(IFERROR(MATCH(B435,C_Input!$BC$160:$BC$239,0),0)&gt;0,1,0))</f>
        <v>0</v>
      </c>
    </row>
    <row r="436" spans="1:3" ht="16.5" x14ac:dyDescent="0.3">
      <c r="A436" s="155">
        <f>IFERROR(IF(A435+1&lt;MAX(D041_ClassFeatures!$A$2:$A$2033),A435+1,""),"")</f>
        <v>433</v>
      </c>
      <c r="B436" s="153" t="str">
        <f>IFERROR(INDEX(D041_ClassFeatures!$B$2:$B$2033,MATCH(C_Variables!A436,D041_ClassFeatures!$A$2:$A$2033,0),1),"")</f>
        <v>Dread Lord</v>
      </c>
      <c r="C436" s="153">
        <f>IF(B436="",0,IF(IFERROR(MATCH(B436,C_Input!$BC$160:$BC$239,0),0)&gt;0,1,0))</f>
        <v>0</v>
      </c>
    </row>
    <row r="437" spans="1:3" ht="16.5" x14ac:dyDescent="0.3">
      <c r="A437" s="155">
        <f>IFERROR(IF(A436+1&lt;MAX(D041_ClassFeatures!$A$2:$A$2033),A436+1,""),"")</f>
        <v>434</v>
      </c>
      <c r="B437" s="153" t="str">
        <f>IFERROR(INDEX(D041_ClassFeatures!$B$2:$B$2033,MATCH(C_Variables!A437,D041_ClassFeatures!$A$2:$A$2033,0),1),"")</f>
        <v>Channel Divinity: Turn Undead</v>
      </c>
      <c r="C437" s="153">
        <f>IF(B437="",0,IF(IFERROR(MATCH(B437,C_Input!$BC$160:$BC$239,0),0)&gt;0,1,0))</f>
        <v>0</v>
      </c>
    </row>
    <row r="438" spans="1:3" ht="16.5" x14ac:dyDescent="0.3">
      <c r="A438" s="155">
        <f>IFERROR(IF(A437+1&lt;MAX(D041_ClassFeatures!$A$2:$A$2033),A437+1,""),"")</f>
        <v>435</v>
      </c>
      <c r="B438" s="153" t="str">
        <f>IFERROR(INDEX(D041_ClassFeatures!$B$2:$B$2033,MATCH(C_Variables!A438,D041_ClassFeatures!$A$2:$A$2033,0),1),"")</f>
        <v>Flurry of Blows</v>
      </c>
      <c r="C438" s="153">
        <f>IF(B438="",0,IF(IFERROR(MATCH(B438,C_Input!$BC$160:$BC$239,0),0)&gt;0,1,0))</f>
        <v>0</v>
      </c>
    </row>
    <row r="439" spans="1:3" ht="16.5" x14ac:dyDescent="0.3">
      <c r="A439" s="155">
        <f>IFERROR(IF(A438+1&lt;MAX(D041_ClassFeatures!$A$2:$A$2033),A438+1,""),"")</f>
        <v>436</v>
      </c>
      <c r="B439" s="153" t="str">
        <f>IFERROR(INDEX(D041_ClassFeatures!$B$2:$B$2033,MATCH(C_Variables!A439,D041_ClassFeatures!$A$2:$A$2033,0),1),"")</f>
        <v>Patient Defense</v>
      </c>
      <c r="C439" s="153">
        <f>IF(B439="",0,IF(IFERROR(MATCH(B439,C_Input!$BC$160:$BC$239,0),0)&gt;0,1,0))</f>
        <v>0</v>
      </c>
    </row>
    <row r="440" spans="1:3" ht="16.5" x14ac:dyDescent="0.3">
      <c r="A440" s="155">
        <f>IFERROR(IF(A439+1&lt;MAX(D041_ClassFeatures!$A$2:$A$2033),A439+1,""),"")</f>
        <v>437</v>
      </c>
      <c r="B440" s="153" t="str">
        <f>IFERROR(INDEX(D041_ClassFeatures!$B$2:$B$2033,MATCH(C_Variables!A440,D041_ClassFeatures!$A$2:$A$2033,0),1),"")</f>
        <v>Slow Fall</v>
      </c>
      <c r="C440" s="153">
        <f>IF(B440="",0,IF(IFERROR(MATCH(B440,C_Input!$BC$160:$BC$239,0),0)&gt;0,1,0))</f>
        <v>0</v>
      </c>
    </row>
    <row r="441" spans="1:3" ht="16.5" x14ac:dyDescent="0.3">
      <c r="A441" s="155">
        <f>IFERROR(IF(A440+1&lt;MAX(D041_ClassFeatures!$A$2:$A$2033),A440+1,""),"")</f>
        <v>438</v>
      </c>
      <c r="B441" s="153" t="str">
        <f>IFERROR(INDEX(D041_ClassFeatures!$B$2:$B$2033,MATCH(C_Variables!A441,D041_ClassFeatures!$A$2:$A$2033,0),1),"")</f>
        <v>Divine Health</v>
      </c>
      <c r="C441" s="153">
        <f>IF(B441="",0,IF(IFERROR(MATCH(B441,C_Input!$BC$160:$BC$239,0),0)&gt;0,1,0))</f>
        <v>0</v>
      </c>
    </row>
    <row r="442" spans="1:3" ht="16.5" x14ac:dyDescent="0.3">
      <c r="A442" s="155">
        <f>IFERROR(IF(A441+1&lt;MAX(D041_ClassFeatures!$A$2:$A$2033),A441+1,""),"")</f>
        <v>439</v>
      </c>
      <c r="B442" s="153" t="str">
        <f>IFERROR(INDEX(D041_ClassFeatures!$B$2:$B$2033,MATCH(C_Variables!A442,D041_ClassFeatures!$A$2:$A$2033,0),1),"")</f>
        <v>Colossus Slayer</v>
      </c>
      <c r="C442" s="153">
        <f>IF(B442="",0,IF(IFERROR(MATCH(B442,C_Input!$BC$160:$BC$239,0),0)&gt;0,1,0))</f>
        <v>0</v>
      </c>
    </row>
    <row r="443" spans="1:3" ht="16.5" x14ac:dyDescent="0.3">
      <c r="A443" s="155">
        <f>IFERROR(IF(A442+1&lt;MAX(D041_ClassFeatures!$A$2:$A$2033),A442+1,""),"")</f>
        <v>440</v>
      </c>
      <c r="B443" s="153" t="str">
        <f>IFERROR(INDEX(D041_ClassFeatures!$B$2:$B$2033,MATCH(C_Variables!A443,D041_ClassFeatures!$A$2:$A$2033,0),1),"")</f>
        <v>Giant Killer</v>
      </c>
      <c r="C443" s="153">
        <f>IF(B443="",0,IF(IFERROR(MATCH(B443,C_Input!$BC$160:$BC$239,0),0)&gt;0,1,0))</f>
        <v>0</v>
      </c>
    </row>
    <row r="444" spans="1:3" ht="16.5" x14ac:dyDescent="0.3">
      <c r="A444" s="155">
        <f>IFERROR(IF(A443+1&lt;MAX(D041_ClassFeatures!$A$2:$A$2033),A443+1,""),"")</f>
        <v>441</v>
      </c>
      <c r="B444" s="153" t="str">
        <f>IFERROR(INDEX(D041_ClassFeatures!$B$2:$B$2033,MATCH(C_Variables!A444,D041_ClassFeatures!$A$2:$A$2033,0),1),"")</f>
        <v>Horde Breaker</v>
      </c>
      <c r="C444" s="153">
        <f>IF(B444="",0,IF(IFERROR(MATCH(B444,C_Input!$BC$160:$BC$239,0),0)&gt;0,1,0))</f>
        <v>0</v>
      </c>
    </row>
    <row r="445" spans="1:3" ht="16.5" x14ac:dyDescent="0.3">
      <c r="A445" s="155">
        <f>IFERROR(IF(A444+1&lt;MAX(D041_ClassFeatures!$A$2:$A$2033),A444+1,""),"")</f>
        <v>442</v>
      </c>
      <c r="B445" s="153" t="str">
        <f>IFERROR(INDEX(D041_ClassFeatures!$B$2:$B$2033,MATCH(C_Variables!A445,D041_ClassFeatures!$A$2:$A$2033,0),1),"")</f>
        <v>Escape the Horde</v>
      </c>
      <c r="C445" s="153">
        <f>IF(B445="",0,IF(IFERROR(MATCH(B445,C_Input!$BC$160:$BC$239,0),0)&gt;0,1,0))</f>
        <v>0</v>
      </c>
    </row>
    <row r="446" spans="1:3" ht="16.5" x14ac:dyDescent="0.3">
      <c r="A446" s="155">
        <f>IFERROR(IF(A445+1&lt;MAX(D041_ClassFeatures!$A$2:$A$2033),A445+1,""),"")</f>
        <v>443</v>
      </c>
      <c r="B446" s="153" t="str">
        <f>IFERROR(INDEX(D041_ClassFeatures!$B$2:$B$2033,MATCH(C_Variables!A446,D041_ClassFeatures!$A$2:$A$2033,0),1),"")</f>
        <v>Multiattack Defense</v>
      </c>
      <c r="C446" s="153">
        <f>IF(B446="",0,IF(IFERROR(MATCH(B446,C_Input!$BC$160:$BC$239,0),0)&gt;0,1,0))</f>
        <v>0</v>
      </c>
    </row>
    <row r="447" spans="1:3" ht="16.5" x14ac:dyDescent="0.3">
      <c r="A447" s="155">
        <f>IFERROR(IF(A446+1&lt;MAX(D041_ClassFeatures!$A$2:$A$2033),A446+1,""),"")</f>
        <v>444</v>
      </c>
      <c r="B447" s="153" t="str">
        <f>IFERROR(INDEX(D041_ClassFeatures!$B$2:$B$2033,MATCH(C_Variables!A447,D041_ClassFeatures!$A$2:$A$2033,0),1),"")</f>
        <v>Steel Will</v>
      </c>
      <c r="C447" s="153">
        <f>IF(B447="",0,IF(IFERROR(MATCH(B447,C_Input!$BC$160:$BC$239,0),0)&gt;0,1,0))</f>
        <v>0</v>
      </c>
    </row>
    <row r="448" spans="1:3" ht="16.5" x14ac:dyDescent="0.3">
      <c r="A448" s="155">
        <f>IFERROR(IF(A447+1&lt;MAX(D041_ClassFeatures!$A$2:$A$2033),A447+1,""),"")</f>
        <v>445</v>
      </c>
      <c r="B448" s="153" t="str">
        <f>IFERROR(INDEX(D041_ClassFeatures!$B$2:$B$2033,MATCH(C_Variables!A448,D041_ClassFeatures!$A$2:$A$2033,0),1),"")</f>
        <v>Volley</v>
      </c>
      <c r="C448" s="153">
        <f>IF(B448="",0,IF(IFERROR(MATCH(B448,C_Input!$BC$160:$BC$239,0),0)&gt;0,1,0))</f>
        <v>0</v>
      </c>
    </row>
    <row r="449" spans="1:3" ht="16.5" x14ac:dyDescent="0.3">
      <c r="A449" s="155">
        <f>IFERROR(IF(A448+1&lt;MAX(D041_ClassFeatures!$A$2:$A$2033),A448+1,""),"")</f>
        <v>446</v>
      </c>
      <c r="B449" s="153" t="str">
        <f>IFERROR(INDEX(D041_ClassFeatures!$B$2:$B$2033,MATCH(C_Variables!A449,D041_ClassFeatures!$A$2:$A$2033,0),1),"")</f>
        <v>Whirlwind Attack</v>
      </c>
      <c r="C449" s="153">
        <f>IF(B449="",0,IF(IFERROR(MATCH(B449,C_Input!$BC$160:$BC$239,0),0)&gt;0,1,0))</f>
        <v>0</v>
      </c>
    </row>
    <row r="450" spans="1:3" ht="16.5" x14ac:dyDescent="0.3">
      <c r="A450" s="155">
        <f>IFERROR(IF(A449+1&lt;MAX(D041_ClassFeatures!$A$2:$A$2033),A449+1,""),"")</f>
        <v>447</v>
      </c>
      <c r="B450" s="153" t="str">
        <f>IFERROR(INDEX(D041_ClassFeatures!$B$2:$B$2033,MATCH(C_Variables!A450,D041_ClassFeatures!$A$2:$A$2033,0),1),"")</f>
        <v>Evasion</v>
      </c>
      <c r="C450" s="153">
        <f>IF(B450="",0,IF(IFERROR(MATCH(B450,C_Input!$BC$160:$BC$239,0),0)&gt;0,1,0))</f>
        <v>0</v>
      </c>
    </row>
    <row r="451" spans="1:3" ht="16.5" x14ac:dyDescent="0.3">
      <c r="A451" s="155">
        <f>IFERROR(IF(A450+1&lt;MAX(D041_ClassFeatures!$A$2:$A$2033),A450+1,""),"")</f>
        <v>448</v>
      </c>
      <c r="B451" s="153" t="str">
        <f>IFERROR(INDEX(D041_ClassFeatures!$B$2:$B$2033,MATCH(C_Variables!A451,D041_ClassFeatures!$A$2:$A$2033,0),1),"")</f>
        <v>Stand Against the Tide</v>
      </c>
      <c r="C451" s="153">
        <f>IF(B451="",0,IF(IFERROR(MATCH(B451,C_Input!$BC$160:$BC$239,0),0)&gt;0,1,0))</f>
        <v>0</v>
      </c>
    </row>
    <row r="452" spans="1:3" ht="16.5" x14ac:dyDescent="0.3">
      <c r="A452" s="155">
        <f>IFERROR(IF(A451+1&lt;MAX(D041_ClassFeatures!$A$2:$A$2033),A451+1,""),"")</f>
        <v>449</v>
      </c>
      <c r="B452" s="153" t="str">
        <f>IFERROR(INDEX(D041_ClassFeatures!$B$2:$B$2033,MATCH(C_Variables!A452,D041_ClassFeatures!$A$2:$A$2033,0),1),"")</f>
        <v>Uncanny Dodge</v>
      </c>
      <c r="C452" s="153">
        <f>IF(B452="",0,IF(IFERROR(MATCH(B452,C_Input!$BC$160:$BC$239,0),0)&gt;0,1,0))</f>
        <v>0</v>
      </c>
    </row>
    <row r="453" spans="1:3" ht="16.5" x14ac:dyDescent="0.3">
      <c r="A453" s="155">
        <f>IFERROR(IF(A452+1&lt;MAX(D041_ClassFeatures!$A$2:$A$2033),A452+1,""),"")</f>
        <v>450</v>
      </c>
      <c r="B453" s="153" t="str">
        <f>IFERROR(INDEX(D041_ClassFeatures!$B$2:$B$2033,MATCH(C_Variables!A453,D041_ClassFeatures!$A$2:$A$2033,0),1),"")</f>
        <v>Pact of the Chain</v>
      </c>
      <c r="C453" s="153">
        <f>IF(B453="",0,IF(IFERROR(MATCH(B453,C_Input!$BC$160:$BC$239,0),0)&gt;0,1,0))</f>
        <v>0</v>
      </c>
    </row>
    <row r="454" spans="1:3" ht="16.5" x14ac:dyDescent="0.3">
      <c r="A454" s="155">
        <f>IFERROR(IF(A453+1&lt;MAX(D041_ClassFeatures!$A$2:$A$2033),A453+1,""),"")</f>
        <v>451</v>
      </c>
      <c r="B454" s="153" t="str">
        <f>IFERROR(INDEX(D041_ClassFeatures!$B$2:$B$2033,MATCH(C_Variables!A454,D041_ClassFeatures!$A$2:$A$2033,0),1),"")</f>
        <v>Pact of the Blade</v>
      </c>
      <c r="C454" s="153">
        <f>IF(B454="",0,IF(IFERROR(MATCH(B454,C_Input!$BC$160:$BC$239,0),0)&gt;0,1,0))</f>
        <v>0</v>
      </c>
    </row>
    <row r="455" spans="1:3" ht="16.5" x14ac:dyDescent="0.3">
      <c r="A455" s="155">
        <f>IFERROR(IF(A454+1&lt;MAX(D041_ClassFeatures!$A$2:$A$2033),A454+1,""),"")</f>
        <v>452</v>
      </c>
      <c r="B455" s="153" t="str">
        <f>IFERROR(INDEX(D041_ClassFeatures!$B$2:$B$2033,MATCH(C_Variables!A455,D041_ClassFeatures!$A$2:$A$2033,0),1),"")</f>
        <v>Pact of the Tome</v>
      </c>
      <c r="C455" s="153">
        <f>IF(B455="",0,IF(IFERROR(MATCH(B455,C_Input!$BC$160:$BC$239,0),0)&gt;0,1,0))</f>
        <v>0</v>
      </c>
    </row>
    <row r="456" spans="1:3" ht="16.5" x14ac:dyDescent="0.3">
      <c r="A456" s="155">
        <f>IFERROR(IF(A455+1&lt;MAX(D041_ClassFeatures!$A$2:$A$2033),A455+1,""),"")</f>
        <v>453</v>
      </c>
      <c r="B456" s="153" t="str">
        <f>IFERROR(INDEX(D041_ClassFeatures!$B$2:$B$2033,MATCH(C_Variables!A456,D041_ClassFeatures!$A$2:$A$2033,0),1),"")</f>
        <v>Expanded Spell List - the Archfey</v>
      </c>
      <c r="C456" s="153">
        <f>IF(B456="",0,IF(IFERROR(MATCH(B456,C_Input!$BC$160:$BC$239,0),0)&gt;0,1,0))</f>
        <v>0</v>
      </c>
    </row>
    <row r="457" spans="1:3" ht="16.5" x14ac:dyDescent="0.3">
      <c r="A457" s="155">
        <f>IFERROR(IF(A456+1&lt;MAX(D041_ClassFeatures!$A$2:$A$2033),A456+1,""),"")</f>
        <v>454</v>
      </c>
      <c r="B457" s="153" t="str">
        <f>IFERROR(INDEX(D041_ClassFeatures!$B$2:$B$2033,MATCH(C_Variables!A457,D041_ClassFeatures!$A$2:$A$2033,0),1),"")</f>
        <v>Fey Presence</v>
      </c>
      <c r="C457" s="153">
        <f>IF(B457="",0,IF(IFERROR(MATCH(B457,C_Input!$BC$160:$BC$239,0),0)&gt;0,1,0))</f>
        <v>0</v>
      </c>
    </row>
    <row r="458" spans="1:3" ht="16.5" x14ac:dyDescent="0.3">
      <c r="A458" s="155">
        <f>IFERROR(IF(A457+1&lt;MAX(D041_ClassFeatures!$A$2:$A$2033),A457+1,""),"")</f>
        <v>455</v>
      </c>
      <c r="B458" s="153" t="str">
        <f>IFERROR(INDEX(D041_ClassFeatures!$B$2:$B$2033,MATCH(C_Variables!A458,D041_ClassFeatures!$A$2:$A$2033,0),1),"")</f>
        <v>Misty Escape</v>
      </c>
      <c r="C458" s="153">
        <f>IF(B458="",0,IF(IFERROR(MATCH(B458,C_Input!$BC$160:$BC$239,0),0)&gt;0,1,0))</f>
        <v>0</v>
      </c>
    </row>
    <row r="459" spans="1:3" ht="16.5" x14ac:dyDescent="0.3">
      <c r="A459" s="155">
        <f>IFERROR(IF(A458+1&lt;MAX(D041_ClassFeatures!$A$2:$A$2033),A458+1,""),"")</f>
        <v>456</v>
      </c>
      <c r="B459" s="153" t="str">
        <f>IFERROR(INDEX(D041_ClassFeatures!$B$2:$B$2033,MATCH(C_Variables!A459,D041_ClassFeatures!$A$2:$A$2033,0),1),"")</f>
        <v>Beguiling Defenses</v>
      </c>
      <c r="C459" s="153">
        <f>IF(B459="",0,IF(IFERROR(MATCH(B459,C_Input!$BC$160:$BC$239,0),0)&gt;0,1,0))</f>
        <v>0</v>
      </c>
    </row>
    <row r="460" spans="1:3" ht="16.5" x14ac:dyDescent="0.3">
      <c r="A460" s="155">
        <f>IFERROR(IF(A459+1&lt;MAX(D041_ClassFeatures!$A$2:$A$2033),A459+1,""),"")</f>
        <v>457</v>
      </c>
      <c r="B460" s="153" t="str">
        <f>IFERROR(INDEX(D041_ClassFeatures!$B$2:$B$2033,MATCH(C_Variables!A460,D041_ClassFeatures!$A$2:$A$2033,0),1),"")</f>
        <v>Dark Delirium</v>
      </c>
      <c r="C460" s="153">
        <f>IF(B460="",0,IF(IFERROR(MATCH(B460,C_Input!$BC$160:$BC$239,0),0)&gt;0,1,0))</f>
        <v>0</v>
      </c>
    </row>
    <row r="461" spans="1:3" ht="16.5" x14ac:dyDescent="0.3">
      <c r="A461" s="155">
        <f>IFERROR(IF(A460+1&lt;MAX(D041_ClassFeatures!$A$2:$A$2033),A460+1,""),"")</f>
        <v>458</v>
      </c>
      <c r="B461" s="153" t="str">
        <f>IFERROR(INDEX(D041_ClassFeatures!$B$2:$B$2033,MATCH(C_Variables!A461,D041_ClassFeatures!$A$2:$A$2033,0),1),"")</f>
        <v>Expanded Spell List - the Fiend</v>
      </c>
      <c r="C461" s="153">
        <f>IF(B461="",0,IF(IFERROR(MATCH(B461,C_Input!$BC$160:$BC$239,0),0)&gt;0,1,0))</f>
        <v>0</v>
      </c>
    </row>
    <row r="462" spans="1:3" ht="16.5" x14ac:dyDescent="0.3">
      <c r="A462" s="155">
        <f>IFERROR(IF(A461+1&lt;MAX(D041_ClassFeatures!$A$2:$A$2033),A461+1,""),"")</f>
        <v>459</v>
      </c>
      <c r="B462" s="153" t="str">
        <f>IFERROR(INDEX(D041_ClassFeatures!$B$2:$B$2033,MATCH(C_Variables!A462,D041_ClassFeatures!$A$2:$A$2033,0),1),"")</f>
        <v>Dark One’s Blessing</v>
      </c>
      <c r="C462" s="153">
        <f>IF(B462="",0,IF(IFERROR(MATCH(B462,C_Input!$BC$160:$BC$239,0),0)&gt;0,1,0))</f>
        <v>0</v>
      </c>
    </row>
    <row r="463" spans="1:3" ht="16.5" x14ac:dyDescent="0.3">
      <c r="A463" s="155">
        <f>IFERROR(IF(A462+1&lt;MAX(D041_ClassFeatures!$A$2:$A$2033),A462+1,""),"")</f>
        <v>460</v>
      </c>
      <c r="B463" s="153" t="str">
        <f>IFERROR(INDEX(D041_ClassFeatures!$B$2:$B$2033,MATCH(C_Variables!A463,D041_ClassFeatures!$A$2:$A$2033,0),1),"")</f>
        <v>Dark One’s Own Luck</v>
      </c>
      <c r="C463" s="153">
        <f>IF(B463="",0,IF(IFERROR(MATCH(B463,C_Input!$BC$160:$BC$239,0),0)&gt;0,1,0))</f>
        <v>0</v>
      </c>
    </row>
    <row r="464" spans="1:3" ht="16.5" x14ac:dyDescent="0.3">
      <c r="A464" s="155">
        <f>IFERROR(IF(A463+1&lt;MAX(D041_ClassFeatures!$A$2:$A$2033),A463+1,""),"")</f>
        <v>461</v>
      </c>
      <c r="B464" s="153" t="str">
        <f>IFERROR(INDEX(D041_ClassFeatures!$B$2:$B$2033,MATCH(C_Variables!A464,D041_ClassFeatures!$A$2:$A$2033,0),1),"")</f>
        <v>Fiendish Resilience</v>
      </c>
      <c r="C464" s="153">
        <f>IF(B464="",0,IF(IFERROR(MATCH(B464,C_Input!$BC$160:$BC$239,0),0)&gt;0,1,0))</f>
        <v>0</v>
      </c>
    </row>
    <row r="465" spans="1:3" ht="16.5" x14ac:dyDescent="0.3">
      <c r="A465" s="155">
        <f>IFERROR(IF(A464+1&lt;MAX(D041_ClassFeatures!$A$2:$A$2033),A464+1,""),"")</f>
        <v>462</v>
      </c>
      <c r="B465" s="153" t="str">
        <f>IFERROR(INDEX(D041_ClassFeatures!$B$2:$B$2033,MATCH(C_Variables!A465,D041_ClassFeatures!$A$2:$A$2033,0),1),"")</f>
        <v>Hurl Through Hell</v>
      </c>
      <c r="C465" s="153">
        <f>IF(B465="",0,IF(IFERROR(MATCH(B465,C_Input!$BC$160:$BC$239,0),0)&gt;0,1,0))</f>
        <v>0</v>
      </c>
    </row>
    <row r="466" spans="1:3" ht="16.5" x14ac:dyDescent="0.3">
      <c r="A466" s="155">
        <f>IFERROR(IF(A465+1&lt;MAX(D041_ClassFeatures!$A$2:$A$2033),A465+1,""),"")</f>
        <v>463</v>
      </c>
      <c r="B466" s="153" t="str">
        <f>IFERROR(INDEX(D041_ClassFeatures!$B$2:$B$2033,MATCH(C_Variables!A466,D041_ClassFeatures!$A$2:$A$2033,0),1),"")</f>
        <v>Expanded Spell List - the Old One</v>
      </c>
      <c r="C466" s="153">
        <f>IF(B466="",0,IF(IFERROR(MATCH(B466,C_Input!$BC$160:$BC$239,0),0)&gt;0,1,0))</f>
        <v>0</v>
      </c>
    </row>
    <row r="467" spans="1:3" ht="16.5" x14ac:dyDescent="0.3">
      <c r="A467" s="155">
        <f>IFERROR(IF(A466+1&lt;MAX(D041_ClassFeatures!$A$2:$A$2033),A466+1,""),"")</f>
        <v>464</v>
      </c>
      <c r="B467" s="153" t="str">
        <f>IFERROR(INDEX(D041_ClassFeatures!$B$2:$B$2033,MATCH(C_Variables!A467,D041_ClassFeatures!$A$2:$A$2033,0),1),"")</f>
        <v>Awakened Mind</v>
      </c>
      <c r="C467" s="153">
        <f>IF(B467="",0,IF(IFERROR(MATCH(B467,C_Input!$BC$160:$BC$239,0),0)&gt;0,1,0))</f>
        <v>0</v>
      </c>
    </row>
    <row r="468" spans="1:3" ht="16.5" x14ac:dyDescent="0.3">
      <c r="A468" s="155">
        <f>IFERROR(IF(A467+1&lt;MAX(D041_ClassFeatures!$A$2:$A$2033),A467+1,""),"")</f>
        <v>465</v>
      </c>
      <c r="B468" s="153" t="str">
        <f>IFERROR(INDEX(D041_ClassFeatures!$B$2:$B$2033,MATCH(C_Variables!A468,D041_ClassFeatures!$A$2:$A$2033,0),1),"")</f>
        <v>Entropic Ward</v>
      </c>
      <c r="C468" s="153">
        <f>IF(B468="",0,IF(IFERROR(MATCH(B468,C_Input!$BC$160:$BC$239,0),0)&gt;0,1,0))</f>
        <v>0</v>
      </c>
    </row>
    <row r="469" spans="1:3" ht="16.5" x14ac:dyDescent="0.3">
      <c r="A469" s="155">
        <f>IFERROR(IF(A468+1&lt;MAX(D041_ClassFeatures!$A$2:$A$2033),A468+1,""),"")</f>
        <v>466</v>
      </c>
      <c r="B469" s="153" t="str">
        <f>IFERROR(INDEX(D041_ClassFeatures!$B$2:$B$2033,MATCH(C_Variables!A469,D041_ClassFeatures!$A$2:$A$2033,0),1),"")</f>
        <v>Thought Shield</v>
      </c>
      <c r="C469" s="153">
        <f>IF(B469="",0,IF(IFERROR(MATCH(B469,C_Input!$BC$160:$BC$239,0),0)&gt;0,1,0))</f>
        <v>0</v>
      </c>
    </row>
    <row r="470" spans="1:3" ht="16.5" x14ac:dyDescent="0.3">
      <c r="A470" s="155">
        <f>IFERROR(IF(A469+1&lt;MAX(D041_ClassFeatures!$A$2:$A$2033),A469+1,""),"")</f>
        <v>467</v>
      </c>
      <c r="B470" s="153" t="str">
        <f>IFERROR(INDEX(D041_ClassFeatures!$B$2:$B$2033,MATCH(C_Variables!A470,D041_ClassFeatures!$A$2:$A$2033,0),1),"")</f>
        <v>Create thrall</v>
      </c>
      <c r="C470" s="153">
        <f>IF(B470="",0,IF(IFERROR(MATCH(B470,C_Input!$BC$160:$BC$239,0),0)&gt;0,1,0))</f>
        <v>0</v>
      </c>
    </row>
    <row r="471" spans="1:3" ht="16.5" x14ac:dyDescent="0.3">
      <c r="A471" s="155">
        <f>IFERROR(IF(A470+1&lt;MAX(D041_ClassFeatures!$A$2:$A$2033),A470+1,""),"")</f>
        <v>468</v>
      </c>
      <c r="B471" s="153" t="str">
        <f>IFERROR(INDEX(D041_ClassFeatures!$B$2:$B$2033,MATCH(C_Variables!A471,D041_ClassFeatures!$A$2:$A$2033,0),1),"")</f>
        <v>Infuse Potions</v>
      </c>
      <c r="C471" s="153">
        <f>IF(B471="",0,IF(IFERROR(MATCH(B471,C_Input!$BC$160:$BC$239,0),0)&gt;0,1,0))</f>
        <v>0</v>
      </c>
    </row>
    <row r="472" spans="1:3" ht="16.5" x14ac:dyDescent="0.3">
      <c r="A472" s="155">
        <f>IFERROR(IF(A471+1&lt;MAX(D041_ClassFeatures!$A$2:$A$2033),A471+1,""),"")</f>
        <v>469</v>
      </c>
      <c r="B472" s="153" t="str">
        <f>IFERROR(INDEX(D041_ClassFeatures!$B$2:$B$2033,MATCH(C_Variables!A472,D041_ClassFeatures!$A$2:$A$2033,0),1),"")</f>
        <v>Infuse Scrolls</v>
      </c>
      <c r="C472" s="153">
        <f>IF(B472="",0,IF(IFERROR(MATCH(B472,C_Input!$BC$160:$BC$239,0),0)&gt;0,1,0))</f>
        <v>0</v>
      </c>
    </row>
    <row r="473" spans="1:3" ht="16.5" x14ac:dyDescent="0.3">
      <c r="A473" s="155">
        <f>IFERROR(IF(A472+1&lt;MAX(D041_ClassFeatures!$A$2:$A$2033),A472+1,""),"")</f>
        <v>470</v>
      </c>
      <c r="B473" s="153" t="str">
        <f>IFERROR(INDEX(D041_ClassFeatures!$B$2:$B$2033,MATCH(C_Variables!A473,D041_ClassFeatures!$A$2:$A$2033,0),1),"")</f>
        <v>Infuse Weapons and Armor</v>
      </c>
      <c r="C473" s="153">
        <f>IF(B473="",0,IF(IFERROR(MATCH(B473,C_Input!$BC$160:$BC$239,0),0)&gt;0,1,0))</f>
        <v>0</v>
      </c>
    </row>
    <row r="474" spans="1:3" ht="16.5" x14ac:dyDescent="0.3">
      <c r="A474" s="155">
        <f>IFERROR(IF(A473+1&lt;MAX(D041_ClassFeatures!$A$2:$A$2033),A473+1,""),"")</f>
        <v>471</v>
      </c>
      <c r="B474" s="153" t="str">
        <f>IFERROR(INDEX(D041_ClassFeatures!$B$2:$B$2033,MATCH(C_Variables!A474,D041_ClassFeatures!$A$2:$A$2033,0),1),"")</f>
        <v>Superior Artificer</v>
      </c>
      <c r="C474" s="153">
        <f>IF(B474="",0,IF(IFERROR(MATCH(B474,C_Input!$BC$160:$BC$239,0),0)&gt;0,1,0))</f>
        <v>0</v>
      </c>
    </row>
    <row r="475" spans="1:3" ht="16.5" x14ac:dyDescent="0.3">
      <c r="A475" s="155">
        <f>IFERROR(IF(A474+1&lt;MAX(D041_ClassFeatures!$A$2:$A$2033),A474+1,""),"")</f>
        <v>472</v>
      </c>
      <c r="B475" s="153" t="str">
        <f>IFERROR(INDEX(D041_ClassFeatures!$B$2:$B$2033,MATCH(C_Variables!A475,D041_ClassFeatures!$A$2:$A$2033,0),1),"")</f>
        <v>Master Artificer</v>
      </c>
      <c r="C475" s="153">
        <f>IF(B475="",0,IF(IFERROR(MATCH(B475,C_Input!$BC$160:$BC$239,0),0)&gt;0,1,0))</f>
        <v>0</v>
      </c>
    </row>
    <row r="476" spans="1:3" ht="16.5" x14ac:dyDescent="0.3">
      <c r="A476" s="155">
        <f>IFERROR(IF(A475+1&lt;MAX(D041_ClassFeatures!$A$2:$A$2033),A475+1,""),"")</f>
        <v>473</v>
      </c>
      <c r="B476" s="153" t="str">
        <f>IFERROR(INDEX(D041_ClassFeatures!$B$2:$B$2033,MATCH(C_Variables!A476,D041_ClassFeatures!$A$2:$A$2033,0),1),"")</f>
        <v>Careful Spell</v>
      </c>
      <c r="C476" s="153">
        <f>IF(B476="",0,IF(IFERROR(MATCH(B476,C_Input!$BC$160:$BC$239,0),0)&gt;0,1,0))</f>
        <v>0</v>
      </c>
    </row>
    <row r="477" spans="1:3" ht="16.5" x14ac:dyDescent="0.3">
      <c r="A477" s="155">
        <f>IFERROR(IF(A476+1&lt;MAX(D041_ClassFeatures!$A$2:$A$2033),A476+1,""),"")</f>
        <v>474</v>
      </c>
      <c r="B477" s="153" t="str">
        <f>IFERROR(INDEX(D041_ClassFeatures!$B$2:$B$2033,MATCH(C_Variables!A477,D041_ClassFeatures!$A$2:$A$2033,0),1),"")</f>
        <v>Distant Spell</v>
      </c>
      <c r="C477" s="153">
        <f>IF(B477="",0,IF(IFERROR(MATCH(B477,C_Input!$BC$160:$BC$239,0),0)&gt;0,1,0))</f>
        <v>0</v>
      </c>
    </row>
    <row r="478" spans="1:3" ht="16.5" x14ac:dyDescent="0.3">
      <c r="A478" s="155">
        <f>IFERROR(IF(A477+1&lt;MAX(D041_ClassFeatures!$A$2:$A$2033),A477+1,""),"")</f>
        <v>475</v>
      </c>
      <c r="B478" s="153" t="str">
        <f>IFERROR(INDEX(D041_ClassFeatures!$B$2:$B$2033,MATCH(C_Variables!A478,D041_ClassFeatures!$A$2:$A$2033,0),1),"")</f>
        <v>Empowered Spell</v>
      </c>
      <c r="C478" s="153">
        <f>IF(B478="",0,IF(IFERROR(MATCH(B478,C_Input!$BC$160:$BC$239,0),0)&gt;0,1,0))</f>
        <v>0</v>
      </c>
    </row>
    <row r="479" spans="1:3" ht="16.5" x14ac:dyDescent="0.3">
      <c r="A479" s="155">
        <f>IFERROR(IF(A478+1&lt;MAX(D041_ClassFeatures!$A$2:$A$2033),A478+1,""),"")</f>
        <v>476</v>
      </c>
      <c r="B479" s="153" t="str">
        <f>IFERROR(INDEX(D041_ClassFeatures!$B$2:$B$2033,MATCH(C_Variables!A479,D041_ClassFeatures!$A$2:$A$2033,0),1),"")</f>
        <v>Extended Spell</v>
      </c>
      <c r="C479" s="153">
        <f>IF(B479="",0,IF(IFERROR(MATCH(B479,C_Input!$BC$160:$BC$239,0),0)&gt;0,1,0))</f>
        <v>0</v>
      </c>
    </row>
    <row r="480" spans="1:3" ht="16.5" x14ac:dyDescent="0.3">
      <c r="A480" s="155">
        <f>IFERROR(IF(A479+1&lt;MAX(D041_ClassFeatures!$A$2:$A$2033),A479+1,""),"")</f>
        <v>477</v>
      </c>
      <c r="B480" s="153" t="str">
        <f>IFERROR(INDEX(D041_ClassFeatures!$B$2:$B$2033,MATCH(C_Variables!A480,D041_ClassFeatures!$A$2:$A$2033,0),1),"")</f>
        <v>Heightened Spell</v>
      </c>
      <c r="C480" s="153">
        <f>IF(B480="",0,IF(IFERROR(MATCH(B480,C_Input!$BC$160:$BC$239,0),0)&gt;0,1,0))</f>
        <v>0</v>
      </c>
    </row>
    <row r="481" spans="1:3" ht="16.5" x14ac:dyDescent="0.3">
      <c r="A481" s="155">
        <f>IFERROR(IF(A480+1&lt;MAX(D041_ClassFeatures!$A$2:$A$2033),A480+1,""),"")</f>
        <v>478</v>
      </c>
      <c r="B481" s="153" t="str">
        <f>IFERROR(INDEX(D041_ClassFeatures!$B$2:$B$2033,MATCH(C_Variables!A481,D041_ClassFeatures!$A$2:$A$2033,0),1),"")</f>
        <v>Quickened Spell</v>
      </c>
      <c r="C481" s="153">
        <f>IF(B481="",0,IF(IFERROR(MATCH(B481,C_Input!$BC$160:$BC$239,0),0)&gt;0,1,0))</f>
        <v>0</v>
      </c>
    </row>
    <row r="482" spans="1:3" ht="16.5" x14ac:dyDescent="0.3">
      <c r="A482" s="155">
        <f>IFERROR(IF(A481+1&lt;MAX(D041_ClassFeatures!$A$2:$A$2033),A481+1,""),"")</f>
        <v>479</v>
      </c>
      <c r="B482" s="153" t="str">
        <f>IFERROR(INDEX(D041_ClassFeatures!$B$2:$B$2033,MATCH(C_Variables!A482,D041_ClassFeatures!$A$2:$A$2033,0),1),"")</f>
        <v>Subtle Spell</v>
      </c>
      <c r="C482" s="153">
        <f>IF(B482="",0,IF(IFERROR(MATCH(B482,C_Input!$BC$160:$BC$239,0),0)&gt;0,1,0))</f>
        <v>0</v>
      </c>
    </row>
    <row r="483" spans="1:3" ht="16.5" x14ac:dyDescent="0.3">
      <c r="A483" s="155" t="str">
        <f>IFERROR(IF(A482+1&lt;MAX(D041_ClassFeatures!$A$2:$A$2033),A482+1,""),"")</f>
        <v/>
      </c>
      <c r="B483" s="153" t="str">
        <f>IFERROR(INDEX(D041_ClassFeatures!$B$2:$B$2033,MATCH(C_Variables!A483,D041_ClassFeatures!$A$2:$A$2033,0),1),"")</f>
        <v/>
      </c>
      <c r="C483" s="153">
        <f>IF(B483="",0,IF(IFERROR(MATCH(B483,C_Input!$BC$160:$BC$239,0),0)&gt;0,1,0))</f>
        <v>0</v>
      </c>
    </row>
    <row r="484" spans="1:3" ht="16.5" x14ac:dyDescent="0.3">
      <c r="A484" s="155" t="str">
        <f>IFERROR(IF(A483+1&lt;MAX(D041_ClassFeatures!$A$2:$A$2033),A483+1,""),"")</f>
        <v/>
      </c>
      <c r="B484" s="153" t="str">
        <f>IFERROR(INDEX(D041_ClassFeatures!$B$2:$B$2033,MATCH(C_Variables!A484,D041_ClassFeatures!$A$2:$A$2033,0),1),"")</f>
        <v/>
      </c>
      <c r="C484" s="153">
        <f>IF(B484="",0,IF(IFERROR(MATCH(B484,C_Input!$BC$160:$BC$239,0),0)&gt;0,1,0))</f>
        <v>0</v>
      </c>
    </row>
    <row r="485" spans="1:3" ht="16.5" x14ac:dyDescent="0.3">
      <c r="A485" s="155" t="str">
        <f>IFERROR(IF(A484+1&lt;MAX(D041_ClassFeatures!$A$2:$A$2033),A484+1,""),"")</f>
        <v/>
      </c>
      <c r="B485" s="153" t="str">
        <f>IFERROR(INDEX(D041_ClassFeatures!$B$2:$B$2033,MATCH(C_Variables!A485,D041_ClassFeatures!$A$2:$A$2033,0),1),"")</f>
        <v/>
      </c>
      <c r="C485" s="153">
        <f>IF(B485="",0,IF(IFERROR(MATCH(B485,C_Input!$BC$160:$BC$239,0),0)&gt;0,1,0))</f>
        <v>0</v>
      </c>
    </row>
    <row r="486" spans="1:3" ht="16.5" x14ac:dyDescent="0.3">
      <c r="A486" s="155" t="str">
        <f>IFERROR(IF(A485+1&lt;MAX(D041_ClassFeatures!$A$2:$A$2033),A485+1,""),"")</f>
        <v/>
      </c>
      <c r="B486" s="153" t="str">
        <f>IFERROR(INDEX(D041_ClassFeatures!$B$2:$B$2033,MATCH(C_Variables!A486,D041_ClassFeatures!$A$2:$A$2033,0),1),"")</f>
        <v/>
      </c>
      <c r="C486" s="153">
        <f>IF(B486="",0,IF(IFERROR(MATCH(B486,C_Input!$BC$160:$BC$239,0),0)&gt;0,1,0))</f>
        <v>0</v>
      </c>
    </row>
    <row r="487" spans="1:3" ht="16.5" x14ac:dyDescent="0.3">
      <c r="A487" s="155" t="str">
        <f>IFERROR(IF(A486+1&lt;MAX(D041_ClassFeatures!$A$2:$A$2033),A486+1,""),"")</f>
        <v/>
      </c>
      <c r="B487" s="153" t="str">
        <f>IFERROR(INDEX(D041_ClassFeatures!$B$2:$B$2033,MATCH(C_Variables!A487,D041_ClassFeatures!$A$2:$A$2033,0),1),"")</f>
        <v/>
      </c>
      <c r="C487" s="153">
        <f>IF(B487="",0,IF(IFERROR(MATCH(B487,C_Input!$BC$160:$BC$239,0),0)&gt;0,1,0))</f>
        <v>0</v>
      </c>
    </row>
    <row r="488" spans="1:3" ht="16.5" x14ac:dyDescent="0.3">
      <c r="A488" s="155" t="str">
        <f>IFERROR(IF(A487+1&lt;MAX(D041_ClassFeatures!$A$2:$A$2033),A487+1,""),"")</f>
        <v/>
      </c>
      <c r="B488" s="153" t="str">
        <f>IFERROR(INDEX(D041_ClassFeatures!$B$2:$B$2033,MATCH(C_Variables!A488,D041_ClassFeatures!$A$2:$A$2033,0),1),"")</f>
        <v/>
      </c>
      <c r="C488" s="153">
        <f>IF(B488="",0,IF(IFERROR(MATCH(B488,C_Input!$BC$160:$BC$239,0),0)&gt;0,1,0))</f>
        <v>0</v>
      </c>
    </row>
    <row r="489" spans="1:3" ht="16.5" x14ac:dyDescent="0.3">
      <c r="A489" s="155" t="str">
        <f>IFERROR(IF(A488+1&lt;MAX(D041_ClassFeatures!$A$2:$A$2033),A488+1,""),"")</f>
        <v/>
      </c>
      <c r="B489" s="153" t="str">
        <f>IFERROR(INDEX(D041_ClassFeatures!$B$2:$B$2033,MATCH(C_Variables!A489,D041_ClassFeatures!$A$2:$A$2033,0),1),"")</f>
        <v/>
      </c>
      <c r="C489" s="153">
        <f>IF(B489="",0,IF(IFERROR(MATCH(B489,C_Input!$BC$160:$BC$239,0),0)&gt;0,1,0))</f>
        <v>0</v>
      </c>
    </row>
    <row r="490" spans="1:3" ht="16.5" x14ac:dyDescent="0.3">
      <c r="A490" s="155" t="str">
        <f>IFERROR(IF(A489+1&lt;MAX(D041_ClassFeatures!$A$2:$A$2033),A489+1,""),"")</f>
        <v/>
      </c>
      <c r="B490" s="153" t="str">
        <f>IFERROR(INDEX(D041_ClassFeatures!$B$2:$B$2033,MATCH(C_Variables!A490,D041_ClassFeatures!$A$2:$A$2033,0),1),"")</f>
        <v/>
      </c>
      <c r="C490" s="153">
        <f>IF(B490="",0,IF(IFERROR(MATCH(B490,C_Input!$BC$160:$BC$239,0),0)&gt;0,1,0))</f>
        <v>0</v>
      </c>
    </row>
    <row r="491" spans="1:3" ht="16.5" x14ac:dyDescent="0.3">
      <c r="A491" s="155" t="str">
        <f>IFERROR(IF(A490+1&lt;MAX(D041_ClassFeatures!$A$2:$A$2033),A490+1,""),"")</f>
        <v/>
      </c>
      <c r="B491" s="153" t="str">
        <f>IFERROR(INDEX(D041_ClassFeatures!$B$2:$B$2033,MATCH(C_Variables!A491,D041_ClassFeatures!$A$2:$A$2033,0),1),"")</f>
        <v/>
      </c>
      <c r="C491" s="153">
        <f>IF(B491="",0,IF(IFERROR(MATCH(B491,C_Input!$BC$160:$BC$239,0),0)&gt;0,1,0))</f>
        <v>0</v>
      </c>
    </row>
    <row r="492" spans="1:3" ht="16.5" x14ac:dyDescent="0.3">
      <c r="A492" s="155" t="str">
        <f>IFERROR(IF(A491+1&lt;MAX(D041_ClassFeatures!$A$2:$A$2033),A491+1,""),"")</f>
        <v/>
      </c>
      <c r="B492" s="153" t="str">
        <f>IFERROR(INDEX(D041_ClassFeatures!$B$2:$B$2033,MATCH(C_Variables!A492,D041_ClassFeatures!$A$2:$A$2033,0),1),"")</f>
        <v/>
      </c>
      <c r="C492" s="153">
        <f>IF(B492="",0,IF(IFERROR(MATCH(B492,C_Input!$BC$160:$BC$239,0),0)&gt;0,1,0))</f>
        <v>0</v>
      </c>
    </row>
    <row r="493" spans="1:3" ht="16.5" x14ac:dyDescent="0.3">
      <c r="A493" s="155" t="str">
        <f>IFERROR(IF(A492+1&lt;MAX(D041_ClassFeatures!$A$2:$A$2033),A492+1,""),"")</f>
        <v/>
      </c>
      <c r="B493" s="153" t="str">
        <f>IFERROR(INDEX(D041_ClassFeatures!$B$2:$B$2033,MATCH(C_Variables!A493,D041_ClassFeatures!$A$2:$A$2033,0),1),"")</f>
        <v/>
      </c>
      <c r="C493" s="153">
        <f>IF(B493="",0,IF(IFERROR(MATCH(B493,C_Input!$BC$160:$BC$239,0),0)&gt;0,1,0))</f>
        <v>0</v>
      </c>
    </row>
    <row r="494" spans="1:3" ht="16.5" x14ac:dyDescent="0.3">
      <c r="A494" s="155" t="str">
        <f>IFERROR(IF(A493+1&lt;MAX(D041_ClassFeatures!$A$2:$A$2033),A493+1,""),"")</f>
        <v/>
      </c>
      <c r="B494" s="153" t="str">
        <f>IFERROR(INDEX(D041_ClassFeatures!$B$2:$B$2033,MATCH(C_Variables!A494,D041_ClassFeatures!$A$2:$A$2033,0),1),"")</f>
        <v/>
      </c>
      <c r="C494" s="153">
        <f>IF(B494="",0,IF(IFERROR(MATCH(B494,C_Input!$BC$160:$BC$239,0),0)&gt;0,1,0))</f>
        <v>0</v>
      </c>
    </row>
    <row r="495" spans="1:3" ht="16.5" x14ac:dyDescent="0.3">
      <c r="A495" s="155" t="str">
        <f>IFERROR(IF(A494+1&lt;MAX(D041_ClassFeatures!$A$2:$A$2033),A494+1,""),"")</f>
        <v/>
      </c>
      <c r="B495" s="153" t="str">
        <f>IFERROR(INDEX(D041_ClassFeatures!$B$2:$B$2033,MATCH(C_Variables!A495,D041_ClassFeatures!$A$2:$A$2033,0),1),"")</f>
        <v/>
      </c>
      <c r="C495" s="153">
        <f>IF(B495="",0,IF(IFERROR(MATCH(B495,C_Input!$BC$160:$BC$239,0),0)&gt;0,1,0))</f>
        <v>0</v>
      </c>
    </row>
    <row r="496" spans="1:3" ht="16.5" x14ac:dyDescent="0.3">
      <c r="A496" s="155" t="str">
        <f>IFERROR(IF(A495+1&lt;MAX(D041_ClassFeatures!$A$2:$A$2033),A495+1,""),"")</f>
        <v/>
      </c>
      <c r="B496" s="153" t="str">
        <f>IFERROR(INDEX(D041_ClassFeatures!$B$2:$B$2033,MATCH(C_Variables!A496,D041_ClassFeatures!$A$2:$A$2033,0),1),"")</f>
        <v/>
      </c>
      <c r="C496" s="153">
        <f>IF(B496="",0,IF(IFERROR(MATCH(B496,C_Input!$BC$160:$BC$239,0),0)&gt;0,1,0))</f>
        <v>0</v>
      </c>
    </row>
    <row r="497" spans="1:3" ht="16.5" x14ac:dyDescent="0.3">
      <c r="A497" s="155" t="str">
        <f>IFERROR(IF(A496+1&lt;MAX(D041_ClassFeatures!$A$2:$A$2033),A496+1,""),"")</f>
        <v/>
      </c>
      <c r="B497" s="153" t="str">
        <f>IFERROR(INDEX(D041_ClassFeatures!$B$2:$B$2033,MATCH(C_Variables!A497,D041_ClassFeatures!$A$2:$A$2033,0),1),"")</f>
        <v/>
      </c>
      <c r="C497" s="153">
        <f>IF(B497="",0,IF(IFERROR(MATCH(B497,C_Input!$BC$160:$BC$239,0),0)&gt;0,1,0))</f>
        <v>0</v>
      </c>
    </row>
    <row r="498" spans="1:3" ht="16.5" x14ac:dyDescent="0.3">
      <c r="A498" s="155" t="str">
        <f>IFERROR(IF(A497+1&lt;MAX(D041_ClassFeatures!$A$2:$A$2033),A497+1,""),"")</f>
        <v/>
      </c>
      <c r="B498" s="153" t="str">
        <f>IFERROR(INDEX(D041_ClassFeatures!$B$2:$B$2033,MATCH(C_Variables!A498,D041_ClassFeatures!$A$2:$A$2033,0),1),"")</f>
        <v/>
      </c>
      <c r="C498" s="153">
        <f>IF(B498="",0,IF(IFERROR(MATCH(B498,C_Input!$BC$160:$BC$239,0),0)&gt;0,1,0))</f>
        <v>0</v>
      </c>
    </row>
    <row r="499" spans="1:3" ht="16.5" x14ac:dyDescent="0.3">
      <c r="A499" s="155" t="str">
        <f>IFERROR(IF(A498+1&lt;MAX(D041_ClassFeatures!$A$2:$A$2033),A498+1,""),"")</f>
        <v/>
      </c>
      <c r="B499" s="153" t="str">
        <f>IFERROR(INDEX(D041_ClassFeatures!$B$2:$B$2033,MATCH(C_Variables!A499,D041_ClassFeatures!$A$2:$A$2033,0),1),"")</f>
        <v/>
      </c>
      <c r="C499" s="153">
        <f>IF(B499="",0,IF(IFERROR(MATCH(B499,C_Input!$BC$160:$BC$239,0),0)&gt;0,1,0))</f>
        <v>0</v>
      </c>
    </row>
    <row r="500" spans="1:3" ht="16.5" x14ac:dyDescent="0.3">
      <c r="A500" s="155" t="str">
        <f>IFERROR(IF(A499+1&lt;MAX(D041_ClassFeatures!$A$2:$A$2033),A499+1,""),"")</f>
        <v/>
      </c>
      <c r="B500" s="153" t="str">
        <f>IFERROR(INDEX(D041_ClassFeatures!$B$2:$B$2033,MATCH(C_Variables!A500,D041_ClassFeatures!$A$2:$A$2033,0),1),"")</f>
        <v/>
      </c>
      <c r="C500" s="153">
        <f>IF(B500="",0,IF(IFERROR(MATCH(B500,C_Input!$BC$160:$BC$239,0),0)&gt;0,1,0))</f>
        <v>0</v>
      </c>
    </row>
    <row r="501" spans="1:3" ht="16.5" x14ac:dyDescent="0.3">
      <c r="A501" s="155" t="str">
        <f>IFERROR(IF(A500+1&lt;MAX(D041_ClassFeatures!$A$2:$A$2033),A500+1,""),"")</f>
        <v/>
      </c>
      <c r="B501" s="153" t="str">
        <f>IFERROR(INDEX(D041_ClassFeatures!$B$2:$B$2033,MATCH(C_Variables!A501,D041_ClassFeatures!$A$2:$A$2033,0),1),"")</f>
        <v/>
      </c>
      <c r="C501" s="153">
        <f>IF(B501="",0,IF(IFERROR(MATCH(B501,C_Input!$BC$160:$BC$239,0),0)&gt;0,1,0))</f>
        <v>0</v>
      </c>
    </row>
    <row r="502" spans="1:3" ht="16.5" x14ac:dyDescent="0.3">
      <c r="A502" s="155" t="str">
        <f>IFERROR(IF(A501+1&lt;MAX(D041_ClassFeatures!$A$2:$A$2033),A501+1,""),"")</f>
        <v/>
      </c>
      <c r="B502" s="153" t="str">
        <f>IFERROR(INDEX(D041_ClassFeatures!$B$2:$B$2033,MATCH(C_Variables!A502,D041_ClassFeatures!$A$2:$A$2033,0),1),"")</f>
        <v/>
      </c>
      <c r="C502" s="153">
        <f>IF(B502="",0,IF(IFERROR(MATCH(B502,C_Input!$BC$160:$BC$239,0),0)&gt;0,1,0))</f>
        <v>0</v>
      </c>
    </row>
    <row r="503" spans="1:3" ht="16.5" x14ac:dyDescent="0.3">
      <c r="A503" s="155" t="str">
        <f>IFERROR(IF(A502+1&lt;MAX(D041_ClassFeatures!$A$2:$A$2033),A502+1,""),"")</f>
        <v/>
      </c>
      <c r="B503" s="153" t="str">
        <f>IFERROR(INDEX(D041_ClassFeatures!$B$2:$B$2033,MATCH(C_Variables!A503,D041_ClassFeatures!$A$2:$A$2033,0),1),"")</f>
        <v/>
      </c>
      <c r="C503" s="153">
        <f>IF(B503="",0,IF(IFERROR(MATCH(B503,C_Input!$BC$160:$BC$239,0),0)&gt;0,1,0))</f>
        <v>0</v>
      </c>
    </row>
    <row r="504" spans="1:3" ht="16.5" x14ac:dyDescent="0.3">
      <c r="A504" s="155" t="str">
        <f>IFERROR(IF(A503+1&lt;MAX(D041_ClassFeatures!$A$2:$A$2033),A503+1,""),"")</f>
        <v/>
      </c>
      <c r="B504" s="153" t="str">
        <f>IFERROR(INDEX(D041_ClassFeatures!$B$2:$B$2033,MATCH(C_Variables!A504,D041_ClassFeatures!$A$2:$A$2033,0),1),"")</f>
        <v/>
      </c>
      <c r="C504" s="153">
        <f>IF(B504="",0,IF(IFERROR(MATCH(B504,C_Input!$BC$160:$BC$239,0),0)&gt;0,1,0))</f>
        <v>0</v>
      </c>
    </row>
    <row r="505" spans="1:3" ht="16.5" x14ac:dyDescent="0.3">
      <c r="A505" s="155" t="str">
        <f>IFERROR(IF(A504+1&lt;MAX(D041_ClassFeatures!$A$2:$A$2033),A504+1,""),"")</f>
        <v/>
      </c>
      <c r="B505" s="153" t="str">
        <f>IFERROR(INDEX(D041_ClassFeatures!$B$2:$B$2033,MATCH(C_Variables!A505,D041_ClassFeatures!$A$2:$A$2033,0),1),"")</f>
        <v/>
      </c>
      <c r="C505" s="153">
        <f>IF(B505="",0,IF(IFERROR(MATCH(B505,C_Input!$BC$160:$BC$239,0),0)&gt;0,1,0))</f>
        <v>0</v>
      </c>
    </row>
    <row r="506" spans="1:3" ht="16.5" x14ac:dyDescent="0.3">
      <c r="A506" s="155" t="str">
        <f>IFERROR(IF(A505+1&lt;MAX(D041_ClassFeatures!$A$2:$A$2033),A505+1,""),"")</f>
        <v/>
      </c>
      <c r="B506" s="153" t="str">
        <f>IFERROR(INDEX(D041_ClassFeatures!$B$2:$B$2033,MATCH(C_Variables!A506,D041_ClassFeatures!$A$2:$A$2033,0),1),"")</f>
        <v/>
      </c>
      <c r="C506" s="153">
        <f>IF(B506="",0,IF(IFERROR(MATCH(B506,C_Input!$BC$160:$BC$239,0),0)&gt;0,1,0))</f>
        <v>0</v>
      </c>
    </row>
    <row r="507" spans="1:3" ht="16.5" x14ac:dyDescent="0.3">
      <c r="A507" s="155" t="str">
        <f>IFERROR(IF(A506+1&lt;MAX(D041_ClassFeatures!$A$2:$A$2033),A506+1,""),"")</f>
        <v/>
      </c>
      <c r="B507" s="153" t="str">
        <f>IFERROR(INDEX(D041_ClassFeatures!$B$2:$B$2033,MATCH(C_Variables!A507,D041_ClassFeatures!$A$2:$A$2033,0),1),"")</f>
        <v/>
      </c>
      <c r="C507" s="153">
        <f>IF(B507="",0,IF(IFERROR(MATCH(B507,C_Input!$BC$160:$BC$239,0),0)&gt;0,1,0))</f>
        <v>0</v>
      </c>
    </row>
    <row r="508" spans="1:3" ht="16.5" x14ac:dyDescent="0.3">
      <c r="A508" s="155" t="str">
        <f>IFERROR(IF(A507+1&lt;MAX(D041_ClassFeatures!$A$2:$A$2033),A507+1,""),"")</f>
        <v/>
      </c>
      <c r="B508" s="153" t="str">
        <f>IFERROR(INDEX(D041_ClassFeatures!$B$2:$B$2033,MATCH(C_Variables!A508,D041_ClassFeatures!$A$2:$A$2033,0),1),"")</f>
        <v/>
      </c>
      <c r="C508" s="153">
        <f>IF(B508="",0,IF(IFERROR(MATCH(B508,C_Input!$BC$160:$BC$239,0),0)&gt;0,1,0))</f>
        <v>0</v>
      </c>
    </row>
    <row r="509" spans="1:3" ht="16.5" x14ac:dyDescent="0.3">
      <c r="A509" s="155" t="str">
        <f>IFERROR(IF(A508+1&lt;MAX(D041_ClassFeatures!$A$2:$A$2033),A508+1,""),"")</f>
        <v/>
      </c>
      <c r="B509" s="153" t="str">
        <f>IFERROR(INDEX(D041_ClassFeatures!$B$2:$B$2033,MATCH(C_Variables!A509,D041_ClassFeatures!$A$2:$A$2033,0),1),"")</f>
        <v/>
      </c>
      <c r="C509" s="153">
        <f>IF(B509="",0,IF(IFERROR(MATCH(B509,C_Input!$BC$160:$BC$239,0),0)&gt;0,1,0))</f>
        <v>0</v>
      </c>
    </row>
  </sheetData>
  <sortState ref="J49:J54">
    <sortCondition ref="J49"/>
  </sortState>
  <mergeCells count="108">
    <mergeCell ref="K242:M242"/>
    <mergeCell ref="N242:P242"/>
    <mergeCell ref="Q242:S242"/>
    <mergeCell ref="T242:V242"/>
    <mergeCell ref="W242:Y242"/>
    <mergeCell ref="CM192:CR192"/>
    <mergeCell ref="CS192:CX192"/>
    <mergeCell ref="CY192:DD192"/>
    <mergeCell ref="DE192:DJ192"/>
    <mergeCell ref="BO192:BT192"/>
    <mergeCell ref="BU192:BZ192"/>
    <mergeCell ref="CA192:CF192"/>
    <mergeCell ref="CG192:CL192"/>
    <mergeCell ref="Z242:AB242"/>
    <mergeCell ref="AC242:AE242"/>
    <mergeCell ref="AF242:AH242"/>
    <mergeCell ref="I192:J192"/>
    <mergeCell ref="AL192:AP192"/>
    <mergeCell ref="AQ192:AV192"/>
    <mergeCell ref="AW192:BB192"/>
    <mergeCell ref="H212:U213"/>
    <mergeCell ref="M192:Q192"/>
    <mergeCell ref="R192:V192"/>
    <mergeCell ref="W192:AA192"/>
    <mergeCell ref="AB192:AF192"/>
    <mergeCell ref="I171:J171"/>
    <mergeCell ref="K171:O171"/>
    <mergeCell ref="K122:O122"/>
    <mergeCell ref="I122:J122"/>
    <mergeCell ref="P171:T171"/>
    <mergeCell ref="U171:Y171"/>
    <mergeCell ref="I143:J143"/>
    <mergeCell ref="K143:O143"/>
    <mergeCell ref="P143:T143"/>
    <mergeCell ref="AN85:AR85"/>
    <mergeCell ref="AS85:AW85"/>
    <mergeCell ref="AX85:BB85"/>
    <mergeCell ref="O85:S85"/>
    <mergeCell ref="T85:X85"/>
    <mergeCell ref="Y85:AC85"/>
    <mergeCell ref="AD85:AH85"/>
    <mergeCell ref="AI85:AM85"/>
    <mergeCell ref="L48:O48"/>
    <mergeCell ref="L59:O59"/>
    <mergeCell ref="AM313:AN313"/>
    <mergeCell ref="AO313:AQ313"/>
    <mergeCell ref="AS313:AT313"/>
    <mergeCell ref="AU313:AW313"/>
    <mergeCell ref="AY313:AZ313"/>
    <mergeCell ref="BA313:BC313"/>
    <mergeCell ref="BE313:BF313"/>
    <mergeCell ref="BI122:BM122"/>
    <mergeCell ref="P122:T122"/>
    <mergeCell ref="U122:Y122"/>
    <mergeCell ref="Z122:AD122"/>
    <mergeCell ref="AE122:AI122"/>
    <mergeCell ref="AJ122:AN122"/>
    <mergeCell ref="BC192:BH192"/>
    <mergeCell ref="BI192:BN192"/>
    <mergeCell ref="BD122:BH122"/>
    <mergeCell ref="AO122:AS122"/>
    <mergeCell ref="AT122:AX122"/>
    <mergeCell ref="AG192:AK192"/>
    <mergeCell ref="K313:M313"/>
    <mergeCell ref="AA313:AB313"/>
    <mergeCell ref="AC313:AE313"/>
    <mergeCell ref="AG313:AH313"/>
    <mergeCell ref="AI313:AK313"/>
    <mergeCell ref="S285:V285"/>
    <mergeCell ref="X285:AA285"/>
    <mergeCell ref="AC285:AF285"/>
    <mergeCell ref="AH285:AK285"/>
    <mergeCell ref="DS313:DT313"/>
    <mergeCell ref="DU313:DW313"/>
    <mergeCell ref="DC313:DE313"/>
    <mergeCell ref="DG313:DH313"/>
    <mergeCell ref="DI313:DK313"/>
    <mergeCell ref="DM313:DN313"/>
    <mergeCell ref="DO313:DQ313"/>
    <mergeCell ref="CO313:CP313"/>
    <mergeCell ref="CQ313:CS313"/>
    <mergeCell ref="CU313:CV313"/>
    <mergeCell ref="CW313:CY313"/>
    <mergeCell ref="DA313:DB313"/>
    <mergeCell ref="E3:F3"/>
    <mergeCell ref="G3:H3"/>
    <mergeCell ref="I3:J3"/>
    <mergeCell ref="AF20:AG20"/>
    <mergeCell ref="CI313:CJ313"/>
    <mergeCell ref="CK313:CM313"/>
    <mergeCell ref="BK313:BL313"/>
    <mergeCell ref="BM313:BO313"/>
    <mergeCell ref="BQ313:BR313"/>
    <mergeCell ref="BS313:BU313"/>
    <mergeCell ref="BW313:BX313"/>
    <mergeCell ref="BG313:BI313"/>
    <mergeCell ref="I313:J313"/>
    <mergeCell ref="O313:P313"/>
    <mergeCell ref="Q313:S313"/>
    <mergeCell ref="U313:V313"/>
    <mergeCell ref="W313:Y313"/>
    <mergeCell ref="BY313:CA313"/>
    <mergeCell ref="CC313:CD313"/>
    <mergeCell ref="CE313:CG313"/>
    <mergeCell ref="AM285:AP285"/>
    <mergeCell ref="AR285:AU285"/>
    <mergeCell ref="AW285:AZ285"/>
    <mergeCell ref="BB285:BE28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1"/>
  <dimension ref="A1:EV113"/>
  <sheetViews>
    <sheetView topLeftCell="A16" zoomScale="115" zoomScaleNormal="115" workbookViewId="0">
      <selection activeCell="AM34" sqref="AM34:BV42"/>
    </sheetView>
  </sheetViews>
  <sheetFormatPr defaultColWidth="1.140625" defaultRowHeight="6.75" customHeight="1" x14ac:dyDescent="0.25"/>
  <cols>
    <col min="79" max="79" width="1.140625" customWidth="1"/>
  </cols>
  <sheetData>
    <row r="1" spans="1:152" ht="6.75" customHeight="1" thickBot="1" x14ac:dyDescent="0.3">
      <c r="A1" s="184"/>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c r="AN1" s="184"/>
      <c r="AO1" s="184"/>
      <c r="AP1" s="184"/>
      <c r="AQ1" s="184"/>
      <c r="AR1" s="184"/>
      <c r="AS1" s="184"/>
      <c r="AT1" s="184"/>
      <c r="AU1" s="184"/>
      <c r="AV1" s="184"/>
      <c r="AW1" s="184"/>
      <c r="AX1" s="184"/>
      <c r="AY1" s="184"/>
      <c r="AZ1" s="184"/>
      <c r="BA1" s="184"/>
      <c r="BB1" s="184"/>
      <c r="BC1" s="184"/>
      <c r="BD1" s="184"/>
      <c r="BE1" s="184"/>
      <c r="BF1" s="184"/>
      <c r="BG1" s="184"/>
      <c r="BH1" s="184"/>
      <c r="BI1" s="184"/>
      <c r="BJ1" s="184"/>
      <c r="BK1" s="184"/>
      <c r="BL1" s="184"/>
      <c r="BM1" s="184"/>
      <c r="BN1" s="184"/>
      <c r="BO1" s="184"/>
      <c r="BP1" s="184"/>
      <c r="BQ1" s="184"/>
      <c r="BR1" s="184"/>
      <c r="BS1" s="184"/>
      <c r="BT1" s="184"/>
      <c r="BU1" s="184"/>
      <c r="BV1" s="184"/>
      <c r="BW1" s="184"/>
      <c r="BX1" s="184"/>
      <c r="BY1" s="184"/>
      <c r="BZ1" s="184"/>
      <c r="CA1" s="184"/>
      <c r="CB1" s="184"/>
      <c r="CC1" s="184"/>
      <c r="CD1" s="184"/>
      <c r="CE1" s="184"/>
      <c r="CF1" s="184"/>
      <c r="CG1" s="184"/>
      <c r="CH1" s="184"/>
      <c r="CI1" s="184"/>
      <c r="CJ1" s="184"/>
      <c r="CK1" s="184"/>
      <c r="CL1" s="184"/>
      <c r="CM1" s="184"/>
      <c r="CN1" s="184"/>
      <c r="CO1" s="184"/>
      <c r="CP1" s="184"/>
      <c r="CQ1" s="184"/>
      <c r="CR1" s="184"/>
      <c r="CS1" s="184"/>
      <c r="CT1" s="184"/>
      <c r="CU1" s="184"/>
      <c r="CV1" s="184"/>
      <c r="CW1" s="184"/>
      <c r="CX1" s="184"/>
      <c r="CY1" s="184"/>
      <c r="CZ1" s="184"/>
      <c r="DA1" s="184"/>
      <c r="DB1" s="184"/>
      <c r="DC1" s="184"/>
      <c r="DD1" s="184"/>
      <c r="DE1" s="184"/>
      <c r="DF1" s="184"/>
      <c r="DG1" s="184"/>
      <c r="DH1" s="184"/>
      <c r="DI1" s="184"/>
      <c r="DJ1" s="184"/>
      <c r="DK1" s="184"/>
      <c r="DL1" s="184"/>
      <c r="DM1" s="184"/>
      <c r="DN1" s="184"/>
      <c r="DO1" s="184"/>
      <c r="DP1" s="184"/>
      <c r="DQ1" s="184"/>
      <c r="DR1" s="184"/>
      <c r="DS1" s="184"/>
      <c r="DT1" s="184"/>
      <c r="DU1" s="184"/>
      <c r="DV1" s="184"/>
      <c r="DW1" s="184"/>
      <c r="DX1" s="184"/>
      <c r="DY1" s="184"/>
      <c r="DZ1" s="184"/>
      <c r="EA1" s="184"/>
      <c r="EB1" s="184"/>
      <c r="EC1" s="184"/>
      <c r="ED1" s="184"/>
      <c r="EE1" s="184"/>
      <c r="EF1" s="184"/>
      <c r="EG1" s="184"/>
      <c r="EH1" s="184"/>
      <c r="EI1" s="184"/>
      <c r="EJ1" s="184"/>
      <c r="EK1" s="184"/>
      <c r="EL1" s="184"/>
      <c r="EM1" s="184"/>
      <c r="EN1" s="184"/>
      <c r="EO1" s="184"/>
      <c r="EP1" s="184"/>
      <c r="EQ1" s="184"/>
      <c r="ER1" s="184"/>
      <c r="ES1" s="184"/>
      <c r="ET1" s="184"/>
      <c r="EU1" s="184"/>
      <c r="EV1" s="184"/>
    </row>
    <row r="2" spans="1:152" ht="6.75" customHeight="1" x14ac:dyDescent="0.25">
      <c r="A2" s="184"/>
      <c r="B2" s="176"/>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c r="BK2" s="177"/>
      <c r="BL2" s="177"/>
      <c r="BM2" s="177"/>
      <c r="BN2" s="177"/>
      <c r="BO2" s="177"/>
      <c r="BP2" s="177"/>
      <c r="BQ2" s="177"/>
      <c r="BR2" s="177"/>
      <c r="BS2" s="177"/>
      <c r="BT2" s="177"/>
      <c r="BU2" s="177"/>
      <c r="BV2" s="177"/>
      <c r="BW2" s="178"/>
      <c r="BX2" s="184"/>
      <c r="BY2" s="184"/>
      <c r="BZ2" s="176"/>
      <c r="CA2" s="177"/>
      <c r="CB2" s="177"/>
      <c r="CC2" s="177"/>
      <c r="CD2" s="177"/>
      <c r="CE2" s="177"/>
      <c r="CF2" s="177"/>
      <c r="CG2" s="177"/>
      <c r="CH2" s="177"/>
      <c r="CI2" s="177"/>
      <c r="CJ2" s="177"/>
      <c r="CK2" s="177"/>
      <c r="CL2" s="177"/>
      <c r="CM2" s="177"/>
      <c r="CN2" s="177"/>
      <c r="CO2" s="177"/>
      <c r="CP2" s="177"/>
      <c r="CQ2" s="177"/>
      <c r="CR2" s="177"/>
      <c r="CS2" s="177"/>
      <c r="CT2" s="177"/>
      <c r="CU2" s="177"/>
      <c r="CV2" s="177"/>
      <c r="CW2" s="177"/>
      <c r="CX2" s="177"/>
      <c r="CY2" s="177"/>
      <c r="CZ2" s="177"/>
      <c r="DA2" s="177"/>
      <c r="DB2" s="177"/>
      <c r="DC2" s="177"/>
      <c r="DD2" s="177"/>
      <c r="DE2" s="177"/>
      <c r="DF2" s="177"/>
      <c r="DG2" s="177"/>
      <c r="DH2" s="177"/>
      <c r="DI2" s="177"/>
      <c r="DJ2" s="177"/>
      <c r="DK2" s="177"/>
      <c r="DL2" s="177"/>
      <c r="DM2" s="177"/>
      <c r="DN2" s="177"/>
      <c r="DO2" s="177"/>
      <c r="DP2" s="177"/>
      <c r="DQ2" s="177"/>
      <c r="DR2" s="177"/>
      <c r="DS2" s="177"/>
      <c r="DT2" s="177"/>
      <c r="DU2" s="177"/>
      <c r="DV2" s="177"/>
      <c r="DW2" s="177"/>
      <c r="DX2" s="177"/>
      <c r="DY2" s="177"/>
      <c r="DZ2" s="177"/>
      <c r="EA2" s="177"/>
      <c r="EB2" s="177"/>
      <c r="EC2" s="177"/>
      <c r="ED2" s="177"/>
      <c r="EE2" s="177"/>
      <c r="EF2" s="177"/>
      <c r="EG2" s="177"/>
      <c r="EH2" s="177"/>
      <c r="EI2" s="177"/>
      <c r="EJ2" s="177"/>
      <c r="EK2" s="177"/>
      <c r="EL2" s="177"/>
      <c r="EM2" s="177"/>
      <c r="EN2" s="177"/>
      <c r="EO2" s="177"/>
      <c r="EP2" s="177"/>
      <c r="EQ2" s="177"/>
      <c r="ER2" s="177"/>
      <c r="ES2" s="177"/>
      <c r="ET2" s="177"/>
      <c r="EU2" s="178"/>
      <c r="EV2" s="184"/>
    </row>
    <row r="3" spans="1:152" ht="6.75" customHeight="1" x14ac:dyDescent="0.25">
      <c r="A3" s="184"/>
      <c r="B3" s="179"/>
      <c r="C3" s="1014">
        <f>Character_Name</f>
        <v>0</v>
      </c>
      <c r="D3" s="1014"/>
      <c r="E3" s="1014"/>
      <c r="F3" s="1014"/>
      <c r="G3" s="1014"/>
      <c r="H3" s="1014"/>
      <c r="I3" s="1014"/>
      <c r="J3" s="1014"/>
      <c r="K3" s="1014"/>
      <c r="L3" s="1014"/>
      <c r="M3" s="1014"/>
      <c r="N3" s="1014"/>
      <c r="O3" s="1014"/>
      <c r="P3" s="1014"/>
      <c r="Q3" s="1014"/>
      <c r="R3" s="1014"/>
      <c r="S3" s="1014"/>
      <c r="T3" s="1014"/>
      <c r="U3" s="1014"/>
      <c r="V3" s="1014"/>
      <c r="W3" s="1014"/>
      <c r="X3" s="1014"/>
      <c r="Y3" s="1014"/>
      <c r="Z3" s="1014"/>
      <c r="AA3" s="1014"/>
      <c r="AB3" s="1014"/>
      <c r="AC3" s="1021"/>
      <c r="AD3" s="1018" t="str">
        <f>Race</f>
        <v>Elf</v>
      </c>
      <c r="AE3" s="1014"/>
      <c r="AF3" s="1014"/>
      <c r="AG3" s="1014"/>
      <c r="AH3" s="1014"/>
      <c r="AI3" s="1014"/>
      <c r="AJ3" s="1014"/>
      <c r="AK3" s="1014"/>
      <c r="AL3" s="1014"/>
      <c r="AM3" s="1014"/>
      <c r="AN3" s="1014"/>
      <c r="AO3" s="1014"/>
      <c r="AP3" s="1014"/>
      <c r="AQ3" s="1014"/>
      <c r="AR3" s="1014"/>
      <c r="AS3" s="1018">
        <f>Gender</f>
        <v>0</v>
      </c>
      <c r="AT3" s="1014"/>
      <c r="AU3" s="1014"/>
      <c r="AV3" s="1014"/>
      <c r="AW3" s="1014"/>
      <c r="AX3" s="1014"/>
      <c r="AY3" s="1014"/>
      <c r="AZ3" s="1014"/>
      <c r="BA3" s="1014"/>
      <c r="BB3" s="1014"/>
      <c r="BC3" s="1014"/>
      <c r="BD3" s="1014"/>
      <c r="BE3" s="1014"/>
      <c r="BF3" s="1014"/>
      <c r="BG3" s="1014"/>
      <c r="BH3" s="1018" t="str">
        <f>Background</f>
        <v>Criminal</v>
      </c>
      <c r="BI3" s="1014"/>
      <c r="BJ3" s="1014"/>
      <c r="BK3" s="1014"/>
      <c r="BL3" s="1014"/>
      <c r="BM3" s="1014"/>
      <c r="BN3" s="1014"/>
      <c r="BO3" s="1014"/>
      <c r="BP3" s="1014"/>
      <c r="BQ3" s="1014"/>
      <c r="BR3" s="1014"/>
      <c r="BS3" s="1014"/>
      <c r="BT3" s="1014"/>
      <c r="BU3" s="1014"/>
      <c r="BV3" s="1014"/>
      <c r="BW3" s="180"/>
      <c r="BX3" s="184"/>
      <c r="BY3" s="184"/>
      <c r="BZ3" s="179"/>
      <c r="CA3" s="159"/>
      <c r="CB3" s="159"/>
      <c r="CC3" s="159"/>
      <c r="CD3" s="159"/>
      <c r="CE3" s="159"/>
      <c r="CF3" s="159"/>
      <c r="CG3" s="159"/>
      <c r="CH3" s="159"/>
      <c r="CI3" s="159"/>
      <c r="CJ3" s="159"/>
      <c r="CK3" s="159"/>
      <c r="CL3" s="159"/>
      <c r="CM3" s="159"/>
      <c r="CN3" s="159"/>
      <c r="CO3" s="159"/>
      <c r="CP3" s="159"/>
      <c r="CQ3" s="159"/>
      <c r="CR3" s="159"/>
      <c r="CS3" s="159"/>
      <c r="CT3" s="159"/>
      <c r="CU3" s="159"/>
      <c r="CV3" s="159"/>
      <c r="CW3" s="159"/>
      <c r="CX3" s="159"/>
      <c r="CY3" s="159"/>
      <c r="CZ3" s="159"/>
      <c r="DA3" s="159"/>
      <c r="DB3" s="159"/>
      <c r="DC3" s="159"/>
      <c r="DD3" s="159"/>
      <c r="DE3" s="159"/>
      <c r="DF3" s="159"/>
      <c r="DG3" s="159"/>
      <c r="DH3" s="159"/>
      <c r="DI3" s="159"/>
      <c r="DJ3" s="159"/>
      <c r="DK3" s="159"/>
      <c r="DL3" s="159"/>
      <c r="DM3" s="159"/>
      <c r="DN3" s="159"/>
      <c r="DO3" s="159"/>
      <c r="DP3" s="159"/>
      <c r="DQ3" s="159"/>
      <c r="DR3" s="159"/>
      <c r="DS3" s="159"/>
      <c r="DT3" s="159"/>
      <c r="DU3" s="159"/>
      <c r="DV3" s="159"/>
      <c r="DW3" s="159"/>
      <c r="DX3" s="159"/>
      <c r="DY3" s="159"/>
      <c r="DZ3" s="159"/>
      <c r="EA3" s="159"/>
      <c r="EB3" s="159"/>
      <c r="EC3" s="159"/>
      <c r="ED3" s="159"/>
      <c r="EE3" s="159"/>
      <c r="EF3" s="159"/>
      <c r="EG3" s="159"/>
      <c r="EH3" s="159"/>
      <c r="EI3" s="159"/>
      <c r="EJ3" s="159"/>
      <c r="EK3" s="159"/>
      <c r="EL3" s="159"/>
      <c r="EM3" s="159"/>
      <c r="EN3" s="159"/>
      <c r="EO3" s="159"/>
      <c r="EP3" s="159"/>
      <c r="EQ3" s="159"/>
      <c r="ER3" s="159"/>
      <c r="ES3" s="159"/>
      <c r="ET3" s="159"/>
      <c r="EU3" s="180"/>
      <c r="EV3" s="184"/>
    </row>
    <row r="4" spans="1:152" ht="6.75" customHeight="1" x14ac:dyDescent="0.25">
      <c r="A4" s="184"/>
      <c r="B4" s="179"/>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21"/>
      <c r="AD4" s="1018"/>
      <c r="AE4" s="1014"/>
      <c r="AF4" s="1014"/>
      <c r="AG4" s="1014"/>
      <c r="AH4" s="1014"/>
      <c r="AI4" s="1014"/>
      <c r="AJ4" s="1014"/>
      <c r="AK4" s="1014"/>
      <c r="AL4" s="1014"/>
      <c r="AM4" s="1014"/>
      <c r="AN4" s="1014"/>
      <c r="AO4" s="1014"/>
      <c r="AP4" s="1014"/>
      <c r="AQ4" s="1014"/>
      <c r="AR4" s="1014"/>
      <c r="AS4" s="1018"/>
      <c r="AT4" s="1014"/>
      <c r="AU4" s="1014"/>
      <c r="AV4" s="1014"/>
      <c r="AW4" s="1014"/>
      <c r="AX4" s="1014"/>
      <c r="AY4" s="1014"/>
      <c r="AZ4" s="1014"/>
      <c r="BA4" s="1014"/>
      <c r="BB4" s="1014"/>
      <c r="BC4" s="1014"/>
      <c r="BD4" s="1014"/>
      <c r="BE4" s="1014"/>
      <c r="BF4" s="1014"/>
      <c r="BG4" s="1014"/>
      <c r="BH4" s="1018"/>
      <c r="BI4" s="1014"/>
      <c r="BJ4" s="1014"/>
      <c r="BK4" s="1014"/>
      <c r="BL4" s="1014"/>
      <c r="BM4" s="1014"/>
      <c r="BN4" s="1014"/>
      <c r="BO4" s="1014"/>
      <c r="BP4" s="1014"/>
      <c r="BQ4" s="1014"/>
      <c r="BR4" s="1014"/>
      <c r="BS4" s="1014"/>
      <c r="BT4" s="1014"/>
      <c r="BU4" s="1014"/>
      <c r="BV4" s="1014"/>
      <c r="BW4" s="180"/>
      <c r="BX4" s="184"/>
      <c r="BY4" s="184"/>
      <c r="BZ4" s="179"/>
      <c r="CA4" s="159"/>
      <c r="CB4" s="159"/>
      <c r="CC4" s="159"/>
      <c r="CD4" s="159"/>
      <c r="CE4" s="159"/>
      <c r="CF4" s="159"/>
      <c r="CG4" s="159"/>
      <c r="CH4" s="159"/>
      <c r="CI4" s="159"/>
      <c r="CJ4" s="159"/>
      <c r="CK4" s="159"/>
      <c r="CL4" s="159"/>
      <c r="CM4" s="159"/>
      <c r="CN4" s="159"/>
      <c r="CO4" s="159"/>
      <c r="CP4" s="159"/>
      <c r="CQ4" s="159"/>
      <c r="CR4" s="159"/>
      <c r="CS4" s="159"/>
      <c r="CT4" s="159"/>
      <c r="CU4" s="159"/>
      <c r="CV4" s="159"/>
      <c r="CW4" s="159"/>
      <c r="CX4" s="159"/>
      <c r="CY4" s="159"/>
      <c r="CZ4" s="159"/>
      <c r="DA4" s="159"/>
      <c r="DB4" s="159"/>
      <c r="DC4" s="159"/>
      <c r="DD4" s="159"/>
      <c r="DE4" s="159"/>
      <c r="DF4" s="159"/>
      <c r="DG4" s="159"/>
      <c r="DH4" s="159"/>
      <c r="DI4" s="159"/>
      <c r="DJ4" s="159"/>
      <c r="DK4" s="159"/>
      <c r="DL4" s="159"/>
      <c r="DM4" s="159"/>
      <c r="DN4" s="159"/>
      <c r="DO4" s="159"/>
      <c r="DP4" s="159"/>
      <c r="DQ4" s="159"/>
      <c r="DR4" s="159"/>
      <c r="DS4" s="159"/>
      <c r="DT4" s="159"/>
      <c r="DU4" s="159"/>
      <c r="DV4" s="159"/>
      <c r="DW4" s="159"/>
      <c r="DX4" s="159"/>
      <c r="DY4" s="159"/>
      <c r="DZ4" s="159"/>
      <c r="EA4" s="159"/>
      <c r="EB4" s="159"/>
      <c r="EC4" s="159"/>
      <c r="ED4" s="159"/>
      <c r="EE4" s="159"/>
      <c r="EF4" s="159"/>
      <c r="EG4" s="159"/>
      <c r="EH4" s="159"/>
      <c r="EI4" s="159"/>
      <c r="EJ4" s="159"/>
      <c r="EK4" s="159"/>
      <c r="EL4" s="159"/>
      <c r="EM4" s="159"/>
      <c r="EN4" s="159"/>
      <c r="EO4" s="159"/>
      <c r="EP4" s="159"/>
      <c r="EQ4" s="159"/>
      <c r="ER4" s="159"/>
      <c r="ES4" s="159"/>
      <c r="ET4" s="159"/>
      <c r="EU4" s="180"/>
      <c r="EV4" s="184"/>
    </row>
    <row r="5" spans="1:152" ht="6.75" customHeight="1" x14ac:dyDescent="0.25">
      <c r="A5" s="184"/>
      <c r="B5" s="179"/>
      <c r="C5" s="1020"/>
      <c r="D5" s="1020"/>
      <c r="E5" s="1020"/>
      <c r="F5" s="1020"/>
      <c r="G5" s="1020"/>
      <c r="H5" s="1020"/>
      <c r="I5" s="1020"/>
      <c r="J5" s="1020"/>
      <c r="K5" s="1020"/>
      <c r="L5" s="1020"/>
      <c r="M5" s="1020"/>
      <c r="N5" s="1020"/>
      <c r="O5" s="1020"/>
      <c r="P5" s="1020"/>
      <c r="Q5" s="1020"/>
      <c r="R5" s="1020"/>
      <c r="S5" s="1020"/>
      <c r="T5" s="1020"/>
      <c r="U5" s="1020"/>
      <c r="V5" s="1020"/>
      <c r="W5" s="1020"/>
      <c r="X5" s="1020"/>
      <c r="Y5" s="1020"/>
      <c r="Z5" s="1020"/>
      <c r="AA5" s="1020"/>
      <c r="AB5" s="1020"/>
      <c r="AC5" s="1022"/>
      <c r="AD5" s="1019"/>
      <c r="AE5" s="1020"/>
      <c r="AF5" s="1020"/>
      <c r="AG5" s="1020"/>
      <c r="AH5" s="1020"/>
      <c r="AI5" s="1020"/>
      <c r="AJ5" s="1020"/>
      <c r="AK5" s="1020"/>
      <c r="AL5" s="1020"/>
      <c r="AM5" s="1020"/>
      <c r="AN5" s="1020"/>
      <c r="AO5" s="1020"/>
      <c r="AP5" s="1020"/>
      <c r="AQ5" s="1020"/>
      <c r="AR5" s="1020"/>
      <c r="AS5" s="1019"/>
      <c r="AT5" s="1020"/>
      <c r="AU5" s="1020"/>
      <c r="AV5" s="1020"/>
      <c r="AW5" s="1020"/>
      <c r="AX5" s="1020"/>
      <c r="AY5" s="1020"/>
      <c r="AZ5" s="1020"/>
      <c r="BA5" s="1020"/>
      <c r="BB5" s="1020"/>
      <c r="BC5" s="1020"/>
      <c r="BD5" s="1020"/>
      <c r="BE5" s="1020"/>
      <c r="BF5" s="1020"/>
      <c r="BG5" s="1020"/>
      <c r="BH5" s="1019"/>
      <c r="BI5" s="1020"/>
      <c r="BJ5" s="1020"/>
      <c r="BK5" s="1020"/>
      <c r="BL5" s="1020"/>
      <c r="BM5" s="1020"/>
      <c r="BN5" s="1020"/>
      <c r="BO5" s="1020"/>
      <c r="BP5" s="1020"/>
      <c r="BQ5" s="1020"/>
      <c r="BR5" s="1020"/>
      <c r="BS5" s="1020"/>
      <c r="BT5" s="1020"/>
      <c r="BU5" s="1020"/>
      <c r="BV5" s="1020"/>
      <c r="BW5" s="180"/>
      <c r="BX5" s="184"/>
      <c r="BY5" s="184"/>
      <c r="BZ5" s="179"/>
      <c r="CA5" s="159"/>
      <c r="CB5" s="159"/>
      <c r="CC5" s="159"/>
      <c r="CD5" s="159"/>
      <c r="CE5" s="159"/>
      <c r="CF5" s="159"/>
      <c r="CG5" s="159"/>
      <c r="CH5" s="159"/>
      <c r="CI5" s="159"/>
      <c r="CJ5" s="159"/>
      <c r="CK5" s="159"/>
      <c r="CL5" s="159"/>
      <c r="CM5" s="159"/>
      <c r="CN5" s="159"/>
      <c r="CO5" s="159"/>
      <c r="CP5" s="159"/>
      <c r="CQ5" s="159"/>
      <c r="CR5" s="159"/>
      <c r="CS5" s="159"/>
      <c r="CT5" s="159"/>
      <c r="CU5" s="159"/>
      <c r="CV5" s="159"/>
      <c r="CW5" s="159"/>
      <c r="CX5" s="159"/>
      <c r="CY5" s="159"/>
      <c r="CZ5" s="159"/>
      <c r="DA5" s="159"/>
      <c r="DB5" s="159"/>
      <c r="DC5" s="159"/>
      <c r="DD5" s="159"/>
      <c r="DE5" s="159"/>
      <c r="DF5" s="159"/>
      <c r="DG5" s="159"/>
      <c r="DH5" s="159"/>
      <c r="DI5" s="159"/>
      <c r="DJ5" s="159"/>
      <c r="DK5" s="159"/>
      <c r="DL5" s="159"/>
      <c r="DM5" s="159"/>
      <c r="DN5" s="159"/>
      <c r="DO5" s="159"/>
      <c r="DP5" s="159"/>
      <c r="DQ5" s="159"/>
      <c r="DR5" s="159"/>
      <c r="DS5" s="159"/>
      <c r="DT5" s="159"/>
      <c r="DU5" s="159"/>
      <c r="DV5" s="159"/>
      <c r="DW5" s="159"/>
      <c r="DX5" s="159"/>
      <c r="DY5" s="159"/>
      <c r="DZ5" s="159"/>
      <c r="EA5" s="159"/>
      <c r="EB5" s="159"/>
      <c r="EC5" s="159"/>
      <c r="ED5" s="159"/>
      <c r="EE5" s="159"/>
      <c r="EF5" s="159"/>
      <c r="EG5" s="159"/>
      <c r="EH5" s="159"/>
      <c r="EI5" s="159"/>
      <c r="EJ5" s="159"/>
      <c r="EK5" s="159"/>
      <c r="EL5" s="159"/>
      <c r="EM5" s="159"/>
      <c r="EN5" s="159"/>
      <c r="EO5" s="159"/>
      <c r="EP5" s="159"/>
      <c r="EQ5" s="159"/>
      <c r="ER5" s="159"/>
      <c r="ES5" s="159"/>
      <c r="ET5" s="159"/>
      <c r="EU5" s="180"/>
      <c r="EV5" s="184"/>
    </row>
    <row r="6" spans="1:152" ht="6.75" customHeight="1" x14ac:dyDescent="0.25">
      <c r="A6" s="184"/>
      <c r="B6" s="179"/>
      <c r="C6" s="159"/>
      <c r="D6" s="159"/>
      <c r="E6" s="1023" t="s">
        <v>3803</v>
      </c>
      <c r="F6" s="1023"/>
      <c r="G6" s="1023"/>
      <c r="H6" s="1023"/>
      <c r="I6" s="1023"/>
      <c r="J6" s="1023"/>
      <c r="K6" s="1023"/>
      <c r="L6" s="1023"/>
      <c r="M6" s="1023"/>
      <c r="N6" s="1023"/>
      <c r="O6" s="1023"/>
      <c r="P6" s="1023"/>
      <c r="Q6" s="1023"/>
      <c r="R6" s="1023"/>
      <c r="S6" s="1023"/>
      <c r="T6" s="1023"/>
      <c r="U6" s="1023"/>
      <c r="V6" s="1023"/>
      <c r="W6" s="1023"/>
      <c r="X6" s="1023"/>
      <c r="Y6" s="1023"/>
      <c r="Z6" s="1023"/>
      <c r="AA6" s="1023"/>
      <c r="AB6" s="159"/>
      <c r="AC6" s="159"/>
      <c r="AD6" s="159"/>
      <c r="AE6" s="159"/>
      <c r="AF6" s="1013" t="s">
        <v>3809</v>
      </c>
      <c r="AG6" s="1013"/>
      <c r="AH6" s="1013"/>
      <c r="AI6" s="1013"/>
      <c r="AJ6" s="1013"/>
      <c r="AK6" s="1013"/>
      <c r="AL6" s="1013"/>
      <c r="AM6" s="1013"/>
      <c r="AN6" s="1013"/>
      <c r="AO6" s="1013"/>
      <c r="AP6" s="1013"/>
      <c r="AQ6" s="159"/>
      <c r="AR6" s="159"/>
      <c r="AS6" s="159"/>
      <c r="AT6" s="159"/>
      <c r="AU6" s="1013" t="s">
        <v>3810</v>
      </c>
      <c r="AV6" s="1013"/>
      <c r="AW6" s="1013"/>
      <c r="AX6" s="1013"/>
      <c r="AY6" s="1013"/>
      <c r="AZ6" s="1013"/>
      <c r="BA6" s="1013"/>
      <c r="BB6" s="1013"/>
      <c r="BC6" s="1013"/>
      <c r="BD6" s="1013"/>
      <c r="BE6" s="1013"/>
      <c r="BF6" s="159"/>
      <c r="BG6" s="159"/>
      <c r="BH6" s="159"/>
      <c r="BI6" s="159"/>
      <c r="BJ6" s="1013" t="s">
        <v>3811</v>
      </c>
      <c r="BK6" s="1013"/>
      <c r="BL6" s="1013"/>
      <c r="BM6" s="1013"/>
      <c r="BN6" s="1013"/>
      <c r="BO6" s="1013"/>
      <c r="BP6" s="1013"/>
      <c r="BQ6" s="1013"/>
      <c r="BR6" s="1013"/>
      <c r="BS6" s="1013"/>
      <c r="BT6" s="1013"/>
      <c r="BU6" s="159"/>
      <c r="BV6" s="159"/>
      <c r="BW6" s="180"/>
      <c r="BX6" s="184"/>
      <c r="BY6" s="184"/>
      <c r="BZ6" s="179"/>
      <c r="CA6" s="159"/>
      <c r="CB6" s="159"/>
      <c r="CC6" s="159"/>
      <c r="CD6" s="159"/>
      <c r="CE6" s="159"/>
      <c r="CF6" s="159"/>
      <c r="CG6" s="159"/>
      <c r="CH6" s="159"/>
      <c r="CI6" s="159"/>
      <c r="CJ6" s="159"/>
      <c r="CK6" s="159"/>
      <c r="CL6" s="159"/>
      <c r="CM6" s="159"/>
      <c r="CN6" s="159"/>
      <c r="CO6" s="159"/>
      <c r="CP6" s="159"/>
      <c r="CQ6" s="159"/>
      <c r="CR6" s="159"/>
      <c r="CS6" s="159"/>
      <c r="CT6" s="159"/>
      <c r="CU6" s="159"/>
      <c r="CV6" s="159"/>
      <c r="CW6" s="159"/>
      <c r="CX6" s="159"/>
      <c r="CY6" s="159"/>
      <c r="CZ6" s="159"/>
      <c r="DA6" s="159"/>
      <c r="DB6" s="159"/>
      <c r="DC6" s="159"/>
      <c r="DD6" s="159"/>
      <c r="DE6" s="159"/>
      <c r="DF6" s="159"/>
      <c r="DG6" s="159"/>
      <c r="DH6" s="159"/>
      <c r="DI6" s="159"/>
      <c r="DJ6" s="159"/>
      <c r="DK6" s="159"/>
      <c r="DL6" s="159"/>
      <c r="DM6" s="159"/>
      <c r="DN6" s="159"/>
      <c r="DO6" s="159"/>
      <c r="DP6" s="159"/>
      <c r="DQ6" s="159"/>
      <c r="DR6" s="159"/>
      <c r="DS6" s="159"/>
      <c r="DT6" s="159"/>
      <c r="DU6" s="159"/>
      <c r="DV6" s="159"/>
      <c r="DW6" s="159"/>
      <c r="DX6" s="159"/>
      <c r="DY6" s="159"/>
      <c r="DZ6" s="159"/>
      <c r="EA6" s="159"/>
      <c r="EB6" s="159"/>
      <c r="EC6" s="159"/>
      <c r="ED6" s="159"/>
      <c r="EE6" s="159"/>
      <c r="EF6" s="159"/>
      <c r="EG6" s="159"/>
      <c r="EH6" s="159"/>
      <c r="EI6" s="159"/>
      <c r="EJ6" s="159"/>
      <c r="EK6" s="159"/>
      <c r="EL6" s="159"/>
      <c r="EM6" s="159"/>
      <c r="EN6" s="159"/>
      <c r="EO6" s="159"/>
      <c r="EP6" s="159"/>
      <c r="EQ6" s="159"/>
      <c r="ER6" s="159"/>
      <c r="ES6" s="159"/>
      <c r="ET6" s="159"/>
      <c r="EU6" s="180"/>
      <c r="EV6" s="184"/>
    </row>
    <row r="7" spans="1:152" ht="6.75" customHeight="1" x14ac:dyDescent="0.25">
      <c r="A7" s="184"/>
      <c r="B7" s="179"/>
      <c r="C7" s="159"/>
      <c r="D7" s="159"/>
      <c r="E7" s="1023"/>
      <c r="F7" s="1023"/>
      <c r="G7" s="1023"/>
      <c r="H7" s="1023"/>
      <c r="I7" s="1023"/>
      <c r="J7" s="1023"/>
      <c r="K7" s="1023"/>
      <c r="L7" s="1023"/>
      <c r="M7" s="1023"/>
      <c r="N7" s="1023"/>
      <c r="O7" s="1023"/>
      <c r="P7" s="1023"/>
      <c r="Q7" s="1023"/>
      <c r="R7" s="1023"/>
      <c r="S7" s="1023"/>
      <c r="T7" s="1023"/>
      <c r="U7" s="1023"/>
      <c r="V7" s="1023"/>
      <c r="W7" s="1023"/>
      <c r="X7" s="1023"/>
      <c r="Y7" s="1023"/>
      <c r="Z7" s="1023"/>
      <c r="AA7" s="1023"/>
      <c r="AB7" s="159"/>
      <c r="AC7" s="159"/>
      <c r="AD7" s="159"/>
      <c r="AE7" s="159"/>
      <c r="AF7" s="1013"/>
      <c r="AG7" s="1013"/>
      <c r="AH7" s="1013"/>
      <c r="AI7" s="1013"/>
      <c r="AJ7" s="1013"/>
      <c r="AK7" s="1013"/>
      <c r="AL7" s="1013"/>
      <c r="AM7" s="1013"/>
      <c r="AN7" s="1013"/>
      <c r="AO7" s="1013"/>
      <c r="AP7" s="1013"/>
      <c r="AQ7" s="159"/>
      <c r="AR7" s="159"/>
      <c r="AS7" s="159"/>
      <c r="AT7" s="159"/>
      <c r="AU7" s="1013"/>
      <c r="AV7" s="1013"/>
      <c r="AW7" s="1013"/>
      <c r="AX7" s="1013"/>
      <c r="AY7" s="1013"/>
      <c r="AZ7" s="1013"/>
      <c r="BA7" s="1013"/>
      <c r="BB7" s="1013"/>
      <c r="BC7" s="1013"/>
      <c r="BD7" s="1013"/>
      <c r="BE7" s="1013"/>
      <c r="BF7" s="159"/>
      <c r="BG7" s="159"/>
      <c r="BH7" s="159"/>
      <c r="BI7" s="159"/>
      <c r="BJ7" s="1013"/>
      <c r="BK7" s="1013"/>
      <c r="BL7" s="1013"/>
      <c r="BM7" s="1013"/>
      <c r="BN7" s="1013"/>
      <c r="BO7" s="1013"/>
      <c r="BP7" s="1013"/>
      <c r="BQ7" s="1013"/>
      <c r="BR7" s="1013"/>
      <c r="BS7" s="1013"/>
      <c r="BT7" s="1013"/>
      <c r="BU7" s="159"/>
      <c r="BV7" s="159"/>
      <c r="BW7" s="180"/>
      <c r="BX7" s="184"/>
      <c r="BY7" s="184"/>
      <c r="BZ7" s="179"/>
      <c r="CA7" s="159"/>
      <c r="CB7" s="159"/>
      <c r="CC7" s="159"/>
      <c r="CD7" s="159"/>
      <c r="CE7" s="159"/>
      <c r="CF7" s="159"/>
      <c r="CG7" s="159"/>
      <c r="CH7" s="159"/>
      <c r="CI7" s="159"/>
      <c r="CJ7" s="159"/>
      <c r="CK7" s="159"/>
      <c r="CL7" s="159"/>
      <c r="CM7" s="159"/>
      <c r="CN7" s="159"/>
      <c r="CO7" s="159"/>
      <c r="CP7" s="159"/>
      <c r="CQ7" s="159"/>
      <c r="CR7" s="159"/>
      <c r="CS7" s="159"/>
      <c r="CT7" s="159"/>
      <c r="CU7" s="159"/>
      <c r="CV7" s="159"/>
      <c r="CW7" s="159"/>
      <c r="CX7" s="159"/>
      <c r="CY7" s="159"/>
      <c r="CZ7" s="159"/>
      <c r="DA7" s="159"/>
      <c r="DB7" s="159"/>
      <c r="DC7" s="159"/>
      <c r="DD7" s="159"/>
      <c r="DE7" s="159"/>
      <c r="DF7" s="159"/>
      <c r="DG7" s="159"/>
      <c r="DH7" s="159"/>
      <c r="DI7" s="159"/>
      <c r="DJ7" s="159"/>
      <c r="DK7" s="159"/>
      <c r="DL7" s="159"/>
      <c r="DM7" s="159"/>
      <c r="DN7" s="159"/>
      <c r="DO7" s="159"/>
      <c r="DP7" s="159"/>
      <c r="DQ7" s="159"/>
      <c r="DR7" s="159"/>
      <c r="DS7" s="159"/>
      <c r="DT7" s="159"/>
      <c r="DU7" s="159"/>
      <c r="DV7" s="159"/>
      <c r="DW7" s="159"/>
      <c r="DX7" s="159"/>
      <c r="DY7" s="159"/>
      <c r="DZ7" s="159"/>
      <c r="EA7" s="159"/>
      <c r="EB7" s="159"/>
      <c r="EC7" s="159"/>
      <c r="ED7" s="159"/>
      <c r="EE7" s="159"/>
      <c r="EF7" s="159"/>
      <c r="EG7" s="159"/>
      <c r="EH7" s="159"/>
      <c r="EI7" s="159"/>
      <c r="EJ7" s="159"/>
      <c r="EK7" s="159"/>
      <c r="EL7" s="159"/>
      <c r="EM7" s="159"/>
      <c r="EN7" s="159"/>
      <c r="EO7" s="159"/>
      <c r="EP7" s="159"/>
      <c r="EQ7" s="159"/>
      <c r="ER7" s="159"/>
      <c r="ES7" s="159"/>
      <c r="ET7" s="159"/>
      <c r="EU7" s="180"/>
      <c r="EV7" s="184"/>
    </row>
    <row r="8" spans="1:152" ht="6.75" customHeight="1" x14ac:dyDescent="0.25">
      <c r="A8" s="184"/>
      <c r="B8" s="179"/>
      <c r="C8" s="159"/>
      <c r="D8" s="159"/>
      <c r="E8" s="159"/>
      <c r="F8" s="159"/>
      <c r="G8" s="159"/>
      <c r="H8" s="159"/>
      <c r="I8" s="159"/>
      <c r="J8" s="159"/>
      <c r="K8" s="159"/>
      <c r="L8" s="159"/>
      <c r="M8" s="159"/>
      <c r="N8" s="159"/>
      <c r="O8" s="159"/>
      <c r="P8" s="159"/>
      <c r="Q8" s="159"/>
      <c r="R8" s="159"/>
      <c r="S8" s="159"/>
      <c r="T8" s="159"/>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80"/>
      <c r="BX8" s="184"/>
      <c r="BY8" s="184"/>
      <c r="BZ8" s="17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80"/>
      <c r="EV8" s="184"/>
    </row>
    <row r="9" spans="1:152" ht="6.75" customHeight="1" x14ac:dyDescent="0.25">
      <c r="A9" s="184"/>
      <c r="B9" s="179"/>
      <c r="C9" s="1014" t="str">
        <f>MainClass&amp;IF(Multiclass1&lt;&gt;"","/"&amp;Multiclass1,"")&amp;IF(Multiclass2&lt;&gt;"","/"&amp;Multiclass2,"")&amp;IF(Multiclass3&lt;&gt;"","/"&amp;Multiclass3,"")&amp;IF(Multiclass4&lt;&gt;"","/"&amp;Multiclass4,"")&amp;IF(Multiclass5&lt;&gt;"","/"&amp;Multiclass5,"")&amp;" "</f>
        <v xml:space="preserve"> </v>
      </c>
      <c r="D9" s="1014"/>
      <c r="E9" s="1014"/>
      <c r="F9" s="1014"/>
      <c r="G9" s="1014"/>
      <c r="H9" s="1014"/>
      <c r="I9" s="1014"/>
      <c r="J9" s="1014"/>
      <c r="K9" s="1014"/>
      <c r="L9" s="1014"/>
      <c r="M9" s="1014"/>
      <c r="N9" s="1014"/>
      <c r="O9" s="1014"/>
      <c r="P9" s="1014"/>
      <c r="Q9" s="1014"/>
      <c r="R9" s="1014"/>
      <c r="S9" s="1014"/>
      <c r="T9" s="1014"/>
      <c r="U9" s="1014"/>
      <c r="V9" s="1014"/>
      <c r="W9" s="1014"/>
      <c r="X9" s="1014"/>
      <c r="Y9" s="1014"/>
      <c r="Z9" s="1014"/>
      <c r="AA9" s="1014"/>
      <c r="AB9" s="1014"/>
      <c r="AC9" s="1021"/>
      <c r="AD9" s="1014" t="str">
        <f>MainClassLevel&amp;IF(MultiClass1Level&lt;&gt;"","/"&amp;MultiClass1Level,"")&amp;IF(MultiClass2Level&lt;&gt;"","/"&amp;MultiClass2Level,"")&amp;IF(MultiClass3Level&lt;&gt;"","/"&amp;MultiClass3Level,"")&amp;IF(MultiClass4Level&lt;&gt;"","/"&amp;MultiClass4Level,"")&amp;IF(MultiClass5Level&lt;&gt;"","/"&amp;MultiClass5Level,"")</f>
        <v>1</v>
      </c>
      <c r="AE9" s="1014"/>
      <c r="AF9" s="1014"/>
      <c r="AG9" s="1014"/>
      <c r="AH9" s="1014"/>
      <c r="AI9" s="1014"/>
      <c r="AJ9" s="1014"/>
      <c r="AK9" s="1014"/>
      <c r="AL9" s="1014"/>
      <c r="AM9" s="1014"/>
      <c r="AN9" s="1014"/>
      <c r="AO9" s="1014"/>
      <c r="AP9" s="1014"/>
      <c r="AQ9" s="1014"/>
      <c r="AR9" s="1014"/>
      <c r="AS9" s="1014" t="str">
        <f>Race&amp;""&amp;IF(SubRace&lt;&gt;Race," ("&amp;SubRace&amp;")","")</f>
        <v>Elf (Dark Elf)</v>
      </c>
      <c r="AT9" s="1014"/>
      <c r="AU9" s="1014"/>
      <c r="AV9" s="1014"/>
      <c r="AW9" s="1014"/>
      <c r="AX9" s="1014"/>
      <c r="AY9" s="1014"/>
      <c r="AZ9" s="1014"/>
      <c r="BA9" s="1014"/>
      <c r="BB9" s="1014"/>
      <c r="BC9" s="1014"/>
      <c r="BD9" s="1014"/>
      <c r="BE9" s="1014"/>
      <c r="BF9" s="1014"/>
      <c r="BG9" s="1014"/>
      <c r="BH9" s="1014" t="str">
        <f>Alignment</f>
        <v>Chaotic Good</v>
      </c>
      <c r="BI9" s="1014"/>
      <c r="BJ9" s="1014"/>
      <c r="BK9" s="1014"/>
      <c r="BL9" s="1014"/>
      <c r="BM9" s="1014"/>
      <c r="BN9" s="1014"/>
      <c r="BO9" s="1014"/>
      <c r="BP9" s="1014"/>
      <c r="BQ9" s="1014"/>
      <c r="BR9" s="1014"/>
      <c r="BS9" s="1014"/>
      <c r="BT9" s="1014"/>
      <c r="BU9" s="1014"/>
      <c r="BV9" s="1014"/>
      <c r="BW9" s="180"/>
      <c r="BX9" s="184"/>
      <c r="BY9" s="184"/>
      <c r="BZ9" s="179"/>
      <c r="CA9" s="159"/>
      <c r="CB9" s="159"/>
      <c r="CC9" s="159"/>
      <c r="CD9" s="159"/>
      <c r="CE9" s="159"/>
      <c r="CF9" s="159"/>
      <c r="CG9" s="159"/>
      <c r="CH9" s="159"/>
      <c r="CI9" s="159"/>
      <c r="CJ9" s="159"/>
      <c r="CK9" s="159"/>
      <c r="CL9" s="159"/>
      <c r="CM9" s="159"/>
      <c r="CN9" s="159"/>
      <c r="CO9" s="159"/>
      <c r="CP9" s="159"/>
      <c r="CQ9" s="159"/>
      <c r="CR9" s="159"/>
      <c r="CS9" s="159"/>
      <c r="CT9" s="159"/>
      <c r="CU9" s="159"/>
      <c r="CV9" s="159"/>
      <c r="CW9" s="159"/>
      <c r="CX9" s="159"/>
      <c r="CY9" s="159"/>
      <c r="CZ9" s="159"/>
      <c r="DA9" s="159"/>
      <c r="DB9" s="159"/>
      <c r="DC9" s="159"/>
      <c r="DD9" s="159"/>
      <c r="DE9" s="159"/>
      <c r="DF9" s="159"/>
      <c r="DG9" s="159"/>
      <c r="DH9" s="159"/>
      <c r="DI9" s="159"/>
      <c r="DJ9" s="159"/>
      <c r="DK9" s="159"/>
      <c r="DL9" s="159"/>
      <c r="DM9" s="159"/>
      <c r="DN9" s="159"/>
      <c r="DO9" s="159"/>
      <c r="DP9" s="159"/>
      <c r="DQ9" s="159"/>
      <c r="DR9" s="159"/>
      <c r="DS9" s="159"/>
      <c r="DT9" s="159"/>
      <c r="DU9" s="159"/>
      <c r="DV9" s="159"/>
      <c r="DW9" s="159"/>
      <c r="DX9" s="159"/>
      <c r="DY9" s="159"/>
      <c r="DZ9" s="159"/>
      <c r="EA9" s="159"/>
      <c r="EB9" s="159"/>
      <c r="EC9" s="159"/>
      <c r="ED9" s="159"/>
      <c r="EE9" s="159"/>
      <c r="EF9" s="159"/>
      <c r="EG9" s="159"/>
      <c r="EH9" s="159"/>
      <c r="EI9" s="159"/>
      <c r="EJ9" s="159"/>
      <c r="EK9" s="159"/>
      <c r="EL9" s="159"/>
      <c r="EM9" s="159"/>
      <c r="EN9" s="159"/>
      <c r="EO9" s="159"/>
      <c r="EP9" s="159"/>
      <c r="EQ9" s="159"/>
      <c r="ER9" s="159"/>
      <c r="ES9" s="159"/>
      <c r="ET9" s="159"/>
      <c r="EU9" s="180"/>
      <c r="EV9" s="184"/>
    </row>
    <row r="10" spans="1:152" ht="6.75" customHeight="1" x14ac:dyDescent="0.25">
      <c r="A10" s="184"/>
      <c r="B10" s="179"/>
      <c r="C10" s="1014"/>
      <c r="D10" s="1014"/>
      <c r="E10" s="1014"/>
      <c r="F10" s="1014"/>
      <c r="G10" s="1014"/>
      <c r="H10" s="1014"/>
      <c r="I10" s="1014"/>
      <c r="J10" s="1014"/>
      <c r="K10" s="1014"/>
      <c r="L10" s="1014"/>
      <c r="M10" s="1014"/>
      <c r="N10" s="1014"/>
      <c r="O10" s="1014"/>
      <c r="P10" s="1014"/>
      <c r="Q10" s="1014"/>
      <c r="R10" s="1014"/>
      <c r="S10" s="1014"/>
      <c r="T10" s="1014"/>
      <c r="U10" s="1014"/>
      <c r="V10" s="1014"/>
      <c r="W10" s="1014"/>
      <c r="X10" s="1014"/>
      <c r="Y10" s="1014"/>
      <c r="Z10" s="1014"/>
      <c r="AA10" s="1014"/>
      <c r="AB10" s="1014"/>
      <c r="AC10" s="1021"/>
      <c r="AD10" s="1014"/>
      <c r="AE10" s="1014"/>
      <c r="AF10" s="1014"/>
      <c r="AG10" s="1014"/>
      <c r="AH10" s="1014"/>
      <c r="AI10" s="1014"/>
      <c r="AJ10" s="1014"/>
      <c r="AK10" s="1014"/>
      <c r="AL10" s="1014"/>
      <c r="AM10" s="1014"/>
      <c r="AN10" s="1014"/>
      <c r="AO10" s="1014"/>
      <c r="AP10" s="1014"/>
      <c r="AQ10" s="1014"/>
      <c r="AR10" s="1014"/>
      <c r="AS10" s="1014"/>
      <c r="AT10" s="1014"/>
      <c r="AU10" s="1014"/>
      <c r="AV10" s="1014"/>
      <c r="AW10" s="1014"/>
      <c r="AX10" s="1014"/>
      <c r="AY10" s="1014"/>
      <c r="AZ10" s="1014"/>
      <c r="BA10" s="1014"/>
      <c r="BB10" s="1014"/>
      <c r="BC10" s="1014"/>
      <c r="BD10" s="1014"/>
      <c r="BE10" s="1014"/>
      <c r="BF10" s="1014"/>
      <c r="BG10" s="1014"/>
      <c r="BH10" s="1014"/>
      <c r="BI10" s="1014"/>
      <c r="BJ10" s="1014"/>
      <c r="BK10" s="1014"/>
      <c r="BL10" s="1014"/>
      <c r="BM10" s="1014"/>
      <c r="BN10" s="1014"/>
      <c r="BO10" s="1014"/>
      <c r="BP10" s="1014"/>
      <c r="BQ10" s="1014"/>
      <c r="BR10" s="1014"/>
      <c r="BS10" s="1014"/>
      <c r="BT10" s="1014"/>
      <c r="BU10" s="1014"/>
      <c r="BV10" s="1014"/>
      <c r="BW10" s="180"/>
      <c r="BX10" s="184"/>
      <c r="BY10" s="184"/>
      <c r="BZ10" s="179"/>
      <c r="CA10" s="159"/>
      <c r="CB10" s="159"/>
      <c r="CC10" s="159"/>
      <c r="CD10" s="159"/>
      <c r="CE10" s="159"/>
      <c r="CF10" s="159"/>
      <c r="CG10" s="159"/>
      <c r="CH10" s="159"/>
      <c r="CI10" s="159"/>
      <c r="CJ10" s="159"/>
      <c r="CK10" s="159"/>
      <c r="CL10" s="159"/>
      <c r="CM10" s="159"/>
      <c r="CN10" s="159"/>
      <c r="CO10" s="159"/>
      <c r="CP10" s="159"/>
      <c r="CQ10" s="159"/>
      <c r="CR10" s="159"/>
      <c r="CS10" s="159"/>
      <c r="CT10" s="159"/>
      <c r="CU10" s="159"/>
      <c r="CV10" s="159"/>
      <c r="CW10" s="159"/>
      <c r="CX10" s="159"/>
      <c r="CY10" s="159"/>
      <c r="CZ10" s="159"/>
      <c r="DA10" s="159"/>
      <c r="DB10" s="159"/>
      <c r="DC10" s="159"/>
      <c r="DD10" s="159"/>
      <c r="DE10" s="159"/>
      <c r="DF10" s="159"/>
      <c r="DG10" s="159"/>
      <c r="DH10" s="159"/>
      <c r="DI10" s="159"/>
      <c r="DJ10" s="159"/>
      <c r="DK10" s="159"/>
      <c r="DL10" s="159"/>
      <c r="DM10" s="159"/>
      <c r="DN10" s="159"/>
      <c r="DO10" s="159"/>
      <c r="DP10" s="159"/>
      <c r="DQ10" s="159"/>
      <c r="DR10" s="159"/>
      <c r="DS10" s="159"/>
      <c r="DT10" s="159"/>
      <c r="DU10" s="159"/>
      <c r="DV10" s="159"/>
      <c r="DW10" s="159"/>
      <c r="DX10" s="159"/>
      <c r="DY10" s="159"/>
      <c r="DZ10" s="159"/>
      <c r="EA10" s="159"/>
      <c r="EB10" s="159"/>
      <c r="EC10" s="159"/>
      <c r="ED10" s="159"/>
      <c r="EE10" s="159"/>
      <c r="EF10" s="159"/>
      <c r="EG10" s="159"/>
      <c r="EH10" s="159"/>
      <c r="EI10" s="159"/>
      <c r="EJ10" s="159"/>
      <c r="EK10" s="159"/>
      <c r="EL10" s="159"/>
      <c r="EM10" s="159"/>
      <c r="EN10" s="159"/>
      <c r="EO10" s="159"/>
      <c r="EP10" s="159"/>
      <c r="EQ10" s="159"/>
      <c r="ER10" s="159"/>
      <c r="ES10" s="159"/>
      <c r="ET10" s="159"/>
      <c r="EU10" s="180"/>
      <c r="EV10" s="184"/>
    </row>
    <row r="11" spans="1:152" ht="6.75" customHeight="1" x14ac:dyDescent="0.25">
      <c r="A11" s="184"/>
      <c r="B11" s="179"/>
      <c r="C11" s="1020"/>
      <c r="D11" s="1020"/>
      <c r="E11" s="1020"/>
      <c r="F11" s="1020"/>
      <c r="G11" s="1020"/>
      <c r="H11" s="1020"/>
      <c r="I11" s="1020"/>
      <c r="J11" s="1020"/>
      <c r="K11" s="1020"/>
      <c r="L11" s="1020"/>
      <c r="M11" s="1020"/>
      <c r="N11" s="1020"/>
      <c r="O11" s="1020"/>
      <c r="P11" s="1020"/>
      <c r="Q11" s="1020"/>
      <c r="R11" s="1020"/>
      <c r="S11" s="1020"/>
      <c r="T11" s="1020"/>
      <c r="U11" s="1020"/>
      <c r="V11" s="1020"/>
      <c r="W11" s="1020"/>
      <c r="X11" s="1020"/>
      <c r="Y11" s="1020"/>
      <c r="Z11" s="1020"/>
      <c r="AA11" s="1020"/>
      <c r="AB11" s="1020"/>
      <c r="AC11" s="1022"/>
      <c r="AD11" s="1014"/>
      <c r="AE11" s="1014"/>
      <c r="AF11" s="1014"/>
      <c r="AG11" s="1014"/>
      <c r="AH11" s="1014"/>
      <c r="AI11" s="1014"/>
      <c r="AJ11" s="1014"/>
      <c r="AK11" s="1014"/>
      <c r="AL11" s="1014"/>
      <c r="AM11" s="1014"/>
      <c r="AN11" s="1014"/>
      <c r="AO11" s="1014"/>
      <c r="AP11" s="1014"/>
      <c r="AQ11" s="1014"/>
      <c r="AR11" s="1014"/>
      <c r="AS11" s="1014"/>
      <c r="AT11" s="1014"/>
      <c r="AU11" s="1014"/>
      <c r="AV11" s="1014"/>
      <c r="AW11" s="1014"/>
      <c r="AX11" s="1014"/>
      <c r="AY11" s="1014"/>
      <c r="AZ11" s="1014"/>
      <c r="BA11" s="1014"/>
      <c r="BB11" s="1014"/>
      <c r="BC11" s="1014"/>
      <c r="BD11" s="1014"/>
      <c r="BE11" s="1014"/>
      <c r="BF11" s="1014"/>
      <c r="BG11" s="1014"/>
      <c r="BH11" s="1014"/>
      <c r="BI11" s="1014"/>
      <c r="BJ11" s="1014"/>
      <c r="BK11" s="1014"/>
      <c r="BL11" s="1014"/>
      <c r="BM11" s="1014"/>
      <c r="BN11" s="1014"/>
      <c r="BO11" s="1014"/>
      <c r="BP11" s="1014"/>
      <c r="BQ11" s="1014"/>
      <c r="BR11" s="1014"/>
      <c r="BS11" s="1014"/>
      <c r="BT11" s="1014"/>
      <c r="BU11" s="1014"/>
      <c r="BV11" s="1014"/>
      <c r="BW11" s="180"/>
      <c r="BX11" s="184"/>
      <c r="BY11" s="184"/>
      <c r="BZ11" s="179"/>
      <c r="CA11" s="159"/>
      <c r="CB11" s="159"/>
      <c r="CC11" s="159"/>
      <c r="CD11" s="159"/>
      <c r="CE11" s="159"/>
      <c r="CF11" s="159"/>
      <c r="CG11" s="159"/>
      <c r="CH11" s="159"/>
      <c r="CI11" s="159"/>
      <c r="CJ11" s="159"/>
      <c r="CK11" s="159"/>
      <c r="CL11" s="159"/>
      <c r="CM11" s="159"/>
      <c r="CN11" s="159"/>
      <c r="CO11" s="159"/>
      <c r="CP11" s="159"/>
      <c r="CQ11" s="159"/>
      <c r="CR11" s="159"/>
      <c r="CS11" s="159"/>
      <c r="CT11" s="159"/>
      <c r="CU11" s="159"/>
      <c r="CV11" s="159"/>
      <c r="CW11" s="159"/>
      <c r="CX11" s="159"/>
      <c r="CY11" s="159"/>
      <c r="CZ11" s="159"/>
      <c r="DA11" s="159"/>
      <c r="DB11" s="159"/>
      <c r="DC11" s="159"/>
      <c r="DD11" s="159"/>
      <c r="DE11" s="159"/>
      <c r="DF11" s="159"/>
      <c r="DG11" s="159"/>
      <c r="DH11" s="159"/>
      <c r="DI11" s="159"/>
      <c r="DJ11" s="159"/>
      <c r="DK11" s="159"/>
      <c r="DL11" s="159"/>
      <c r="DM11" s="159"/>
      <c r="DN11" s="159"/>
      <c r="DO11" s="159"/>
      <c r="DP11" s="159"/>
      <c r="DQ11" s="159"/>
      <c r="DR11" s="159"/>
      <c r="DS11" s="159"/>
      <c r="DT11" s="159"/>
      <c r="DU11" s="159"/>
      <c r="DV11" s="159"/>
      <c r="DW11" s="159"/>
      <c r="DX11" s="159"/>
      <c r="DY11" s="159"/>
      <c r="DZ11" s="159"/>
      <c r="EA11" s="159"/>
      <c r="EB11" s="159"/>
      <c r="EC11" s="159"/>
      <c r="ED11" s="159"/>
      <c r="EE11" s="159"/>
      <c r="EF11" s="159"/>
      <c r="EG11" s="159"/>
      <c r="EH11" s="159"/>
      <c r="EI11" s="159"/>
      <c r="EJ11" s="159"/>
      <c r="EK11" s="159"/>
      <c r="EL11" s="159"/>
      <c r="EM11" s="159"/>
      <c r="EN11" s="159"/>
      <c r="EO11" s="159"/>
      <c r="EP11" s="159"/>
      <c r="EQ11" s="159"/>
      <c r="ER11" s="159"/>
      <c r="ES11" s="159"/>
      <c r="ET11" s="159"/>
      <c r="EU11" s="180"/>
      <c r="EV11" s="184"/>
    </row>
    <row r="12" spans="1:152" ht="6.75" customHeight="1" x14ac:dyDescent="0.25">
      <c r="A12" s="184"/>
      <c r="B12" s="179"/>
      <c r="C12" s="159"/>
      <c r="D12" s="159"/>
      <c r="E12" s="1023" t="s">
        <v>60</v>
      </c>
      <c r="F12" s="1023"/>
      <c r="G12" s="1023"/>
      <c r="H12" s="1023"/>
      <c r="I12" s="1023"/>
      <c r="J12" s="1023"/>
      <c r="K12" s="1023"/>
      <c r="L12" s="1023"/>
      <c r="M12" s="1023"/>
      <c r="N12" s="1023"/>
      <c r="O12" s="1023"/>
      <c r="P12" s="1023"/>
      <c r="Q12" s="1023"/>
      <c r="R12" s="1023"/>
      <c r="S12" s="1023"/>
      <c r="T12" s="1023"/>
      <c r="U12" s="1023"/>
      <c r="V12" s="1023"/>
      <c r="W12" s="1023"/>
      <c r="X12" s="1023"/>
      <c r="Y12" s="1023"/>
      <c r="Z12" s="1023"/>
      <c r="AA12" s="1023"/>
      <c r="AB12" s="159"/>
      <c r="AC12" s="159"/>
      <c r="AD12" s="159"/>
      <c r="AE12" s="159"/>
      <c r="AF12" s="1013" t="s">
        <v>2353</v>
      </c>
      <c r="AG12" s="1013"/>
      <c r="AH12" s="1013"/>
      <c r="AI12" s="1013"/>
      <c r="AJ12" s="1013"/>
      <c r="AK12" s="1013"/>
      <c r="AL12" s="1013"/>
      <c r="AM12" s="1013"/>
      <c r="AN12" s="1013"/>
      <c r="AO12" s="1013"/>
      <c r="AP12" s="1013"/>
      <c r="AQ12" s="159"/>
      <c r="AR12" s="159"/>
      <c r="AS12" s="159"/>
      <c r="AT12" s="159"/>
      <c r="AU12" s="1013" t="s">
        <v>3809</v>
      </c>
      <c r="AV12" s="1013"/>
      <c r="AW12" s="1013"/>
      <c r="AX12" s="1013"/>
      <c r="AY12" s="1013"/>
      <c r="AZ12" s="1013"/>
      <c r="BA12" s="1013"/>
      <c r="BB12" s="1013"/>
      <c r="BC12" s="1013"/>
      <c r="BD12" s="1013"/>
      <c r="BE12" s="1013"/>
      <c r="BF12" s="159"/>
      <c r="BG12" s="159"/>
      <c r="BH12" s="159"/>
      <c r="BI12" s="159"/>
      <c r="BJ12" s="1013" t="s">
        <v>7167</v>
      </c>
      <c r="BK12" s="1013"/>
      <c r="BL12" s="1013"/>
      <c r="BM12" s="1013"/>
      <c r="BN12" s="1013"/>
      <c r="BO12" s="1013"/>
      <c r="BP12" s="1013"/>
      <c r="BQ12" s="1013"/>
      <c r="BR12" s="1013"/>
      <c r="BS12" s="1013"/>
      <c r="BT12" s="1013"/>
      <c r="BU12" s="159"/>
      <c r="BV12" s="159"/>
      <c r="BW12" s="180"/>
      <c r="BX12" s="184"/>
      <c r="BY12" s="184"/>
      <c r="BZ12" s="179"/>
      <c r="CA12" s="159"/>
      <c r="CB12" s="159"/>
      <c r="CC12" s="159"/>
      <c r="CD12" s="159"/>
      <c r="CE12" s="159"/>
      <c r="CF12" s="159"/>
      <c r="CG12" s="159"/>
      <c r="CH12" s="159"/>
      <c r="CI12" s="159"/>
      <c r="CJ12" s="159"/>
      <c r="CK12" s="159"/>
      <c r="CL12" s="159"/>
      <c r="CM12" s="159"/>
      <c r="CN12" s="159"/>
      <c r="CO12" s="159"/>
      <c r="CP12" s="159"/>
      <c r="CQ12" s="159"/>
      <c r="CR12" s="159"/>
      <c r="CS12" s="159"/>
      <c r="CT12" s="159"/>
      <c r="CU12" s="159"/>
      <c r="CV12" s="159"/>
      <c r="CW12" s="159"/>
      <c r="CX12" s="159"/>
      <c r="CY12" s="159"/>
      <c r="CZ12" s="159"/>
      <c r="DA12" s="159"/>
      <c r="DB12" s="159"/>
      <c r="DC12" s="159"/>
      <c r="DD12" s="159"/>
      <c r="DE12" s="159"/>
      <c r="DF12" s="159"/>
      <c r="DG12" s="159"/>
      <c r="DH12" s="159"/>
      <c r="DI12" s="159"/>
      <c r="DJ12" s="159"/>
      <c r="DK12" s="159"/>
      <c r="DL12" s="159"/>
      <c r="DM12" s="159"/>
      <c r="DN12" s="159"/>
      <c r="DO12" s="159"/>
      <c r="DP12" s="159"/>
      <c r="DQ12" s="159"/>
      <c r="DR12" s="159"/>
      <c r="DS12" s="159"/>
      <c r="DT12" s="159"/>
      <c r="DU12" s="159"/>
      <c r="DV12" s="159"/>
      <c r="DW12" s="159"/>
      <c r="DX12" s="159"/>
      <c r="DY12" s="159"/>
      <c r="DZ12" s="159"/>
      <c r="EA12" s="159"/>
      <c r="EB12" s="159"/>
      <c r="EC12" s="159"/>
      <c r="ED12" s="159"/>
      <c r="EE12" s="159"/>
      <c r="EF12" s="159"/>
      <c r="EG12" s="159"/>
      <c r="EH12" s="159"/>
      <c r="EI12" s="159"/>
      <c r="EJ12" s="159"/>
      <c r="EK12" s="159"/>
      <c r="EL12" s="159"/>
      <c r="EM12" s="159"/>
      <c r="EN12" s="159"/>
      <c r="EO12" s="159"/>
      <c r="EP12" s="159"/>
      <c r="EQ12" s="159"/>
      <c r="ER12" s="159"/>
      <c r="ES12" s="159"/>
      <c r="ET12" s="159"/>
      <c r="EU12" s="180"/>
      <c r="EV12" s="184"/>
    </row>
    <row r="13" spans="1:152" ht="6.75" customHeight="1" x14ac:dyDescent="0.25">
      <c r="A13" s="184"/>
      <c r="B13" s="179"/>
      <c r="C13" s="159"/>
      <c r="D13" s="159"/>
      <c r="E13" s="1023"/>
      <c r="F13" s="1023"/>
      <c r="G13" s="1023"/>
      <c r="H13" s="1023"/>
      <c r="I13" s="1023"/>
      <c r="J13" s="1023"/>
      <c r="K13" s="1023"/>
      <c r="L13" s="1023"/>
      <c r="M13" s="1023"/>
      <c r="N13" s="1023"/>
      <c r="O13" s="1023"/>
      <c r="P13" s="1023"/>
      <c r="Q13" s="1023"/>
      <c r="R13" s="1023"/>
      <c r="S13" s="1023"/>
      <c r="T13" s="1023"/>
      <c r="U13" s="1023"/>
      <c r="V13" s="1023"/>
      <c r="W13" s="1023"/>
      <c r="X13" s="1023"/>
      <c r="Y13" s="1023"/>
      <c r="Z13" s="1023"/>
      <c r="AA13" s="1023"/>
      <c r="AB13" s="159"/>
      <c r="AC13" s="159"/>
      <c r="AD13" s="159"/>
      <c r="AE13" s="159"/>
      <c r="AF13" s="1013"/>
      <c r="AG13" s="1013"/>
      <c r="AH13" s="1013"/>
      <c r="AI13" s="1013"/>
      <c r="AJ13" s="1013"/>
      <c r="AK13" s="1013"/>
      <c r="AL13" s="1013"/>
      <c r="AM13" s="1013"/>
      <c r="AN13" s="1013"/>
      <c r="AO13" s="1013"/>
      <c r="AP13" s="1013"/>
      <c r="AQ13" s="159"/>
      <c r="AR13" s="159"/>
      <c r="AS13" s="159"/>
      <c r="AT13" s="159"/>
      <c r="AU13" s="1013"/>
      <c r="AV13" s="1013"/>
      <c r="AW13" s="1013"/>
      <c r="AX13" s="1013"/>
      <c r="AY13" s="1013"/>
      <c r="AZ13" s="1013"/>
      <c r="BA13" s="1013"/>
      <c r="BB13" s="1013"/>
      <c r="BC13" s="1013"/>
      <c r="BD13" s="1013"/>
      <c r="BE13" s="1013"/>
      <c r="BF13" s="159"/>
      <c r="BG13" s="159"/>
      <c r="BH13" s="159"/>
      <c r="BI13" s="159"/>
      <c r="BJ13" s="1013"/>
      <c r="BK13" s="1013"/>
      <c r="BL13" s="1013"/>
      <c r="BM13" s="1013"/>
      <c r="BN13" s="1013"/>
      <c r="BO13" s="1013"/>
      <c r="BP13" s="1013"/>
      <c r="BQ13" s="1013"/>
      <c r="BR13" s="1013"/>
      <c r="BS13" s="1013"/>
      <c r="BT13" s="1013"/>
      <c r="BU13" s="159"/>
      <c r="BV13" s="159"/>
      <c r="BW13" s="180"/>
      <c r="BX13" s="184"/>
      <c r="BY13" s="184"/>
      <c r="BZ13" s="179"/>
      <c r="CA13" s="159"/>
      <c r="CB13" s="159"/>
      <c r="CC13" s="159"/>
      <c r="CD13" s="159"/>
      <c r="CE13" s="159"/>
      <c r="CF13" s="159"/>
      <c r="CG13" s="159"/>
      <c r="CH13" s="159"/>
      <c r="CI13" s="159"/>
      <c r="CJ13" s="159"/>
      <c r="CK13" s="159"/>
      <c r="CL13" s="159"/>
      <c r="CM13" s="159"/>
      <c r="CN13" s="159"/>
      <c r="CO13" s="159"/>
      <c r="CP13" s="159"/>
      <c r="CQ13" s="159"/>
      <c r="CR13" s="159"/>
      <c r="CS13" s="159"/>
      <c r="CT13" s="159"/>
      <c r="CU13" s="159"/>
      <c r="CV13" s="159"/>
      <c r="CW13" s="159"/>
      <c r="CX13" s="159"/>
      <c r="CY13" s="159"/>
      <c r="CZ13" s="159"/>
      <c r="DA13" s="159"/>
      <c r="DB13" s="159"/>
      <c r="DC13" s="159"/>
      <c r="DD13" s="159"/>
      <c r="DE13" s="159"/>
      <c r="DF13" s="159"/>
      <c r="DG13" s="159"/>
      <c r="DH13" s="159"/>
      <c r="DI13" s="159"/>
      <c r="DJ13" s="159"/>
      <c r="DK13" s="159"/>
      <c r="DL13" s="159"/>
      <c r="DM13" s="159"/>
      <c r="DN13" s="159"/>
      <c r="DO13" s="159"/>
      <c r="DP13" s="159"/>
      <c r="DQ13" s="159"/>
      <c r="DR13" s="159"/>
      <c r="DS13" s="159"/>
      <c r="DT13" s="159"/>
      <c r="DU13" s="159"/>
      <c r="DV13" s="159"/>
      <c r="DW13" s="159"/>
      <c r="DX13" s="159"/>
      <c r="DY13" s="159"/>
      <c r="DZ13" s="159"/>
      <c r="EA13" s="159"/>
      <c r="EB13" s="159"/>
      <c r="EC13" s="159"/>
      <c r="ED13" s="159"/>
      <c r="EE13" s="159"/>
      <c r="EF13" s="159"/>
      <c r="EG13" s="159"/>
      <c r="EH13" s="159"/>
      <c r="EI13" s="159"/>
      <c r="EJ13" s="159"/>
      <c r="EK13" s="159"/>
      <c r="EL13" s="159"/>
      <c r="EM13" s="159"/>
      <c r="EN13" s="159"/>
      <c r="EO13" s="159"/>
      <c r="EP13" s="159"/>
      <c r="EQ13" s="159"/>
      <c r="ER13" s="159"/>
      <c r="ES13" s="159"/>
      <c r="ET13" s="159"/>
      <c r="EU13" s="180"/>
      <c r="EV13" s="184"/>
    </row>
    <row r="14" spans="1:152" ht="6.75" customHeight="1" x14ac:dyDescent="0.25">
      <c r="A14" s="184"/>
      <c r="B14" s="179"/>
      <c r="C14" s="159"/>
      <c r="D14" s="159"/>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80"/>
      <c r="BX14" s="184"/>
      <c r="BY14" s="184"/>
      <c r="BZ14" s="17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80"/>
      <c r="EV14" s="184"/>
    </row>
    <row r="15" spans="1:152" ht="6.75" customHeight="1" x14ac:dyDescent="0.25">
      <c r="A15" s="184"/>
      <c r="B15" s="179"/>
      <c r="C15" s="1014">
        <f>Age</f>
        <v>0</v>
      </c>
      <c r="D15" s="1014"/>
      <c r="E15" s="1014"/>
      <c r="F15" s="1014"/>
      <c r="G15" s="1014"/>
      <c r="H15" s="1014"/>
      <c r="I15" s="1014"/>
      <c r="J15" s="1014"/>
      <c r="K15" s="1014"/>
      <c r="L15" s="1014"/>
      <c r="M15" s="1014"/>
      <c r="N15" s="634"/>
      <c r="O15" s="1014">
        <f>Height</f>
        <v>0</v>
      </c>
      <c r="P15" s="1014"/>
      <c r="Q15" s="1014"/>
      <c r="R15" s="1014"/>
      <c r="S15" s="1014"/>
      <c r="T15" s="1014"/>
      <c r="U15" s="1014"/>
      <c r="V15" s="1014"/>
      <c r="W15" s="1014"/>
      <c r="X15" s="1014"/>
      <c r="Y15" s="1014"/>
      <c r="Z15" s="635"/>
      <c r="AA15" s="1014">
        <f>Weight</f>
        <v>0</v>
      </c>
      <c r="AB15" s="1014"/>
      <c r="AC15" s="1014"/>
      <c r="AD15" s="1014"/>
      <c r="AE15" s="1014"/>
      <c r="AF15" s="1014"/>
      <c r="AG15" s="1014"/>
      <c r="AH15" s="1014"/>
      <c r="AI15" s="1014"/>
      <c r="AJ15" s="1014"/>
      <c r="AK15" s="1014"/>
      <c r="AL15" s="635"/>
      <c r="AM15" s="636"/>
      <c r="AN15" s="1014">
        <f>Eyes</f>
        <v>0</v>
      </c>
      <c r="AO15" s="1014"/>
      <c r="AP15" s="1014"/>
      <c r="AQ15" s="1014"/>
      <c r="AR15" s="1014"/>
      <c r="AS15" s="1014"/>
      <c r="AT15" s="1014"/>
      <c r="AU15" s="1014"/>
      <c r="AV15" s="1014"/>
      <c r="AW15" s="1014"/>
      <c r="AX15" s="1014"/>
      <c r="AY15" s="635"/>
      <c r="AZ15" s="1014">
        <f>Hair</f>
        <v>0</v>
      </c>
      <c r="BA15" s="1014"/>
      <c r="BB15" s="1014"/>
      <c r="BC15" s="1014"/>
      <c r="BD15" s="1014"/>
      <c r="BE15" s="1014"/>
      <c r="BF15" s="1014"/>
      <c r="BG15" s="1014"/>
      <c r="BH15" s="1014"/>
      <c r="BI15" s="1014"/>
      <c r="BJ15" s="1014"/>
      <c r="BK15" s="635"/>
      <c r="BL15" s="1014">
        <f>Skin</f>
        <v>0</v>
      </c>
      <c r="BM15" s="1014"/>
      <c r="BN15" s="1014"/>
      <c r="BO15" s="1014"/>
      <c r="BP15" s="1014"/>
      <c r="BQ15" s="1014"/>
      <c r="BR15" s="1014"/>
      <c r="BS15" s="1014"/>
      <c r="BT15" s="1014"/>
      <c r="BU15" s="1014"/>
      <c r="BV15" s="1014"/>
      <c r="BW15" s="180"/>
      <c r="BX15" s="184"/>
      <c r="BY15" s="184"/>
      <c r="BZ15" s="179"/>
      <c r="CA15" s="159"/>
      <c r="CB15" s="159"/>
      <c r="CC15" s="159"/>
      <c r="CD15" s="159"/>
      <c r="CE15" s="159"/>
      <c r="CF15" s="159"/>
      <c r="CG15" s="159"/>
      <c r="CH15" s="159"/>
      <c r="CI15" s="159"/>
      <c r="CJ15" s="159"/>
      <c r="CK15" s="159"/>
      <c r="CL15" s="159"/>
      <c r="CM15" s="159"/>
      <c r="CN15" s="159"/>
      <c r="CO15" s="159"/>
      <c r="CP15" s="159"/>
      <c r="CQ15" s="159"/>
      <c r="CR15" s="159"/>
      <c r="CS15" s="159"/>
      <c r="CT15" s="159"/>
      <c r="CU15" s="159"/>
      <c r="CV15" s="159"/>
      <c r="CW15" s="159"/>
      <c r="CX15" s="159"/>
      <c r="CY15" s="159"/>
      <c r="CZ15" s="159"/>
      <c r="DA15" s="159"/>
      <c r="DB15" s="159"/>
      <c r="DC15" s="159"/>
      <c r="DD15" s="159"/>
      <c r="DE15" s="159"/>
      <c r="DF15" s="159"/>
      <c r="DG15" s="159"/>
      <c r="DH15" s="159"/>
      <c r="DI15" s="159"/>
      <c r="DJ15" s="159"/>
      <c r="DK15" s="159"/>
      <c r="DL15" s="159"/>
      <c r="DM15" s="159"/>
      <c r="DN15" s="159"/>
      <c r="DO15" s="159"/>
      <c r="DP15" s="159"/>
      <c r="DQ15" s="159"/>
      <c r="DR15" s="159"/>
      <c r="DS15" s="159"/>
      <c r="DT15" s="159"/>
      <c r="DU15" s="159"/>
      <c r="DV15" s="159"/>
      <c r="DW15" s="159"/>
      <c r="DX15" s="159"/>
      <c r="DY15" s="159"/>
      <c r="DZ15" s="159"/>
      <c r="EA15" s="159"/>
      <c r="EB15" s="159"/>
      <c r="EC15" s="159"/>
      <c r="ED15" s="159"/>
      <c r="EE15" s="159"/>
      <c r="EF15" s="159"/>
      <c r="EG15" s="159"/>
      <c r="EH15" s="159"/>
      <c r="EI15" s="159"/>
      <c r="EJ15" s="159"/>
      <c r="EK15" s="159"/>
      <c r="EL15" s="159"/>
      <c r="EM15" s="159"/>
      <c r="EN15" s="159"/>
      <c r="EO15" s="159"/>
      <c r="EP15" s="159"/>
      <c r="EQ15" s="159"/>
      <c r="ER15" s="159"/>
      <c r="ES15" s="159"/>
      <c r="ET15" s="159"/>
      <c r="EU15" s="180"/>
      <c r="EV15" s="184"/>
    </row>
    <row r="16" spans="1:152" ht="6.75" customHeight="1" x14ac:dyDescent="0.25">
      <c r="A16" s="184"/>
      <c r="B16" s="179"/>
      <c r="C16" s="1014"/>
      <c r="D16" s="1014"/>
      <c r="E16" s="1014"/>
      <c r="F16" s="1014"/>
      <c r="G16" s="1014"/>
      <c r="H16" s="1014"/>
      <c r="I16" s="1014"/>
      <c r="J16" s="1014"/>
      <c r="K16" s="1014"/>
      <c r="L16" s="1014"/>
      <c r="M16" s="1014"/>
      <c r="N16" s="634"/>
      <c r="O16" s="1014"/>
      <c r="P16" s="1014"/>
      <c r="Q16" s="1014"/>
      <c r="R16" s="1014"/>
      <c r="S16" s="1014"/>
      <c r="T16" s="1014"/>
      <c r="U16" s="1014"/>
      <c r="V16" s="1014"/>
      <c r="W16" s="1014"/>
      <c r="X16" s="1014"/>
      <c r="Y16" s="1014"/>
      <c r="Z16" s="635"/>
      <c r="AA16" s="1014"/>
      <c r="AB16" s="1014"/>
      <c r="AC16" s="1014"/>
      <c r="AD16" s="1014"/>
      <c r="AE16" s="1014"/>
      <c r="AF16" s="1014"/>
      <c r="AG16" s="1014"/>
      <c r="AH16" s="1014"/>
      <c r="AI16" s="1014"/>
      <c r="AJ16" s="1014"/>
      <c r="AK16" s="1014"/>
      <c r="AL16" s="635"/>
      <c r="AM16" s="636"/>
      <c r="AN16" s="1014"/>
      <c r="AO16" s="1014"/>
      <c r="AP16" s="1014"/>
      <c r="AQ16" s="1014"/>
      <c r="AR16" s="1014"/>
      <c r="AS16" s="1014"/>
      <c r="AT16" s="1014"/>
      <c r="AU16" s="1014"/>
      <c r="AV16" s="1014"/>
      <c r="AW16" s="1014"/>
      <c r="AX16" s="1014"/>
      <c r="AY16" s="635"/>
      <c r="AZ16" s="1014"/>
      <c r="BA16" s="1014"/>
      <c r="BB16" s="1014"/>
      <c r="BC16" s="1014"/>
      <c r="BD16" s="1014"/>
      <c r="BE16" s="1014"/>
      <c r="BF16" s="1014"/>
      <c r="BG16" s="1014"/>
      <c r="BH16" s="1014"/>
      <c r="BI16" s="1014"/>
      <c r="BJ16" s="1014"/>
      <c r="BK16" s="635"/>
      <c r="BL16" s="1014"/>
      <c r="BM16" s="1014"/>
      <c r="BN16" s="1014"/>
      <c r="BO16" s="1014"/>
      <c r="BP16" s="1014"/>
      <c r="BQ16" s="1014"/>
      <c r="BR16" s="1014"/>
      <c r="BS16" s="1014"/>
      <c r="BT16" s="1014"/>
      <c r="BU16" s="1014"/>
      <c r="BV16" s="1014"/>
      <c r="BW16" s="180"/>
      <c r="BX16" s="184"/>
      <c r="BY16" s="184"/>
      <c r="BZ16" s="179"/>
      <c r="CA16" s="159"/>
      <c r="CB16" s="159"/>
      <c r="CC16" s="159"/>
      <c r="CD16" s="159"/>
      <c r="CE16" s="159"/>
      <c r="CF16" s="159"/>
      <c r="CG16" s="159"/>
      <c r="CH16" s="159"/>
      <c r="CI16" s="159"/>
      <c r="CJ16" s="159"/>
      <c r="CK16" s="159"/>
      <c r="CL16" s="159"/>
      <c r="CM16" s="159"/>
      <c r="CN16" s="159"/>
      <c r="CO16" s="159"/>
      <c r="CP16" s="159"/>
      <c r="CQ16" s="159"/>
      <c r="CR16" s="159"/>
      <c r="CS16" s="159"/>
      <c r="CT16" s="159"/>
      <c r="CU16" s="159"/>
      <c r="CV16" s="159"/>
      <c r="CW16" s="159"/>
      <c r="CX16" s="159"/>
      <c r="CY16" s="159"/>
      <c r="CZ16" s="159"/>
      <c r="DA16" s="159"/>
      <c r="DB16" s="159"/>
      <c r="DC16" s="159"/>
      <c r="DD16" s="159"/>
      <c r="DE16" s="159"/>
      <c r="DF16" s="159"/>
      <c r="DG16" s="159"/>
      <c r="DH16" s="159"/>
      <c r="DI16" s="159"/>
      <c r="DJ16" s="159"/>
      <c r="DK16" s="159"/>
      <c r="DL16" s="159"/>
      <c r="DM16" s="159"/>
      <c r="DN16" s="159"/>
      <c r="DO16" s="159"/>
      <c r="DP16" s="159"/>
      <c r="DQ16" s="159"/>
      <c r="DR16" s="159"/>
      <c r="DS16" s="159"/>
      <c r="DT16" s="159"/>
      <c r="DU16" s="159"/>
      <c r="DV16" s="159"/>
      <c r="DW16" s="159"/>
      <c r="DX16" s="159"/>
      <c r="DY16" s="159"/>
      <c r="DZ16" s="159"/>
      <c r="EA16" s="159"/>
      <c r="EB16" s="159"/>
      <c r="EC16" s="159"/>
      <c r="ED16" s="159"/>
      <c r="EE16" s="159"/>
      <c r="EF16" s="159"/>
      <c r="EG16" s="159"/>
      <c r="EH16" s="159"/>
      <c r="EI16" s="159"/>
      <c r="EJ16" s="159"/>
      <c r="EK16" s="159"/>
      <c r="EL16" s="159"/>
      <c r="EM16" s="159"/>
      <c r="EN16" s="159"/>
      <c r="EO16" s="159"/>
      <c r="EP16" s="159"/>
      <c r="EQ16" s="159"/>
      <c r="ER16" s="159"/>
      <c r="ES16" s="159"/>
      <c r="ET16" s="159"/>
      <c r="EU16" s="180"/>
      <c r="EV16" s="184"/>
    </row>
    <row r="17" spans="1:152" ht="6.75" customHeight="1" x14ac:dyDescent="0.25">
      <c r="A17" s="184"/>
      <c r="B17" s="179"/>
      <c r="C17" s="1014"/>
      <c r="D17" s="1014"/>
      <c r="E17" s="1014"/>
      <c r="F17" s="1014"/>
      <c r="G17" s="1014"/>
      <c r="H17" s="1014"/>
      <c r="I17" s="1014"/>
      <c r="J17" s="1014"/>
      <c r="K17" s="1014"/>
      <c r="L17" s="1014"/>
      <c r="M17" s="1014"/>
      <c r="N17" s="634"/>
      <c r="O17" s="1014"/>
      <c r="P17" s="1014"/>
      <c r="Q17" s="1014"/>
      <c r="R17" s="1014"/>
      <c r="S17" s="1014"/>
      <c r="T17" s="1014"/>
      <c r="U17" s="1014"/>
      <c r="V17" s="1014"/>
      <c r="W17" s="1014"/>
      <c r="X17" s="1014"/>
      <c r="Y17" s="1014"/>
      <c r="Z17" s="635"/>
      <c r="AA17" s="1014"/>
      <c r="AB17" s="1014"/>
      <c r="AC17" s="1014"/>
      <c r="AD17" s="1014"/>
      <c r="AE17" s="1014"/>
      <c r="AF17" s="1014"/>
      <c r="AG17" s="1014"/>
      <c r="AH17" s="1014"/>
      <c r="AI17" s="1014"/>
      <c r="AJ17" s="1014"/>
      <c r="AK17" s="1014"/>
      <c r="AL17" s="635"/>
      <c r="AM17" s="636"/>
      <c r="AN17" s="1014"/>
      <c r="AO17" s="1014"/>
      <c r="AP17" s="1014"/>
      <c r="AQ17" s="1014"/>
      <c r="AR17" s="1014"/>
      <c r="AS17" s="1014"/>
      <c r="AT17" s="1014"/>
      <c r="AU17" s="1014"/>
      <c r="AV17" s="1014"/>
      <c r="AW17" s="1014"/>
      <c r="AX17" s="1014"/>
      <c r="AY17" s="635"/>
      <c r="AZ17" s="1014"/>
      <c r="BA17" s="1014"/>
      <c r="BB17" s="1014"/>
      <c r="BC17" s="1014"/>
      <c r="BD17" s="1014"/>
      <c r="BE17" s="1014"/>
      <c r="BF17" s="1014"/>
      <c r="BG17" s="1014"/>
      <c r="BH17" s="1014"/>
      <c r="BI17" s="1014"/>
      <c r="BJ17" s="1014"/>
      <c r="BK17" s="635"/>
      <c r="BL17" s="1014"/>
      <c r="BM17" s="1014"/>
      <c r="BN17" s="1014"/>
      <c r="BO17" s="1014"/>
      <c r="BP17" s="1014"/>
      <c r="BQ17" s="1014"/>
      <c r="BR17" s="1014"/>
      <c r="BS17" s="1014"/>
      <c r="BT17" s="1014"/>
      <c r="BU17" s="1014"/>
      <c r="BV17" s="1014"/>
      <c r="BW17" s="180"/>
      <c r="BX17" s="184"/>
      <c r="BY17" s="184"/>
      <c r="BZ17" s="179"/>
      <c r="CA17" s="159"/>
      <c r="CB17" s="159"/>
      <c r="CC17" s="159"/>
      <c r="CD17" s="159"/>
      <c r="CE17" s="159"/>
      <c r="CF17" s="159"/>
      <c r="CG17" s="159"/>
      <c r="CH17" s="159"/>
      <c r="CI17" s="159"/>
      <c r="CJ17" s="159"/>
      <c r="CK17" s="159"/>
      <c r="CL17" s="159"/>
      <c r="CM17" s="159"/>
      <c r="CN17" s="159"/>
      <c r="CO17" s="159"/>
      <c r="CP17" s="159"/>
      <c r="CQ17" s="159"/>
      <c r="CR17" s="159"/>
      <c r="CS17" s="159"/>
      <c r="CT17" s="159"/>
      <c r="CU17" s="159"/>
      <c r="CV17" s="159"/>
      <c r="CW17" s="159"/>
      <c r="CX17" s="159"/>
      <c r="CY17" s="159"/>
      <c r="CZ17" s="159"/>
      <c r="DA17" s="159"/>
      <c r="DB17" s="159"/>
      <c r="DC17" s="159"/>
      <c r="DD17" s="159"/>
      <c r="DE17" s="159"/>
      <c r="DF17" s="159"/>
      <c r="DG17" s="159"/>
      <c r="DH17" s="159"/>
      <c r="DI17" s="159"/>
      <c r="DJ17" s="159"/>
      <c r="DK17" s="159"/>
      <c r="DL17" s="159"/>
      <c r="DM17" s="159"/>
      <c r="DN17" s="159"/>
      <c r="DO17" s="159"/>
      <c r="DP17" s="159"/>
      <c r="DQ17" s="159"/>
      <c r="DR17" s="159"/>
      <c r="DS17" s="159"/>
      <c r="DT17" s="159"/>
      <c r="DU17" s="159"/>
      <c r="DV17" s="159"/>
      <c r="DW17" s="159"/>
      <c r="DX17" s="159"/>
      <c r="DY17" s="159"/>
      <c r="DZ17" s="159"/>
      <c r="EA17" s="159"/>
      <c r="EB17" s="159"/>
      <c r="EC17" s="159"/>
      <c r="ED17" s="159"/>
      <c r="EE17" s="159"/>
      <c r="EF17" s="159"/>
      <c r="EG17" s="159"/>
      <c r="EH17" s="159"/>
      <c r="EI17" s="159"/>
      <c r="EJ17" s="159"/>
      <c r="EK17" s="159"/>
      <c r="EL17" s="159"/>
      <c r="EM17" s="159"/>
      <c r="EN17" s="159"/>
      <c r="EO17" s="159"/>
      <c r="EP17" s="159"/>
      <c r="EQ17" s="159"/>
      <c r="ER17" s="159"/>
      <c r="ES17" s="159"/>
      <c r="ET17" s="159"/>
      <c r="EU17" s="180"/>
      <c r="EV17" s="184"/>
    </row>
    <row r="18" spans="1:152" ht="6.75" customHeight="1" x14ac:dyDescent="0.25">
      <c r="A18" s="184"/>
      <c r="B18" s="179"/>
      <c r="C18" s="159"/>
      <c r="D18" s="159"/>
      <c r="E18" s="1013" t="s">
        <v>7161</v>
      </c>
      <c r="F18" s="1013"/>
      <c r="G18" s="1013"/>
      <c r="H18" s="1013"/>
      <c r="I18" s="1013"/>
      <c r="J18" s="1013"/>
      <c r="K18" s="1013"/>
      <c r="L18" s="159"/>
      <c r="M18" s="159"/>
      <c r="N18" s="159"/>
      <c r="O18" s="159"/>
      <c r="P18" s="159"/>
      <c r="Q18" s="1013" t="s">
        <v>7162</v>
      </c>
      <c r="R18" s="1013"/>
      <c r="S18" s="1013"/>
      <c r="T18" s="1013"/>
      <c r="U18" s="1013"/>
      <c r="V18" s="1013"/>
      <c r="W18" s="1013"/>
      <c r="X18" s="159"/>
      <c r="Y18" s="159"/>
      <c r="Z18" s="159"/>
      <c r="AA18" s="159"/>
      <c r="AB18" s="159"/>
      <c r="AC18" s="1013" t="s">
        <v>7163</v>
      </c>
      <c r="AD18" s="1013"/>
      <c r="AE18" s="1013"/>
      <c r="AF18" s="1013"/>
      <c r="AG18" s="1013"/>
      <c r="AH18" s="1013"/>
      <c r="AI18" s="1013"/>
      <c r="AJ18" s="159"/>
      <c r="AK18" s="159"/>
      <c r="AL18" s="159"/>
      <c r="AN18" s="159"/>
      <c r="AO18" s="159"/>
      <c r="AP18" s="1013" t="s">
        <v>7164</v>
      </c>
      <c r="AQ18" s="1013"/>
      <c r="AR18" s="1013"/>
      <c r="AS18" s="1013"/>
      <c r="AT18" s="1013"/>
      <c r="AU18" s="1013"/>
      <c r="AV18" s="1013"/>
      <c r="AW18" s="159"/>
      <c r="AX18" s="159"/>
      <c r="AY18" s="159"/>
      <c r="AZ18" s="159"/>
      <c r="BA18" s="159"/>
      <c r="BB18" s="1013" t="s">
        <v>7165</v>
      </c>
      <c r="BC18" s="1013"/>
      <c r="BD18" s="1013"/>
      <c r="BE18" s="1013"/>
      <c r="BF18" s="1013"/>
      <c r="BG18" s="1013"/>
      <c r="BH18" s="1013"/>
      <c r="BI18" s="159"/>
      <c r="BJ18" s="159"/>
      <c r="BK18" s="159"/>
      <c r="BL18" s="159"/>
      <c r="BM18" s="159"/>
      <c r="BN18" s="1013" t="s">
        <v>7166</v>
      </c>
      <c r="BO18" s="1013"/>
      <c r="BP18" s="1013"/>
      <c r="BQ18" s="1013"/>
      <c r="BR18" s="1013"/>
      <c r="BS18" s="1013"/>
      <c r="BT18" s="1013"/>
      <c r="BU18" s="159"/>
      <c r="BV18" s="159"/>
      <c r="BW18" s="180"/>
      <c r="BX18" s="184"/>
      <c r="BY18" s="184"/>
      <c r="BZ18" s="179"/>
      <c r="CA18" s="159"/>
      <c r="CB18" s="159"/>
      <c r="CC18" s="159"/>
      <c r="CD18" s="159"/>
      <c r="CE18" s="159"/>
      <c r="CF18" s="159"/>
      <c r="CG18" s="159"/>
      <c r="CH18" s="159"/>
      <c r="CI18" s="159"/>
      <c r="CJ18" s="159"/>
      <c r="CK18" s="159"/>
      <c r="CL18" s="159"/>
      <c r="CM18" s="159"/>
      <c r="CN18" s="159"/>
      <c r="CO18" s="159"/>
      <c r="CP18" s="159"/>
      <c r="CQ18" s="159"/>
      <c r="CR18" s="159"/>
      <c r="CS18" s="159"/>
      <c r="CT18" s="159"/>
      <c r="CU18" s="159"/>
      <c r="CV18" s="159"/>
      <c r="CW18" s="159"/>
      <c r="CX18" s="159"/>
      <c r="CY18" s="159"/>
      <c r="CZ18" s="159"/>
      <c r="DA18" s="159"/>
      <c r="DB18" s="159"/>
      <c r="DC18" s="159"/>
      <c r="DD18" s="159"/>
      <c r="DE18" s="159"/>
      <c r="DF18" s="159"/>
      <c r="DG18" s="159"/>
      <c r="DH18" s="159"/>
      <c r="DI18" s="159"/>
      <c r="DJ18" s="159"/>
      <c r="DK18" s="159"/>
      <c r="DL18" s="159"/>
      <c r="DM18" s="159"/>
      <c r="DN18" s="159"/>
      <c r="DO18" s="159"/>
      <c r="DP18" s="159"/>
      <c r="DQ18" s="159"/>
      <c r="DR18" s="159"/>
      <c r="DS18" s="159"/>
      <c r="DT18" s="159"/>
      <c r="DU18" s="159"/>
      <c r="DV18" s="159"/>
      <c r="DW18" s="159"/>
      <c r="DX18" s="159"/>
      <c r="DY18" s="159"/>
      <c r="DZ18" s="159"/>
      <c r="EA18" s="159"/>
      <c r="EB18" s="159"/>
      <c r="EC18" s="159"/>
      <c r="ED18" s="159"/>
      <c r="EE18" s="159"/>
      <c r="EF18" s="159"/>
      <c r="EG18" s="159"/>
      <c r="EH18" s="159"/>
      <c r="EI18" s="159"/>
      <c r="EJ18" s="159"/>
      <c r="EK18" s="159"/>
      <c r="EL18" s="159"/>
      <c r="EM18" s="159"/>
      <c r="EN18" s="159"/>
      <c r="EO18" s="159"/>
      <c r="EP18" s="159"/>
      <c r="EQ18" s="159"/>
      <c r="ER18" s="159"/>
      <c r="ES18" s="159"/>
      <c r="ET18" s="159"/>
      <c r="EU18" s="180"/>
      <c r="EV18" s="184"/>
    </row>
    <row r="19" spans="1:152" ht="6.75" customHeight="1" x14ac:dyDescent="0.25">
      <c r="A19" s="184"/>
      <c r="B19" s="179"/>
      <c r="C19" s="159"/>
      <c r="D19" s="159"/>
      <c r="E19" s="1013"/>
      <c r="F19" s="1013"/>
      <c r="G19" s="1013"/>
      <c r="H19" s="1013"/>
      <c r="I19" s="1013"/>
      <c r="J19" s="1013"/>
      <c r="K19" s="1013"/>
      <c r="L19" s="159"/>
      <c r="M19" s="159"/>
      <c r="N19" s="159"/>
      <c r="O19" s="159"/>
      <c r="P19" s="159"/>
      <c r="Q19" s="1013"/>
      <c r="R19" s="1013"/>
      <c r="S19" s="1013"/>
      <c r="T19" s="1013"/>
      <c r="U19" s="1013"/>
      <c r="V19" s="1013"/>
      <c r="W19" s="1013"/>
      <c r="X19" s="159"/>
      <c r="Y19" s="159"/>
      <c r="Z19" s="159"/>
      <c r="AA19" s="159"/>
      <c r="AB19" s="159"/>
      <c r="AC19" s="1013"/>
      <c r="AD19" s="1013"/>
      <c r="AE19" s="1013"/>
      <c r="AF19" s="1013"/>
      <c r="AG19" s="1013"/>
      <c r="AH19" s="1013"/>
      <c r="AI19" s="1013"/>
      <c r="AJ19" s="159"/>
      <c r="AK19" s="159"/>
      <c r="AL19" s="159"/>
      <c r="AN19" s="159"/>
      <c r="AO19" s="159"/>
      <c r="AP19" s="1013"/>
      <c r="AQ19" s="1013"/>
      <c r="AR19" s="1013"/>
      <c r="AS19" s="1013"/>
      <c r="AT19" s="1013"/>
      <c r="AU19" s="1013"/>
      <c r="AV19" s="1013"/>
      <c r="AW19" s="159"/>
      <c r="AX19" s="159"/>
      <c r="AY19" s="159"/>
      <c r="AZ19" s="159"/>
      <c r="BA19" s="159"/>
      <c r="BB19" s="1013"/>
      <c r="BC19" s="1013"/>
      <c r="BD19" s="1013"/>
      <c r="BE19" s="1013"/>
      <c r="BF19" s="1013"/>
      <c r="BG19" s="1013"/>
      <c r="BH19" s="1013"/>
      <c r="BI19" s="159"/>
      <c r="BJ19" s="159"/>
      <c r="BK19" s="159"/>
      <c r="BL19" s="159"/>
      <c r="BM19" s="159"/>
      <c r="BN19" s="1013"/>
      <c r="BO19" s="1013"/>
      <c r="BP19" s="1013"/>
      <c r="BQ19" s="1013"/>
      <c r="BR19" s="1013"/>
      <c r="BS19" s="1013"/>
      <c r="BT19" s="1013"/>
      <c r="BU19" s="159"/>
      <c r="BV19" s="159"/>
      <c r="BW19" s="180"/>
      <c r="BX19" s="184"/>
      <c r="BY19" s="184"/>
      <c r="BZ19" s="17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80"/>
      <c r="EV19" s="184"/>
    </row>
    <row r="20" spans="1:152" ht="6.75" customHeight="1" x14ac:dyDescent="0.25">
      <c r="A20" s="184"/>
      <c r="B20" s="17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BV20" s="159"/>
      <c r="BW20" s="180"/>
      <c r="BX20" s="184"/>
      <c r="BY20" s="184"/>
      <c r="BZ20" s="179"/>
      <c r="CA20" s="159"/>
      <c r="CB20" s="159"/>
      <c r="CC20" s="159"/>
      <c r="CD20" s="159"/>
      <c r="CE20" s="159"/>
      <c r="CF20" s="159"/>
      <c r="CG20" s="159"/>
      <c r="CH20" s="159"/>
      <c r="CI20" s="159"/>
      <c r="CJ20" s="159"/>
      <c r="CK20" s="159"/>
      <c r="CL20" s="159"/>
      <c r="CM20" s="159"/>
      <c r="CN20" s="159"/>
      <c r="CO20" s="159"/>
      <c r="CP20" s="159"/>
      <c r="CQ20" s="159"/>
      <c r="CR20" s="159"/>
      <c r="CS20" s="159"/>
      <c r="CT20" s="159"/>
      <c r="CU20" s="159"/>
      <c r="CV20" s="159"/>
      <c r="CW20" s="159"/>
      <c r="CX20" s="159"/>
      <c r="CY20" s="159"/>
      <c r="CZ20" s="159"/>
      <c r="DA20" s="159"/>
      <c r="DB20" s="159"/>
      <c r="DC20" s="159"/>
      <c r="DD20" s="159"/>
      <c r="DE20" s="159"/>
      <c r="DF20" s="159"/>
      <c r="DG20" s="159"/>
      <c r="DH20" s="159"/>
      <c r="DI20" s="159"/>
      <c r="DJ20" s="159"/>
      <c r="DK20" s="159"/>
      <c r="DL20" s="159"/>
      <c r="DM20" s="159"/>
      <c r="DN20" s="159"/>
      <c r="DO20" s="159"/>
      <c r="DP20" s="159"/>
      <c r="DQ20" s="159"/>
      <c r="DR20" s="159"/>
      <c r="DS20" s="159"/>
      <c r="DT20" s="159"/>
      <c r="DU20" s="159"/>
      <c r="DV20" s="159"/>
      <c r="DW20" s="159"/>
      <c r="DX20" s="159"/>
      <c r="DY20" s="159"/>
      <c r="DZ20" s="159"/>
      <c r="EA20" s="159"/>
      <c r="EB20" s="159"/>
      <c r="EC20" s="159"/>
      <c r="ED20" s="159"/>
      <c r="EE20" s="159"/>
      <c r="EF20" s="159"/>
      <c r="EG20" s="159"/>
      <c r="EH20" s="159"/>
      <c r="EI20" s="159"/>
      <c r="EJ20" s="159"/>
      <c r="EK20" s="159"/>
      <c r="EL20" s="159"/>
      <c r="EM20" s="159"/>
      <c r="EN20" s="159"/>
      <c r="EO20" s="159"/>
      <c r="EP20" s="159"/>
      <c r="EQ20" s="159"/>
      <c r="ER20" s="159"/>
      <c r="ES20" s="159"/>
      <c r="ET20" s="159"/>
      <c r="EU20" s="180"/>
      <c r="EV20" s="184"/>
    </row>
    <row r="21" spans="1:152" ht="6.75" customHeight="1" x14ac:dyDescent="0.25">
      <c r="A21" s="184"/>
      <c r="B21" s="179"/>
      <c r="C21" s="159"/>
      <c r="D21" s="159"/>
      <c r="E21" s="159"/>
      <c r="F21" s="159"/>
      <c r="G21" s="159"/>
      <c r="H21" s="159"/>
      <c r="I21" s="159"/>
      <c r="J21" s="159"/>
      <c r="K21" s="159"/>
      <c r="L21" s="159"/>
      <c r="M21" s="159"/>
      <c r="N21" s="159"/>
      <c r="O21" s="159"/>
      <c r="P21" s="159"/>
      <c r="Q21" s="159"/>
      <c r="R21" s="159"/>
      <c r="S21" s="159"/>
      <c r="T21" s="159"/>
      <c r="U21" s="159"/>
      <c r="V21" s="159"/>
      <c r="W21" s="159"/>
      <c r="X21" s="159"/>
      <c r="Y21" s="159"/>
      <c r="Z21" s="159"/>
      <c r="AA21" s="159"/>
      <c r="AB21" s="159"/>
      <c r="AC21" s="159"/>
      <c r="AD21" s="159"/>
      <c r="AE21" s="159"/>
      <c r="AF21" s="159"/>
      <c r="AG21" s="159"/>
      <c r="AH21" s="159"/>
      <c r="AI21" s="159"/>
      <c r="AJ21" s="159"/>
      <c r="AK21" s="159"/>
      <c r="AM21" s="1013" t="s">
        <v>579</v>
      </c>
      <c r="AN21" s="1013"/>
      <c r="AO21" s="1013"/>
      <c r="AP21" s="1013"/>
      <c r="AQ21" s="1013"/>
      <c r="AR21" s="1013"/>
      <c r="AS21" s="1013"/>
      <c r="AT21" s="1013"/>
      <c r="AU21" s="1013"/>
      <c r="AV21" s="1013"/>
      <c r="AW21" s="1013"/>
      <c r="AX21" s="1013"/>
      <c r="AY21" s="1013"/>
      <c r="AZ21" s="1013"/>
      <c r="BA21" s="1013"/>
      <c r="BB21" s="1013"/>
      <c r="BC21" s="159"/>
      <c r="BD21" s="159"/>
      <c r="BE21" s="159"/>
      <c r="BF21" s="159"/>
      <c r="BG21" s="159"/>
      <c r="BH21" s="159"/>
      <c r="BI21" s="159"/>
      <c r="BJ21" s="159"/>
      <c r="BK21" s="159"/>
      <c r="BL21" s="159"/>
      <c r="BM21" s="159"/>
      <c r="BN21" s="159"/>
      <c r="BO21" s="159"/>
      <c r="BP21" s="159"/>
      <c r="BQ21" s="159"/>
      <c r="BR21" s="159"/>
      <c r="BS21" s="159"/>
      <c r="BT21" s="159"/>
      <c r="BU21" s="159"/>
      <c r="BV21" s="159"/>
      <c r="BW21" s="180"/>
      <c r="BX21" s="184"/>
      <c r="BY21" s="184"/>
      <c r="BZ21" s="179"/>
      <c r="CA21" s="159"/>
      <c r="CB21" s="159"/>
      <c r="CC21" s="159"/>
      <c r="CD21" s="159"/>
      <c r="CE21" s="159"/>
      <c r="CF21" s="159"/>
      <c r="CG21" s="159"/>
      <c r="CH21" s="159"/>
      <c r="CI21" s="159"/>
      <c r="CJ21" s="159"/>
      <c r="CK21" s="159"/>
      <c r="CL21" s="159"/>
      <c r="CM21" s="159"/>
      <c r="CN21" s="159"/>
      <c r="CO21" s="159"/>
      <c r="CP21" s="159"/>
      <c r="CQ21" s="159"/>
      <c r="CR21" s="159"/>
      <c r="CS21" s="159"/>
      <c r="CT21" s="159"/>
      <c r="CU21" s="159"/>
      <c r="CV21" s="159"/>
      <c r="CW21" s="159"/>
      <c r="CX21" s="159"/>
      <c r="CY21" s="159"/>
      <c r="CZ21" s="159"/>
      <c r="DA21" s="159"/>
      <c r="DB21" s="159"/>
      <c r="DC21" s="159"/>
      <c r="DD21" s="159"/>
      <c r="DE21" s="159"/>
      <c r="DF21" s="159"/>
      <c r="DG21" s="159"/>
      <c r="DH21" s="159"/>
      <c r="DI21" s="159"/>
      <c r="DJ21" s="159"/>
      <c r="DK21" s="159"/>
      <c r="DL21" s="159"/>
      <c r="DM21" s="159"/>
      <c r="DN21" s="159"/>
      <c r="DO21" s="159"/>
      <c r="DP21" s="159"/>
      <c r="DQ21" s="159"/>
      <c r="DR21" s="159"/>
      <c r="DS21" s="159"/>
      <c r="DT21" s="159"/>
      <c r="DU21" s="159"/>
      <c r="DV21" s="159"/>
      <c r="DW21" s="159"/>
      <c r="DX21" s="159"/>
      <c r="DY21" s="159"/>
      <c r="DZ21" s="159"/>
      <c r="EA21" s="159"/>
      <c r="EB21" s="159"/>
      <c r="EC21" s="159"/>
      <c r="ED21" s="159"/>
      <c r="EE21" s="159"/>
      <c r="EF21" s="159"/>
      <c r="EG21" s="159"/>
      <c r="EH21" s="159"/>
      <c r="EI21" s="159"/>
      <c r="EJ21" s="159"/>
      <c r="EK21" s="159"/>
      <c r="EL21" s="159"/>
      <c r="EM21" s="159"/>
      <c r="EN21" s="159"/>
      <c r="EO21" s="159"/>
      <c r="EP21" s="159"/>
      <c r="EQ21" s="159"/>
      <c r="ER21" s="159"/>
      <c r="ES21" s="159"/>
      <c r="ET21" s="159"/>
      <c r="EU21" s="180"/>
      <c r="EV21" s="184"/>
    </row>
    <row r="22" spans="1:152" ht="6.75" customHeight="1" x14ac:dyDescent="0.25">
      <c r="A22" s="184"/>
      <c r="B22" s="179"/>
      <c r="C22" s="159"/>
      <c r="D22" s="159"/>
      <c r="E22" s="159"/>
      <c r="F22" s="159"/>
      <c r="G22" s="159"/>
      <c r="H22" s="159"/>
      <c r="I22" s="159"/>
      <c r="J22" s="159"/>
      <c r="K22" s="159"/>
      <c r="L22" s="159"/>
      <c r="M22" s="159"/>
      <c r="N22" s="159"/>
      <c r="O22" s="159"/>
      <c r="P22" s="159"/>
      <c r="Q22" s="159"/>
      <c r="R22" s="159"/>
      <c r="S22" s="159"/>
      <c r="T22" s="159"/>
      <c r="U22" s="159"/>
      <c r="V22" s="159"/>
      <c r="W22" s="159"/>
      <c r="X22" s="159"/>
      <c r="Y22" s="159"/>
      <c r="Z22" s="159"/>
      <c r="AA22" s="159"/>
      <c r="AB22" s="159"/>
      <c r="AC22" s="159"/>
      <c r="AD22" s="159"/>
      <c r="AE22" s="159"/>
      <c r="AF22" s="159"/>
      <c r="AG22" s="159"/>
      <c r="AH22" s="159"/>
      <c r="AM22" s="1013"/>
      <c r="AN22" s="1013"/>
      <c r="AO22" s="1013"/>
      <c r="AP22" s="1013"/>
      <c r="AQ22" s="1013"/>
      <c r="AR22" s="1013"/>
      <c r="AS22" s="1013"/>
      <c r="AT22" s="1013"/>
      <c r="AU22" s="1013"/>
      <c r="AV22" s="1013"/>
      <c r="AW22" s="1013"/>
      <c r="AX22" s="1013"/>
      <c r="AY22" s="1013"/>
      <c r="AZ22" s="1013"/>
      <c r="BA22" s="1013"/>
      <c r="BB22" s="1013"/>
      <c r="BW22" s="180"/>
      <c r="BX22" s="184"/>
      <c r="BY22" s="184"/>
      <c r="BZ22" s="179"/>
      <c r="CA22" s="159"/>
      <c r="CB22" s="159"/>
      <c r="CC22" s="159"/>
      <c r="CD22" s="159"/>
      <c r="CE22" s="159"/>
      <c r="CF22" s="159"/>
      <c r="CG22" s="159"/>
      <c r="CH22" s="159"/>
      <c r="CI22" s="159"/>
      <c r="CJ22" s="159"/>
      <c r="CK22" s="159"/>
      <c r="CL22" s="159"/>
      <c r="CM22" s="159"/>
      <c r="CN22" s="159"/>
      <c r="CO22" s="159"/>
      <c r="CP22" s="159"/>
      <c r="CQ22" s="159"/>
      <c r="CR22" s="159"/>
      <c r="CS22" s="159"/>
      <c r="CT22" s="159"/>
      <c r="CU22" s="159"/>
      <c r="CV22" s="159"/>
      <c r="CW22" s="159"/>
      <c r="CX22" s="159"/>
      <c r="CY22" s="159"/>
      <c r="CZ22" s="159"/>
      <c r="DA22" s="159"/>
      <c r="DB22" s="159"/>
      <c r="DC22" s="159"/>
      <c r="DD22" s="159"/>
      <c r="DE22" s="159"/>
      <c r="DF22" s="159"/>
      <c r="DG22" s="159"/>
      <c r="DH22" s="159"/>
      <c r="DI22" s="159"/>
      <c r="DJ22" s="159"/>
      <c r="DK22" s="159"/>
      <c r="DL22" s="159"/>
      <c r="DM22" s="159"/>
      <c r="DN22" s="159"/>
      <c r="DO22" s="159"/>
      <c r="DP22" s="159"/>
      <c r="DQ22" s="159"/>
      <c r="DR22" s="159"/>
      <c r="DS22" s="159"/>
      <c r="DT22" s="159"/>
      <c r="DU22" s="159"/>
      <c r="DV22" s="159"/>
      <c r="DW22" s="159"/>
      <c r="DX22" s="159"/>
      <c r="DY22" s="159"/>
      <c r="DZ22" s="159"/>
      <c r="EA22" s="159"/>
      <c r="EB22" s="159"/>
      <c r="EC22" s="159"/>
      <c r="ED22" s="159"/>
      <c r="EE22" s="159"/>
      <c r="EF22" s="159"/>
      <c r="EG22" s="159"/>
      <c r="EH22" s="159"/>
      <c r="EI22" s="159"/>
      <c r="EJ22" s="159"/>
      <c r="EK22" s="159"/>
      <c r="EL22" s="159"/>
      <c r="EM22" s="159"/>
      <c r="EN22" s="159"/>
      <c r="EO22" s="159"/>
      <c r="EP22" s="159"/>
      <c r="EQ22" s="159"/>
      <c r="ER22" s="159"/>
      <c r="ES22" s="159"/>
      <c r="ET22" s="159"/>
      <c r="EU22" s="180"/>
      <c r="EV22" s="184"/>
    </row>
    <row r="23" spans="1:152" ht="6.75" customHeight="1" x14ac:dyDescent="0.3">
      <c r="A23" s="184"/>
      <c r="B23" s="179"/>
      <c r="C23" s="159"/>
      <c r="D23" s="159"/>
      <c r="E23" s="159"/>
      <c r="F23" s="159"/>
      <c r="G23" s="159"/>
      <c r="H23" s="159"/>
      <c r="I23" s="1011" t="s">
        <v>7040</v>
      </c>
      <c r="J23" s="1011"/>
      <c r="K23" s="1011"/>
      <c r="L23" s="1011"/>
      <c r="M23" s="1011"/>
      <c r="N23" s="640"/>
      <c r="O23" s="1011" t="s">
        <v>2235</v>
      </c>
      <c r="P23" s="1011"/>
      <c r="Q23" s="1011"/>
      <c r="R23" s="1011"/>
      <c r="S23" s="1011"/>
      <c r="T23" s="438"/>
      <c r="U23" s="1012" t="s">
        <v>7170</v>
      </c>
      <c r="V23" s="1011"/>
      <c r="W23" s="1011"/>
      <c r="X23" s="1011"/>
      <c r="Y23" s="1011"/>
      <c r="Z23" s="159"/>
      <c r="AA23" s="159"/>
      <c r="AB23" s="159"/>
      <c r="AC23" s="159"/>
      <c r="AD23" s="159"/>
      <c r="AE23" s="159"/>
      <c r="AF23" s="159"/>
      <c r="AG23" s="159"/>
      <c r="AH23" s="159"/>
      <c r="AM23" s="1010" t="str">
        <f>Ideal</f>
        <v>Charity. I steal from the wealthy so that I can help people in need. (Good)</v>
      </c>
      <c r="AN23" s="1010"/>
      <c r="AO23" s="1010"/>
      <c r="AP23" s="1010"/>
      <c r="AQ23" s="1010"/>
      <c r="AR23" s="1010"/>
      <c r="AS23" s="1010"/>
      <c r="AT23" s="1010"/>
      <c r="AU23" s="1010"/>
      <c r="AV23" s="1010"/>
      <c r="AW23" s="1010"/>
      <c r="AX23" s="1010"/>
      <c r="AY23" s="1010"/>
      <c r="AZ23" s="1010"/>
      <c r="BA23" s="1010"/>
      <c r="BB23" s="1010"/>
      <c r="BC23" s="1010"/>
      <c r="BD23" s="1010"/>
      <c r="BE23" s="1010"/>
      <c r="BF23" s="1010"/>
      <c r="BG23" s="1010"/>
      <c r="BH23" s="1010"/>
      <c r="BI23" s="1010"/>
      <c r="BJ23" s="1010"/>
      <c r="BK23" s="1010"/>
      <c r="BL23" s="1010"/>
      <c r="BM23" s="1010"/>
      <c r="BN23" s="1010"/>
      <c r="BO23" s="1010"/>
      <c r="BP23" s="1010"/>
      <c r="BQ23" s="1010"/>
      <c r="BR23" s="1010"/>
      <c r="BS23" s="1010"/>
      <c r="BT23" s="1010"/>
      <c r="BU23" s="1010"/>
      <c r="BV23" s="1010"/>
      <c r="BW23" s="180"/>
      <c r="BX23" s="184"/>
      <c r="BY23" s="184"/>
      <c r="BZ23" s="179"/>
      <c r="CA23" s="159"/>
      <c r="CB23" s="159"/>
      <c r="CC23" s="159"/>
      <c r="CD23" s="159"/>
      <c r="CE23" s="159"/>
      <c r="CF23" s="159"/>
      <c r="CG23" s="159"/>
      <c r="CH23" s="159"/>
      <c r="CI23" s="159"/>
      <c r="CJ23" s="159"/>
      <c r="CK23" s="159"/>
      <c r="CL23" s="159"/>
      <c r="CM23" s="159"/>
      <c r="CN23" s="159"/>
      <c r="CO23" s="159"/>
      <c r="CP23" s="159"/>
      <c r="CQ23" s="159"/>
      <c r="CR23" s="159"/>
      <c r="CS23" s="159"/>
      <c r="CT23" s="159"/>
      <c r="CU23" s="159"/>
      <c r="CV23" s="159"/>
      <c r="CW23" s="159"/>
      <c r="CX23" s="159"/>
      <c r="CY23" s="159"/>
      <c r="CZ23" s="159"/>
      <c r="DA23" s="159"/>
      <c r="DB23" s="159"/>
      <c r="DC23" s="159"/>
      <c r="DD23" s="159"/>
      <c r="DE23" s="159"/>
      <c r="DF23" s="159"/>
      <c r="DG23" s="159"/>
      <c r="DH23" s="159"/>
      <c r="DI23" s="159"/>
      <c r="DJ23" s="159"/>
      <c r="DK23" s="159"/>
      <c r="DL23" s="159"/>
      <c r="DM23" s="159"/>
      <c r="DN23" s="159"/>
      <c r="DO23" s="159"/>
      <c r="DP23" s="159"/>
      <c r="DQ23" s="159"/>
      <c r="DR23" s="159"/>
      <c r="DS23" s="159"/>
      <c r="DT23" s="159"/>
      <c r="DU23" s="159"/>
      <c r="DV23" s="159"/>
      <c r="DW23" s="159"/>
      <c r="DX23" s="159"/>
      <c r="DY23" s="159"/>
      <c r="DZ23" s="159"/>
      <c r="EA23" s="159"/>
      <c r="EB23" s="159"/>
      <c r="EC23" s="159"/>
      <c r="ED23" s="159"/>
      <c r="EE23" s="159"/>
      <c r="EF23" s="159"/>
      <c r="EG23" s="159"/>
      <c r="EH23" s="159"/>
      <c r="EI23" s="159"/>
      <c r="EJ23" s="159"/>
      <c r="EK23" s="159"/>
      <c r="EL23" s="159"/>
      <c r="EM23" s="159"/>
      <c r="EN23" s="159"/>
      <c r="EO23" s="159"/>
      <c r="EP23" s="159"/>
      <c r="EQ23" s="159"/>
      <c r="ER23" s="159"/>
      <c r="ES23" s="159"/>
      <c r="ET23" s="159"/>
      <c r="EU23" s="180"/>
      <c r="EV23" s="184"/>
    </row>
    <row r="24" spans="1:152" ht="6.75" customHeight="1" x14ac:dyDescent="0.3">
      <c r="A24" s="184"/>
      <c r="B24" s="179"/>
      <c r="C24" s="159"/>
      <c r="D24" s="159"/>
      <c r="E24" s="159"/>
      <c r="F24" s="159"/>
      <c r="G24" s="159"/>
      <c r="H24" s="159"/>
      <c r="I24" s="1011"/>
      <c r="J24" s="1011"/>
      <c r="K24" s="1011"/>
      <c r="L24" s="1011"/>
      <c r="M24" s="1011"/>
      <c r="N24" s="640"/>
      <c r="O24" s="1011"/>
      <c r="P24" s="1011"/>
      <c r="Q24" s="1011"/>
      <c r="R24" s="1011"/>
      <c r="S24" s="1011"/>
      <c r="T24" s="438"/>
      <c r="U24" s="1011"/>
      <c r="V24" s="1011"/>
      <c r="W24" s="1011"/>
      <c r="X24" s="1011"/>
      <c r="Y24" s="1011"/>
      <c r="Z24" s="159"/>
      <c r="AA24" s="159"/>
      <c r="AB24" s="159"/>
      <c r="AC24" s="159"/>
      <c r="AD24" s="159"/>
      <c r="AE24" s="159"/>
      <c r="AF24" s="159"/>
      <c r="AG24" s="159"/>
      <c r="AH24" s="159"/>
      <c r="AM24" s="1010"/>
      <c r="AN24" s="1010"/>
      <c r="AO24" s="1010"/>
      <c r="AP24" s="1010"/>
      <c r="AQ24" s="1010"/>
      <c r="AR24" s="1010"/>
      <c r="AS24" s="1010"/>
      <c r="AT24" s="1010"/>
      <c r="AU24" s="1010"/>
      <c r="AV24" s="1010"/>
      <c r="AW24" s="1010"/>
      <c r="AX24" s="1010"/>
      <c r="AY24" s="1010"/>
      <c r="AZ24" s="1010"/>
      <c r="BA24" s="1010"/>
      <c r="BB24" s="1010"/>
      <c r="BC24" s="1010"/>
      <c r="BD24" s="1010"/>
      <c r="BE24" s="1010"/>
      <c r="BF24" s="1010"/>
      <c r="BG24" s="1010"/>
      <c r="BH24" s="1010"/>
      <c r="BI24" s="1010"/>
      <c r="BJ24" s="1010"/>
      <c r="BK24" s="1010"/>
      <c r="BL24" s="1010"/>
      <c r="BM24" s="1010"/>
      <c r="BN24" s="1010"/>
      <c r="BO24" s="1010"/>
      <c r="BP24" s="1010"/>
      <c r="BQ24" s="1010"/>
      <c r="BR24" s="1010"/>
      <c r="BS24" s="1010"/>
      <c r="BT24" s="1010"/>
      <c r="BU24" s="1010"/>
      <c r="BV24" s="1010"/>
      <c r="BW24" s="180"/>
      <c r="BX24" s="184"/>
      <c r="BY24" s="184"/>
      <c r="BZ24" s="179"/>
      <c r="CA24" s="159"/>
      <c r="CB24" s="159"/>
      <c r="CC24" s="159"/>
      <c r="CD24" s="159"/>
      <c r="CE24" s="159"/>
      <c r="CF24" s="159"/>
      <c r="CG24" s="159"/>
      <c r="CH24" s="159"/>
      <c r="CI24" s="159"/>
      <c r="CJ24" s="159"/>
      <c r="CK24" s="159"/>
      <c r="CL24" s="159"/>
      <c r="CM24" s="159"/>
      <c r="CN24" s="159"/>
      <c r="CO24" s="159"/>
      <c r="CP24" s="159"/>
      <c r="CQ24" s="159"/>
      <c r="CR24" s="159"/>
      <c r="CS24" s="159"/>
      <c r="CT24" s="159"/>
      <c r="CU24" s="159"/>
      <c r="CV24" s="159"/>
      <c r="CW24" s="159"/>
      <c r="CX24" s="159"/>
      <c r="CY24" s="159"/>
      <c r="CZ24" s="159"/>
      <c r="DA24" s="159"/>
      <c r="DB24" s="159"/>
      <c r="DC24" s="159"/>
      <c r="DD24" s="159"/>
      <c r="DE24" s="159"/>
      <c r="DF24" s="159"/>
      <c r="DG24" s="159"/>
      <c r="DH24" s="159"/>
      <c r="DI24" s="159"/>
      <c r="DJ24" s="159"/>
      <c r="DK24" s="159"/>
      <c r="DL24" s="159"/>
      <c r="DM24" s="159"/>
      <c r="DN24" s="159"/>
      <c r="DO24" s="159"/>
      <c r="DP24" s="159"/>
      <c r="DQ24" s="159"/>
      <c r="DR24" s="159"/>
      <c r="DS24" s="159"/>
      <c r="DT24" s="159"/>
      <c r="DU24" s="159"/>
      <c r="DV24" s="159"/>
      <c r="DW24" s="159"/>
      <c r="DX24" s="159"/>
      <c r="DY24" s="159"/>
      <c r="DZ24" s="159"/>
      <c r="EA24" s="159"/>
      <c r="EB24" s="159"/>
      <c r="EC24" s="159"/>
      <c r="ED24" s="159"/>
      <c r="EE24" s="159"/>
      <c r="EF24" s="159"/>
      <c r="EG24" s="159"/>
      <c r="EH24" s="159"/>
      <c r="EI24" s="159"/>
      <c r="EJ24" s="159"/>
      <c r="EK24" s="159"/>
      <c r="EL24" s="159"/>
      <c r="EM24" s="159"/>
      <c r="EN24" s="159"/>
      <c r="EO24" s="159"/>
      <c r="EP24" s="159"/>
      <c r="EQ24" s="159"/>
      <c r="ER24" s="159"/>
      <c r="ES24" s="159"/>
      <c r="ET24" s="159"/>
      <c r="EU24" s="180"/>
      <c r="EV24" s="184"/>
    </row>
    <row r="25" spans="1:152" ht="6.75" customHeight="1" x14ac:dyDescent="0.3">
      <c r="A25" s="184"/>
      <c r="B25" s="179"/>
      <c r="C25" s="159"/>
      <c r="D25" s="159"/>
      <c r="E25" s="159"/>
      <c r="F25" s="159"/>
      <c r="G25" s="159"/>
      <c r="H25" s="159"/>
      <c r="I25" s="1011"/>
      <c r="J25" s="1011"/>
      <c r="K25" s="1011"/>
      <c r="L25" s="1011"/>
      <c r="M25" s="1011"/>
      <c r="N25" s="640"/>
      <c r="O25" s="1011"/>
      <c r="P25" s="1011"/>
      <c r="Q25" s="1011"/>
      <c r="R25" s="1011"/>
      <c r="S25" s="1011"/>
      <c r="T25" s="438"/>
      <c r="U25" s="1011"/>
      <c r="V25" s="1011"/>
      <c r="W25" s="1011"/>
      <c r="X25" s="1011"/>
      <c r="Y25" s="1011"/>
      <c r="Z25" s="159"/>
      <c r="AA25" s="159"/>
      <c r="AB25" s="159"/>
      <c r="AC25" s="159"/>
      <c r="AD25" s="159"/>
      <c r="AE25" s="159"/>
      <c r="AF25" s="159"/>
      <c r="AG25" s="159"/>
      <c r="AH25" s="159"/>
      <c r="AM25" s="1010"/>
      <c r="AN25" s="1010"/>
      <c r="AO25" s="1010"/>
      <c r="AP25" s="1010"/>
      <c r="AQ25" s="1010"/>
      <c r="AR25" s="1010"/>
      <c r="AS25" s="1010"/>
      <c r="AT25" s="1010"/>
      <c r="AU25" s="1010"/>
      <c r="AV25" s="1010"/>
      <c r="AW25" s="1010"/>
      <c r="AX25" s="1010"/>
      <c r="AY25" s="1010"/>
      <c r="AZ25" s="1010"/>
      <c r="BA25" s="1010"/>
      <c r="BB25" s="1010"/>
      <c r="BC25" s="1010"/>
      <c r="BD25" s="1010"/>
      <c r="BE25" s="1010"/>
      <c r="BF25" s="1010"/>
      <c r="BG25" s="1010"/>
      <c r="BH25" s="1010"/>
      <c r="BI25" s="1010"/>
      <c r="BJ25" s="1010"/>
      <c r="BK25" s="1010"/>
      <c r="BL25" s="1010"/>
      <c r="BM25" s="1010"/>
      <c r="BN25" s="1010"/>
      <c r="BO25" s="1010"/>
      <c r="BP25" s="1010"/>
      <c r="BQ25" s="1010"/>
      <c r="BR25" s="1010"/>
      <c r="BS25" s="1010"/>
      <c r="BT25" s="1010"/>
      <c r="BU25" s="1010"/>
      <c r="BV25" s="1010"/>
      <c r="BW25" s="180"/>
      <c r="BX25" s="184"/>
      <c r="BY25" s="184"/>
      <c r="BZ25" s="179"/>
      <c r="CA25" s="159"/>
      <c r="CB25" s="159"/>
      <c r="CC25" s="159"/>
      <c r="CD25" s="159"/>
      <c r="CE25" s="159"/>
      <c r="CF25" s="159"/>
      <c r="CG25" s="159"/>
      <c r="CH25" s="159"/>
      <c r="CI25" s="159"/>
      <c r="CJ25" s="159"/>
      <c r="CK25" s="159"/>
      <c r="CL25" s="159"/>
      <c r="CM25" s="159"/>
      <c r="CN25" s="159"/>
      <c r="CO25" s="159"/>
      <c r="CP25" s="159"/>
      <c r="CQ25" s="159"/>
      <c r="CR25" s="159"/>
      <c r="CS25" s="159"/>
      <c r="CT25" s="159"/>
      <c r="CU25" s="159"/>
      <c r="CV25" s="159"/>
      <c r="CW25" s="159"/>
      <c r="CX25" s="159"/>
      <c r="CY25" s="159"/>
      <c r="CZ25" s="159"/>
      <c r="DA25" s="159"/>
      <c r="DB25" s="159"/>
      <c r="DC25" s="159"/>
      <c r="DD25" s="159"/>
      <c r="DE25" s="159"/>
      <c r="DF25" s="159"/>
      <c r="DG25" s="159"/>
      <c r="DH25" s="159"/>
      <c r="DI25" s="159"/>
      <c r="DJ25" s="159"/>
      <c r="DK25" s="159"/>
      <c r="DL25" s="159"/>
      <c r="DM25" s="159"/>
      <c r="DN25" s="159"/>
      <c r="DO25" s="159"/>
      <c r="DP25" s="159"/>
      <c r="DQ25" s="159"/>
      <c r="DR25" s="159"/>
      <c r="DS25" s="159"/>
      <c r="DT25" s="159"/>
      <c r="DU25" s="159"/>
      <c r="DV25" s="159"/>
      <c r="DW25" s="159"/>
      <c r="DX25" s="159"/>
      <c r="DY25" s="159"/>
      <c r="DZ25" s="159"/>
      <c r="EA25" s="159"/>
      <c r="EB25" s="159"/>
      <c r="EC25" s="159"/>
      <c r="ED25" s="159"/>
      <c r="EE25" s="159"/>
      <c r="EF25" s="159"/>
      <c r="EG25" s="159"/>
      <c r="EH25" s="159"/>
      <c r="EI25" s="159"/>
      <c r="EJ25" s="159"/>
      <c r="EK25" s="159"/>
      <c r="EL25" s="159"/>
      <c r="EM25" s="159"/>
      <c r="EN25" s="159"/>
      <c r="EO25" s="159"/>
      <c r="EP25" s="159"/>
      <c r="EQ25" s="159"/>
      <c r="ER25" s="159"/>
      <c r="ES25" s="159"/>
      <c r="ET25" s="159"/>
      <c r="EU25" s="180"/>
      <c r="EV25" s="184"/>
    </row>
    <row r="26" spans="1:152" ht="6.75" customHeight="1" x14ac:dyDescent="0.3">
      <c r="A26" s="184"/>
      <c r="B26" s="179"/>
      <c r="C26" s="159"/>
      <c r="D26" s="159"/>
      <c r="E26" s="159"/>
      <c r="F26" s="159"/>
      <c r="G26" s="159"/>
      <c r="H26" s="159"/>
      <c r="I26" s="1011"/>
      <c r="J26" s="1011"/>
      <c r="K26" s="1011"/>
      <c r="L26" s="1011"/>
      <c r="M26" s="1011"/>
      <c r="N26" s="640"/>
      <c r="O26" s="1011"/>
      <c r="P26" s="1011"/>
      <c r="Q26" s="1011"/>
      <c r="R26" s="1011"/>
      <c r="S26" s="1011"/>
      <c r="T26" s="438"/>
      <c r="U26" s="1011"/>
      <c r="V26" s="1011"/>
      <c r="W26" s="1011"/>
      <c r="X26" s="1011"/>
      <c r="Y26" s="1011"/>
      <c r="Z26" s="159"/>
      <c r="AA26" s="159"/>
      <c r="AB26" s="159"/>
      <c r="AC26" s="159"/>
      <c r="AD26" s="159"/>
      <c r="AE26" s="159"/>
      <c r="AF26" s="159"/>
      <c r="AG26" s="159"/>
      <c r="AH26" s="159"/>
      <c r="AM26" s="1010"/>
      <c r="AN26" s="1010"/>
      <c r="AO26" s="1010"/>
      <c r="AP26" s="1010"/>
      <c r="AQ26" s="1010"/>
      <c r="AR26" s="1010"/>
      <c r="AS26" s="1010"/>
      <c r="AT26" s="1010"/>
      <c r="AU26" s="1010"/>
      <c r="AV26" s="1010"/>
      <c r="AW26" s="1010"/>
      <c r="AX26" s="1010"/>
      <c r="AY26" s="1010"/>
      <c r="AZ26" s="1010"/>
      <c r="BA26" s="1010"/>
      <c r="BB26" s="1010"/>
      <c r="BC26" s="1010"/>
      <c r="BD26" s="1010"/>
      <c r="BE26" s="1010"/>
      <c r="BF26" s="1010"/>
      <c r="BG26" s="1010"/>
      <c r="BH26" s="1010"/>
      <c r="BI26" s="1010"/>
      <c r="BJ26" s="1010"/>
      <c r="BK26" s="1010"/>
      <c r="BL26" s="1010"/>
      <c r="BM26" s="1010"/>
      <c r="BN26" s="1010"/>
      <c r="BO26" s="1010"/>
      <c r="BP26" s="1010"/>
      <c r="BQ26" s="1010"/>
      <c r="BR26" s="1010"/>
      <c r="BS26" s="1010"/>
      <c r="BT26" s="1010"/>
      <c r="BU26" s="1010"/>
      <c r="BV26" s="1010"/>
      <c r="BW26" s="180"/>
      <c r="BX26" s="184"/>
      <c r="BY26" s="184"/>
      <c r="BZ26" s="179"/>
      <c r="CA26" s="159"/>
      <c r="CB26" s="159"/>
      <c r="CC26" s="159"/>
      <c r="CD26" s="159"/>
      <c r="CE26" s="159"/>
      <c r="CF26" s="159"/>
      <c r="CG26" s="159"/>
      <c r="CH26" s="159"/>
      <c r="CI26" s="159"/>
      <c r="CJ26" s="159"/>
      <c r="CK26" s="159"/>
      <c r="CL26" s="159"/>
      <c r="CM26" s="159"/>
      <c r="CN26" s="159"/>
      <c r="CO26" s="159"/>
      <c r="CP26" s="159"/>
      <c r="CQ26" s="159"/>
      <c r="CR26" s="159"/>
      <c r="CS26" s="159"/>
      <c r="CT26" s="159"/>
      <c r="CU26" s="159"/>
      <c r="CV26" s="159"/>
      <c r="CW26" s="159"/>
      <c r="CX26" s="159"/>
      <c r="CY26" s="159"/>
      <c r="CZ26" s="159"/>
      <c r="DA26" s="159"/>
      <c r="DB26" s="159"/>
      <c r="DC26" s="159"/>
      <c r="DD26" s="159"/>
      <c r="DE26" s="159"/>
      <c r="DF26" s="159"/>
      <c r="DG26" s="159"/>
      <c r="DH26" s="159"/>
      <c r="DI26" s="159"/>
      <c r="DJ26" s="159"/>
      <c r="DK26" s="159"/>
      <c r="DL26" s="159"/>
      <c r="DM26" s="159"/>
      <c r="DN26" s="159"/>
      <c r="DO26" s="159"/>
      <c r="DP26" s="159"/>
      <c r="DQ26" s="159"/>
      <c r="DR26" s="159"/>
      <c r="DS26" s="159"/>
      <c r="DT26" s="159"/>
      <c r="DU26" s="159"/>
      <c r="DV26" s="159"/>
      <c r="DW26" s="159"/>
      <c r="DX26" s="159"/>
      <c r="DY26" s="159"/>
      <c r="DZ26" s="159"/>
      <c r="EA26" s="159"/>
      <c r="EB26" s="159"/>
      <c r="EC26" s="159"/>
      <c r="ED26" s="159"/>
      <c r="EE26" s="159"/>
      <c r="EF26" s="159"/>
      <c r="EG26" s="159"/>
      <c r="EH26" s="159"/>
      <c r="EI26" s="159"/>
      <c r="EJ26" s="159"/>
      <c r="EK26" s="159"/>
      <c r="EL26" s="159"/>
      <c r="EM26" s="159"/>
      <c r="EN26" s="159"/>
      <c r="EO26" s="159"/>
      <c r="EP26" s="159"/>
      <c r="EQ26" s="159"/>
      <c r="ER26" s="159"/>
      <c r="ES26" s="159"/>
      <c r="ET26" s="159"/>
      <c r="EU26" s="180"/>
      <c r="EV26" s="184"/>
    </row>
    <row r="27" spans="1:152" ht="6.75" customHeight="1" x14ac:dyDescent="0.25">
      <c r="A27" s="184"/>
      <c r="B27" s="179"/>
      <c r="C27" s="159"/>
      <c r="D27" s="159"/>
      <c r="E27" s="159"/>
      <c r="F27" s="159"/>
      <c r="G27" s="159"/>
      <c r="H27" s="159"/>
      <c r="I27" s="159"/>
      <c r="J27" s="159"/>
      <c r="K27" s="159"/>
      <c r="L27" s="159"/>
      <c r="M27" s="159"/>
      <c r="N27" s="159"/>
      <c r="O27" s="159"/>
      <c r="P27" s="159"/>
      <c r="Q27" s="159"/>
      <c r="R27" s="159"/>
      <c r="S27" s="159"/>
      <c r="T27" s="159"/>
      <c r="U27" s="159"/>
      <c r="V27" s="159"/>
      <c r="W27" s="159"/>
      <c r="X27" s="159"/>
      <c r="Y27" s="159"/>
      <c r="Z27" s="159"/>
      <c r="AA27" s="159"/>
      <c r="AB27" s="159"/>
      <c r="AC27" s="159"/>
      <c r="AD27" s="159"/>
      <c r="AE27" s="159"/>
      <c r="AF27" s="159"/>
      <c r="AG27" s="159"/>
      <c r="AH27" s="159"/>
      <c r="AI27" s="159"/>
      <c r="AJ27" s="159"/>
      <c r="AK27" s="159"/>
      <c r="AM27" s="1010"/>
      <c r="AN27" s="1010"/>
      <c r="AO27" s="1010"/>
      <c r="AP27" s="1010"/>
      <c r="AQ27" s="1010"/>
      <c r="AR27" s="1010"/>
      <c r="AS27" s="1010"/>
      <c r="AT27" s="1010"/>
      <c r="AU27" s="1010"/>
      <c r="AV27" s="1010"/>
      <c r="AW27" s="1010"/>
      <c r="AX27" s="1010"/>
      <c r="AY27" s="1010"/>
      <c r="AZ27" s="1010"/>
      <c r="BA27" s="1010"/>
      <c r="BB27" s="1010"/>
      <c r="BC27" s="1010"/>
      <c r="BD27" s="1010"/>
      <c r="BE27" s="1010"/>
      <c r="BF27" s="1010"/>
      <c r="BG27" s="1010"/>
      <c r="BH27" s="1010"/>
      <c r="BI27" s="1010"/>
      <c r="BJ27" s="1010"/>
      <c r="BK27" s="1010"/>
      <c r="BL27" s="1010"/>
      <c r="BM27" s="1010"/>
      <c r="BN27" s="1010"/>
      <c r="BO27" s="1010"/>
      <c r="BP27" s="1010"/>
      <c r="BQ27" s="1010"/>
      <c r="BR27" s="1010"/>
      <c r="BS27" s="1010"/>
      <c r="BT27" s="1010"/>
      <c r="BU27" s="1010"/>
      <c r="BV27" s="1010"/>
      <c r="BW27" s="180"/>
      <c r="BX27" s="184"/>
      <c r="BY27" s="184"/>
      <c r="BZ27" s="179"/>
      <c r="CA27" s="159"/>
      <c r="CB27" s="159"/>
      <c r="CC27" s="159"/>
      <c r="CD27" s="159"/>
      <c r="CE27" s="159"/>
      <c r="CF27" s="159"/>
      <c r="CG27" s="159"/>
      <c r="CH27" s="159"/>
      <c r="CI27" s="159"/>
      <c r="CJ27" s="159"/>
      <c r="CK27" s="159"/>
      <c r="CL27" s="159"/>
      <c r="CM27" s="159"/>
      <c r="CN27" s="159"/>
      <c r="CO27" s="159"/>
      <c r="CP27" s="159"/>
      <c r="CQ27" s="159"/>
      <c r="CR27" s="159"/>
      <c r="CS27" s="159"/>
      <c r="CT27" s="159"/>
      <c r="CU27" s="159"/>
      <c r="CV27" s="159"/>
      <c r="CW27" s="159"/>
      <c r="CX27" s="159"/>
      <c r="CY27" s="159"/>
      <c r="CZ27" s="159"/>
      <c r="DA27" s="159"/>
      <c r="DB27" s="159"/>
      <c r="DC27" s="159"/>
      <c r="DD27" s="159"/>
      <c r="DE27" s="159"/>
      <c r="DF27" s="159"/>
      <c r="DG27" s="159"/>
      <c r="DH27" s="159"/>
      <c r="DI27" s="159"/>
      <c r="DJ27" s="159"/>
      <c r="DK27" s="159"/>
      <c r="DL27" s="159"/>
      <c r="DM27" s="159"/>
      <c r="DN27" s="159"/>
      <c r="DO27" s="159"/>
      <c r="DP27" s="159"/>
      <c r="DQ27" s="159"/>
      <c r="DR27" s="159"/>
      <c r="DS27" s="159"/>
      <c r="DT27" s="159"/>
      <c r="DU27" s="159"/>
      <c r="DV27" s="159"/>
      <c r="DW27" s="159"/>
      <c r="DX27" s="159"/>
      <c r="DY27" s="159"/>
      <c r="DZ27" s="159"/>
      <c r="EA27" s="159"/>
      <c r="EB27" s="159"/>
      <c r="EC27" s="159"/>
      <c r="ED27" s="159"/>
      <c r="EE27" s="159"/>
      <c r="EF27" s="159"/>
      <c r="EG27" s="159"/>
      <c r="EH27" s="159"/>
      <c r="EI27" s="159"/>
      <c r="EJ27" s="159"/>
      <c r="EK27" s="159"/>
      <c r="EL27" s="159"/>
      <c r="EM27" s="159"/>
      <c r="EN27" s="159"/>
      <c r="EO27" s="159"/>
      <c r="EP27" s="159"/>
      <c r="EQ27" s="159"/>
      <c r="ER27" s="159"/>
      <c r="ES27" s="159"/>
      <c r="ET27" s="159"/>
      <c r="EU27" s="180"/>
      <c r="EV27" s="184"/>
    </row>
    <row r="28" spans="1:152" ht="6.75" customHeight="1" x14ac:dyDescent="0.25">
      <c r="A28" s="184"/>
      <c r="B28" s="179"/>
      <c r="C28" s="1016" t="s">
        <v>113</v>
      </c>
      <c r="D28" s="1016"/>
      <c r="E28" s="1016"/>
      <c r="F28" s="1016"/>
      <c r="G28" s="1016"/>
      <c r="H28" s="159"/>
      <c r="I28" s="1017">
        <f>Strength</f>
        <v>14</v>
      </c>
      <c r="J28" s="1017"/>
      <c r="K28" s="1017"/>
      <c r="L28" s="1017"/>
      <c r="M28" s="1017"/>
      <c r="N28" s="637"/>
      <c r="O28" s="1015">
        <f>StrMod</f>
        <v>2</v>
      </c>
      <c r="P28" s="1015"/>
      <c r="Q28" s="1015"/>
      <c r="R28" s="1015"/>
      <c r="S28" s="1015"/>
      <c r="T28" s="638"/>
      <c r="U28" s="1015" t="e">
        <f>StrengthST</f>
        <v>#N/A</v>
      </c>
      <c r="V28" s="1015"/>
      <c r="W28" s="1015"/>
      <c r="X28" s="1015"/>
      <c r="Y28" s="1015"/>
      <c r="Z28" s="159"/>
      <c r="AA28" s="159"/>
      <c r="AB28" s="159"/>
      <c r="AC28" s="159"/>
      <c r="AD28" s="159"/>
      <c r="AE28" s="159"/>
      <c r="AF28" s="159"/>
      <c r="AG28" s="159"/>
      <c r="AH28" s="159"/>
      <c r="AI28" s="159"/>
      <c r="AJ28" s="159"/>
      <c r="AK28" s="159"/>
      <c r="AM28" s="1010"/>
      <c r="AN28" s="1010"/>
      <c r="AO28" s="1010"/>
      <c r="AP28" s="1010"/>
      <c r="AQ28" s="1010"/>
      <c r="AR28" s="1010"/>
      <c r="AS28" s="1010"/>
      <c r="AT28" s="1010"/>
      <c r="AU28" s="1010"/>
      <c r="AV28" s="1010"/>
      <c r="AW28" s="1010"/>
      <c r="AX28" s="1010"/>
      <c r="AY28" s="1010"/>
      <c r="AZ28" s="1010"/>
      <c r="BA28" s="1010"/>
      <c r="BB28" s="1010"/>
      <c r="BC28" s="1010"/>
      <c r="BD28" s="1010"/>
      <c r="BE28" s="1010"/>
      <c r="BF28" s="1010"/>
      <c r="BG28" s="1010"/>
      <c r="BH28" s="1010"/>
      <c r="BI28" s="1010"/>
      <c r="BJ28" s="1010"/>
      <c r="BK28" s="1010"/>
      <c r="BL28" s="1010"/>
      <c r="BM28" s="1010"/>
      <c r="BN28" s="1010"/>
      <c r="BO28" s="1010"/>
      <c r="BP28" s="1010"/>
      <c r="BQ28" s="1010"/>
      <c r="BR28" s="1010"/>
      <c r="BS28" s="1010"/>
      <c r="BT28" s="1010"/>
      <c r="BU28" s="1010"/>
      <c r="BV28" s="1010"/>
      <c r="BW28" s="180"/>
      <c r="BX28" s="184"/>
      <c r="BY28" s="184"/>
      <c r="BZ28" s="179"/>
      <c r="CA28" s="159"/>
      <c r="CB28" s="159"/>
      <c r="CC28" s="159"/>
      <c r="CD28" s="159"/>
      <c r="CE28" s="159"/>
      <c r="CF28" s="159"/>
      <c r="CG28" s="159"/>
      <c r="CH28" s="159"/>
      <c r="CI28" s="159"/>
      <c r="CJ28" s="159"/>
      <c r="CK28" s="159"/>
      <c r="CL28" s="159"/>
      <c r="CM28" s="159"/>
      <c r="CN28" s="159"/>
      <c r="CO28" s="159"/>
      <c r="CP28" s="159"/>
      <c r="CQ28" s="159"/>
      <c r="CR28" s="159"/>
      <c r="CS28" s="159"/>
      <c r="CT28" s="159"/>
      <c r="CU28" s="159"/>
      <c r="CV28" s="159"/>
      <c r="CW28" s="159"/>
      <c r="CX28" s="159"/>
      <c r="CY28" s="159"/>
      <c r="CZ28" s="159"/>
      <c r="DA28" s="159"/>
      <c r="DB28" s="159"/>
      <c r="DC28" s="159"/>
      <c r="DD28" s="159"/>
      <c r="DE28" s="159"/>
      <c r="DF28" s="159"/>
      <c r="DG28" s="159"/>
      <c r="DH28" s="159"/>
      <c r="DI28" s="159"/>
      <c r="DJ28" s="159"/>
      <c r="DK28" s="159"/>
      <c r="DL28" s="159"/>
      <c r="DM28" s="159"/>
      <c r="DN28" s="159"/>
      <c r="DO28" s="159"/>
      <c r="DP28" s="159"/>
      <c r="DQ28" s="159"/>
      <c r="DR28" s="159"/>
      <c r="DS28" s="159"/>
      <c r="DT28" s="159"/>
      <c r="DU28" s="159"/>
      <c r="DV28" s="159"/>
      <c r="DW28" s="159"/>
      <c r="DX28" s="159"/>
      <c r="DY28" s="159"/>
      <c r="DZ28" s="159"/>
      <c r="EA28" s="159"/>
      <c r="EB28" s="159"/>
      <c r="EC28" s="159"/>
      <c r="ED28" s="159"/>
      <c r="EE28" s="159"/>
      <c r="EF28" s="159"/>
      <c r="EG28" s="159"/>
      <c r="EH28" s="159"/>
      <c r="EI28" s="159"/>
      <c r="EJ28" s="159"/>
      <c r="EK28" s="159"/>
      <c r="EL28" s="159"/>
      <c r="EM28" s="159"/>
      <c r="EN28" s="159"/>
      <c r="EO28" s="159"/>
      <c r="EP28" s="159"/>
      <c r="EQ28" s="159"/>
      <c r="ER28" s="159"/>
      <c r="ES28" s="159"/>
      <c r="ET28" s="159"/>
      <c r="EU28" s="180"/>
      <c r="EV28" s="184"/>
    </row>
    <row r="29" spans="1:152" ht="6.75" customHeight="1" x14ac:dyDescent="0.25">
      <c r="A29" s="184"/>
      <c r="B29" s="179"/>
      <c r="C29" s="1016"/>
      <c r="D29" s="1016"/>
      <c r="E29" s="1016"/>
      <c r="F29" s="1016"/>
      <c r="G29" s="1016"/>
      <c r="H29" s="159"/>
      <c r="I29" s="1017"/>
      <c r="J29" s="1017"/>
      <c r="K29" s="1017"/>
      <c r="L29" s="1017"/>
      <c r="M29" s="1017"/>
      <c r="N29" s="637"/>
      <c r="O29" s="1015"/>
      <c r="P29" s="1015"/>
      <c r="Q29" s="1015"/>
      <c r="R29" s="1015"/>
      <c r="S29" s="1015"/>
      <c r="T29" s="638"/>
      <c r="U29" s="1015"/>
      <c r="V29" s="1015"/>
      <c r="W29" s="1015"/>
      <c r="X29" s="1015"/>
      <c r="Y29" s="1015"/>
      <c r="Z29" s="1009" t="str">
        <f>IF(StrST=1,"●","○")</f>
        <v>○</v>
      </c>
      <c r="AA29" s="1009"/>
      <c r="AB29" s="159"/>
      <c r="AC29" s="159"/>
      <c r="AD29" s="159"/>
      <c r="AE29" s="159"/>
      <c r="AF29" s="159"/>
      <c r="AG29" s="159"/>
      <c r="AH29" s="159"/>
      <c r="AI29" s="159"/>
      <c r="AJ29" s="159"/>
      <c r="AK29" s="159"/>
      <c r="AM29" s="1010"/>
      <c r="AN29" s="1010"/>
      <c r="AO29" s="1010"/>
      <c r="AP29" s="1010"/>
      <c r="AQ29" s="1010"/>
      <c r="AR29" s="1010"/>
      <c r="AS29" s="1010"/>
      <c r="AT29" s="1010"/>
      <c r="AU29" s="1010"/>
      <c r="AV29" s="1010"/>
      <c r="AW29" s="1010"/>
      <c r="AX29" s="1010"/>
      <c r="AY29" s="1010"/>
      <c r="AZ29" s="1010"/>
      <c r="BA29" s="1010"/>
      <c r="BB29" s="1010"/>
      <c r="BC29" s="1010"/>
      <c r="BD29" s="1010"/>
      <c r="BE29" s="1010"/>
      <c r="BF29" s="1010"/>
      <c r="BG29" s="1010"/>
      <c r="BH29" s="1010"/>
      <c r="BI29" s="1010"/>
      <c r="BJ29" s="1010"/>
      <c r="BK29" s="1010"/>
      <c r="BL29" s="1010"/>
      <c r="BM29" s="1010"/>
      <c r="BN29" s="1010"/>
      <c r="BO29" s="1010"/>
      <c r="BP29" s="1010"/>
      <c r="BQ29" s="1010"/>
      <c r="BR29" s="1010"/>
      <c r="BS29" s="1010"/>
      <c r="BT29" s="1010"/>
      <c r="BU29" s="1010"/>
      <c r="BV29" s="1010"/>
      <c r="BW29" s="180"/>
      <c r="BX29" s="184"/>
      <c r="BY29" s="184"/>
      <c r="BZ29" s="17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80"/>
      <c r="EV29" s="184"/>
    </row>
    <row r="30" spans="1:152" ht="6.75" customHeight="1" x14ac:dyDescent="0.25">
      <c r="A30" s="184"/>
      <c r="B30" s="179"/>
      <c r="C30" s="1016"/>
      <c r="D30" s="1016"/>
      <c r="E30" s="1016"/>
      <c r="F30" s="1016"/>
      <c r="G30" s="1016"/>
      <c r="H30" s="159"/>
      <c r="I30" s="1017"/>
      <c r="J30" s="1017"/>
      <c r="K30" s="1017"/>
      <c r="L30" s="1017"/>
      <c r="M30" s="1017"/>
      <c r="N30" s="637"/>
      <c r="O30" s="1015"/>
      <c r="P30" s="1015"/>
      <c r="Q30" s="1015"/>
      <c r="R30" s="1015"/>
      <c r="S30" s="1015"/>
      <c r="T30" s="638"/>
      <c r="U30" s="1015"/>
      <c r="V30" s="1015"/>
      <c r="W30" s="1015"/>
      <c r="X30" s="1015"/>
      <c r="Y30" s="1015"/>
      <c r="Z30" s="1009"/>
      <c r="AA30" s="1009"/>
      <c r="AB30" s="159"/>
      <c r="AC30" s="159"/>
      <c r="AD30" s="159"/>
      <c r="AE30" s="159"/>
      <c r="AF30" s="159"/>
      <c r="AG30" s="159"/>
      <c r="AH30" s="159"/>
      <c r="AI30" s="159"/>
      <c r="AJ30" s="159"/>
      <c r="AK30" s="159"/>
      <c r="AM30" s="1010"/>
      <c r="AN30" s="1010"/>
      <c r="AO30" s="1010"/>
      <c r="AP30" s="1010"/>
      <c r="AQ30" s="1010"/>
      <c r="AR30" s="1010"/>
      <c r="AS30" s="1010"/>
      <c r="AT30" s="1010"/>
      <c r="AU30" s="1010"/>
      <c r="AV30" s="1010"/>
      <c r="AW30" s="1010"/>
      <c r="AX30" s="1010"/>
      <c r="AY30" s="1010"/>
      <c r="AZ30" s="1010"/>
      <c r="BA30" s="1010"/>
      <c r="BB30" s="1010"/>
      <c r="BC30" s="1010"/>
      <c r="BD30" s="1010"/>
      <c r="BE30" s="1010"/>
      <c r="BF30" s="1010"/>
      <c r="BG30" s="1010"/>
      <c r="BH30" s="1010"/>
      <c r="BI30" s="1010"/>
      <c r="BJ30" s="1010"/>
      <c r="BK30" s="1010"/>
      <c r="BL30" s="1010"/>
      <c r="BM30" s="1010"/>
      <c r="BN30" s="1010"/>
      <c r="BO30" s="1010"/>
      <c r="BP30" s="1010"/>
      <c r="BQ30" s="1010"/>
      <c r="BR30" s="1010"/>
      <c r="BS30" s="1010"/>
      <c r="BT30" s="1010"/>
      <c r="BU30" s="1010"/>
      <c r="BV30" s="1010"/>
      <c r="BW30" s="180"/>
      <c r="BX30" s="184"/>
      <c r="BY30" s="184"/>
      <c r="BZ30" s="179"/>
      <c r="CA30" s="159"/>
      <c r="CB30" s="159"/>
      <c r="CC30" s="159"/>
      <c r="CD30" s="159"/>
      <c r="CE30" s="159"/>
      <c r="CF30" s="159"/>
      <c r="CG30" s="159"/>
      <c r="CH30" s="159"/>
      <c r="CI30" s="159"/>
      <c r="CJ30" s="159"/>
      <c r="CK30" s="159"/>
      <c r="CL30" s="159"/>
      <c r="CM30" s="159"/>
      <c r="CN30" s="159"/>
      <c r="CO30" s="159"/>
      <c r="CP30" s="159"/>
      <c r="CQ30" s="159"/>
      <c r="CR30" s="159"/>
      <c r="CS30" s="159"/>
      <c r="CT30" s="159"/>
      <c r="CU30" s="159"/>
      <c r="CV30" s="159"/>
      <c r="CW30" s="159"/>
      <c r="CX30" s="159"/>
      <c r="CY30" s="159"/>
      <c r="CZ30" s="159"/>
      <c r="DA30" s="159"/>
      <c r="DB30" s="159"/>
      <c r="DC30" s="159"/>
      <c r="DD30" s="159"/>
      <c r="DE30" s="159"/>
      <c r="DF30" s="159"/>
      <c r="DG30" s="159"/>
      <c r="DH30" s="159"/>
      <c r="DI30" s="159"/>
      <c r="DJ30" s="159"/>
      <c r="DK30" s="159"/>
      <c r="DL30" s="159"/>
      <c r="DM30" s="159"/>
      <c r="DN30" s="159"/>
      <c r="DO30" s="159"/>
      <c r="DP30" s="159"/>
      <c r="DQ30" s="159"/>
      <c r="DR30" s="159"/>
      <c r="DS30" s="159"/>
      <c r="DT30" s="159"/>
      <c r="DU30" s="159"/>
      <c r="DV30" s="159"/>
      <c r="DW30" s="159"/>
      <c r="DX30" s="159"/>
      <c r="DY30" s="159"/>
      <c r="DZ30" s="159"/>
      <c r="EA30" s="159"/>
      <c r="EB30" s="159"/>
      <c r="EC30" s="159"/>
      <c r="ED30" s="159"/>
      <c r="EE30" s="159"/>
      <c r="EF30" s="159"/>
      <c r="EG30" s="159"/>
      <c r="EH30" s="159"/>
      <c r="EI30" s="159"/>
      <c r="EJ30" s="159"/>
      <c r="EK30" s="159"/>
      <c r="EL30" s="159"/>
      <c r="EM30" s="159"/>
      <c r="EN30" s="159"/>
      <c r="EO30" s="159"/>
      <c r="EP30" s="159"/>
      <c r="EQ30" s="159"/>
      <c r="ER30" s="159"/>
      <c r="ES30" s="159"/>
      <c r="ET30" s="159"/>
      <c r="EU30" s="180"/>
      <c r="EV30" s="184"/>
    </row>
    <row r="31" spans="1:152" ht="6.75" customHeight="1" x14ac:dyDescent="0.25">
      <c r="A31" s="184"/>
      <c r="B31" s="179"/>
      <c r="C31" s="1016"/>
      <c r="D31" s="1016"/>
      <c r="E31" s="1016"/>
      <c r="F31" s="1016"/>
      <c r="G31" s="1016"/>
      <c r="H31" s="159"/>
      <c r="I31" s="1017"/>
      <c r="J31" s="1017"/>
      <c r="K31" s="1017"/>
      <c r="L31" s="1017"/>
      <c r="M31" s="1017"/>
      <c r="N31" s="637"/>
      <c r="O31" s="1015"/>
      <c r="P31" s="1015"/>
      <c r="Q31" s="1015"/>
      <c r="R31" s="1015"/>
      <c r="S31" s="1015"/>
      <c r="T31" s="638"/>
      <c r="U31" s="1015"/>
      <c r="V31" s="1015"/>
      <c r="W31" s="1015"/>
      <c r="X31" s="1015"/>
      <c r="Y31" s="1015"/>
      <c r="Z31" s="159"/>
      <c r="AA31" s="159"/>
      <c r="AB31" s="159"/>
      <c r="AC31" s="159"/>
      <c r="AD31" s="159"/>
      <c r="AE31" s="159"/>
      <c r="AF31" s="159"/>
      <c r="AG31" s="159"/>
      <c r="AH31" s="159"/>
      <c r="AI31" s="159"/>
      <c r="AJ31" s="159"/>
      <c r="AK31" s="159"/>
      <c r="AM31" s="1010"/>
      <c r="AN31" s="1010"/>
      <c r="AO31" s="1010"/>
      <c r="AP31" s="1010"/>
      <c r="AQ31" s="1010"/>
      <c r="AR31" s="1010"/>
      <c r="AS31" s="1010"/>
      <c r="AT31" s="1010"/>
      <c r="AU31" s="1010"/>
      <c r="AV31" s="1010"/>
      <c r="AW31" s="1010"/>
      <c r="AX31" s="1010"/>
      <c r="AY31" s="1010"/>
      <c r="AZ31" s="1010"/>
      <c r="BA31" s="1010"/>
      <c r="BB31" s="1010"/>
      <c r="BC31" s="1010"/>
      <c r="BD31" s="1010"/>
      <c r="BE31" s="1010"/>
      <c r="BF31" s="1010"/>
      <c r="BG31" s="1010"/>
      <c r="BH31" s="1010"/>
      <c r="BI31" s="1010"/>
      <c r="BJ31" s="1010"/>
      <c r="BK31" s="1010"/>
      <c r="BL31" s="1010"/>
      <c r="BM31" s="1010"/>
      <c r="BN31" s="1010"/>
      <c r="BO31" s="1010"/>
      <c r="BP31" s="1010"/>
      <c r="BQ31" s="1010"/>
      <c r="BR31" s="1010"/>
      <c r="BS31" s="1010"/>
      <c r="BT31" s="1010"/>
      <c r="BU31" s="1010"/>
      <c r="BV31" s="1010"/>
      <c r="BW31" s="180"/>
      <c r="BX31" s="184"/>
      <c r="BY31" s="184"/>
      <c r="BZ31" s="179"/>
      <c r="CA31" s="159"/>
      <c r="CB31" s="159"/>
      <c r="CC31" s="159"/>
      <c r="CD31" s="159"/>
      <c r="CE31" s="159"/>
      <c r="CF31" s="159"/>
      <c r="CG31" s="159"/>
      <c r="CH31" s="159"/>
      <c r="CI31" s="159"/>
      <c r="CJ31" s="159"/>
      <c r="CK31" s="159"/>
      <c r="CL31" s="159"/>
      <c r="CM31" s="159"/>
      <c r="CN31" s="159"/>
      <c r="CO31" s="159"/>
      <c r="CP31" s="159"/>
      <c r="CQ31" s="159"/>
      <c r="CR31" s="159"/>
      <c r="CS31" s="159"/>
      <c r="CT31" s="159"/>
      <c r="CU31" s="159"/>
      <c r="CV31" s="159"/>
      <c r="CW31" s="159"/>
      <c r="CX31" s="159"/>
      <c r="CY31" s="159"/>
      <c r="CZ31" s="159"/>
      <c r="DA31" s="159"/>
      <c r="DB31" s="159"/>
      <c r="DC31" s="159"/>
      <c r="DD31" s="159"/>
      <c r="DE31" s="159"/>
      <c r="DF31" s="159"/>
      <c r="DG31" s="159"/>
      <c r="DH31" s="159"/>
      <c r="DI31" s="159"/>
      <c r="DJ31" s="159"/>
      <c r="DK31" s="159"/>
      <c r="DL31" s="159"/>
      <c r="DM31" s="159"/>
      <c r="DN31" s="159"/>
      <c r="DO31" s="159"/>
      <c r="DP31" s="159"/>
      <c r="DQ31" s="159"/>
      <c r="DR31" s="159"/>
      <c r="DS31" s="159"/>
      <c r="DT31" s="159"/>
      <c r="DU31" s="159"/>
      <c r="DV31" s="159"/>
      <c r="DW31" s="159"/>
      <c r="DX31" s="159"/>
      <c r="DY31" s="159"/>
      <c r="DZ31" s="159"/>
      <c r="EA31" s="159"/>
      <c r="EB31" s="159"/>
      <c r="EC31" s="159"/>
      <c r="ED31" s="159"/>
      <c r="EE31" s="159"/>
      <c r="EF31" s="159"/>
      <c r="EG31" s="159"/>
      <c r="EH31" s="159"/>
      <c r="EI31" s="159"/>
      <c r="EJ31" s="159"/>
      <c r="EK31" s="159"/>
      <c r="EL31" s="159"/>
      <c r="EM31" s="159"/>
      <c r="EN31" s="159"/>
      <c r="EO31" s="159"/>
      <c r="EP31" s="159"/>
      <c r="EQ31" s="159"/>
      <c r="ER31" s="159"/>
      <c r="ES31" s="159"/>
      <c r="ET31" s="159"/>
      <c r="EU31" s="180"/>
      <c r="EV31" s="184"/>
    </row>
    <row r="32" spans="1:152" ht="6.75" customHeight="1" x14ac:dyDescent="0.3">
      <c r="A32" s="184"/>
      <c r="B32" s="179"/>
      <c r="C32" s="438"/>
      <c r="D32" s="438"/>
      <c r="E32" s="438"/>
      <c r="F32" s="438"/>
      <c r="G32" s="438"/>
      <c r="H32" s="159"/>
      <c r="I32" s="639"/>
      <c r="J32" s="639"/>
      <c r="K32" s="639"/>
      <c r="L32" s="639"/>
      <c r="M32" s="639"/>
      <c r="N32" s="639"/>
      <c r="O32" s="638"/>
      <c r="P32" s="638"/>
      <c r="Q32" s="638"/>
      <c r="R32" s="638"/>
      <c r="S32" s="638"/>
      <c r="T32" s="638"/>
      <c r="U32" s="638"/>
      <c r="V32" s="638"/>
      <c r="W32" s="638"/>
      <c r="X32" s="638"/>
      <c r="Y32" s="638"/>
      <c r="Z32" s="159"/>
      <c r="AA32" s="159"/>
      <c r="AB32" s="159"/>
      <c r="AC32" s="159"/>
      <c r="AD32" s="159"/>
      <c r="AE32" s="159"/>
      <c r="AF32" s="159"/>
      <c r="AG32" s="159"/>
      <c r="AH32" s="159"/>
      <c r="AI32" s="159"/>
      <c r="AJ32" s="159"/>
      <c r="AK32" s="159"/>
      <c r="AM32" s="1013" t="s">
        <v>7169</v>
      </c>
      <c r="AN32" s="1013"/>
      <c r="AO32" s="1013"/>
      <c r="AP32" s="1013"/>
      <c r="AQ32" s="1013"/>
      <c r="AR32" s="1013"/>
      <c r="AS32" s="1013"/>
      <c r="AT32" s="1013"/>
      <c r="AU32" s="1013"/>
      <c r="AV32" s="1013"/>
      <c r="AW32" s="1013"/>
      <c r="AX32" s="1013"/>
      <c r="AY32" s="1013"/>
      <c r="AZ32" s="1013"/>
      <c r="BA32" s="1013"/>
      <c r="BB32" s="1013"/>
      <c r="BW32" s="180"/>
      <c r="BX32" s="184"/>
      <c r="BY32" s="184"/>
      <c r="BZ32" s="179"/>
      <c r="CA32" s="159"/>
      <c r="CB32" s="159"/>
      <c r="CC32" s="159"/>
      <c r="CD32" s="159"/>
      <c r="CE32" s="159"/>
      <c r="CF32" s="159"/>
      <c r="CG32" s="159"/>
      <c r="CH32" s="159"/>
      <c r="CI32" s="159"/>
      <c r="CJ32" s="159"/>
      <c r="CK32" s="159"/>
      <c r="CL32" s="159"/>
      <c r="CM32" s="159"/>
      <c r="CN32" s="159"/>
      <c r="CO32" s="159"/>
      <c r="CP32" s="159"/>
      <c r="CQ32" s="159"/>
      <c r="CR32" s="159"/>
      <c r="CS32" s="159"/>
      <c r="CT32" s="159"/>
      <c r="CU32" s="159"/>
      <c r="CV32" s="159"/>
      <c r="CW32" s="159"/>
      <c r="CX32" s="159"/>
      <c r="CY32" s="159"/>
      <c r="CZ32" s="159"/>
      <c r="DA32" s="159"/>
      <c r="DB32" s="159"/>
      <c r="DC32" s="159"/>
      <c r="DD32" s="159"/>
      <c r="DE32" s="159"/>
      <c r="DF32" s="159"/>
      <c r="DG32" s="159"/>
      <c r="DH32" s="159"/>
      <c r="DI32" s="159"/>
      <c r="DJ32" s="159"/>
      <c r="DK32" s="159"/>
      <c r="DL32" s="159"/>
      <c r="DM32" s="159"/>
      <c r="DN32" s="159"/>
      <c r="DO32" s="159"/>
      <c r="DP32" s="159"/>
      <c r="DQ32" s="159"/>
      <c r="DR32" s="159"/>
      <c r="DS32" s="159"/>
      <c r="DT32" s="159"/>
      <c r="DU32" s="159"/>
      <c r="DV32" s="159"/>
      <c r="DW32" s="159"/>
      <c r="DX32" s="159"/>
      <c r="DY32" s="159"/>
      <c r="DZ32" s="159"/>
      <c r="EA32" s="159"/>
      <c r="EB32" s="159"/>
      <c r="EC32" s="159"/>
      <c r="ED32" s="159"/>
      <c r="EE32" s="159"/>
      <c r="EF32" s="159"/>
      <c r="EG32" s="159"/>
      <c r="EH32" s="159"/>
      <c r="EI32" s="159"/>
      <c r="EJ32" s="159"/>
      <c r="EK32" s="159"/>
      <c r="EL32" s="159"/>
      <c r="EM32" s="159"/>
      <c r="EN32" s="159"/>
      <c r="EO32" s="159"/>
      <c r="EP32" s="159"/>
      <c r="EQ32" s="159"/>
      <c r="ER32" s="159"/>
      <c r="ES32" s="159"/>
      <c r="ET32" s="159"/>
      <c r="EU32" s="180"/>
      <c r="EV32" s="184"/>
    </row>
    <row r="33" spans="1:152" ht="6.75" customHeight="1" x14ac:dyDescent="0.25">
      <c r="A33" s="184"/>
      <c r="B33" s="179"/>
      <c r="C33" s="1016" t="s">
        <v>117</v>
      </c>
      <c r="D33" s="1016"/>
      <c r="E33" s="1016"/>
      <c r="F33" s="1016"/>
      <c r="G33" s="1016"/>
      <c r="H33" s="159"/>
      <c r="I33" s="1017">
        <f>Dexterity</f>
        <v>20</v>
      </c>
      <c r="J33" s="1017"/>
      <c r="K33" s="1017"/>
      <c r="L33" s="1017"/>
      <c r="M33" s="1017"/>
      <c r="N33" s="637"/>
      <c r="O33" s="1015">
        <f>DexMOD</f>
        <v>5</v>
      </c>
      <c r="P33" s="1015"/>
      <c r="Q33" s="1015"/>
      <c r="R33" s="1015"/>
      <c r="S33" s="1015"/>
      <c r="T33" s="638"/>
      <c r="U33" s="1015" t="e">
        <f>DexterityST</f>
        <v>#N/A</v>
      </c>
      <c r="V33" s="1015"/>
      <c r="W33" s="1015"/>
      <c r="X33" s="1015"/>
      <c r="Y33" s="1015"/>
      <c r="Z33" s="159"/>
      <c r="AA33" s="159"/>
      <c r="AB33" s="159"/>
      <c r="AC33" s="159"/>
      <c r="AD33" s="159"/>
      <c r="AE33" s="159"/>
      <c r="AF33" s="159"/>
      <c r="AG33" s="159"/>
      <c r="AH33" s="159"/>
      <c r="AI33" s="159"/>
      <c r="AJ33" s="159"/>
      <c r="AK33" s="159"/>
      <c r="AM33" s="1013"/>
      <c r="AN33" s="1013"/>
      <c r="AO33" s="1013"/>
      <c r="AP33" s="1013"/>
      <c r="AQ33" s="1013"/>
      <c r="AR33" s="1013"/>
      <c r="AS33" s="1013"/>
      <c r="AT33" s="1013"/>
      <c r="AU33" s="1013"/>
      <c r="AV33" s="1013"/>
      <c r="AW33" s="1013"/>
      <c r="AX33" s="1013"/>
      <c r="AY33" s="1013"/>
      <c r="AZ33" s="1013"/>
      <c r="BA33" s="1013"/>
      <c r="BB33" s="1013"/>
      <c r="BW33" s="180"/>
      <c r="BX33" s="184"/>
      <c r="BY33" s="184"/>
      <c r="BZ33" s="179"/>
      <c r="CA33" s="159"/>
      <c r="CB33" s="159"/>
      <c r="CC33" s="159"/>
      <c r="CD33" s="159"/>
      <c r="CE33" s="159"/>
      <c r="CF33" s="159"/>
      <c r="CG33" s="159"/>
      <c r="CH33" s="159"/>
      <c r="CI33" s="159"/>
      <c r="CJ33" s="159"/>
      <c r="CK33" s="159"/>
      <c r="CL33" s="159"/>
      <c r="CM33" s="159"/>
      <c r="CN33" s="159"/>
      <c r="CO33" s="159"/>
      <c r="CP33" s="159"/>
      <c r="CQ33" s="159"/>
      <c r="CR33" s="159"/>
      <c r="CS33" s="159"/>
      <c r="CT33" s="159"/>
      <c r="CU33" s="159"/>
      <c r="CV33" s="159"/>
      <c r="CW33" s="159"/>
      <c r="CX33" s="159"/>
      <c r="CY33" s="159"/>
      <c r="CZ33" s="159"/>
      <c r="DA33" s="159"/>
      <c r="DB33" s="159"/>
      <c r="DC33" s="159"/>
      <c r="DD33" s="159"/>
      <c r="DE33" s="159"/>
      <c r="DF33" s="159"/>
      <c r="DG33" s="159"/>
      <c r="DH33" s="159"/>
      <c r="DI33" s="159"/>
      <c r="DJ33" s="159"/>
      <c r="DK33" s="159"/>
      <c r="DL33" s="159"/>
      <c r="DM33" s="159"/>
      <c r="DN33" s="159"/>
      <c r="DO33" s="159"/>
      <c r="DP33" s="159"/>
      <c r="DQ33" s="159"/>
      <c r="DR33" s="159"/>
      <c r="DS33" s="159"/>
      <c r="DT33" s="159"/>
      <c r="DU33" s="159"/>
      <c r="DV33" s="159"/>
      <c r="DW33" s="159"/>
      <c r="DX33" s="159"/>
      <c r="DY33" s="159"/>
      <c r="DZ33" s="159"/>
      <c r="EA33" s="159"/>
      <c r="EB33" s="159"/>
      <c r="EC33" s="159"/>
      <c r="ED33" s="159"/>
      <c r="EE33" s="159"/>
      <c r="EF33" s="159"/>
      <c r="EG33" s="159"/>
      <c r="EH33" s="159"/>
      <c r="EI33" s="159"/>
      <c r="EJ33" s="159"/>
      <c r="EK33" s="159"/>
      <c r="EL33" s="159"/>
      <c r="EM33" s="159"/>
      <c r="EN33" s="159"/>
      <c r="EO33" s="159"/>
      <c r="EP33" s="159"/>
      <c r="EQ33" s="159"/>
      <c r="ER33" s="159"/>
      <c r="ES33" s="159"/>
      <c r="ET33" s="159"/>
      <c r="EU33" s="180"/>
      <c r="EV33" s="184"/>
    </row>
    <row r="34" spans="1:152" ht="6.75" customHeight="1" x14ac:dyDescent="0.25">
      <c r="A34" s="184"/>
      <c r="B34" s="179"/>
      <c r="C34" s="1016"/>
      <c r="D34" s="1016"/>
      <c r="E34" s="1016"/>
      <c r="F34" s="1016"/>
      <c r="G34" s="1016"/>
      <c r="H34" s="159"/>
      <c r="I34" s="1017"/>
      <c r="J34" s="1017"/>
      <c r="K34" s="1017"/>
      <c r="L34" s="1017"/>
      <c r="M34" s="1017"/>
      <c r="N34" s="637"/>
      <c r="O34" s="1015"/>
      <c r="P34" s="1015"/>
      <c r="Q34" s="1015"/>
      <c r="R34" s="1015"/>
      <c r="S34" s="1015"/>
      <c r="T34" s="638"/>
      <c r="U34" s="1015"/>
      <c r="V34" s="1015"/>
      <c r="W34" s="1015"/>
      <c r="X34" s="1015"/>
      <c r="Y34" s="1015"/>
      <c r="Z34" s="1009" t="str">
        <f>IF(DexST=1,"●","○")</f>
        <v>○</v>
      </c>
      <c r="AA34" s="1009"/>
      <c r="AB34" s="159"/>
      <c r="AC34" s="159"/>
      <c r="AD34" s="159"/>
      <c r="AE34" s="159"/>
      <c r="AF34" s="159"/>
      <c r="AG34" s="159"/>
      <c r="AH34" s="159"/>
      <c r="AI34" s="159"/>
      <c r="AJ34" s="159"/>
      <c r="AK34" s="159"/>
      <c r="AM34" s="1010" t="str">
        <f>PersonalTrait1&amp;" "&amp;CHAR(10)&amp;PersonalTrait2</f>
        <v>I would rather make a new friend than a new enemy. 
The first thing I do in a new place is note the locations of everything valuable—or where such things could be hidden.</v>
      </c>
      <c r="AN34" s="1010"/>
      <c r="AO34" s="1010"/>
      <c r="AP34" s="1010"/>
      <c r="AQ34" s="1010"/>
      <c r="AR34" s="1010"/>
      <c r="AS34" s="1010"/>
      <c r="AT34" s="1010"/>
      <c r="AU34" s="1010"/>
      <c r="AV34" s="1010"/>
      <c r="AW34" s="1010"/>
      <c r="AX34" s="1010"/>
      <c r="AY34" s="1010"/>
      <c r="AZ34" s="1010"/>
      <c r="BA34" s="1010"/>
      <c r="BB34" s="1010"/>
      <c r="BC34" s="1010"/>
      <c r="BD34" s="1010"/>
      <c r="BE34" s="1010"/>
      <c r="BF34" s="1010"/>
      <c r="BG34" s="1010"/>
      <c r="BH34" s="1010"/>
      <c r="BI34" s="1010"/>
      <c r="BJ34" s="1010"/>
      <c r="BK34" s="1010"/>
      <c r="BL34" s="1010"/>
      <c r="BM34" s="1010"/>
      <c r="BN34" s="1010"/>
      <c r="BO34" s="1010"/>
      <c r="BP34" s="1010"/>
      <c r="BQ34" s="1010"/>
      <c r="BR34" s="1010"/>
      <c r="BS34" s="1010"/>
      <c r="BT34" s="1010"/>
      <c r="BU34" s="1010"/>
      <c r="BV34" s="1010"/>
      <c r="BW34" s="180"/>
      <c r="BX34" s="184"/>
      <c r="BY34" s="184"/>
      <c r="BZ34" s="179"/>
      <c r="CA34" s="159"/>
      <c r="CB34" s="159"/>
      <c r="CC34" s="159"/>
      <c r="CD34" s="159"/>
      <c r="CE34" s="159"/>
      <c r="CF34" s="159"/>
      <c r="CG34" s="159"/>
      <c r="CH34" s="159"/>
      <c r="CI34" s="159"/>
      <c r="CJ34" s="159"/>
      <c r="CK34" s="159"/>
      <c r="CL34" s="159"/>
      <c r="CM34" s="159"/>
      <c r="CN34" s="159"/>
      <c r="CO34" s="159"/>
      <c r="CP34" s="159"/>
      <c r="CQ34" s="159"/>
      <c r="CR34" s="159"/>
      <c r="CS34" s="159"/>
      <c r="CT34" s="159"/>
      <c r="CU34" s="159"/>
      <c r="CV34" s="159"/>
      <c r="CW34" s="159"/>
      <c r="CX34" s="159"/>
      <c r="CY34" s="159"/>
      <c r="CZ34" s="159"/>
      <c r="DA34" s="159"/>
      <c r="DB34" s="159"/>
      <c r="DC34" s="159"/>
      <c r="DD34" s="159"/>
      <c r="DE34" s="159"/>
      <c r="DF34" s="159"/>
      <c r="DG34" s="159"/>
      <c r="DH34" s="159"/>
      <c r="DI34" s="159"/>
      <c r="DJ34" s="159"/>
      <c r="DK34" s="159"/>
      <c r="DL34" s="159"/>
      <c r="DM34" s="159"/>
      <c r="DN34" s="159"/>
      <c r="DO34" s="159"/>
      <c r="DP34" s="159"/>
      <c r="DQ34" s="159"/>
      <c r="DR34" s="159"/>
      <c r="DS34" s="159"/>
      <c r="DT34" s="159"/>
      <c r="DU34" s="159"/>
      <c r="DV34" s="159"/>
      <c r="DW34" s="159"/>
      <c r="DX34" s="159"/>
      <c r="DY34" s="159"/>
      <c r="DZ34" s="159"/>
      <c r="EA34" s="159"/>
      <c r="EB34" s="159"/>
      <c r="EC34" s="159"/>
      <c r="ED34" s="159"/>
      <c r="EE34" s="159"/>
      <c r="EF34" s="159"/>
      <c r="EG34" s="159"/>
      <c r="EH34" s="159"/>
      <c r="EI34" s="159"/>
      <c r="EJ34" s="159"/>
      <c r="EK34" s="159"/>
      <c r="EL34" s="159"/>
      <c r="EM34" s="159"/>
      <c r="EN34" s="159"/>
      <c r="EO34" s="159"/>
      <c r="EP34" s="159"/>
      <c r="EQ34" s="159"/>
      <c r="ER34" s="159"/>
      <c r="ES34" s="159"/>
      <c r="ET34" s="159"/>
      <c r="EU34" s="180"/>
      <c r="EV34" s="184"/>
    </row>
    <row r="35" spans="1:152" ht="6.75" customHeight="1" x14ac:dyDescent="0.25">
      <c r="A35" s="184"/>
      <c r="B35" s="179"/>
      <c r="C35" s="1016"/>
      <c r="D35" s="1016"/>
      <c r="E35" s="1016"/>
      <c r="F35" s="1016"/>
      <c r="G35" s="1016"/>
      <c r="H35" s="159"/>
      <c r="I35" s="1017"/>
      <c r="J35" s="1017"/>
      <c r="K35" s="1017"/>
      <c r="L35" s="1017"/>
      <c r="M35" s="1017"/>
      <c r="N35" s="637"/>
      <c r="O35" s="1015"/>
      <c r="P35" s="1015"/>
      <c r="Q35" s="1015"/>
      <c r="R35" s="1015"/>
      <c r="S35" s="1015"/>
      <c r="T35" s="638"/>
      <c r="U35" s="1015"/>
      <c r="V35" s="1015"/>
      <c r="W35" s="1015"/>
      <c r="X35" s="1015"/>
      <c r="Y35" s="1015"/>
      <c r="Z35" s="1009"/>
      <c r="AA35" s="1009"/>
      <c r="AB35" s="159"/>
      <c r="AC35" s="159"/>
      <c r="AD35" s="159"/>
      <c r="AE35" s="159"/>
      <c r="AF35" s="159"/>
      <c r="AG35" s="159"/>
      <c r="AH35" s="159"/>
      <c r="AI35" s="159"/>
      <c r="AJ35" s="159"/>
      <c r="AK35" s="159"/>
      <c r="AM35" s="1010"/>
      <c r="AN35" s="1010"/>
      <c r="AO35" s="1010"/>
      <c r="AP35" s="1010"/>
      <c r="AQ35" s="1010"/>
      <c r="AR35" s="1010"/>
      <c r="AS35" s="1010"/>
      <c r="AT35" s="1010"/>
      <c r="AU35" s="1010"/>
      <c r="AV35" s="1010"/>
      <c r="AW35" s="1010"/>
      <c r="AX35" s="1010"/>
      <c r="AY35" s="1010"/>
      <c r="AZ35" s="1010"/>
      <c r="BA35" s="1010"/>
      <c r="BB35" s="1010"/>
      <c r="BC35" s="1010"/>
      <c r="BD35" s="1010"/>
      <c r="BE35" s="1010"/>
      <c r="BF35" s="1010"/>
      <c r="BG35" s="1010"/>
      <c r="BH35" s="1010"/>
      <c r="BI35" s="1010"/>
      <c r="BJ35" s="1010"/>
      <c r="BK35" s="1010"/>
      <c r="BL35" s="1010"/>
      <c r="BM35" s="1010"/>
      <c r="BN35" s="1010"/>
      <c r="BO35" s="1010"/>
      <c r="BP35" s="1010"/>
      <c r="BQ35" s="1010"/>
      <c r="BR35" s="1010"/>
      <c r="BS35" s="1010"/>
      <c r="BT35" s="1010"/>
      <c r="BU35" s="1010"/>
      <c r="BV35" s="1010"/>
      <c r="BW35" s="180"/>
      <c r="BX35" s="184"/>
      <c r="BY35" s="184"/>
      <c r="BZ35" s="179"/>
      <c r="CA35" s="159"/>
      <c r="CB35" s="159"/>
      <c r="CC35" s="159"/>
      <c r="CD35" s="159"/>
      <c r="CE35" s="159"/>
      <c r="CF35" s="159"/>
      <c r="CG35" s="159"/>
      <c r="CH35" s="159"/>
      <c r="CI35" s="159"/>
      <c r="CJ35" s="159"/>
      <c r="CK35" s="159"/>
      <c r="CL35" s="159"/>
      <c r="CM35" s="159"/>
      <c r="CN35" s="159"/>
      <c r="CO35" s="159"/>
      <c r="CP35" s="159"/>
      <c r="CQ35" s="159"/>
      <c r="CR35" s="159"/>
      <c r="CS35" s="159"/>
      <c r="CT35" s="159"/>
      <c r="CU35" s="159"/>
      <c r="CV35" s="159"/>
      <c r="CW35" s="159"/>
      <c r="CX35" s="159"/>
      <c r="CY35" s="159"/>
      <c r="CZ35" s="159"/>
      <c r="DA35" s="159"/>
      <c r="DB35" s="159"/>
      <c r="DC35" s="159"/>
      <c r="DD35" s="159"/>
      <c r="DE35" s="159"/>
      <c r="DF35" s="159"/>
      <c r="DG35" s="159"/>
      <c r="DH35" s="159"/>
      <c r="DI35" s="159"/>
      <c r="DJ35" s="159"/>
      <c r="DK35" s="159"/>
      <c r="DL35" s="159"/>
      <c r="DM35" s="159"/>
      <c r="DN35" s="159"/>
      <c r="DO35" s="159"/>
      <c r="DP35" s="159"/>
      <c r="DQ35" s="159"/>
      <c r="DR35" s="159"/>
      <c r="DS35" s="159"/>
      <c r="DT35" s="159"/>
      <c r="DU35" s="159"/>
      <c r="DV35" s="159"/>
      <c r="DW35" s="159"/>
      <c r="DX35" s="159"/>
      <c r="DY35" s="159"/>
      <c r="DZ35" s="159"/>
      <c r="EA35" s="159"/>
      <c r="EB35" s="159"/>
      <c r="EC35" s="159"/>
      <c r="ED35" s="159"/>
      <c r="EE35" s="159"/>
      <c r="EF35" s="159"/>
      <c r="EG35" s="159"/>
      <c r="EH35" s="159"/>
      <c r="EI35" s="159"/>
      <c r="EJ35" s="159"/>
      <c r="EK35" s="159"/>
      <c r="EL35" s="159"/>
      <c r="EM35" s="159"/>
      <c r="EN35" s="159"/>
      <c r="EO35" s="159"/>
      <c r="EP35" s="159"/>
      <c r="EQ35" s="159"/>
      <c r="ER35" s="159"/>
      <c r="ES35" s="159"/>
      <c r="ET35" s="159"/>
      <c r="EU35" s="180"/>
      <c r="EV35" s="184"/>
    </row>
    <row r="36" spans="1:152" ht="6.75" customHeight="1" x14ac:dyDescent="0.25">
      <c r="A36" s="184"/>
      <c r="B36" s="179"/>
      <c r="C36" s="1016"/>
      <c r="D36" s="1016"/>
      <c r="E36" s="1016"/>
      <c r="F36" s="1016"/>
      <c r="G36" s="1016"/>
      <c r="H36" s="159"/>
      <c r="I36" s="1017"/>
      <c r="J36" s="1017"/>
      <c r="K36" s="1017"/>
      <c r="L36" s="1017"/>
      <c r="M36" s="1017"/>
      <c r="N36" s="637"/>
      <c r="O36" s="1015"/>
      <c r="P36" s="1015"/>
      <c r="Q36" s="1015"/>
      <c r="R36" s="1015"/>
      <c r="S36" s="1015"/>
      <c r="T36" s="638"/>
      <c r="U36" s="1015"/>
      <c r="V36" s="1015"/>
      <c r="W36" s="1015"/>
      <c r="X36" s="1015"/>
      <c r="Y36" s="1015"/>
      <c r="Z36" s="159"/>
      <c r="AA36" s="159"/>
      <c r="AB36" s="159"/>
      <c r="AC36" s="159"/>
      <c r="AD36" s="159"/>
      <c r="AE36" s="159"/>
      <c r="AF36" s="159"/>
      <c r="AG36" s="159"/>
      <c r="AH36" s="159"/>
      <c r="AI36" s="159"/>
      <c r="AJ36" s="159"/>
      <c r="AK36" s="159"/>
      <c r="AM36" s="1010"/>
      <c r="AN36" s="1010"/>
      <c r="AO36" s="1010"/>
      <c r="AP36" s="1010"/>
      <c r="AQ36" s="1010"/>
      <c r="AR36" s="1010"/>
      <c r="AS36" s="1010"/>
      <c r="AT36" s="1010"/>
      <c r="AU36" s="1010"/>
      <c r="AV36" s="1010"/>
      <c r="AW36" s="1010"/>
      <c r="AX36" s="1010"/>
      <c r="AY36" s="1010"/>
      <c r="AZ36" s="1010"/>
      <c r="BA36" s="1010"/>
      <c r="BB36" s="1010"/>
      <c r="BC36" s="1010"/>
      <c r="BD36" s="1010"/>
      <c r="BE36" s="1010"/>
      <c r="BF36" s="1010"/>
      <c r="BG36" s="1010"/>
      <c r="BH36" s="1010"/>
      <c r="BI36" s="1010"/>
      <c r="BJ36" s="1010"/>
      <c r="BK36" s="1010"/>
      <c r="BL36" s="1010"/>
      <c r="BM36" s="1010"/>
      <c r="BN36" s="1010"/>
      <c r="BO36" s="1010"/>
      <c r="BP36" s="1010"/>
      <c r="BQ36" s="1010"/>
      <c r="BR36" s="1010"/>
      <c r="BS36" s="1010"/>
      <c r="BT36" s="1010"/>
      <c r="BU36" s="1010"/>
      <c r="BV36" s="1010"/>
      <c r="BW36" s="180"/>
      <c r="BX36" s="184"/>
      <c r="BY36" s="184"/>
      <c r="BZ36" s="17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80"/>
      <c r="EV36" s="184"/>
    </row>
    <row r="37" spans="1:152" ht="6.75" customHeight="1" x14ac:dyDescent="0.3">
      <c r="A37" s="184"/>
      <c r="B37" s="179"/>
      <c r="C37" s="438"/>
      <c r="D37" s="438"/>
      <c r="E37" s="438"/>
      <c r="F37" s="438"/>
      <c r="G37" s="438"/>
      <c r="H37" s="159"/>
      <c r="I37" s="639"/>
      <c r="J37" s="639"/>
      <c r="K37" s="639"/>
      <c r="L37" s="639"/>
      <c r="M37" s="639"/>
      <c r="N37" s="639"/>
      <c r="O37" s="638"/>
      <c r="P37" s="638"/>
      <c r="Q37" s="638"/>
      <c r="R37" s="638"/>
      <c r="S37" s="638"/>
      <c r="T37" s="638"/>
      <c r="U37" s="638"/>
      <c r="V37" s="638"/>
      <c r="W37" s="638"/>
      <c r="X37" s="638"/>
      <c r="Y37" s="638"/>
      <c r="Z37" s="159"/>
      <c r="AA37" s="159"/>
      <c r="AB37" s="159"/>
      <c r="AC37" s="159"/>
      <c r="AD37" s="159"/>
      <c r="AE37" s="159"/>
      <c r="AF37" s="159"/>
      <c r="AG37" s="159"/>
      <c r="AH37" s="159"/>
      <c r="AI37" s="159"/>
      <c r="AJ37" s="159"/>
      <c r="AK37" s="159"/>
      <c r="AM37" s="1010"/>
      <c r="AN37" s="1010"/>
      <c r="AO37" s="1010"/>
      <c r="AP37" s="1010"/>
      <c r="AQ37" s="1010"/>
      <c r="AR37" s="1010"/>
      <c r="AS37" s="1010"/>
      <c r="AT37" s="1010"/>
      <c r="AU37" s="1010"/>
      <c r="AV37" s="1010"/>
      <c r="AW37" s="1010"/>
      <c r="AX37" s="1010"/>
      <c r="AY37" s="1010"/>
      <c r="AZ37" s="1010"/>
      <c r="BA37" s="1010"/>
      <c r="BB37" s="1010"/>
      <c r="BC37" s="1010"/>
      <c r="BD37" s="1010"/>
      <c r="BE37" s="1010"/>
      <c r="BF37" s="1010"/>
      <c r="BG37" s="1010"/>
      <c r="BH37" s="1010"/>
      <c r="BI37" s="1010"/>
      <c r="BJ37" s="1010"/>
      <c r="BK37" s="1010"/>
      <c r="BL37" s="1010"/>
      <c r="BM37" s="1010"/>
      <c r="BN37" s="1010"/>
      <c r="BO37" s="1010"/>
      <c r="BP37" s="1010"/>
      <c r="BQ37" s="1010"/>
      <c r="BR37" s="1010"/>
      <c r="BS37" s="1010"/>
      <c r="BT37" s="1010"/>
      <c r="BU37" s="1010"/>
      <c r="BV37" s="1010"/>
      <c r="BW37" s="180"/>
      <c r="BX37" s="184"/>
      <c r="BY37" s="184"/>
      <c r="BZ37" s="179"/>
      <c r="CA37" s="159"/>
      <c r="CB37" s="159"/>
      <c r="CC37" s="159"/>
      <c r="CD37" s="159"/>
      <c r="CE37" s="159"/>
      <c r="CF37" s="159"/>
      <c r="CG37" s="159"/>
      <c r="CH37" s="159"/>
      <c r="CI37" s="159"/>
      <c r="CJ37" s="159"/>
      <c r="CK37" s="159"/>
      <c r="CL37" s="159"/>
      <c r="CM37" s="159"/>
      <c r="CN37" s="159"/>
      <c r="CO37" s="159"/>
      <c r="CP37" s="159"/>
      <c r="CQ37" s="159"/>
      <c r="CR37" s="159"/>
      <c r="CS37" s="159"/>
      <c r="CT37" s="159"/>
      <c r="CU37" s="159"/>
      <c r="CV37" s="159"/>
      <c r="CW37" s="159"/>
      <c r="CX37" s="159"/>
      <c r="CY37" s="159"/>
      <c r="CZ37" s="159"/>
      <c r="DA37" s="159"/>
      <c r="DB37" s="159"/>
      <c r="DC37" s="159"/>
      <c r="DD37" s="159"/>
      <c r="DE37" s="159"/>
      <c r="DF37" s="159"/>
      <c r="DG37" s="159"/>
      <c r="DH37" s="159"/>
      <c r="DI37" s="159"/>
      <c r="DJ37" s="159"/>
      <c r="DK37" s="159"/>
      <c r="DL37" s="159"/>
      <c r="DM37" s="159"/>
      <c r="DN37" s="159"/>
      <c r="DO37" s="159"/>
      <c r="DP37" s="159"/>
      <c r="DQ37" s="159"/>
      <c r="DR37" s="159"/>
      <c r="DS37" s="159"/>
      <c r="DT37" s="159"/>
      <c r="DU37" s="159"/>
      <c r="DV37" s="159"/>
      <c r="DW37" s="159"/>
      <c r="DX37" s="159"/>
      <c r="DY37" s="159"/>
      <c r="DZ37" s="159"/>
      <c r="EA37" s="159"/>
      <c r="EB37" s="159"/>
      <c r="EC37" s="159"/>
      <c r="ED37" s="159"/>
      <c r="EE37" s="159"/>
      <c r="EF37" s="159"/>
      <c r="EG37" s="159"/>
      <c r="EH37" s="159"/>
      <c r="EI37" s="159"/>
      <c r="EJ37" s="159"/>
      <c r="EK37" s="159"/>
      <c r="EL37" s="159"/>
      <c r="EM37" s="159"/>
      <c r="EN37" s="159"/>
      <c r="EO37" s="159"/>
      <c r="EP37" s="159"/>
      <c r="EQ37" s="159"/>
      <c r="ER37" s="159"/>
      <c r="ES37" s="159"/>
      <c r="ET37" s="159"/>
      <c r="EU37" s="180"/>
      <c r="EV37" s="184"/>
    </row>
    <row r="38" spans="1:152" ht="6.75" customHeight="1" x14ac:dyDescent="0.25">
      <c r="A38" s="184"/>
      <c r="B38" s="179"/>
      <c r="C38" s="1016" t="s">
        <v>508</v>
      </c>
      <c r="D38" s="1016"/>
      <c r="E38" s="1016"/>
      <c r="F38" s="1016"/>
      <c r="G38" s="1016"/>
      <c r="H38" s="159"/>
      <c r="I38" s="1017">
        <f>Constitution</f>
        <v>11</v>
      </c>
      <c r="J38" s="1017"/>
      <c r="K38" s="1017"/>
      <c r="L38" s="1017"/>
      <c r="M38" s="1017"/>
      <c r="N38" s="637"/>
      <c r="O38" s="1015">
        <f>ConMOD</f>
        <v>0</v>
      </c>
      <c r="P38" s="1015"/>
      <c r="Q38" s="1015"/>
      <c r="R38" s="1015"/>
      <c r="S38" s="1015"/>
      <c r="T38" s="638"/>
      <c r="U38" s="1015" t="e">
        <f>ConstitutionST</f>
        <v>#N/A</v>
      </c>
      <c r="V38" s="1015"/>
      <c r="W38" s="1015"/>
      <c r="X38" s="1015"/>
      <c r="Y38" s="1015"/>
      <c r="Z38" s="159"/>
      <c r="AA38" s="159"/>
      <c r="AB38" s="159"/>
      <c r="AC38" s="159"/>
      <c r="AD38" s="159"/>
      <c r="AE38" s="159"/>
      <c r="AF38" s="159"/>
      <c r="AG38" s="159"/>
      <c r="AH38" s="159"/>
      <c r="AI38" s="159"/>
      <c r="AJ38" s="159"/>
      <c r="AK38" s="159"/>
      <c r="AM38" s="1010"/>
      <c r="AN38" s="1010"/>
      <c r="AO38" s="1010"/>
      <c r="AP38" s="1010"/>
      <c r="AQ38" s="1010"/>
      <c r="AR38" s="1010"/>
      <c r="AS38" s="1010"/>
      <c r="AT38" s="1010"/>
      <c r="AU38" s="1010"/>
      <c r="AV38" s="1010"/>
      <c r="AW38" s="1010"/>
      <c r="AX38" s="1010"/>
      <c r="AY38" s="1010"/>
      <c r="AZ38" s="1010"/>
      <c r="BA38" s="1010"/>
      <c r="BB38" s="1010"/>
      <c r="BC38" s="1010"/>
      <c r="BD38" s="1010"/>
      <c r="BE38" s="1010"/>
      <c r="BF38" s="1010"/>
      <c r="BG38" s="1010"/>
      <c r="BH38" s="1010"/>
      <c r="BI38" s="1010"/>
      <c r="BJ38" s="1010"/>
      <c r="BK38" s="1010"/>
      <c r="BL38" s="1010"/>
      <c r="BM38" s="1010"/>
      <c r="BN38" s="1010"/>
      <c r="BO38" s="1010"/>
      <c r="BP38" s="1010"/>
      <c r="BQ38" s="1010"/>
      <c r="BR38" s="1010"/>
      <c r="BS38" s="1010"/>
      <c r="BT38" s="1010"/>
      <c r="BU38" s="1010"/>
      <c r="BV38" s="1010"/>
      <c r="BW38" s="180"/>
      <c r="BX38" s="184"/>
      <c r="BY38" s="184"/>
      <c r="BZ38" s="179"/>
      <c r="CA38" s="159"/>
      <c r="CB38" s="159"/>
      <c r="CC38" s="159"/>
      <c r="CD38" s="159"/>
      <c r="CE38" s="159"/>
      <c r="CF38" s="159"/>
      <c r="CG38" s="159"/>
      <c r="CH38" s="159"/>
      <c r="CI38" s="159"/>
      <c r="CJ38" s="159"/>
      <c r="CK38" s="159"/>
      <c r="CL38" s="159"/>
      <c r="CM38" s="159"/>
      <c r="CN38" s="159"/>
      <c r="CO38" s="159"/>
      <c r="CP38" s="159"/>
      <c r="CQ38" s="159"/>
      <c r="CR38" s="159"/>
      <c r="CS38" s="159"/>
      <c r="CT38" s="159"/>
      <c r="CU38" s="159"/>
      <c r="CV38" s="159"/>
      <c r="CW38" s="159"/>
      <c r="CX38" s="159"/>
      <c r="CY38" s="159"/>
      <c r="CZ38" s="159"/>
      <c r="DA38" s="159"/>
      <c r="DB38" s="159"/>
      <c r="DC38" s="159"/>
      <c r="DD38" s="159"/>
      <c r="DE38" s="159"/>
      <c r="DF38" s="159"/>
      <c r="DG38" s="159"/>
      <c r="DH38" s="159"/>
      <c r="DI38" s="159"/>
      <c r="DJ38" s="159"/>
      <c r="DK38" s="159"/>
      <c r="DL38" s="159"/>
      <c r="DM38" s="159"/>
      <c r="DN38" s="159"/>
      <c r="DO38" s="159"/>
      <c r="DP38" s="159"/>
      <c r="DQ38" s="159"/>
      <c r="DR38" s="159"/>
      <c r="DS38" s="159"/>
      <c r="DT38" s="159"/>
      <c r="DU38" s="159"/>
      <c r="DV38" s="159"/>
      <c r="DW38" s="159"/>
      <c r="DX38" s="159"/>
      <c r="DY38" s="159"/>
      <c r="DZ38" s="159"/>
      <c r="EA38" s="159"/>
      <c r="EB38" s="159"/>
      <c r="EC38" s="159"/>
      <c r="ED38" s="159"/>
      <c r="EE38" s="159"/>
      <c r="EF38" s="159"/>
      <c r="EG38" s="159"/>
      <c r="EH38" s="159"/>
      <c r="EI38" s="159"/>
      <c r="EJ38" s="159"/>
      <c r="EK38" s="159"/>
      <c r="EL38" s="159"/>
      <c r="EM38" s="159"/>
      <c r="EN38" s="159"/>
      <c r="EO38" s="159"/>
      <c r="EP38" s="159"/>
      <c r="EQ38" s="159"/>
      <c r="ER38" s="159"/>
      <c r="ES38" s="159"/>
      <c r="ET38" s="159"/>
      <c r="EU38" s="180"/>
      <c r="EV38" s="184"/>
    </row>
    <row r="39" spans="1:152" ht="6.75" customHeight="1" x14ac:dyDescent="0.25">
      <c r="A39" s="184"/>
      <c r="B39" s="179"/>
      <c r="C39" s="1016"/>
      <c r="D39" s="1016"/>
      <c r="E39" s="1016"/>
      <c r="F39" s="1016"/>
      <c r="G39" s="1016"/>
      <c r="H39" s="159"/>
      <c r="I39" s="1017"/>
      <c r="J39" s="1017"/>
      <c r="K39" s="1017"/>
      <c r="L39" s="1017"/>
      <c r="M39" s="1017"/>
      <c r="N39" s="637"/>
      <c r="O39" s="1015"/>
      <c r="P39" s="1015"/>
      <c r="Q39" s="1015"/>
      <c r="R39" s="1015"/>
      <c r="S39" s="1015"/>
      <c r="T39" s="638"/>
      <c r="U39" s="1015"/>
      <c r="V39" s="1015"/>
      <c r="W39" s="1015"/>
      <c r="X39" s="1015"/>
      <c r="Y39" s="1015"/>
      <c r="Z39" s="1009" t="str">
        <f>IF(ConST=1,"●","○")</f>
        <v>○</v>
      </c>
      <c r="AA39" s="1009"/>
      <c r="AB39" s="159"/>
      <c r="AC39" s="159"/>
      <c r="AD39" s="159"/>
      <c r="AE39" s="159"/>
      <c r="AF39" s="159"/>
      <c r="AG39" s="159"/>
      <c r="AH39" s="159"/>
      <c r="AI39" s="159"/>
      <c r="AJ39" s="159"/>
      <c r="AK39" s="159"/>
      <c r="AM39" s="1010"/>
      <c r="AN39" s="1010"/>
      <c r="AO39" s="1010"/>
      <c r="AP39" s="1010"/>
      <c r="AQ39" s="1010"/>
      <c r="AR39" s="1010"/>
      <c r="AS39" s="1010"/>
      <c r="AT39" s="1010"/>
      <c r="AU39" s="1010"/>
      <c r="AV39" s="1010"/>
      <c r="AW39" s="1010"/>
      <c r="AX39" s="1010"/>
      <c r="AY39" s="1010"/>
      <c r="AZ39" s="1010"/>
      <c r="BA39" s="1010"/>
      <c r="BB39" s="1010"/>
      <c r="BC39" s="1010"/>
      <c r="BD39" s="1010"/>
      <c r="BE39" s="1010"/>
      <c r="BF39" s="1010"/>
      <c r="BG39" s="1010"/>
      <c r="BH39" s="1010"/>
      <c r="BI39" s="1010"/>
      <c r="BJ39" s="1010"/>
      <c r="BK39" s="1010"/>
      <c r="BL39" s="1010"/>
      <c r="BM39" s="1010"/>
      <c r="BN39" s="1010"/>
      <c r="BO39" s="1010"/>
      <c r="BP39" s="1010"/>
      <c r="BQ39" s="1010"/>
      <c r="BR39" s="1010"/>
      <c r="BS39" s="1010"/>
      <c r="BT39" s="1010"/>
      <c r="BU39" s="1010"/>
      <c r="BV39" s="1010"/>
      <c r="BW39" s="180"/>
      <c r="BX39" s="184"/>
      <c r="BY39" s="184"/>
      <c r="BZ39" s="179"/>
      <c r="CA39" s="159"/>
      <c r="CB39" s="159"/>
      <c r="CC39" s="159"/>
      <c r="CD39" s="159"/>
      <c r="CE39" s="159"/>
      <c r="CF39" s="159"/>
      <c r="CG39" s="159"/>
      <c r="CH39" s="159"/>
      <c r="CI39" s="159"/>
      <c r="CJ39" s="159"/>
      <c r="CK39" s="159"/>
      <c r="CL39" s="159"/>
      <c r="CM39" s="159"/>
      <c r="CN39" s="159"/>
      <c r="CO39" s="159"/>
      <c r="CP39" s="159"/>
      <c r="CQ39" s="159"/>
      <c r="CR39" s="159"/>
      <c r="CS39" s="159"/>
      <c r="CT39" s="159"/>
      <c r="CU39" s="159"/>
      <c r="CV39" s="159"/>
      <c r="CW39" s="159"/>
      <c r="CX39" s="159"/>
      <c r="CY39" s="159"/>
      <c r="CZ39" s="159"/>
      <c r="DA39" s="159"/>
      <c r="DB39" s="159"/>
      <c r="DC39" s="159"/>
      <c r="DD39" s="159"/>
      <c r="DE39" s="159"/>
      <c r="DF39" s="159"/>
      <c r="DG39" s="159"/>
      <c r="DH39" s="159"/>
      <c r="DI39" s="159"/>
      <c r="DJ39" s="159"/>
      <c r="DK39" s="159"/>
      <c r="DL39" s="159"/>
      <c r="DM39" s="159"/>
      <c r="DN39" s="159"/>
      <c r="DO39" s="159"/>
      <c r="DP39" s="159"/>
      <c r="DQ39" s="159"/>
      <c r="DR39" s="159"/>
      <c r="DS39" s="159"/>
      <c r="DT39" s="159"/>
      <c r="DU39" s="159"/>
      <c r="DV39" s="159"/>
      <c r="DW39" s="159"/>
      <c r="DX39" s="159"/>
      <c r="DY39" s="159"/>
      <c r="DZ39" s="159"/>
      <c r="EA39" s="159"/>
      <c r="EB39" s="159"/>
      <c r="EC39" s="159"/>
      <c r="ED39" s="159"/>
      <c r="EE39" s="159"/>
      <c r="EF39" s="159"/>
      <c r="EG39" s="159"/>
      <c r="EH39" s="159"/>
      <c r="EI39" s="159"/>
      <c r="EJ39" s="159"/>
      <c r="EK39" s="159"/>
      <c r="EL39" s="159"/>
      <c r="EM39" s="159"/>
      <c r="EN39" s="159"/>
      <c r="EO39" s="159"/>
      <c r="EP39" s="159"/>
      <c r="EQ39" s="159"/>
      <c r="ER39" s="159"/>
      <c r="ES39" s="159"/>
      <c r="ET39" s="159"/>
      <c r="EU39" s="180"/>
      <c r="EV39" s="184"/>
    </row>
    <row r="40" spans="1:152" ht="6.75" customHeight="1" x14ac:dyDescent="0.25">
      <c r="A40" s="184"/>
      <c r="B40" s="179"/>
      <c r="C40" s="1016"/>
      <c r="D40" s="1016"/>
      <c r="E40" s="1016"/>
      <c r="F40" s="1016"/>
      <c r="G40" s="1016"/>
      <c r="H40" s="159"/>
      <c r="I40" s="1017"/>
      <c r="J40" s="1017"/>
      <c r="K40" s="1017"/>
      <c r="L40" s="1017"/>
      <c r="M40" s="1017"/>
      <c r="N40" s="637"/>
      <c r="O40" s="1015"/>
      <c r="P40" s="1015"/>
      <c r="Q40" s="1015"/>
      <c r="R40" s="1015"/>
      <c r="S40" s="1015"/>
      <c r="T40" s="638"/>
      <c r="U40" s="1015"/>
      <c r="V40" s="1015"/>
      <c r="W40" s="1015"/>
      <c r="X40" s="1015"/>
      <c r="Y40" s="1015"/>
      <c r="Z40" s="1009"/>
      <c r="AA40" s="1009"/>
      <c r="AB40" s="159"/>
      <c r="AC40" s="159"/>
      <c r="AD40" s="159"/>
      <c r="AE40" s="159"/>
      <c r="AF40" s="159"/>
      <c r="AG40" s="159"/>
      <c r="AH40" s="159"/>
      <c r="AI40" s="159"/>
      <c r="AJ40" s="159"/>
      <c r="AK40" s="159"/>
      <c r="AM40" s="1010"/>
      <c r="AN40" s="1010"/>
      <c r="AO40" s="1010"/>
      <c r="AP40" s="1010"/>
      <c r="AQ40" s="1010"/>
      <c r="AR40" s="1010"/>
      <c r="AS40" s="1010"/>
      <c r="AT40" s="1010"/>
      <c r="AU40" s="1010"/>
      <c r="AV40" s="1010"/>
      <c r="AW40" s="1010"/>
      <c r="AX40" s="1010"/>
      <c r="AY40" s="1010"/>
      <c r="AZ40" s="1010"/>
      <c r="BA40" s="1010"/>
      <c r="BB40" s="1010"/>
      <c r="BC40" s="1010"/>
      <c r="BD40" s="1010"/>
      <c r="BE40" s="1010"/>
      <c r="BF40" s="1010"/>
      <c r="BG40" s="1010"/>
      <c r="BH40" s="1010"/>
      <c r="BI40" s="1010"/>
      <c r="BJ40" s="1010"/>
      <c r="BK40" s="1010"/>
      <c r="BL40" s="1010"/>
      <c r="BM40" s="1010"/>
      <c r="BN40" s="1010"/>
      <c r="BO40" s="1010"/>
      <c r="BP40" s="1010"/>
      <c r="BQ40" s="1010"/>
      <c r="BR40" s="1010"/>
      <c r="BS40" s="1010"/>
      <c r="BT40" s="1010"/>
      <c r="BU40" s="1010"/>
      <c r="BV40" s="1010"/>
      <c r="BW40" s="180"/>
      <c r="BX40" s="184"/>
      <c r="BY40" s="184"/>
      <c r="BZ40" s="17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80"/>
      <c r="EV40" s="184"/>
    </row>
    <row r="41" spans="1:152" ht="6.75" customHeight="1" x14ac:dyDescent="0.25">
      <c r="A41" s="184"/>
      <c r="B41" s="179"/>
      <c r="C41" s="1016"/>
      <c r="D41" s="1016"/>
      <c r="E41" s="1016"/>
      <c r="F41" s="1016"/>
      <c r="G41" s="1016"/>
      <c r="H41" s="159"/>
      <c r="I41" s="1017"/>
      <c r="J41" s="1017"/>
      <c r="K41" s="1017"/>
      <c r="L41" s="1017"/>
      <c r="M41" s="1017"/>
      <c r="N41" s="637"/>
      <c r="O41" s="1015"/>
      <c r="P41" s="1015"/>
      <c r="Q41" s="1015"/>
      <c r="R41" s="1015"/>
      <c r="S41" s="1015"/>
      <c r="T41" s="638"/>
      <c r="U41" s="1015"/>
      <c r="V41" s="1015"/>
      <c r="W41" s="1015"/>
      <c r="X41" s="1015"/>
      <c r="Y41" s="1015"/>
      <c r="Z41" s="159"/>
      <c r="AA41" s="159"/>
      <c r="AB41" s="159"/>
      <c r="AC41" s="159"/>
      <c r="AD41" s="159"/>
      <c r="AE41" s="159"/>
      <c r="AF41" s="159"/>
      <c r="AG41" s="159"/>
      <c r="AH41" s="159"/>
      <c r="AI41" s="159"/>
      <c r="AJ41" s="159"/>
      <c r="AK41" s="159"/>
      <c r="AM41" s="1010"/>
      <c r="AN41" s="1010"/>
      <c r="AO41" s="1010"/>
      <c r="AP41" s="1010"/>
      <c r="AQ41" s="1010"/>
      <c r="AR41" s="1010"/>
      <c r="AS41" s="1010"/>
      <c r="AT41" s="1010"/>
      <c r="AU41" s="1010"/>
      <c r="AV41" s="1010"/>
      <c r="AW41" s="1010"/>
      <c r="AX41" s="1010"/>
      <c r="AY41" s="1010"/>
      <c r="AZ41" s="1010"/>
      <c r="BA41" s="1010"/>
      <c r="BB41" s="1010"/>
      <c r="BC41" s="1010"/>
      <c r="BD41" s="1010"/>
      <c r="BE41" s="1010"/>
      <c r="BF41" s="1010"/>
      <c r="BG41" s="1010"/>
      <c r="BH41" s="1010"/>
      <c r="BI41" s="1010"/>
      <c r="BJ41" s="1010"/>
      <c r="BK41" s="1010"/>
      <c r="BL41" s="1010"/>
      <c r="BM41" s="1010"/>
      <c r="BN41" s="1010"/>
      <c r="BO41" s="1010"/>
      <c r="BP41" s="1010"/>
      <c r="BQ41" s="1010"/>
      <c r="BR41" s="1010"/>
      <c r="BS41" s="1010"/>
      <c r="BT41" s="1010"/>
      <c r="BU41" s="1010"/>
      <c r="BV41" s="1010"/>
      <c r="BW41" s="180"/>
      <c r="BX41" s="184"/>
      <c r="BY41" s="184"/>
      <c r="BZ41" s="179"/>
      <c r="CA41" s="159"/>
      <c r="CB41" s="159"/>
      <c r="CC41" s="159"/>
      <c r="CD41" s="159"/>
      <c r="CE41" s="159"/>
      <c r="CF41" s="159"/>
      <c r="CG41" s="159"/>
      <c r="CH41" s="159"/>
      <c r="CI41" s="159"/>
      <c r="CJ41" s="159"/>
      <c r="CK41" s="159"/>
      <c r="CL41" s="159"/>
      <c r="CM41" s="159"/>
      <c r="CN41" s="159"/>
      <c r="CO41" s="159"/>
      <c r="CP41" s="159"/>
      <c r="CQ41" s="159"/>
      <c r="CR41" s="159"/>
      <c r="CS41" s="159"/>
      <c r="CT41" s="159"/>
      <c r="CU41" s="159"/>
      <c r="CV41" s="159"/>
      <c r="CW41" s="159"/>
      <c r="CX41" s="159"/>
      <c r="CY41" s="159"/>
      <c r="CZ41" s="159"/>
      <c r="DA41" s="159"/>
      <c r="DB41" s="159"/>
      <c r="DC41" s="159"/>
      <c r="DD41" s="159"/>
      <c r="DE41" s="159"/>
      <c r="DF41" s="159"/>
      <c r="DG41" s="159"/>
      <c r="DH41" s="159"/>
      <c r="DI41" s="159"/>
      <c r="DJ41" s="159"/>
      <c r="DK41" s="159"/>
      <c r="DL41" s="159"/>
      <c r="DM41" s="159"/>
      <c r="DN41" s="159"/>
      <c r="DO41" s="159"/>
      <c r="DP41" s="159"/>
      <c r="DQ41" s="159"/>
      <c r="DR41" s="159"/>
      <c r="DS41" s="159"/>
      <c r="DT41" s="159"/>
      <c r="DU41" s="159"/>
      <c r="DV41" s="159"/>
      <c r="DW41" s="159"/>
      <c r="DX41" s="159"/>
      <c r="DY41" s="159"/>
      <c r="DZ41" s="159"/>
      <c r="EA41" s="159"/>
      <c r="EB41" s="159"/>
      <c r="EC41" s="159"/>
      <c r="ED41" s="159"/>
      <c r="EE41" s="159"/>
      <c r="EF41" s="159"/>
      <c r="EG41" s="159"/>
      <c r="EH41" s="159"/>
      <c r="EI41" s="159"/>
      <c r="EJ41" s="159"/>
      <c r="EK41" s="159"/>
      <c r="EL41" s="159"/>
      <c r="EM41" s="159"/>
      <c r="EN41" s="159"/>
      <c r="EO41" s="159"/>
      <c r="EP41" s="159"/>
      <c r="EQ41" s="159"/>
      <c r="ER41" s="159"/>
      <c r="ES41" s="159"/>
      <c r="ET41" s="159"/>
      <c r="EU41" s="180"/>
      <c r="EV41" s="184"/>
    </row>
    <row r="42" spans="1:152" ht="6.75" customHeight="1" x14ac:dyDescent="0.3">
      <c r="A42" s="184"/>
      <c r="B42" s="179"/>
      <c r="C42" s="438"/>
      <c r="D42" s="438"/>
      <c r="E42" s="438"/>
      <c r="F42" s="438"/>
      <c r="G42" s="438"/>
      <c r="H42" s="159"/>
      <c r="I42" s="639"/>
      <c r="J42" s="639"/>
      <c r="K42" s="639"/>
      <c r="L42" s="639"/>
      <c r="M42" s="639"/>
      <c r="N42" s="639"/>
      <c r="O42" s="638"/>
      <c r="P42" s="638"/>
      <c r="Q42" s="638"/>
      <c r="R42" s="638"/>
      <c r="S42" s="638"/>
      <c r="T42" s="638"/>
      <c r="U42" s="638"/>
      <c r="V42" s="638"/>
      <c r="W42" s="638"/>
      <c r="X42" s="638"/>
      <c r="Y42" s="638"/>
      <c r="Z42" s="159"/>
      <c r="AA42" s="159"/>
      <c r="AB42" s="159"/>
      <c r="AC42" s="159"/>
      <c r="AD42" s="159"/>
      <c r="AE42" s="159"/>
      <c r="AF42" s="159"/>
      <c r="AG42" s="159"/>
      <c r="AH42" s="159"/>
      <c r="AI42" s="159"/>
      <c r="AJ42" s="159"/>
      <c r="AK42" s="159"/>
      <c r="AM42" s="1010"/>
      <c r="AN42" s="1010"/>
      <c r="AO42" s="1010"/>
      <c r="AP42" s="1010"/>
      <c r="AQ42" s="1010"/>
      <c r="AR42" s="1010"/>
      <c r="AS42" s="1010"/>
      <c r="AT42" s="1010"/>
      <c r="AU42" s="1010"/>
      <c r="AV42" s="1010"/>
      <c r="AW42" s="1010"/>
      <c r="AX42" s="1010"/>
      <c r="AY42" s="1010"/>
      <c r="AZ42" s="1010"/>
      <c r="BA42" s="1010"/>
      <c r="BB42" s="1010"/>
      <c r="BC42" s="1010"/>
      <c r="BD42" s="1010"/>
      <c r="BE42" s="1010"/>
      <c r="BF42" s="1010"/>
      <c r="BG42" s="1010"/>
      <c r="BH42" s="1010"/>
      <c r="BI42" s="1010"/>
      <c r="BJ42" s="1010"/>
      <c r="BK42" s="1010"/>
      <c r="BL42" s="1010"/>
      <c r="BM42" s="1010"/>
      <c r="BN42" s="1010"/>
      <c r="BO42" s="1010"/>
      <c r="BP42" s="1010"/>
      <c r="BQ42" s="1010"/>
      <c r="BR42" s="1010"/>
      <c r="BS42" s="1010"/>
      <c r="BT42" s="1010"/>
      <c r="BU42" s="1010"/>
      <c r="BV42" s="1010"/>
      <c r="BW42" s="180"/>
      <c r="BX42" s="184"/>
      <c r="BY42" s="184"/>
      <c r="BZ42" s="179"/>
      <c r="CA42" s="159"/>
      <c r="CB42" s="159"/>
      <c r="CC42" s="159"/>
      <c r="CD42" s="159"/>
      <c r="CE42" s="159"/>
      <c r="CF42" s="159"/>
      <c r="CG42" s="159"/>
      <c r="CH42" s="159"/>
      <c r="CI42" s="159"/>
      <c r="CJ42" s="159"/>
      <c r="CK42" s="159"/>
      <c r="CL42" s="159"/>
      <c r="CM42" s="159"/>
      <c r="CN42" s="159"/>
      <c r="CO42" s="159"/>
      <c r="CP42" s="159"/>
      <c r="CQ42" s="159"/>
      <c r="CR42" s="159"/>
      <c r="CS42" s="159"/>
      <c r="CT42" s="159"/>
      <c r="CU42" s="159"/>
      <c r="CV42" s="159"/>
      <c r="CW42" s="159"/>
      <c r="CX42" s="159"/>
      <c r="CY42" s="159"/>
      <c r="CZ42" s="159"/>
      <c r="DA42" s="159"/>
      <c r="DB42" s="159"/>
      <c r="DC42" s="159"/>
      <c r="DD42" s="159"/>
      <c r="DE42" s="159"/>
      <c r="DF42" s="159"/>
      <c r="DG42" s="159"/>
      <c r="DH42" s="159"/>
      <c r="DI42" s="159"/>
      <c r="DJ42" s="159"/>
      <c r="DK42" s="159"/>
      <c r="DL42" s="159"/>
      <c r="DM42" s="159"/>
      <c r="DN42" s="159"/>
      <c r="DO42" s="159"/>
      <c r="DP42" s="159"/>
      <c r="DQ42" s="159"/>
      <c r="DR42" s="159"/>
      <c r="DS42" s="159"/>
      <c r="DT42" s="159"/>
      <c r="DU42" s="159"/>
      <c r="DV42" s="159"/>
      <c r="DW42" s="159"/>
      <c r="DX42" s="159"/>
      <c r="DY42" s="159"/>
      <c r="DZ42" s="159"/>
      <c r="EA42" s="159"/>
      <c r="EB42" s="159"/>
      <c r="EC42" s="159"/>
      <c r="ED42" s="159"/>
      <c r="EE42" s="159"/>
      <c r="EF42" s="159"/>
      <c r="EG42" s="159"/>
      <c r="EH42" s="159"/>
      <c r="EI42" s="159"/>
      <c r="EJ42" s="159"/>
      <c r="EK42" s="159"/>
      <c r="EL42" s="159"/>
      <c r="EM42" s="159"/>
      <c r="EN42" s="159"/>
      <c r="EO42" s="159"/>
      <c r="EP42" s="159"/>
      <c r="EQ42" s="159"/>
      <c r="ER42" s="159"/>
      <c r="ES42" s="159"/>
      <c r="ET42" s="159"/>
      <c r="EU42" s="180"/>
      <c r="EV42" s="184"/>
    </row>
    <row r="43" spans="1:152" ht="6.75" customHeight="1" x14ac:dyDescent="0.25">
      <c r="A43" s="184"/>
      <c r="B43" s="179"/>
      <c r="C43" s="1016" t="s">
        <v>509</v>
      </c>
      <c r="D43" s="1016"/>
      <c r="E43" s="1016"/>
      <c r="F43" s="1016"/>
      <c r="G43" s="1016"/>
      <c r="H43" s="159"/>
      <c r="I43" s="1017">
        <f>Intelligence</f>
        <v>13</v>
      </c>
      <c r="J43" s="1017"/>
      <c r="K43" s="1017"/>
      <c r="L43" s="1017"/>
      <c r="M43" s="1017"/>
      <c r="N43" s="637"/>
      <c r="O43" s="1015">
        <f>IntMOD</f>
        <v>1</v>
      </c>
      <c r="P43" s="1015"/>
      <c r="Q43" s="1015"/>
      <c r="R43" s="1015"/>
      <c r="S43" s="1015"/>
      <c r="T43" s="638"/>
      <c r="U43" s="1015" t="e">
        <f>IntelligenceST</f>
        <v>#N/A</v>
      </c>
      <c r="V43" s="1015"/>
      <c r="W43" s="1015"/>
      <c r="X43" s="1015"/>
      <c r="Y43" s="1015"/>
      <c r="Z43" s="159"/>
      <c r="AA43" s="159"/>
      <c r="AB43" s="159"/>
      <c r="AC43" s="159"/>
      <c r="AD43" s="159"/>
      <c r="AE43" s="159"/>
      <c r="AF43" s="159"/>
      <c r="AG43" s="159"/>
      <c r="AH43" s="159"/>
      <c r="AI43" s="159"/>
      <c r="AJ43" s="159"/>
      <c r="AK43" s="159"/>
      <c r="AM43" s="1013" t="s">
        <v>580</v>
      </c>
      <c r="AN43" s="1013"/>
      <c r="AO43" s="1013"/>
      <c r="AP43" s="1013"/>
      <c r="AQ43" s="1013"/>
      <c r="AR43" s="1013"/>
      <c r="AS43" s="1013"/>
      <c r="AT43" s="1013"/>
      <c r="AU43" s="1013"/>
      <c r="AV43" s="1013"/>
      <c r="AW43" s="1013"/>
      <c r="AX43" s="1013"/>
      <c r="AY43" s="1013"/>
      <c r="AZ43" s="1013"/>
      <c r="BA43" s="1013"/>
      <c r="BB43" s="1013"/>
      <c r="BW43" s="180"/>
      <c r="BX43" s="184"/>
      <c r="BY43" s="184"/>
      <c r="BZ43" s="179"/>
      <c r="CA43" s="159"/>
      <c r="CB43" s="159"/>
      <c r="CC43" s="159"/>
      <c r="CD43" s="159"/>
      <c r="CE43" s="159"/>
      <c r="CF43" s="159"/>
      <c r="CG43" s="159"/>
      <c r="CH43" s="159"/>
      <c r="CI43" s="159"/>
      <c r="CJ43" s="159"/>
      <c r="CK43" s="159"/>
      <c r="CL43" s="159"/>
      <c r="CM43" s="159"/>
      <c r="CN43" s="159"/>
      <c r="CO43" s="159"/>
      <c r="CP43" s="159"/>
      <c r="CQ43" s="159"/>
      <c r="CR43" s="159"/>
      <c r="CS43" s="159"/>
      <c r="CT43" s="159"/>
      <c r="CU43" s="159"/>
      <c r="CV43" s="159"/>
      <c r="CW43" s="159"/>
      <c r="CX43" s="159"/>
      <c r="CY43" s="159"/>
      <c r="CZ43" s="159"/>
      <c r="DA43" s="159"/>
      <c r="DB43" s="159"/>
      <c r="DC43" s="159"/>
      <c r="DD43" s="159"/>
      <c r="DE43" s="159"/>
      <c r="DF43" s="159"/>
      <c r="DG43" s="159"/>
      <c r="DH43" s="159"/>
      <c r="DI43" s="159"/>
      <c r="DJ43" s="159"/>
      <c r="DK43" s="159"/>
      <c r="DL43" s="159"/>
      <c r="DM43" s="159"/>
      <c r="DN43" s="159"/>
      <c r="DO43" s="159"/>
      <c r="DP43" s="159"/>
      <c r="DQ43" s="159"/>
      <c r="DR43" s="159"/>
      <c r="DS43" s="159"/>
      <c r="DT43" s="159"/>
      <c r="DU43" s="159"/>
      <c r="DV43" s="159"/>
      <c r="DW43" s="159"/>
      <c r="DX43" s="159"/>
      <c r="DY43" s="159"/>
      <c r="DZ43" s="159"/>
      <c r="EA43" s="159"/>
      <c r="EB43" s="159"/>
      <c r="EC43" s="159"/>
      <c r="ED43" s="159"/>
      <c r="EE43" s="159"/>
      <c r="EF43" s="159"/>
      <c r="EG43" s="159"/>
      <c r="EH43" s="159"/>
      <c r="EI43" s="159"/>
      <c r="EJ43" s="159"/>
      <c r="EK43" s="159"/>
      <c r="EL43" s="159"/>
      <c r="EM43" s="159"/>
      <c r="EN43" s="159"/>
      <c r="EO43" s="159"/>
      <c r="EP43" s="159"/>
      <c r="EQ43" s="159"/>
      <c r="ER43" s="159"/>
      <c r="ES43" s="159"/>
      <c r="ET43" s="159"/>
      <c r="EU43" s="180"/>
      <c r="EV43" s="184"/>
    </row>
    <row r="44" spans="1:152" ht="6.75" customHeight="1" x14ac:dyDescent="0.25">
      <c r="A44" s="184"/>
      <c r="B44" s="179"/>
      <c r="C44" s="1016"/>
      <c r="D44" s="1016"/>
      <c r="E44" s="1016"/>
      <c r="F44" s="1016"/>
      <c r="G44" s="1016"/>
      <c r="H44" s="159"/>
      <c r="I44" s="1017"/>
      <c r="J44" s="1017"/>
      <c r="K44" s="1017"/>
      <c r="L44" s="1017"/>
      <c r="M44" s="1017"/>
      <c r="N44" s="637"/>
      <c r="O44" s="1015"/>
      <c r="P44" s="1015"/>
      <c r="Q44" s="1015"/>
      <c r="R44" s="1015"/>
      <c r="S44" s="1015"/>
      <c r="T44" s="638"/>
      <c r="U44" s="1015"/>
      <c r="V44" s="1015"/>
      <c r="W44" s="1015"/>
      <c r="X44" s="1015"/>
      <c r="Y44" s="1015"/>
      <c r="Z44" s="1009" t="str">
        <f>IF(IntST=1,"●","○")</f>
        <v>○</v>
      </c>
      <c r="AA44" s="1009"/>
      <c r="AB44" s="159"/>
      <c r="AC44" s="159"/>
      <c r="AD44" s="159"/>
      <c r="AE44" s="159"/>
      <c r="AF44" s="159"/>
      <c r="AG44" s="159"/>
      <c r="AH44" s="159"/>
      <c r="AI44" s="159"/>
      <c r="AJ44" s="159"/>
      <c r="AK44" s="159"/>
      <c r="AM44" s="1013"/>
      <c r="AN44" s="1013"/>
      <c r="AO44" s="1013"/>
      <c r="AP44" s="1013"/>
      <c r="AQ44" s="1013"/>
      <c r="AR44" s="1013"/>
      <c r="AS44" s="1013"/>
      <c r="AT44" s="1013"/>
      <c r="AU44" s="1013"/>
      <c r="AV44" s="1013"/>
      <c r="AW44" s="1013"/>
      <c r="AX44" s="1013"/>
      <c r="AY44" s="1013"/>
      <c r="AZ44" s="1013"/>
      <c r="BA44" s="1013"/>
      <c r="BB44" s="1013"/>
      <c r="BW44" s="180"/>
      <c r="BX44" s="184"/>
      <c r="BY44" s="184"/>
      <c r="BZ44" s="179"/>
      <c r="CA44" s="159"/>
      <c r="CB44" s="159"/>
      <c r="CC44" s="159"/>
      <c r="CD44" s="159"/>
      <c r="CE44" s="159"/>
      <c r="CF44" s="159"/>
      <c r="CG44" s="159"/>
      <c r="CH44" s="159"/>
      <c r="CI44" s="159"/>
      <c r="CJ44" s="159"/>
      <c r="CK44" s="159"/>
      <c r="CL44" s="159"/>
      <c r="CM44" s="159"/>
      <c r="CN44" s="159"/>
      <c r="CO44" s="159"/>
      <c r="CP44" s="159"/>
      <c r="CQ44" s="159"/>
      <c r="CR44" s="159"/>
      <c r="CS44" s="159"/>
      <c r="CT44" s="159"/>
      <c r="CU44" s="159"/>
      <c r="CV44" s="159"/>
      <c r="CW44" s="159"/>
      <c r="CX44" s="159"/>
      <c r="CY44" s="159"/>
      <c r="CZ44" s="159"/>
      <c r="DA44" s="159"/>
      <c r="DB44" s="159"/>
      <c r="DC44" s="159"/>
      <c r="DD44" s="159"/>
      <c r="DE44" s="159"/>
      <c r="DF44" s="159"/>
      <c r="DG44" s="159"/>
      <c r="DH44" s="159"/>
      <c r="DI44" s="159"/>
      <c r="DJ44" s="159"/>
      <c r="DK44" s="159"/>
      <c r="DL44" s="159"/>
      <c r="DM44" s="159"/>
      <c r="DN44" s="159"/>
      <c r="DO44" s="159"/>
      <c r="DP44" s="159"/>
      <c r="DQ44" s="159"/>
      <c r="DR44" s="159"/>
      <c r="DS44" s="159"/>
      <c r="DT44" s="159"/>
      <c r="DU44" s="159"/>
      <c r="DV44" s="159"/>
      <c r="DW44" s="159"/>
      <c r="DX44" s="159"/>
      <c r="DY44" s="159"/>
      <c r="DZ44" s="159"/>
      <c r="EA44" s="159"/>
      <c r="EB44" s="159"/>
      <c r="EC44" s="159"/>
      <c r="ED44" s="159"/>
      <c r="EE44" s="159"/>
      <c r="EF44" s="159"/>
      <c r="EG44" s="159"/>
      <c r="EH44" s="159"/>
      <c r="EI44" s="159"/>
      <c r="EJ44" s="159"/>
      <c r="EK44" s="159"/>
      <c r="EL44" s="159"/>
      <c r="EM44" s="159"/>
      <c r="EN44" s="159"/>
      <c r="EO44" s="159"/>
      <c r="EP44" s="159"/>
      <c r="EQ44" s="159"/>
      <c r="ER44" s="159"/>
      <c r="ES44" s="159"/>
      <c r="ET44" s="159"/>
      <c r="EU44" s="180"/>
      <c r="EV44" s="184"/>
    </row>
    <row r="45" spans="1:152" ht="6.75" customHeight="1" x14ac:dyDescent="0.25">
      <c r="A45" s="184"/>
      <c r="B45" s="179"/>
      <c r="C45" s="1016"/>
      <c r="D45" s="1016"/>
      <c r="E45" s="1016"/>
      <c r="F45" s="1016"/>
      <c r="G45" s="1016"/>
      <c r="H45" s="159"/>
      <c r="I45" s="1017"/>
      <c r="J45" s="1017"/>
      <c r="K45" s="1017"/>
      <c r="L45" s="1017"/>
      <c r="M45" s="1017"/>
      <c r="N45" s="637"/>
      <c r="O45" s="1015"/>
      <c r="P45" s="1015"/>
      <c r="Q45" s="1015"/>
      <c r="R45" s="1015"/>
      <c r="S45" s="1015"/>
      <c r="T45" s="638"/>
      <c r="U45" s="1015"/>
      <c r="V45" s="1015"/>
      <c r="W45" s="1015"/>
      <c r="X45" s="1015"/>
      <c r="Y45" s="1015"/>
      <c r="Z45" s="1009"/>
      <c r="AA45" s="1009"/>
      <c r="AB45" s="159"/>
      <c r="AC45" s="159"/>
      <c r="AD45" s="159"/>
      <c r="AE45" s="159"/>
      <c r="AF45" s="159"/>
      <c r="AG45" s="159"/>
      <c r="AH45" s="159"/>
      <c r="AI45" s="159"/>
      <c r="AJ45" s="159"/>
      <c r="AK45" s="159"/>
      <c r="AM45" s="1010" t="str">
        <f>Bond</f>
        <v>Something important was taken from me, and I aim to steal it back.</v>
      </c>
      <c r="AN45" s="1010"/>
      <c r="AO45" s="1010"/>
      <c r="AP45" s="1010"/>
      <c r="AQ45" s="1010"/>
      <c r="AR45" s="1010"/>
      <c r="AS45" s="1010"/>
      <c r="AT45" s="1010"/>
      <c r="AU45" s="1010"/>
      <c r="AV45" s="1010"/>
      <c r="AW45" s="1010"/>
      <c r="AX45" s="1010"/>
      <c r="AY45" s="1010"/>
      <c r="AZ45" s="1010"/>
      <c r="BA45" s="1010"/>
      <c r="BB45" s="1010"/>
      <c r="BC45" s="1010"/>
      <c r="BD45" s="1010"/>
      <c r="BE45" s="1010"/>
      <c r="BF45" s="1010"/>
      <c r="BG45" s="1010"/>
      <c r="BH45" s="1010"/>
      <c r="BI45" s="1010"/>
      <c r="BJ45" s="1010"/>
      <c r="BK45" s="1010"/>
      <c r="BL45" s="1010"/>
      <c r="BM45" s="1010"/>
      <c r="BN45" s="1010"/>
      <c r="BO45" s="1010"/>
      <c r="BP45" s="1010"/>
      <c r="BQ45" s="1010"/>
      <c r="BR45" s="1010"/>
      <c r="BS45" s="1010"/>
      <c r="BT45" s="1010"/>
      <c r="BU45" s="1010"/>
      <c r="BV45" s="1010"/>
      <c r="BW45" s="180"/>
      <c r="BX45" s="184"/>
      <c r="BY45" s="184"/>
      <c r="BZ45" s="179"/>
      <c r="CA45" s="159"/>
      <c r="CB45" s="159"/>
      <c r="CC45" s="159"/>
      <c r="CD45" s="159"/>
      <c r="CE45" s="159"/>
      <c r="CF45" s="159"/>
      <c r="CG45" s="159"/>
      <c r="CH45" s="159"/>
      <c r="CI45" s="159"/>
      <c r="CJ45" s="159"/>
      <c r="CK45" s="159"/>
      <c r="CL45" s="159"/>
      <c r="CM45" s="159"/>
      <c r="CN45" s="159"/>
      <c r="CO45" s="159"/>
      <c r="CP45" s="159"/>
      <c r="CQ45" s="159"/>
      <c r="CR45" s="159"/>
      <c r="CS45" s="159"/>
      <c r="CT45" s="159"/>
      <c r="CU45" s="159"/>
      <c r="CV45" s="159"/>
      <c r="CW45" s="159"/>
      <c r="CX45" s="159"/>
      <c r="CY45" s="159"/>
      <c r="CZ45" s="159"/>
      <c r="DA45" s="159"/>
      <c r="DB45" s="159"/>
      <c r="DC45" s="159"/>
      <c r="DD45" s="159"/>
      <c r="DE45" s="159"/>
      <c r="DF45" s="159"/>
      <c r="DG45" s="159"/>
      <c r="DH45" s="159"/>
      <c r="DI45" s="159"/>
      <c r="DJ45" s="159"/>
      <c r="DK45" s="159"/>
      <c r="DL45" s="159"/>
      <c r="DM45" s="159"/>
      <c r="DN45" s="159"/>
      <c r="DO45" s="159"/>
      <c r="DP45" s="159"/>
      <c r="DQ45" s="159"/>
      <c r="DR45" s="159"/>
      <c r="DS45" s="159"/>
      <c r="DT45" s="159"/>
      <c r="DU45" s="159"/>
      <c r="DV45" s="159"/>
      <c r="DW45" s="159"/>
      <c r="DX45" s="159"/>
      <c r="DY45" s="159"/>
      <c r="DZ45" s="159"/>
      <c r="EA45" s="159"/>
      <c r="EB45" s="159"/>
      <c r="EC45" s="159"/>
      <c r="ED45" s="159"/>
      <c r="EE45" s="159"/>
      <c r="EF45" s="159"/>
      <c r="EG45" s="159"/>
      <c r="EH45" s="159"/>
      <c r="EI45" s="159"/>
      <c r="EJ45" s="159"/>
      <c r="EK45" s="159"/>
      <c r="EL45" s="159"/>
      <c r="EM45" s="159"/>
      <c r="EN45" s="159"/>
      <c r="EO45" s="159"/>
      <c r="EP45" s="159"/>
      <c r="EQ45" s="159"/>
      <c r="ER45" s="159"/>
      <c r="ES45" s="159"/>
      <c r="ET45" s="159"/>
      <c r="EU45" s="180"/>
      <c r="EV45" s="184"/>
    </row>
    <row r="46" spans="1:152" ht="6.75" customHeight="1" x14ac:dyDescent="0.25">
      <c r="A46" s="184"/>
      <c r="B46" s="179"/>
      <c r="C46" s="1016"/>
      <c r="D46" s="1016"/>
      <c r="E46" s="1016"/>
      <c r="F46" s="1016"/>
      <c r="G46" s="1016"/>
      <c r="H46" s="159"/>
      <c r="I46" s="1017"/>
      <c r="J46" s="1017"/>
      <c r="K46" s="1017"/>
      <c r="L46" s="1017"/>
      <c r="M46" s="1017"/>
      <c r="N46" s="637"/>
      <c r="O46" s="1015"/>
      <c r="P46" s="1015"/>
      <c r="Q46" s="1015"/>
      <c r="R46" s="1015"/>
      <c r="S46" s="1015"/>
      <c r="T46" s="638"/>
      <c r="U46" s="1015"/>
      <c r="V46" s="1015"/>
      <c r="W46" s="1015"/>
      <c r="X46" s="1015"/>
      <c r="Y46" s="1015"/>
      <c r="Z46" s="159"/>
      <c r="AA46" s="159"/>
      <c r="AB46" s="159"/>
      <c r="AC46" s="159"/>
      <c r="AD46" s="159"/>
      <c r="AE46" s="159"/>
      <c r="AF46" s="159"/>
      <c r="AG46" s="159"/>
      <c r="AH46" s="159"/>
      <c r="AI46" s="159"/>
      <c r="AJ46" s="159"/>
      <c r="AK46" s="159"/>
      <c r="AM46" s="1010"/>
      <c r="AN46" s="1010"/>
      <c r="AO46" s="1010"/>
      <c r="AP46" s="1010"/>
      <c r="AQ46" s="1010"/>
      <c r="AR46" s="1010"/>
      <c r="AS46" s="1010"/>
      <c r="AT46" s="1010"/>
      <c r="AU46" s="1010"/>
      <c r="AV46" s="1010"/>
      <c r="AW46" s="1010"/>
      <c r="AX46" s="1010"/>
      <c r="AY46" s="1010"/>
      <c r="AZ46" s="1010"/>
      <c r="BA46" s="1010"/>
      <c r="BB46" s="1010"/>
      <c r="BC46" s="1010"/>
      <c r="BD46" s="1010"/>
      <c r="BE46" s="1010"/>
      <c r="BF46" s="1010"/>
      <c r="BG46" s="1010"/>
      <c r="BH46" s="1010"/>
      <c r="BI46" s="1010"/>
      <c r="BJ46" s="1010"/>
      <c r="BK46" s="1010"/>
      <c r="BL46" s="1010"/>
      <c r="BM46" s="1010"/>
      <c r="BN46" s="1010"/>
      <c r="BO46" s="1010"/>
      <c r="BP46" s="1010"/>
      <c r="BQ46" s="1010"/>
      <c r="BR46" s="1010"/>
      <c r="BS46" s="1010"/>
      <c r="BT46" s="1010"/>
      <c r="BU46" s="1010"/>
      <c r="BV46" s="1010"/>
      <c r="BW46" s="180"/>
      <c r="BX46" s="184"/>
      <c r="BY46" s="184"/>
      <c r="BZ46" s="179"/>
      <c r="CA46" s="159"/>
      <c r="CB46" s="159"/>
      <c r="CC46" s="159"/>
      <c r="CD46" s="159"/>
      <c r="CE46" s="159"/>
      <c r="CF46" s="159"/>
      <c r="CG46" s="159"/>
      <c r="CH46" s="159"/>
      <c r="CI46" s="159"/>
      <c r="CJ46" s="159"/>
      <c r="CK46" s="159"/>
      <c r="CL46" s="159"/>
      <c r="CM46" s="159"/>
      <c r="CN46" s="159"/>
      <c r="CO46" s="159"/>
      <c r="CP46" s="159"/>
      <c r="CQ46" s="159"/>
      <c r="CR46" s="159"/>
      <c r="CS46" s="159"/>
      <c r="CT46" s="159"/>
      <c r="CU46" s="159"/>
      <c r="CV46" s="159"/>
      <c r="CW46" s="159"/>
      <c r="CX46" s="159"/>
      <c r="CY46" s="159"/>
      <c r="CZ46" s="159"/>
      <c r="DA46" s="159"/>
      <c r="DB46" s="159"/>
      <c r="DC46" s="159"/>
      <c r="DD46" s="159"/>
      <c r="DE46" s="159"/>
      <c r="DF46" s="159"/>
      <c r="DG46" s="159"/>
      <c r="DH46" s="159"/>
      <c r="DI46" s="159"/>
      <c r="DJ46" s="159"/>
      <c r="DK46" s="159"/>
      <c r="DL46" s="159"/>
      <c r="DM46" s="159"/>
      <c r="DN46" s="159"/>
      <c r="DO46" s="159"/>
      <c r="DP46" s="159"/>
      <c r="DQ46" s="159"/>
      <c r="DR46" s="159"/>
      <c r="DS46" s="159"/>
      <c r="DT46" s="159"/>
      <c r="DU46" s="159"/>
      <c r="DV46" s="159"/>
      <c r="DW46" s="159"/>
      <c r="DX46" s="159"/>
      <c r="DY46" s="159"/>
      <c r="DZ46" s="159"/>
      <c r="EA46" s="159"/>
      <c r="EB46" s="159"/>
      <c r="EC46" s="159"/>
      <c r="ED46" s="159"/>
      <c r="EE46" s="159"/>
      <c r="EF46" s="159"/>
      <c r="EG46" s="159"/>
      <c r="EH46" s="159"/>
      <c r="EI46" s="159"/>
      <c r="EJ46" s="159"/>
      <c r="EK46" s="159"/>
      <c r="EL46" s="159"/>
      <c r="EM46" s="159"/>
      <c r="EN46" s="159"/>
      <c r="EO46" s="159"/>
      <c r="EP46" s="159"/>
      <c r="EQ46" s="159"/>
      <c r="ER46" s="159"/>
      <c r="ES46" s="159"/>
      <c r="ET46" s="159"/>
      <c r="EU46" s="180"/>
      <c r="EV46" s="184"/>
    </row>
    <row r="47" spans="1:152" ht="6.75" customHeight="1" x14ac:dyDescent="0.3">
      <c r="A47" s="184"/>
      <c r="B47" s="179"/>
      <c r="C47" s="438"/>
      <c r="D47" s="438"/>
      <c r="E47" s="438"/>
      <c r="F47" s="438"/>
      <c r="G47" s="438"/>
      <c r="H47" s="159"/>
      <c r="I47" s="639"/>
      <c r="J47" s="639"/>
      <c r="K47" s="639"/>
      <c r="L47" s="639"/>
      <c r="M47" s="639"/>
      <c r="N47" s="639"/>
      <c r="O47" s="638"/>
      <c r="P47" s="638"/>
      <c r="Q47" s="638"/>
      <c r="R47" s="638"/>
      <c r="S47" s="638"/>
      <c r="T47" s="638"/>
      <c r="U47" s="638"/>
      <c r="V47" s="638"/>
      <c r="W47" s="638"/>
      <c r="X47" s="638"/>
      <c r="Y47" s="638"/>
      <c r="Z47" s="159"/>
      <c r="AA47" s="159"/>
      <c r="AB47" s="159"/>
      <c r="AC47" s="159"/>
      <c r="AD47" s="159"/>
      <c r="AE47" s="159"/>
      <c r="AF47" s="159"/>
      <c r="AG47" s="159"/>
      <c r="AH47" s="159"/>
      <c r="AI47" s="159"/>
      <c r="AJ47" s="159"/>
      <c r="AK47" s="159"/>
      <c r="AM47" s="1010"/>
      <c r="AN47" s="1010"/>
      <c r="AO47" s="1010"/>
      <c r="AP47" s="1010"/>
      <c r="AQ47" s="1010"/>
      <c r="AR47" s="1010"/>
      <c r="AS47" s="1010"/>
      <c r="AT47" s="1010"/>
      <c r="AU47" s="1010"/>
      <c r="AV47" s="1010"/>
      <c r="AW47" s="1010"/>
      <c r="AX47" s="1010"/>
      <c r="AY47" s="1010"/>
      <c r="AZ47" s="1010"/>
      <c r="BA47" s="1010"/>
      <c r="BB47" s="1010"/>
      <c r="BC47" s="1010"/>
      <c r="BD47" s="1010"/>
      <c r="BE47" s="1010"/>
      <c r="BF47" s="1010"/>
      <c r="BG47" s="1010"/>
      <c r="BH47" s="1010"/>
      <c r="BI47" s="1010"/>
      <c r="BJ47" s="1010"/>
      <c r="BK47" s="1010"/>
      <c r="BL47" s="1010"/>
      <c r="BM47" s="1010"/>
      <c r="BN47" s="1010"/>
      <c r="BO47" s="1010"/>
      <c r="BP47" s="1010"/>
      <c r="BQ47" s="1010"/>
      <c r="BR47" s="1010"/>
      <c r="BS47" s="1010"/>
      <c r="BT47" s="1010"/>
      <c r="BU47" s="1010"/>
      <c r="BV47" s="1010"/>
      <c r="BW47" s="180"/>
      <c r="BX47" s="184"/>
      <c r="BY47" s="184"/>
      <c r="BZ47" s="179"/>
      <c r="CA47" s="159"/>
      <c r="CB47" s="159"/>
      <c r="CC47" s="159"/>
      <c r="CD47" s="159"/>
      <c r="CE47" s="159"/>
      <c r="CF47" s="159"/>
      <c r="CG47" s="159"/>
      <c r="CH47" s="159"/>
      <c r="CI47" s="159"/>
      <c r="CJ47" s="159"/>
      <c r="CK47" s="159"/>
      <c r="CL47" s="159"/>
      <c r="CM47" s="159"/>
      <c r="CN47" s="159"/>
      <c r="CO47" s="159"/>
      <c r="CP47" s="159"/>
      <c r="CQ47" s="159"/>
      <c r="CR47" s="159"/>
      <c r="CS47" s="159"/>
      <c r="CT47" s="159"/>
      <c r="CU47" s="159"/>
      <c r="CV47" s="159"/>
      <c r="CW47" s="159"/>
      <c r="CX47" s="159"/>
      <c r="CY47" s="159"/>
      <c r="CZ47" s="159"/>
      <c r="DA47" s="159"/>
      <c r="DB47" s="159"/>
      <c r="DC47" s="159"/>
      <c r="DD47" s="159"/>
      <c r="DE47" s="159"/>
      <c r="DF47" s="159"/>
      <c r="DG47" s="159"/>
      <c r="DH47" s="159"/>
      <c r="DI47" s="159"/>
      <c r="DJ47" s="159"/>
      <c r="DK47" s="159"/>
      <c r="DL47" s="159"/>
      <c r="DM47" s="159"/>
      <c r="DN47" s="159"/>
      <c r="DO47" s="159"/>
      <c r="DP47" s="159"/>
      <c r="DQ47" s="159"/>
      <c r="DR47" s="159"/>
      <c r="DS47" s="159"/>
      <c r="DT47" s="159"/>
      <c r="DU47" s="159"/>
      <c r="DV47" s="159"/>
      <c r="DW47" s="159"/>
      <c r="DX47" s="159"/>
      <c r="DY47" s="159"/>
      <c r="DZ47" s="159"/>
      <c r="EA47" s="159"/>
      <c r="EB47" s="159"/>
      <c r="EC47" s="159"/>
      <c r="ED47" s="159"/>
      <c r="EE47" s="159"/>
      <c r="EF47" s="159"/>
      <c r="EG47" s="159"/>
      <c r="EH47" s="159"/>
      <c r="EI47" s="159"/>
      <c r="EJ47" s="159"/>
      <c r="EK47" s="159"/>
      <c r="EL47" s="159"/>
      <c r="EM47" s="159"/>
      <c r="EN47" s="159"/>
      <c r="EO47" s="159"/>
      <c r="EP47" s="159"/>
      <c r="EQ47" s="159"/>
      <c r="ER47" s="159"/>
      <c r="ES47" s="159"/>
      <c r="ET47" s="159"/>
      <c r="EU47" s="180"/>
      <c r="EV47" s="184"/>
    </row>
    <row r="48" spans="1:152" ht="6.75" customHeight="1" x14ac:dyDescent="0.25">
      <c r="A48" s="184"/>
      <c r="B48" s="179"/>
      <c r="C48" s="1016" t="s">
        <v>510</v>
      </c>
      <c r="D48" s="1016"/>
      <c r="E48" s="1016"/>
      <c r="F48" s="1016"/>
      <c r="G48" s="1016"/>
      <c r="H48" s="159"/>
      <c r="I48" s="1017">
        <f>Wisdom</f>
        <v>10</v>
      </c>
      <c r="J48" s="1017"/>
      <c r="K48" s="1017"/>
      <c r="L48" s="1017"/>
      <c r="M48" s="1017"/>
      <c r="N48" s="637"/>
      <c r="O48" s="1015">
        <f>WisMOD</f>
        <v>0</v>
      </c>
      <c r="P48" s="1015"/>
      <c r="Q48" s="1015"/>
      <c r="R48" s="1015"/>
      <c r="S48" s="1015"/>
      <c r="T48" s="638"/>
      <c r="U48" s="1015" t="e">
        <f>WisdomST</f>
        <v>#N/A</v>
      </c>
      <c r="V48" s="1015"/>
      <c r="W48" s="1015"/>
      <c r="X48" s="1015"/>
      <c r="Y48" s="1015"/>
      <c r="Z48" s="159"/>
      <c r="AA48" s="159"/>
      <c r="AB48" s="159"/>
      <c r="AC48" s="159"/>
      <c r="AD48" s="159"/>
      <c r="AE48" s="159"/>
      <c r="AF48" s="159"/>
      <c r="AG48" s="159"/>
      <c r="AH48" s="159"/>
      <c r="AI48" s="159"/>
      <c r="AJ48" s="159"/>
      <c r="AK48" s="159"/>
      <c r="AM48" s="1010"/>
      <c r="AN48" s="1010"/>
      <c r="AO48" s="1010"/>
      <c r="AP48" s="1010"/>
      <c r="AQ48" s="1010"/>
      <c r="AR48" s="1010"/>
      <c r="AS48" s="1010"/>
      <c r="AT48" s="1010"/>
      <c r="AU48" s="1010"/>
      <c r="AV48" s="1010"/>
      <c r="AW48" s="1010"/>
      <c r="AX48" s="1010"/>
      <c r="AY48" s="1010"/>
      <c r="AZ48" s="1010"/>
      <c r="BA48" s="1010"/>
      <c r="BB48" s="1010"/>
      <c r="BC48" s="1010"/>
      <c r="BD48" s="1010"/>
      <c r="BE48" s="1010"/>
      <c r="BF48" s="1010"/>
      <c r="BG48" s="1010"/>
      <c r="BH48" s="1010"/>
      <c r="BI48" s="1010"/>
      <c r="BJ48" s="1010"/>
      <c r="BK48" s="1010"/>
      <c r="BL48" s="1010"/>
      <c r="BM48" s="1010"/>
      <c r="BN48" s="1010"/>
      <c r="BO48" s="1010"/>
      <c r="BP48" s="1010"/>
      <c r="BQ48" s="1010"/>
      <c r="BR48" s="1010"/>
      <c r="BS48" s="1010"/>
      <c r="BT48" s="1010"/>
      <c r="BU48" s="1010"/>
      <c r="BV48" s="1010"/>
      <c r="BW48" s="180"/>
      <c r="BX48" s="184"/>
      <c r="BY48" s="184"/>
      <c r="BZ48" s="179"/>
      <c r="CA48" s="159"/>
      <c r="CB48" s="159"/>
      <c r="CC48" s="159"/>
      <c r="CD48" s="159"/>
      <c r="CE48" s="159"/>
      <c r="CF48" s="159"/>
      <c r="CG48" s="159"/>
      <c r="CH48" s="159"/>
      <c r="CI48" s="159"/>
      <c r="CJ48" s="159"/>
      <c r="CK48" s="159"/>
      <c r="CL48" s="159"/>
      <c r="CM48" s="159"/>
      <c r="CN48" s="159"/>
      <c r="CO48" s="159"/>
      <c r="CP48" s="159"/>
      <c r="CQ48" s="159"/>
      <c r="CR48" s="159"/>
      <c r="CS48" s="159"/>
      <c r="CT48" s="159"/>
      <c r="CU48" s="159"/>
      <c r="CV48" s="159"/>
      <c r="CW48" s="159"/>
      <c r="CX48" s="159"/>
      <c r="CY48" s="159"/>
      <c r="CZ48" s="159"/>
      <c r="DA48" s="159"/>
      <c r="DB48" s="159"/>
      <c r="DC48" s="159"/>
      <c r="DD48" s="159"/>
      <c r="DE48" s="159"/>
      <c r="DF48" s="159"/>
      <c r="DG48" s="159"/>
      <c r="DH48" s="159"/>
      <c r="DI48" s="159"/>
      <c r="DJ48" s="159"/>
      <c r="DK48" s="159"/>
      <c r="DL48" s="159"/>
      <c r="DM48" s="159"/>
      <c r="DN48" s="159"/>
      <c r="DO48" s="159"/>
      <c r="DP48" s="159"/>
      <c r="DQ48" s="159"/>
      <c r="DR48" s="159"/>
      <c r="DS48" s="159"/>
      <c r="DT48" s="159"/>
      <c r="DU48" s="159"/>
      <c r="DV48" s="159"/>
      <c r="DW48" s="159"/>
      <c r="DX48" s="159"/>
      <c r="DY48" s="159"/>
      <c r="DZ48" s="159"/>
      <c r="EA48" s="159"/>
      <c r="EB48" s="159"/>
      <c r="EC48" s="159"/>
      <c r="ED48" s="159"/>
      <c r="EE48" s="159"/>
      <c r="EF48" s="159"/>
      <c r="EG48" s="159"/>
      <c r="EH48" s="159"/>
      <c r="EI48" s="159"/>
      <c r="EJ48" s="159"/>
      <c r="EK48" s="159"/>
      <c r="EL48" s="159"/>
      <c r="EM48" s="159"/>
      <c r="EN48" s="159"/>
      <c r="EO48" s="159"/>
      <c r="EP48" s="159"/>
      <c r="EQ48" s="159"/>
      <c r="ER48" s="159"/>
      <c r="ES48" s="159"/>
      <c r="ET48" s="159"/>
      <c r="EU48" s="180"/>
      <c r="EV48" s="184"/>
    </row>
    <row r="49" spans="1:152" ht="6.75" customHeight="1" x14ac:dyDescent="0.25">
      <c r="A49" s="184"/>
      <c r="B49" s="179"/>
      <c r="C49" s="1016"/>
      <c r="D49" s="1016"/>
      <c r="E49" s="1016"/>
      <c r="F49" s="1016"/>
      <c r="G49" s="1016"/>
      <c r="H49" s="159"/>
      <c r="I49" s="1017"/>
      <c r="J49" s="1017"/>
      <c r="K49" s="1017"/>
      <c r="L49" s="1017"/>
      <c r="M49" s="1017"/>
      <c r="N49" s="637"/>
      <c r="O49" s="1015"/>
      <c r="P49" s="1015"/>
      <c r="Q49" s="1015"/>
      <c r="R49" s="1015"/>
      <c r="S49" s="1015"/>
      <c r="T49" s="638"/>
      <c r="U49" s="1015"/>
      <c r="V49" s="1015"/>
      <c r="W49" s="1015"/>
      <c r="X49" s="1015"/>
      <c r="Y49" s="1015"/>
      <c r="Z49" s="1009" t="str">
        <f>IF(WisST=1,"●","○")</f>
        <v>○</v>
      </c>
      <c r="AA49" s="1009"/>
      <c r="AB49" s="159"/>
      <c r="AC49" s="159"/>
      <c r="AD49" s="159"/>
      <c r="AE49" s="159"/>
      <c r="AF49" s="159"/>
      <c r="AG49" s="159"/>
      <c r="AH49" s="159"/>
      <c r="AI49" s="159"/>
      <c r="AJ49" s="159"/>
      <c r="AK49" s="159"/>
      <c r="AM49" s="1010"/>
      <c r="AN49" s="1010"/>
      <c r="AO49" s="1010"/>
      <c r="AP49" s="1010"/>
      <c r="AQ49" s="1010"/>
      <c r="AR49" s="1010"/>
      <c r="AS49" s="1010"/>
      <c r="AT49" s="1010"/>
      <c r="AU49" s="1010"/>
      <c r="AV49" s="1010"/>
      <c r="AW49" s="1010"/>
      <c r="AX49" s="1010"/>
      <c r="AY49" s="1010"/>
      <c r="AZ49" s="1010"/>
      <c r="BA49" s="1010"/>
      <c r="BB49" s="1010"/>
      <c r="BC49" s="1010"/>
      <c r="BD49" s="1010"/>
      <c r="BE49" s="1010"/>
      <c r="BF49" s="1010"/>
      <c r="BG49" s="1010"/>
      <c r="BH49" s="1010"/>
      <c r="BI49" s="1010"/>
      <c r="BJ49" s="1010"/>
      <c r="BK49" s="1010"/>
      <c r="BL49" s="1010"/>
      <c r="BM49" s="1010"/>
      <c r="BN49" s="1010"/>
      <c r="BO49" s="1010"/>
      <c r="BP49" s="1010"/>
      <c r="BQ49" s="1010"/>
      <c r="BR49" s="1010"/>
      <c r="BS49" s="1010"/>
      <c r="BT49" s="1010"/>
      <c r="BU49" s="1010"/>
      <c r="BV49" s="1010"/>
      <c r="BW49" s="180"/>
      <c r="BX49" s="184"/>
      <c r="BY49" s="184"/>
      <c r="BZ49" s="179"/>
      <c r="CA49" s="159"/>
      <c r="CB49" s="159"/>
      <c r="CC49" s="159"/>
      <c r="CD49" s="159"/>
      <c r="CE49" s="159"/>
      <c r="CF49" s="159"/>
      <c r="CG49" s="159"/>
      <c r="CH49" s="159"/>
      <c r="CI49" s="159"/>
      <c r="CJ49" s="159"/>
      <c r="CK49" s="159"/>
      <c r="CL49" s="159"/>
      <c r="CM49" s="159"/>
      <c r="CN49" s="159"/>
      <c r="CO49" s="159"/>
      <c r="CP49" s="159"/>
      <c r="CQ49" s="159"/>
      <c r="CR49" s="159"/>
      <c r="CS49" s="159"/>
      <c r="CT49" s="159"/>
      <c r="CU49" s="159"/>
      <c r="CV49" s="159"/>
      <c r="CW49" s="159"/>
      <c r="CX49" s="159"/>
      <c r="CY49" s="159"/>
      <c r="CZ49" s="159"/>
      <c r="DA49" s="159"/>
      <c r="DB49" s="159"/>
      <c r="DC49" s="159"/>
      <c r="DD49" s="159"/>
      <c r="DE49" s="159"/>
      <c r="DF49" s="159"/>
      <c r="DG49" s="159"/>
      <c r="EP49" s="159"/>
      <c r="EQ49" s="159"/>
      <c r="ER49" s="159"/>
      <c r="ES49" s="159"/>
      <c r="ET49" s="159"/>
      <c r="EU49" s="180"/>
      <c r="EV49" s="184"/>
    </row>
    <row r="50" spans="1:152" ht="6.75" customHeight="1" x14ac:dyDescent="0.25">
      <c r="A50" s="184"/>
      <c r="B50" s="179"/>
      <c r="C50" s="1016"/>
      <c r="D50" s="1016"/>
      <c r="E50" s="1016"/>
      <c r="F50" s="1016"/>
      <c r="G50" s="1016"/>
      <c r="H50" s="159"/>
      <c r="I50" s="1017"/>
      <c r="J50" s="1017"/>
      <c r="K50" s="1017"/>
      <c r="L50" s="1017"/>
      <c r="M50" s="1017"/>
      <c r="N50" s="637"/>
      <c r="O50" s="1015"/>
      <c r="P50" s="1015"/>
      <c r="Q50" s="1015"/>
      <c r="R50" s="1015"/>
      <c r="S50" s="1015"/>
      <c r="T50" s="638"/>
      <c r="U50" s="1015"/>
      <c r="V50" s="1015"/>
      <c r="W50" s="1015"/>
      <c r="X50" s="1015"/>
      <c r="Y50" s="1015"/>
      <c r="Z50" s="1009"/>
      <c r="AA50" s="1009"/>
      <c r="AB50" s="159"/>
      <c r="AC50" s="159"/>
      <c r="AD50" s="159"/>
      <c r="AE50" s="159"/>
      <c r="AF50" s="159"/>
      <c r="AG50" s="159"/>
      <c r="AH50" s="159"/>
      <c r="AI50" s="159"/>
      <c r="AJ50" s="159"/>
      <c r="AK50" s="159"/>
      <c r="AM50" s="1010"/>
      <c r="AN50" s="1010"/>
      <c r="AO50" s="1010"/>
      <c r="AP50" s="1010"/>
      <c r="AQ50" s="1010"/>
      <c r="AR50" s="1010"/>
      <c r="AS50" s="1010"/>
      <c r="AT50" s="1010"/>
      <c r="AU50" s="1010"/>
      <c r="AV50" s="1010"/>
      <c r="AW50" s="1010"/>
      <c r="AX50" s="1010"/>
      <c r="AY50" s="1010"/>
      <c r="AZ50" s="1010"/>
      <c r="BA50" s="1010"/>
      <c r="BB50" s="1010"/>
      <c r="BC50" s="1010"/>
      <c r="BD50" s="1010"/>
      <c r="BE50" s="1010"/>
      <c r="BF50" s="1010"/>
      <c r="BG50" s="1010"/>
      <c r="BH50" s="1010"/>
      <c r="BI50" s="1010"/>
      <c r="BJ50" s="1010"/>
      <c r="BK50" s="1010"/>
      <c r="BL50" s="1010"/>
      <c r="BM50" s="1010"/>
      <c r="BN50" s="1010"/>
      <c r="BO50" s="1010"/>
      <c r="BP50" s="1010"/>
      <c r="BQ50" s="1010"/>
      <c r="BR50" s="1010"/>
      <c r="BS50" s="1010"/>
      <c r="BT50" s="1010"/>
      <c r="BU50" s="1010"/>
      <c r="BV50" s="1010"/>
      <c r="BW50" s="180"/>
      <c r="BX50" s="184"/>
      <c r="BY50" s="184"/>
      <c r="BZ50" s="179"/>
      <c r="CA50" s="159"/>
      <c r="CB50" s="159"/>
      <c r="CC50" s="159"/>
      <c r="CD50" s="159"/>
      <c r="CE50" s="159"/>
      <c r="CF50" s="159"/>
      <c r="CG50" s="159"/>
      <c r="CH50" s="159"/>
      <c r="CI50" s="159"/>
      <c r="CJ50" s="159"/>
      <c r="CK50" s="159"/>
      <c r="CL50" s="159"/>
      <c r="CM50" s="159"/>
      <c r="CN50" s="159"/>
      <c r="CO50" s="159"/>
      <c r="CP50" s="159"/>
      <c r="CQ50" s="159"/>
      <c r="CR50" s="159"/>
      <c r="CS50" s="159"/>
      <c r="CT50" s="159"/>
      <c r="CU50" s="159"/>
      <c r="CV50" s="159"/>
      <c r="CW50" s="159"/>
      <c r="CX50" s="159"/>
      <c r="CY50" s="159"/>
      <c r="CZ50" s="159"/>
      <c r="DA50" s="159"/>
      <c r="DB50" s="159"/>
      <c r="DC50" s="159"/>
      <c r="DD50" s="159"/>
      <c r="DE50" s="159"/>
      <c r="DF50" s="159"/>
      <c r="DG50" s="159"/>
      <c r="EP50" s="159"/>
      <c r="EQ50" s="159"/>
      <c r="ER50" s="159"/>
      <c r="ES50" s="159"/>
      <c r="ET50" s="159"/>
      <c r="EU50" s="180"/>
      <c r="EV50" s="184"/>
    </row>
    <row r="51" spans="1:152" ht="6.75" customHeight="1" x14ac:dyDescent="0.25">
      <c r="A51" s="184"/>
      <c r="B51" s="179"/>
      <c r="C51" s="1016"/>
      <c r="D51" s="1016"/>
      <c r="E51" s="1016"/>
      <c r="F51" s="1016"/>
      <c r="G51" s="1016"/>
      <c r="H51" s="159"/>
      <c r="I51" s="1017"/>
      <c r="J51" s="1017"/>
      <c r="K51" s="1017"/>
      <c r="L51" s="1017"/>
      <c r="M51" s="1017"/>
      <c r="N51" s="637"/>
      <c r="O51" s="1015"/>
      <c r="P51" s="1015"/>
      <c r="Q51" s="1015"/>
      <c r="R51" s="1015"/>
      <c r="S51" s="1015"/>
      <c r="T51" s="638"/>
      <c r="U51" s="1015"/>
      <c r="V51" s="1015"/>
      <c r="W51" s="1015"/>
      <c r="X51" s="1015"/>
      <c r="Y51" s="1015"/>
      <c r="Z51" s="159"/>
      <c r="AA51" s="159"/>
      <c r="AB51" s="159"/>
      <c r="AC51" s="159"/>
      <c r="AD51" s="159"/>
      <c r="AE51" s="159"/>
      <c r="AF51" s="159"/>
      <c r="AG51" s="159"/>
      <c r="AH51" s="159"/>
      <c r="AI51" s="159"/>
      <c r="AJ51" s="159"/>
      <c r="AK51" s="159"/>
      <c r="AM51" s="1010"/>
      <c r="AN51" s="1010"/>
      <c r="AO51" s="1010"/>
      <c r="AP51" s="1010"/>
      <c r="AQ51" s="1010"/>
      <c r="AR51" s="1010"/>
      <c r="AS51" s="1010"/>
      <c r="AT51" s="1010"/>
      <c r="AU51" s="1010"/>
      <c r="AV51" s="1010"/>
      <c r="AW51" s="1010"/>
      <c r="AX51" s="1010"/>
      <c r="AY51" s="1010"/>
      <c r="AZ51" s="1010"/>
      <c r="BA51" s="1010"/>
      <c r="BB51" s="1010"/>
      <c r="BC51" s="1010"/>
      <c r="BD51" s="1010"/>
      <c r="BE51" s="1010"/>
      <c r="BF51" s="1010"/>
      <c r="BG51" s="1010"/>
      <c r="BH51" s="1010"/>
      <c r="BI51" s="1010"/>
      <c r="BJ51" s="1010"/>
      <c r="BK51" s="1010"/>
      <c r="BL51" s="1010"/>
      <c r="BM51" s="1010"/>
      <c r="BN51" s="1010"/>
      <c r="BO51" s="1010"/>
      <c r="BP51" s="1010"/>
      <c r="BQ51" s="1010"/>
      <c r="BR51" s="1010"/>
      <c r="BS51" s="1010"/>
      <c r="BT51" s="1010"/>
      <c r="BU51" s="1010"/>
      <c r="BV51" s="1010"/>
      <c r="BW51" s="180"/>
      <c r="BX51" s="184"/>
      <c r="BY51" s="184"/>
      <c r="BZ51" s="179"/>
      <c r="CA51" s="159"/>
      <c r="CB51" s="159"/>
      <c r="CC51" s="159"/>
      <c r="CD51" s="159"/>
      <c r="CE51" s="159"/>
      <c r="CF51" s="159"/>
      <c r="CG51" s="159"/>
      <c r="CH51" s="159"/>
      <c r="CI51" s="159"/>
      <c r="CJ51" s="159"/>
      <c r="CK51" s="159"/>
      <c r="CL51" s="159"/>
      <c r="CM51" s="159"/>
      <c r="CN51" s="159"/>
      <c r="CO51" s="159"/>
      <c r="CP51" s="159"/>
      <c r="CQ51" s="159"/>
      <c r="CR51" s="159"/>
      <c r="CS51" s="159"/>
      <c r="CT51" s="159"/>
      <c r="CU51" s="159"/>
      <c r="CV51" s="159"/>
      <c r="CW51" s="159"/>
      <c r="CX51" s="159"/>
      <c r="CY51" s="159"/>
      <c r="CZ51" s="159"/>
      <c r="DA51" s="159"/>
      <c r="DB51" s="159"/>
      <c r="DC51" s="159"/>
      <c r="DD51" s="159"/>
      <c r="DE51" s="159"/>
      <c r="DF51" s="159"/>
      <c r="DG51" s="159"/>
      <c r="EP51" s="159"/>
      <c r="EQ51" s="159"/>
      <c r="ER51" s="159"/>
      <c r="ES51" s="159"/>
      <c r="ET51" s="159"/>
      <c r="EU51" s="180"/>
      <c r="EV51" s="184"/>
    </row>
    <row r="52" spans="1:152" ht="6.75" customHeight="1" x14ac:dyDescent="0.3">
      <c r="A52" s="184"/>
      <c r="B52" s="179"/>
      <c r="C52" s="438"/>
      <c r="D52" s="438"/>
      <c r="E52" s="438"/>
      <c r="F52" s="438"/>
      <c r="G52" s="438"/>
      <c r="H52" s="159"/>
      <c r="I52" s="639"/>
      <c r="J52" s="639"/>
      <c r="K52" s="639"/>
      <c r="L52" s="639"/>
      <c r="M52" s="639"/>
      <c r="N52" s="639"/>
      <c r="O52" s="638"/>
      <c r="P52" s="638"/>
      <c r="Q52" s="638"/>
      <c r="R52" s="638"/>
      <c r="S52" s="638"/>
      <c r="T52" s="638"/>
      <c r="U52" s="638"/>
      <c r="V52" s="638"/>
      <c r="W52" s="638"/>
      <c r="X52" s="638"/>
      <c r="Y52" s="638"/>
      <c r="Z52" s="159"/>
      <c r="AA52" s="159"/>
      <c r="AB52" s="159"/>
      <c r="AC52" s="159"/>
      <c r="AD52" s="159"/>
      <c r="AE52" s="159"/>
      <c r="AF52" s="159"/>
      <c r="AG52" s="159"/>
      <c r="AH52" s="159"/>
      <c r="AI52" s="159"/>
      <c r="AJ52" s="159"/>
      <c r="AK52" s="159"/>
      <c r="AM52" s="1010"/>
      <c r="AN52" s="1010"/>
      <c r="AO52" s="1010"/>
      <c r="AP52" s="1010"/>
      <c r="AQ52" s="1010"/>
      <c r="AR52" s="1010"/>
      <c r="AS52" s="1010"/>
      <c r="AT52" s="1010"/>
      <c r="AU52" s="1010"/>
      <c r="AV52" s="1010"/>
      <c r="AW52" s="1010"/>
      <c r="AX52" s="1010"/>
      <c r="AY52" s="1010"/>
      <c r="AZ52" s="1010"/>
      <c r="BA52" s="1010"/>
      <c r="BB52" s="1010"/>
      <c r="BC52" s="1010"/>
      <c r="BD52" s="1010"/>
      <c r="BE52" s="1010"/>
      <c r="BF52" s="1010"/>
      <c r="BG52" s="1010"/>
      <c r="BH52" s="1010"/>
      <c r="BI52" s="1010"/>
      <c r="BJ52" s="1010"/>
      <c r="BK52" s="1010"/>
      <c r="BL52" s="1010"/>
      <c r="BM52" s="1010"/>
      <c r="BN52" s="1010"/>
      <c r="BO52" s="1010"/>
      <c r="BP52" s="1010"/>
      <c r="BQ52" s="1010"/>
      <c r="BR52" s="1010"/>
      <c r="BS52" s="1010"/>
      <c r="BT52" s="1010"/>
      <c r="BU52" s="1010"/>
      <c r="BV52" s="1010"/>
      <c r="BW52" s="180"/>
      <c r="BX52" s="184"/>
      <c r="BY52" s="184"/>
      <c r="BZ52" s="179"/>
      <c r="CA52" s="159"/>
      <c r="CB52" s="159"/>
      <c r="CC52" s="159"/>
      <c r="CD52" s="159"/>
      <c r="CE52" s="159"/>
      <c r="CF52" s="159"/>
      <c r="CG52" s="159"/>
      <c r="CH52" s="159"/>
      <c r="CI52" s="159"/>
      <c r="CJ52" s="159"/>
      <c r="CK52" s="159"/>
      <c r="CL52" s="159"/>
      <c r="CM52" s="159"/>
      <c r="CN52" s="159"/>
      <c r="CO52" s="159"/>
      <c r="CP52" s="159"/>
      <c r="CQ52" s="159"/>
      <c r="CR52" s="159"/>
      <c r="CS52" s="159"/>
      <c r="CT52" s="159"/>
      <c r="CU52" s="159"/>
      <c r="CV52" s="159"/>
      <c r="CW52" s="159"/>
      <c r="CX52" s="159"/>
      <c r="CY52" s="159"/>
      <c r="CZ52" s="159"/>
      <c r="DA52" s="159"/>
      <c r="DB52" s="159"/>
      <c r="DC52" s="159"/>
      <c r="DD52" s="159"/>
      <c r="DE52" s="159"/>
      <c r="DF52" s="159"/>
      <c r="DG52" s="159"/>
      <c r="EP52" s="159"/>
      <c r="EQ52" s="159"/>
      <c r="ER52" s="159"/>
      <c r="ES52" s="159"/>
      <c r="ET52" s="159"/>
      <c r="EU52" s="180"/>
      <c r="EV52" s="184"/>
    </row>
    <row r="53" spans="1:152" ht="6.75" customHeight="1" x14ac:dyDescent="0.25">
      <c r="A53" s="184"/>
      <c r="B53" s="179"/>
      <c r="C53" s="1016" t="s">
        <v>511</v>
      </c>
      <c r="D53" s="1016"/>
      <c r="E53" s="1016"/>
      <c r="F53" s="1016"/>
      <c r="G53" s="1016"/>
      <c r="H53" s="159"/>
      <c r="I53" s="1017">
        <f>Charisma</f>
        <v>18</v>
      </c>
      <c r="J53" s="1017"/>
      <c r="K53" s="1017"/>
      <c r="L53" s="1017"/>
      <c r="M53" s="1017"/>
      <c r="N53" s="637"/>
      <c r="O53" s="1015">
        <f>ChaMOD</f>
        <v>4</v>
      </c>
      <c r="P53" s="1015"/>
      <c r="Q53" s="1015"/>
      <c r="R53" s="1015"/>
      <c r="S53" s="1015"/>
      <c r="T53" s="638"/>
      <c r="U53" s="1015" t="e">
        <f>CharismaST</f>
        <v>#N/A</v>
      </c>
      <c r="V53" s="1015"/>
      <c r="W53" s="1015"/>
      <c r="X53" s="1015"/>
      <c r="Y53" s="1015"/>
      <c r="Z53" s="159"/>
      <c r="AA53" s="159"/>
      <c r="AB53" s="159"/>
      <c r="AC53" s="159"/>
      <c r="AD53" s="159"/>
      <c r="AE53" s="159"/>
      <c r="AF53" s="159"/>
      <c r="AG53" s="159"/>
      <c r="AH53" s="159"/>
      <c r="AI53" s="159"/>
      <c r="AJ53" s="159"/>
      <c r="AK53" s="159"/>
      <c r="AM53" s="1010"/>
      <c r="AN53" s="1010"/>
      <c r="AO53" s="1010"/>
      <c r="AP53" s="1010"/>
      <c r="AQ53" s="1010"/>
      <c r="AR53" s="1010"/>
      <c r="AS53" s="1010"/>
      <c r="AT53" s="1010"/>
      <c r="AU53" s="1010"/>
      <c r="AV53" s="1010"/>
      <c r="AW53" s="1010"/>
      <c r="AX53" s="1010"/>
      <c r="AY53" s="1010"/>
      <c r="AZ53" s="1010"/>
      <c r="BA53" s="1010"/>
      <c r="BB53" s="1010"/>
      <c r="BC53" s="1010"/>
      <c r="BD53" s="1010"/>
      <c r="BE53" s="1010"/>
      <c r="BF53" s="1010"/>
      <c r="BG53" s="1010"/>
      <c r="BH53" s="1010"/>
      <c r="BI53" s="1010"/>
      <c r="BJ53" s="1010"/>
      <c r="BK53" s="1010"/>
      <c r="BL53" s="1010"/>
      <c r="BM53" s="1010"/>
      <c r="BN53" s="1010"/>
      <c r="BO53" s="1010"/>
      <c r="BP53" s="1010"/>
      <c r="BQ53" s="1010"/>
      <c r="BR53" s="1010"/>
      <c r="BS53" s="1010"/>
      <c r="BT53" s="1010"/>
      <c r="BU53" s="1010"/>
      <c r="BV53" s="1010"/>
      <c r="BW53" s="180"/>
      <c r="BX53" s="184"/>
      <c r="BY53" s="184"/>
      <c r="BZ53" s="179"/>
      <c r="CA53" s="159"/>
      <c r="CB53" s="159"/>
      <c r="CC53" s="159"/>
      <c r="CD53" s="159"/>
      <c r="CE53" s="159"/>
      <c r="CF53" s="159"/>
      <c r="CG53" s="159"/>
      <c r="CH53" s="159"/>
      <c r="CI53" s="159"/>
      <c r="CJ53" s="159"/>
      <c r="CK53" s="159"/>
      <c r="CL53" s="159"/>
      <c r="CM53" s="159"/>
      <c r="CN53" s="159"/>
      <c r="CO53" s="159"/>
      <c r="CP53" s="159"/>
      <c r="CQ53" s="159"/>
      <c r="CR53" s="159"/>
      <c r="CS53" s="159"/>
      <c r="CT53" s="159"/>
      <c r="CU53" s="159"/>
      <c r="CV53" s="159"/>
      <c r="CW53" s="159"/>
      <c r="CX53" s="159"/>
      <c r="CY53" s="159"/>
      <c r="CZ53" s="159"/>
      <c r="DA53" s="159"/>
      <c r="DB53" s="159"/>
      <c r="DC53" s="159"/>
      <c r="DD53" s="159"/>
      <c r="DE53" s="159"/>
      <c r="DF53" s="159"/>
      <c r="DG53" s="159"/>
      <c r="EP53" s="159"/>
      <c r="EQ53" s="159"/>
      <c r="ER53" s="159"/>
      <c r="ES53" s="159"/>
      <c r="ET53" s="159"/>
      <c r="EU53" s="180"/>
      <c r="EV53" s="184"/>
    </row>
    <row r="54" spans="1:152" ht="6.75" customHeight="1" x14ac:dyDescent="0.25">
      <c r="A54" s="184"/>
      <c r="B54" s="179"/>
      <c r="C54" s="1016"/>
      <c r="D54" s="1016"/>
      <c r="E54" s="1016"/>
      <c r="F54" s="1016"/>
      <c r="G54" s="1016"/>
      <c r="H54" s="159"/>
      <c r="I54" s="1017"/>
      <c r="J54" s="1017"/>
      <c r="K54" s="1017"/>
      <c r="L54" s="1017"/>
      <c r="M54" s="1017"/>
      <c r="N54" s="637"/>
      <c r="O54" s="1015"/>
      <c r="P54" s="1015"/>
      <c r="Q54" s="1015"/>
      <c r="R54" s="1015"/>
      <c r="S54" s="1015"/>
      <c r="T54" s="638"/>
      <c r="U54" s="1015"/>
      <c r="V54" s="1015"/>
      <c r="W54" s="1015"/>
      <c r="X54" s="1015"/>
      <c r="Y54" s="1015"/>
      <c r="Z54" s="1009" t="str">
        <f>IF(ChaST=1,"●","○")</f>
        <v>○</v>
      </c>
      <c r="AA54" s="1009"/>
      <c r="AB54" s="159"/>
      <c r="AC54" s="159"/>
      <c r="AD54" s="159"/>
      <c r="AE54" s="159"/>
      <c r="AF54" s="159"/>
      <c r="AG54" s="159"/>
      <c r="AH54" s="159"/>
      <c r="AI54" s="159"/>
      <c r="AJ54" s="159"/>
      <c r="AK54" s="159"/>
      <c r="AM54" s="1013" t="s">
        <v>7169</v>
      </c>
      <c r="AN54" s="1013"/>
      <c r="AO54" s="1013"/>
      <c r="AP54" s="1013"/>
      <c r="AQ54" s="1013"/>
      <c r="AR54" s="1013"/>
      <c r="AS54" s="1013"/>
      <c r="AT54" s="1013"/>
      <c r="AU54" s="1013"/>
      <c r="AV54" s="1013"/>
      <c r="AW54" s="1013"/>
      <c r="AX54" s="1013"/>
      <c r="AY54" s="1013"/>
      <c r="AZ54" s="1013"/>
      <c r="BA54" s="1013"/>
      <c r="BB54" s="1013"/>
      <c r="BW54" s="180"/>
      <c r="BX54" s="184"/>
      <c r="BY54" s="184"/>
      <c r="BZ54" s="179"/>
      <c r="CA54" s="159"/>
      <c r="CB54" s="159"/>
      <c r="CC54" s="159"/>
      <c r="CD54" s="159"/>
      <c r="CE54" s="159"/>
      <c r="CF54" s="159"/>
      <c r="CG54" s="159"/>
      <c r="CH54" s="159"/>
      <c r="CI54" s="159"/>
      <c r="CJ54" s="159"/>
      <c r="CK54" s="159"/>
      <c r="CL54" s="159"/>
      <c r="CM54" s="159"/>
      <c r="CN54" s="159"/>
      <c r="CO54" s="159"/>
      <c r="CP54" s="159"/>
      <c r="CQ54" s="159"/>
      <c r="CR54" s="159"/>
      <c r="CS54" s="159"/>
      <c r="CT54" s="159"/>
      <c r="CU54" s="159"/>
      <c r="CV54" s="159"/>
      <c r="CW54" s="159"/>
      <c r="CX54" s="159"/>
      <c r="CY54" s="159"/>
      <c r="CZ54" s="159"/>
      <c r="DA54" s="159"/>
      <c r="DB54" s="159"/>
      <c r="DC54" s="159"/>
      <c r="DD54" s="159"/>
      <c r="DE54" s="159"/>
      <c r="DF54" s="159"/>
      <c r="DG54" s="159"/>
      <c r="EP54" s="159"/>
      <c r="EQ54" s="159"/>
      <c r="ER54" s="159"/>
      <c r="ES54" s="159"/>
      <c r="ET54" s="159"/>
      <c r="EU54" s="180"/>
      <c r="EV54" s="184"/>
    </row>
    <row r="55" spans="1:152" ht="6.75" customHeight="1" x14ac:dyDescent="0.25">
      <c r="A55" s="184"/>
      <c r="B55" s="179"/>
      <c r="C55" s="1016"/>
      <c r="D55" s="1016"/>
      <c r="E55" s="1016"/>
      <c r="F55" s="1016"/>
      <c r="G55" s="1016"/>
      <c r="H55" s="159"/>
      <c r="I55" s="1017"/>
      <c r="J55" s="1017"/>
      <c r="K55" s="1017"/>
      <c r="L55" s="1017"/>
      <c r="M55" s="1017"/>
      <c r="N55" s="637"/>
      <c r="O55" s="1015"/>
      <c r="P55" s="1015"/>
      <c r="Q55" s="1015"/>
      <c r="R55" s="1015"/>
      <c r="S55" s="1015"/>
      <c r="T55" s="638"/>
      <c r="U55" s="1015"/>
      <c r="V55" s="1015"/>
      <c r="W55" s="1015"/>
      <c r="X55" s="1015"/>
      <c r="Y55" s="1015"/>
      <c r="Z55" s="1009"/>
      <c r="AA55" s="1009"/>
      <c r="AB55" s="159"/>
      <c r="AC55" s="159"/>
      <c r="AD55" s="159"/>
      <c r="AE55" s="159"/>
      <c r="AF55" s="159"/>
      <c r="AG55" s="159"/>
      <c r="AH55" s="159"/>
      <c r="AI55" s="159"/>
      <c r="AJ55" s="159"/>
      <c r="AK55" s="159"/>
      <c r="AM55" s="1013"/>
      <c r="AN55" s="1013"/>
      <c r="AO55" s="1013"/>
      <c r="AP55" s="1013"/>
      <c r="AQ55" s="1013"/>
      <c r="AR55" s="1013"/>
      <c r="AS55" s="1013"/>
      <c r="AT55" s="1013"/>
      <c r="AU55" s="1013"/>
      <c r="AV55" s="1013"/>
      <c r="AW55" s="1013"/>
      <c r="AX55" s="1013"/>
      <c r="AY55" s="1013"/>
      <c r="AZ55" s="1013"/>
      <c r="BA55" s="1013"/>
      <c r="BB55" s="1013"/>
      <c r="BW55" s="180"/>
      <c r="BX55" s="184"/>
      <c r="BY55" s="184"/>
      <c r="BZ55" s="179"/>
      <c r="CA55" s="159"/>
      <c r="CB55" s="159"/>
      <c r="CC55" s="159"/>
      <c r="CD55" s="159"/>
      <c r="CE55" s="159"/>
      <c r="CF55" s="159"/>
      <c r="CG55" s="159"/>
      <c r="CH55" s="159"/>
      <c r="CI55" s="159"/>
      <c r="CJ55" s="159"/>
      <c r="CK55" s="159"/>
      <c r="CL55" s="159"/>
      <c r="CM55" s="159"/>
      <c r="CN55" s="159"/>
      <c r="CO55" s="159"/>
      <c r="CP55" s="159"/>
      <c r="CQ55" s="159"/>
      <c r="CR55" s="159"/>
      <c r="CS55" s="159"/>
      <c r="CT55" s="159"/>
      <c r="CU55" s="159"/>
      <c r="CV55" s="159"/>
      <c r="CW55" s="159"/>
      <c r="CX55" s="159"/>
      <c r="CY55" s="159"/>
      <c r="CZ55" s="159"/>
      <c r="DA55" s="159"/>
      <c r="DB55" s="159"/>
      <c r="DC55" s="159"/>
      <c r="DD55" s="159"/>
      <c r="DE55" s="159"/>
      <c r="DF55" s="159"/>
      <c r="DG55" s="159"/>
      <c r="EP55" s="159"/>
      <c r="EQ55" s="159"/>
      <c r="ER55" s="159"/>
      <c r="ES55" s="159"/>
      <c r="ET55" s="159"/>
      <c r="EU55" s="180"/>
      <c r="EV55" s="184"/>
    </row>
    <row r="56" spans="1:152" ht="6.75" customHeight="1" x14ac:dyDescent="0.25">
      <c r="A56" s="184"/>
      <c r="B56" s="179"/>
      <c r="C56" s="1016"/>
      <c r="D56" s="1016"/>
      <c r="E56" s="1016"/>
      <c r="F56" s="1016"/>
      <c r="G56" s="1016"/>
      <c r="H56" s="159"/>
      <c r="I56" s="1017"/>
      <c r="J56" s="1017"/>
      <c r="K56" s="1017"/>
      <c r="L56" s="1017"/>
      <c r="M56" s="1017"/>
      <c r="N56" s="637"/>
      <c r="O56" s="1015"/>
      <c r="P56" s="1015"/>
      <c r="Q56" s="1015"/>
      <c r="R56" s="1015"/>
      <c r="S56" s="1015"/>
      <c r="T56" s="638"/>
      <c r="U56" s="1015"/>
      <c r="V56" s="1015"/>
      <c r="W56" s="1015"/>
      <c r="X56" s="1015"/>
      <c r="Y56" s="1015"/>
      <c r="Z56" s="159"/>
      <c r="AA56" s="159"/>
      <c r="AB56" s="159"/>
      <c r="AC56" s="159"/>
      <c r="AD56" s="159"/>
      <c r="AE56" s="159"/>
      <c r="AF56" s="159"/>
      <c r="AG56" s="159"/>
      <c r="AH56" s="159"/>
      <c r="AI56" s="159"/>
      <c r="AJ56" s="159"/>
      <c r="AK56" s="159"/>
      <c r="AM56" s="1010" t="str">
        <f>Flaw</f>
        <v>I have a “tell” that reveals when I’m lying.</v>
      </c>
      <c r="AN56" s="1010"/>
      <c r="AO56" s="1010"/>
      <c r="AP56" s="1010"/>
      <c r="AQ56" s="1010"/>
      <c r="AR56" s="1010"/>
      <c r="AS56" s="1010"/>
      <c r="AT56" s="1010"/>
      <c r="AU56" s="1010"/>
      <c r="AV56" s="1010"/>
      <c r="AW56" s="1010"/>
      <c r="AX56" s="1010"/>
      <c r="AY56" s="1010"/>
      <c r="AZ56" s="1010"/>
      <c r="BA56" s="1010"/>
      <c r="BB56" s="1010"/>
      <c r="BC56" s="1010"/>
      <c r="BD56" s="1010"/>
      <c r="BE56" s="1010"/>
      <c r="BF56" s="1010"/>
      <c r="BG56" s="1010"/>
      <c r="BH56" s="1010"/>
      <c r="BI56" s="1010"/>
      <c r="BJ56" s="1010"/>
      <c r="BK56" s="1010"/>
      <c r="BL56" s="1010"/>
      <c r="BM56" s="1010"/>
      <c r="BN56" s="1010"/>
      <c r="BO56" s="1010"/>
      <c r="BP56" s="1010"/>
      <c r="BQ56" s="1010"/>
      <c r="BR56" s="1010"/>
      <c r="BS56" s="1010"/>
      <c r="BT56" s="1010"/>
      <c r="BU56" s="1010"/>
      <c r="BV56" s="1010"/>
      <c r="BW56" s="180"/>
      <c r="BX56" s="184"/>
      <c r="BY56" s="184"/>
      <c r="BZ56" s="179"/>
      <c r="CA56" s="159"/>
      <c r="CB56" s="159"/>
      <c r="CC56" s="159"/>
      <c r="CD56" s="159"/>
      <c r="CE56" s="159"/>
      <c r="CF56" s="159"/>
      <c r="CG56" s="159"/>
      <c r="CH56" s="159"/>
      <c r="CI56" s="159"/>
      <c r="CJ56" s="159"/>
      <c r="CK56" s="159"/>
      <c r="CL56" s="159"/>
      <c r="CM56" s="159"/>
      <c r="CN56" s="159"/>
      <c r="CO56" s="159"/>
      <c r="CP56" s="159"/>
      <c r="CQ56" s="159"/>
      <c r="CR56" s="159"/>
      <c r="CS56" s="159"/>
      <c r="CT56" s="159"/>
      <c r="CU56" s="159"/>
      <c r="CV56" s="159"/>
      <c r="CW56" s="159"/>
      <c r="CX56" s="159"/>
      <c r="CY56" s="159"/>
      <c r="CZ56" s="159"/>
      <c r="DA56" s="159"/>
      <c r="DB56" s="159"/>
      <c r="DC56" s="159"/>
      <c r="DD56" s="159"/>
      <c r="DE56" s="159"/>
      <c r="DF56" s="159"/>
      <c r="DG56" s="159"/>
      <c r="EP56" s="159"/>
      <c r="EQ56" s="159"/>
      <c r="ER56" s="159"/>
      <c r="ES56" s="159"/>
      <c r="ET56" s="159"/>
      <c r="EU56" s="180"/>
      <c r="EV56" s="184"/>
    </row>
    <row r="57" spans="1:152" ht="6.75" customHeight="1" x14ac:dyDescent="0.25">
      <c r="A57" s="184"/>
      <c r="B57" s="179"/>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59"/>
      <c r="AE57" s="159"/>
      <c r="AF57" s="159"/>
      <c r="AG57" s="159"/>
      <c r="AH57" s="159"/>
      <c r="AI57" s="159"/>
      <c r="AJ57" s="159"/>
      <c r="AK57" s="159"/>
      <c r="AM57" s="1010"/>
      <c r="AN57" s="1010"/>
      <c r="AO57" s="1010"/>
      <c r="AP57" s="1010"/>
      <c r="AQ57" s="1010"/>
      <c r="AR57" s="1010"/>
      <c r="AS57" s="1010"/>
      <c r="AT57" s="1010"/>
      <c r="AU57" s="1010"/>
      <c r="AV57" s="1010"/>
      <c r="AW57" s="1010"/>
      <c r="AX57" s="1010"/>
      <c r="AY57" s="1010"/>
      <c r="AZ57" s="1010"/>
      <c r="BA57" s="1010"/>
      <c r="BB57" s="1010"/>
      <c r="BC57" s="1010"/>
      <c r="BD57" s="1010"/>
      <c r="BE57" s="1010"/>
      <c r="BF57" s="1010"/>
      <c r="BG57" s="1010"/>
      <c r="BH57" s="1010"/>
      <c r="BI57" s="1010"/>
      <c r="BJ57" s="1010"/>
      <c r="BK57" s="1010"/>
      <c r="BL57" s="1010"/>
      <c r="BM57" s="1010"/>
      <c r="BN57" s="1010"/>
      <c r="BO57" s="1010"/>
      <c r="BP57" s="1010"/>
      <c r="BQ57" s="1010"/>
      <c r="BR57" s="1010"/>
      <c r="BS57" s="1010"/>
      <c r="BT57" s="1010"/>
      <c r="BU57" s="1010"/>
      <c r="BV57" s="1010"/>
      <c r="BW57" s="180"/>
      <c r="BX57" s="184"/>
      <c r="BY57" s="184"/>
      <c r="BZ57" s="179"/>
      <c r="CA57" s="159"/>
      <c r="CB57" s="159"/>
      <c r="CC57" s="159"/>
      <c r="CD57" s="159"/>
      <c r="CE57" s="159"/>
      <c r="CF57" s="159"/>
      <c r="CG57" s="159"/>
      <c r="CH57" s="159"/>
      <c r="CI57" s="159"/>
      <c r="CJ57" s="159"/>
      <c r="CK57" s="159"/>
      <c r="CL57" s="159"/>
      <c r="CM57" s="159"/>
      <c r="CN57" s="159"/>
      <c r="CO57" s="159"/>
      <c r="CP57" s="159"/>
      <c r="CQ57" s="159"/>
      <c r="CR57" s="159"/>
      <c r="CS57" s="159"/>
      <c r="CT57" s="159"/>
      <c r="CU57" s="159"/>
      <c r="CV57" s="159"/>
      <c r="CW57" s="159"/>
      <c r="CX57" s="159"/>
      <c r="CY57" s="159"/>
      <c r="CZ57" s="159"/>
      <c r="DA57" s="159"/>
      <c r="DB57" s="159"/>
      <c r="DC57" s="159"/>
      <c r="DD57" s="159"/>
      <c r="DE57" s="159"/>
      <c r="DF57" s="159"/>
      <c r="DG57" s="159"/>
      <c r="EP57" s="159"/>
      <c r="EQ57" s="159"/>
      <c r="ER57" s="159"/>
      <c r="ES57" s="159"/>
      <c r="ET57" s="159"/>
      <c r="EU57" s="180"/>
      <c r="EV57" s="184"/>
    </row>
    <row r="58" spans="1:152" ht="6.75" customHeight="1" x14ac:dyDescent="0.25">
      <c r="A58" s="184"/>
      <c r="B58" s="179"/>
      <c r="C58" s="159"/>
      <c r="D58" s="159"/>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M58" s="1010"/>
      <c r="AN58" s="1010"/>
      <c r="AO58" s="1010"/>
      <c r="AP58" s="1010"/>
      <c r="AQ58" s="1010"/>
      <c r="AR58" s="1010"/>
      <c r="AS58" s="1010"/>
      <c r="AT58" s="1010"/>
      <c r="AU58" s="1010"/>
      <c r="AV58" s="1010"/>
      <c r="AW58" s="1010"/>
      <c r="AX58" s="1010"/>
      <c r="AY58" s="1010"/>
      <c r="AZ58" s="1010"/>
      <c r="BA58" s="1010"/>
      <c r="BB58" s="1010"/>
      <c r="BC58" s="1010"/>
      <c r="BD58" s="1010"/>
      <c r="BE58" s="1010"/>
      <c r="BF58" s="1010"/>
      <c r="BG58" s="1010"/>
      <c r="BH58" s="1010"/>
      <c r="BI58" s="1010"/>
      <c r="BJ58" s="1010"/>
      <c r="BK58" s="1010"/>
      <c r="BL58" s="1010"/>
      <c r="BM58" s="1010"/>
      <c r="BN58" s="1010"/>
      <c r="BO58" s="1010"/>
      <c r="BP58" s="1010"/>
      <c r="BQ58" s="1010"/>
      <c r="BR58" s="1010"/>
      <c r="BS58" s="1010"/>
      <c r="BT58" s="1010"/>
      <c r="BU58" s="1010"/>
      <c r="BV58" s="1010"/>
      <c r="BW58" s="180"/>
      <c r="BX58" s="184"/>
      <c r="BY58" s="184"/>
      <c r="BZ58" s="179"/>
      <c r="CA58" s="159"/>
      <c r="CB58" s="159"/>
      <c r="CC58" s="159"/>
      <c r="CD58" s="159"/>
      <c r="CE58" s="159"/>
      <c r="CF58" s="159"/>
      <c r="CG58" s="159"/>
      <c r="CH58" s="159"/>
      <c r="CI58" s="159"/>
      <c r="CJ58" s="159"/>
      <c r="CK58" s="159"/>
      <c r="CL58" s="159"/>
      <c r="CM58" s="159"/>
      <c r="CN58" s="159"/>
      <c r="CO58" s="159"/>
      <c r="CP58" s="159"/>
      <c r="CQ58" s="159"/>
      <c r="CR58" s="159"/>
      <c r="CS58" s="159"/>
      <c r="CT58" s="159"/>
      <c r="CU58" s="159"/>
      <c r="CV58" s="159"/>
      <c r="CW58" s="159"/>
      <c r="CX58" s="159"/>
      <c r="CY58" s="159"/>
      <c r="CZ58" s="159"/>
      <c r="DA58" s="159"/>
      <c r="DB58" s="159"/>
      <c r="DC58" s="159"/>
      <c r="DD58" s="159"/>
      <c r="DE58" s="159"/>
      <c r="DF58" s="159"/>
      <c r="DG58" s="159"/>
      <c r="EP58" s="159"/>
      <c r="EQ58" s="159"/>
      <c r="ER58" s="159"/>
      <c r="ES58" s="159"/>
      <c r="ET58" s="159"/>
      <c r="EU58" s="180"/>
      <c r="EV58" s="184"/>
    </row>
    <row r="59" spans="1:152" ht="6.75" customHeight="1" x14ac:dyDescent="0.25">
      <c r="A59" s="184"/>
      <c r="B59" s="179"/>
      <c r="C59" s="159"/>
      <c r="D59" s="159"/>
      <c r="E59" s="159"/>
      <c r="F59" s="159"/>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59"/>
      <c r="AE59" s="159"/>
      <c r="AF59" s="159"/>
      <c r="AG59" s="159"/>
      <c r="AH59" s="159"/>
      <c r="AI59" s="159"/>
      <c r="AJ59" s="159"/>
      <c r="AK59" s="159"/>
      <c r="AM59" s="1010"/>
      <c r="AN59" s="1010"/>
      <c r="AO59" s="1010"/>
      <c r="AP59" s="1010"/>
      <c r="AQ59" s="1010"/>
      <c r="AR59" s="1010"/>
      <c r="AS59" s="1010"/>
      <c r="AT59" s="1010"/>
      <c r="AU59" s="1010"/>
      <c r="AV59" s="1010"/>
      <c r="AW59" s="1010"/>
      <c r="AX59" s="1010"/>
      <c r="AY59" s="1010"/>
      <c r="AZ59" s="1010"/>
      <c r="BA59" s="1010"/>
      <c r="BB59" s="1010"/>
      <c r="BC59" s="1010"/>
      <c r="BD59" s="1010"/>
      <c r="BE59" s="1010"/>
      <c r="BF59" s="1010"/>
      <c r="BG59" s="1010"/>
      <c r="BH59" s="1010"/>
      <c r="BI59" s="1010"/>
      <c r="BJ59" s="1010"/>
      <c r="BK59" s="1010"/>
      <c r="BL59" s="1010"/>
      <c r="BM59" s="1010"/>
      <c r="BN59" s="1010"/>
      <c r="BO59" s="1010"/>
      <c r="BP59" s="1010"/>
      <c r="BQ59" s="1010"/>
      <c r="BR59" s="1010"/>
      <c r="BS59" s="1010"/>
      <c r="BT59" s="1010"/>
      <c r="BU59" s="1010"/>
      <c r="BV59" s="1010"/>
      <c r="BW59" s="180"/>
      <c r="BX59" s="184"/>
      <c r="BY59" s="184"/>
      <c r="BZ59" s="179"/>
      <c r="CA59" s="159"/>
      <c r="CB59" s="159"/>
      <c r="CC59" s="159"/>
      <c r="CD59" s="159"/>
      <c r="CE59" s="159"/>
      <c r="CF59" s="159"/>
      <c r="CG59" s="159"/>
      <c r="CH59" s="159"/>
      <c r="CI59" s="159"/>
      <c r="CJ59" s="159"/>
      <c r="CK59" s="159"/>
      <c r="CL59" s="159"/>
      <c r="CM59" s="159"/>
      <c r="CN59" s="159"/>
      <c r="CO59" s="159"/>
      <c r="CP59" s="159"/>
      <c r="CQ59" s="159"/>
      <c r="CR59" s="159"/>
      <c r="CS59" s="159"/>
      <c r="CT59" s="159"/>
      <c r="CU59" s="159"/>
      <c r="CV59" s="159"/>
      <c r="CW59" s="159"/>
      <c r="CX59" s="159"/>
      <c r="CY59" s="159"/>
      <c r="CZ59" s="159"/>
      <c r="DA59" s="159"/>
      <c r="DB59" s="159"/>
      <c r="DC59" s="159"/>
      <c r="DD59" s="159"/>
      <c r="DE59" s="159"/>
      <c r="DF59" s="159"/>
      <c r="DG59" s="159"/>
      <c r="EP59" s="159"/>
      <c r="EQ59" s="159"/>
      <c r="ER59" s="159"/>
      <c r="ES59" s="159"/>
      <c r="ET59" s="159"/>
      <c r="EU59" s="180"/>
      <c r="EV59" s="184"/>
    </row>
    <row r="60" spans="1:152" ht="6.75" customHeight="1" x14ac:dyDescent="0.25">
      <c r="A60" s="184"/>
      <c r="B60" s="179"/>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59"/>
      <c r="AE60" s="159"/>
      <c r="AF60" s="159"/>
      <c r="AG60" s="159"/>
      <c r="AH60" s="159"/>
      <c r="AI60" s="159"/>
      <c r="AJ60" s="159"/>
      <c r="AK60" s="159"/>
      <c r="AM60" s="1010"/>
      <c r="AN60" s="1010"/>
      <c r="AO60" s="1010"/>
      <c r="AP60" s="1010"/>
      <c r="AQ60" s="1010"/>
      <c r="AR60" s="1010"/>
      <c r="AS60" s="1010"/>
      <c r="AT60" s="1010"/>
      <c r="AU60" s="1010"/>
      <c r="AV60" s="1010"/>
      <c r="AW60" s="1010"/>
      <c r="AX60" s="1010"/>
      <c r="AY60" s="1010"/>
      <c r="AZ60" s="1010"/>
      <c r="BA60" s="1010"/>
      <c r="BB60" s="1010"/>
      <c r="BC60" s="1010"/>
      <c r="BD60" s="1010"/>
      <c r="BE60" s="1010"/>
      <c r="BF60" s="1010"/>
      <c r="BG60" s="1010"/>
      <c r="BH60" s="1010"/>
      <c r="BI60" s="1010"/>
      <c r="BJ60" s="1010"/>
      <c r="BK60" s="1010"/>
      <c r="BL60" s="1010"/>
      <c r="BM60" s="1010"/>
      <c r="BN60" s="1010"/>
      <c r="BO60" s="1010"/>
      <c r="BP60" s="1010"/>
      <c r="BQ60" s="1010"/>
      <c r="BR60" s="1010"/>
      <c r="BS60" s="1010"/>
      <c r="BT60" s="1010"/>
      <c r="BU60" s="1010"/>
      <c r="BV60" s="1010"/>
      <c r="BW60" s="180"/>
      <c r="BX60" s="184"/>
      <c r="BY60" s="184"/>
      <c r="BZ60" s="179"/>
      <c r="CA60" s="159"/>
      <c r="CB60" s="159"/>
      <c r="CC60" s="159"/>
      <c r="CD60" s="159"/>
      <c r="CE60" s="159"/>
      <c r="CF60" s="159"/>
      <c r="CG60" s="159"/>
      <c r="CH60" s="159"/>
      <c r="CI60" s="159"/>
      <c r="CJ60" s="159"/>
      <c r="CK60" s="159"/>
      <c r="CL60" s="159"/>
      <c r="CM60" s="159"/>
      <c r="CN60" s="159"/>
      <c r="CO60" s="159"/>
      <c r="CP60" s="159"/>
      <c r="CQ60" s="159"/>
      <c r="CR60" s="159"/>
      <c r="CS60" s="159"/>
      <c r="CT60" s="159"/>
      <c r="CU60" s="159"/>
      <c r="CV60" s="159"/>
      <c r="CW60" s="159"/>
      <c r="CX60" s="159"/>
      <c r="CY60" s="159"/>
      <c r="CZ60" s="159"/>
      <c r="DA60" s="159"/>
      <c r="DB60" s="159"/>
      <c r="DC60" s="159"/>
      <c r="DD60" s="159"/>
      <c r="DE60" s="159"/>
      <c r="DF60" s="159"/>
      <c r="DG60" s="159"/>
      <c r="EP60" s="159"/>
      <c r="EQ60" s="159"/>
      <c r="ER60" s="159"/>
      <c r="ES60" s="159"/>
      <c r="ET60" s="159"/>
      <c r="EU60" s="180"/>
      <c r="EV60" s="184"/>
    </row>
    <row r="61" spans="1:152" ht="6.75" customHeight="1" x14ac:dyDescent="0.25">
      <c r="A61" s="184"/>
      <c r="B61" s="179"/>
      <c r="C61" s="159"/>
      <c r="D61" s="159"/>
      <c r="E61" s="159"/>
      <c r="F61" s="159"/>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59"/>
      <c r="AE61" s="159"/>
      <c r="AF61" s="159"/>
      <c r="AG61" s="159"/>
      <c r="AH61" s="159"/>
      <c r="AI61" s="159"/>
      <c r="AJ61" s="159"/>
      <c r="AK61" s="159"/>
      <c r="AM61" s="1010"/>
      <c r="AN61" s="1010"/>
      <c r="AO61" s="1010"/>
      <c r="AP61" s="1010"/>
      <c r="AQ61" s="1010"/>
      <c r="AR61" s="1010"/>
      <c r="AS61" s="1010"/>
      <c r="AT61" s="1010"/>
      <c r="AU61" s="1010"/>
      <c r="AV61" s="1010"/>
      <c r="AW61" s="1010"/>
      <c r="AX61" s="1010"/>
      <c r="AY61" s="1010"/>
      <c r="AZ61" s="1010"/>
      <c r="BA61" s="1010"/>
      <c r="BB61" s="1010"/>
      <c r="BC61" s="1010"/>
      <c r="BD61" s="1010"/>
      <c r="BE61" s="1010"/>
      <c r="BF61" s="1010"/>
      <c r="BG61" s="1010"/>
      <c r="BH61" s="1010"/>
      <c r="BI61" s="1010"/>
      <c r="BJ61" s="1010"/>
      <c r="BK61" s="1010"/>
      <c r="BL61" s="1010"/>
      <c r="BM61" s="1010"/>
      <c r="BN61" s="1010"/>
      <c r="BO61" s="1010"/>
      <c r="BP61" s="1010"/>
      <c r="BQ61" s="1010"/>
      <c r="BR61" s="1010"/>
      <c r="BS61" s="1010"/>
      <c r="BT61" s="1010"/>
      <c r="BU61" s="1010"/>
      <c r="BV61" s="1010"/>
      <c r="BW61" s="180"/>
      <c r="BX61" s="184"/>
      <c r="BY61" s="184"/>
      <c r="BZ61" s="179"/>
      <c r="CA61" s="159"/>
      <c r="CB61" s="159"/>
      <c r="CC61" s="159"/>
      <c r="CD61" s="159"/>
      <c r="CE61" s="159"/>
      <c r="CF61" s="159"/>
      <c r="CG61" s="159"/>
      <c r="CH61" s="159"/>
      <c r="CI61" s="159"/>
      <c r="CJ61" s="159"/>
      <c r="CK61" s="159"/>
      <c r="CL61" s="159"/>
      <c r="CM61" s="159"/>
      <c r="CN61" s="159"/>
      <c r="CO61" s="159"/>
      <c r="CP61" s="159"/>
      <c r="CQ61" s="159"/>
      <c r="CR61" s="159"/>
      <c r="CS61" s="159"/>
      <c r="CT61" s="159"/>
      <c r="CU61" s="159"/>
      <c r="CV61" s="159"/>
      <c r="CW61" s="159"/>
      <c r="CX61" s="159"/>
      <c r="CY61" s="159"/>
      <c r="CZ61" s="159"/>
      <c r="DA61" s="159"/>
      <c r="DB61" s="159"/>
      <c r="DC61" s="159"/>
      <c r="DD61" s="159"/>
      <c r="DE61" s="159"/>
      <c r="DF61" s="159"/>
      <c r="DG61" s="159"/>
      <c r="EP61" s="159"/>
      <c r="EQ61" s="159"/>
      <c r="ER61" s="159"/>
      <c r="ES61" s="159"/>
      <c r="ET61" s="159"/>
      <c r="EU61" s="180"/>
      <c r="EV61" s="184"/>
    </row>
    <row r="62" spans="1:152" ht="6.75" customHeight="1" x14ac:dyDescent="0.25">
      <c r="A62" s="184"/>
      <c r="B62" s="179"/>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59"/>
      <c r="AE62" s="159"/>
      <c r="AF62" s="159"/>
      <c r="AG62" s="159"/>
      <c r="AH62" s="159"/>
      <c r="AI62" s="159"/>
      <c r="AJ62" s="159"/>
      <c r="AK62" s="159"/>
      <c r="AM62" s="1010"/>
      <c r="AN62" s="1010"/>
      <c r="AO62" s="1010"/>
      <c r="AP62" s="1010"/>
      <c r="AQ62" s="1010"/>
      <c r="AR62" s="1010"/>
      <c r="AS62" s="1010"/>
      <c r="AT62" s="1010"/>
      <c r="AU62" s="1010"/>
      <c r="AV62" s="1010"/>
      <c r="AW62" s="1010"/>
      <c r="AX62" s="1010"/>
      <c r="AY62" s="1010"/>
      <c r="AZ62" s="1010"/>
      <c r="BA62" s="1010"/>
      <c r="BB62" s="1010"/>
      <c r="BC62" s="1010"/>
      <c r="BD62" s="1010"/>
      <c r="BE62" s="1010"/>
      <c r="BF62" s="1010"/>
      <c r="BG62" s="1010"/>
      <c r="BH62" s="1010"/>
      <c r="BI62" s="1010"/>
      <c r="BJ62" s="1010"/>
      <c r="BK62" s="1010"/>
      <c r="BL62" s="1010"/>
      <c r="BM62" s="1010"/>
      <c r="BN62" s="1010"/>
      <c r="BO62" s="1010"/>
      <c r="BP62" s="1010"/>
      <c r="BQ62" s="1010"/>
      <c r="BR62" s="1010"/>
      <c r="BS62" s="1010"/>
      <c r="BT62" s="1010"/>
      <c r="BU62" s="1010"/>
      <c r="BV62" s="1010"/>
      <c r="BW62" s="180"/>
      <c r="BX62" s="184"/>
      <c r="BY62" s="184"/>
      <c r="BZ62" s="179"/>
      <c r="CA62" s="159"/>
      <c r="CB62" s="159"/>
      <c r="CC62" s="159"/>
      <c r="CD62" s="159"/>
      <c r="CE62" s="159"/>
      <c r="CF62" s="159"/>
      <c r="CG62" s="159"/>
      <c r="CH62" s="159"/>
      <c r="CI62" s="159"/>
      <c r="CJ62" s="159"/>
      <c r="CK62" s="159"/>
      <c r="CL62" s="159"/>
      <c r="CM62" s="159"/>
      <c r="CN62" s="159"/>
      <c r="CO62" s="159"/>
      <c r="CP62" s="159"/>
      <c r="CQ62" s="159"/>
      <c r="CR62" s="159"/>
      <c r="CS62" s="159"/>
      <c r="CT62" s="159"/>
      <c r="CU62" s="159"/>
      <c r="CV62" s="159"/>
      <c r="CW62" s="159"/>
      <c r="CX62" s="159"/>
      <c r="CY62" s="159"/>
      <c r="CZ62" s="159"/>
      <c r="DA62" s="159"/>
      <c r="DB62" s="159"/>
      <c r="DC62" s="159"/>
      <c r="DD62" s="159"/>
      <c r="DE62" s="159"/>
      <c r="DF62" s="159"/>
      <c r="DG62" s="159"/>
      <c r="EP62" s="159"/>
      <c r="EQ62" s="159"/>
      <c r="ER62" s="159"/>
      <c r="ES62" s="159"/>
      <c r="ET62" s="159"/>
      <c r="EU62" s="180"/>
      <c r="EV62" s="184"/>
    </row>
    <row r="63" spans="1:152" ht="6.75" customHeight="1" x14ac:dyDescent="0.25">
      <c r="A63" s="184"/>
      <c r="B63" s="179"/>
      <c r="C63" s="159"/>
      <c r="D63" s="159"/>
      <c r="E63" s="159"/>
      <c r="F63" s="159"/>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59"/>
      <c r="AE63" s="159"/>
      <c r="AF63" s="159"/>
      <c r="AG63" s="159"/>
      <c r="AH63" s="159"/>
      <c r="AI63" s="159"/>
      <c r="AJ63" s="159"/>
      <c r="AK63" s="159"/>
      <c r="AM63" s="1010"/>
      <c r="AN63" s="1010"/>
      <c r="AO63" s="1010"/>
      <c r="AP63" s="1010"/>
      <c r="AQ63" s="1010"/>
      <c r="AR63" s="1010"/>
      <c r="AS63" s="1010"/>
      <c r="AT63" s="1010"/>
      <c r="AU63" s="1010"/>
      <c r="AV63" s="1010"/>
      <c r="AW63" s="1010"/>
      <c r="AX63" s="1010"/>
      <c r="AY63" s="1010"/>
      <c r="AZ63" s="1010"/>
      <c r="BA63" s="1010"/>
      <c r="BB63" s="1010"/>
      <c r="BC63" s="1010"/>
      <c r="BD63" s="1010"/>
      <c r="BE63" s="1010"/>
      <c r="BF63" s="1010"/>
      <c r="BG63" s="1010"/>
      <c r="BH63" s="1010"/>
      <c r="BI63" s="1010"/>
      <c r="BJ63" s="1010"/>
      <c r="BK63" s="1010"/>
      <c r="BL63" s="1010"/>
      <c r="BM63" s="1010"/>
      <c r="BN63" s="1010"/>
      <c r="BO63" s="1010"/>
      <c r="BP63" s="1010"/>
      <c r="BQ63" s="1010"/>
      <c r="BR63" s="1010"/>
      <c r="BS63" s="1010"/>
      <c r="BT63" s="1010"/>
      <c r="BU63" s="1010"/>
      <c r="BV63" s="1010"/>
      <c r="BW63" s="180"/>
      <c r="BX63" s="184"/>
      <c r="BY63" s="184"/>
      <c r="BZ63" s="179"/>
      <c r="CA63" s="159"/>
      <c r="CB63" s="159"/>
      <c r="CC63" s="159"/>
      <c r="CD63" s="159"/>
      <c r="CE63" s="159"/>
      <c r="CF63" s="159"/>
      <c r="CG63" s="159"/>
      <c r="CH63" s="159"/>
      <c r="CI63" s="159"/>
      <c r="CJ63" s="159"/>
      <c r="CK63" s="159"/>
      <c r="CL63" s="159"/>
      <c r="CM63" s="159"/>
      <c r="CN63" s="159"/>
      <c r="CO63" s="159"/>
      <c r="CP63" s="159"/>
      <c r="CQ63" s="159"/>
      <c r="CR63" s="159"/>
      <c r="CS63" s="159"/>
      <c r="CT63" s="159"/>
      <c r="CU63" s="159"/>
      <c r="CV63" s="159"/>
      <c r="CW63" s="159"/>
      <c r="CX63" s="159"/>
      <c r="CY63" s="159"/>
      <c r="CZ63" s="159"/>
      <c r="DA63" s="159"/>
      <c r="DB63" s="159"/>
      <c r="DC63" s="159"/>
      <c r="DD63" s="159"/>
      <c r="DE63" s="159"/>
      <c r="DF63" s="159"/>
      <c r="DG63" s="159"/>
      <c r="EP63" s="159"/>
      <c r="EQ63" s="159"/>
      <c r="ER63" s="159"/>
      <c r="ES63" s="159"/>
      <c r="ET63" s="159"/>
      <c r="EU63" s="180"/>
      <c r="EV63" s="184"/>
    </row>
    <row r="64" spans="1:152" ht="6.75" customHeight="1" x14ac:dyDescent="0.25">
      <c r="A64" s="184"/>
      <c r="B64" s="179"/>
      <c r="C64" s="159"/>
      <c r="D64" s="159"/>
      <c r="E64" s="159"/>
      <c r="F64" s="159"/>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59"/>
      <c r="AE64" s="159"/>
      <c r="AF64" s="159"/>
      <c r="AG64" s="159"/>
      <c r="AH64" s="159"/>
      <c r="AI64" s="159"/>
      <c r="AJ64" s="159"/>
      <c r="AK64" s="159"/>
      <c r="AM64" s="1010"/>
      <c r="AN64" s="1010"/>
      <c r="AO64" s="1010"/>
      <c r="AP64" s="1010"/>
      <c r="AQ64" s="1010"/>
      <c r="AR64" s="1010"/>
      <c r="AS64" s="1010"/>
      <c r="AT64" s="1010"/>
      <c r="AU64" s="1010"/>
      <c r="AV64" s="1010"/>
      <c r="AW64" s="1010"/>
      <c r="AX64" s="1010"/>
      <c r="AY64" s="1010"/>
      <c r="AZ64" s="1010"/>
      <c r="BA64" s="1010"/>
      <c r="BB64" s="1010"/>
      <c r="BC64" s="1010"/>
      <c r="BD64" s="1010"/>
      <c r="BE64" s="1010"/>
      <c r="BF64" s="1010"/>
      <c r="BG64" s="1010"/>
      <c r="BH64" s="1010"/>
      <c r="BI64" s="1010"/>
      <c r="BJ64" s="1010"/>
      <c r="BK64" s="1010"/>
      <c r="BL64" s="1010"/>
      <c r="BM64" s="1010"/>
      <c r="BN64" s="1010"/>
      <c r="BO64" s="1010"/>
      <c r="BP64" s="1010"/>
      <c r="BQ64" s="1010"/>
      <c r="BR64" s="1010"/>
      <c r="BS64" s="1010"/>
      <c r="BT64" s="1010"/>
      <c r="BU64" s="1010"/>
      <c r="BV64" s="1010"/>
      <c r="BW64" s="180"/>
      <c r="BX64" s="184"/>
      <c r="BY64" s="184"/>
      <c r="BZ64" s="179"/>
      <c r="CA64" s="159"/>
      <c r="CB64" s="159"/>
      <c r="CC64" s="159"/>
      <c r="CD64" s="159"/>
      <c r="CE64" s="159"/>
      <c r="CF64" s="159"/>
      <c r="CG64" s="159"/>
      <c r="CH64" s="159"/>
      <c r="CI64" s="159"/>
      <c r="CJ64" s="159"/>
      <c r="CK64" s="159"/>
      <c r="CL64" s="159"/>
      <c r="CM64" s="159"/>
      <c r="CN64" s="159"/>
      <c r="CO64" s="159"/>
      <c r="CP64" s="159"/>
      <c r="CQ64" s="159"/>
      <c r="CR64" s="159"/>
      <c r="CS64" s="159"/>
      <c r="CT64" s="159"/>
      <c r="CU64" s="159"/>
      <c r="CV64" s="159"/>
      <c r="CW64" s="159"/>
      <c r="CX64" s="159"/>
      <c r="CY64" s="159"/>
      <c r="CZ64" s="159"/>
      <c r="DA64" s="159"/>
      <c r="DB64" s="159"/>
      <c r="DC64" s="159"/>
      <c r="DD64" s="159"/>
      <c r="DE64" s="159"/>
      <c r="DF64" s="159"/>
      <c r="DG64" s="159"/>
      <c r="EP64" s="159"/>
      <c r="EQ64" s="159"/>
      <c r="ER64" s="159"/>
      <c r="ES64" s="159"/>
      <c r="ET64" s="159"/>
      <c r="EU64" s="180"/>
      <c r="EV64" s="184"/>
    </row>
    <row r="65" spans="1:152" ht="6.75" customHeight="1" x14ac:dyDescent="0.25">
      <c r="A65" s="184"/>
      <c r="B65" s="179"/>
      <c r="C65" s="159"/>
      <c r="D65" s="159"/>
      <c r="E65" s="159"/>
      <c r="F65" s="159"/>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59"/>
      <c r="AE65" s="159"/>
      <c r="AF65" s="159"/>
      <c r="AG65" s="159"/>
      <c r="AH65" s="159"/>
      <c r="AI65" s="159"/>
      <c r="AJ65" s="159"/>
      <c r="AK65" s="159"/>
      <c r="AM65" s="1013" t="str">
        <f>IF(C_Input!B24&lt;&gt;"",C_Input!B24,"")</f>
        <v>Specialty</v>
      </c>
      <c r="AN65" s="1013"/>
      <c r="AO65" s="1013"/>
      <c r="AP65" s="1013"/>
      <c r="AQ65" s="1013"/>
      <c r="AR65" s="1013"/>
      <c r="AS65" s="1013"/>
      <c r="AT65" s="1013"/>
      <c r="AU65" s="1013"/>
      <c r="AV65" s="1013"/>
      <c r="AW65" s="1013"/>
      <c r="AX65" s="1013"/>
      <c r="AY65" s="1013"/>
      <c r="AZ65" s="1013"/>
      <c r="BA65" s="1013"/>
      <c r="BB65" s="1013"/>
      <c r="BW65" s="180"/>
      <c r="BX65" s="184"/>
      <c r="BY65" s="184"/>
      <c r="BZ65" s="179"/>
      <c r="CA65" s="159"/>
      <c r="CB65" s="159"/>
      <c r="CC65" s="159"/>
      <c r="CD65" s="159"/>
      <c r="CE65" s="159"/>
      <c r="CF65" s="159"/>
      <c r="CG65" s="159"/>
      <c r="CH65" s="159"/>
      <c r="CI65" s="159"/>
      <c r="CJ65" s="159"/>
      <c r="CK65" s="159"/>
      <c r="CL65" s="159"/>
      <c r="CM65" s="159"/>
      <c r="CN65" s="159"/>
      <c r="CO65" s="159"/>
      <c r="CP65" s="159"/>
      <c r="CQ65" s="159"/>
      <c r="CR65" s="159"/>
      <c r="CS65" s="159"/>
      <c r="CT65" s="159"/>
      <c r="CU65" s="159"/>
      <c r="CV65" s="159"/>
      <c r="CW65" s="159"/>
      <c r="CX65" s="159"/>
      <c r="CY65" s="159"/>
      <c r="CZ65" s="159"/>
      <c r="DA65" s="159"/>
      <c r="DB65" s="159"/>
      <c r="DC65" s="159"/>
      <c r="DD65" s="159"/>
      <c r="DE65" s="159"/>
      <c r="DF65" s="159"/>
      <c r="DG65" s="159"/>
      <c r="EP65" s="159"/>
      <c r="EQ65" s="159"/>
      <c r="ER65" s="159"/>
      <c r="ES65" s="159"/>
      <c r="ET65" s="159"/>
      <c r="EU65" s="180"/>
      <c r="EV65" s="184"/>
    </row>
    <row r="66" spans="1:152" ht="6.75" customHeight="1" x14ac:dyDescent="0.25">
      <c r="A66" s="184"/>
      <c r="B66" s="179"/>
      <c r="C66" s="159"/>
      <c r="D66" s="159"/>
      <c r="E66" s="159"/>
      <c r="F66" s="159"/>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59"/>
      <c r="AE66" s="159"/>
      <c r="AF66" s="159"/>
      <c r="AG66" s="159"/>
      <c r="AH66" s="159"/>
      <c r="AI66" s="159"/>
      <c r="AJ66" s="159"/>
      <c r="AK66" s="159"/>
      <c r="AM66" s="1013"/>
      <c r="AN66" s="1013"/>
      <c r="AO66" s="1013"/>
      <c r="AP66" s="1013"/>
      <c r="AQ66" s="1013"/>
      <c r="AR66" s="1013"/>
      <c r="AS66" s="1013"/>
      <c r="AT66" s="1013"/>
      <c r="AU66" s="1013"/>
      <c r="AV66" s="1013"/>
      <c r="AW66" s="1013"/>
      <c r="AX66" s="1013"/>
      <c r="AY66" s="1013"/>
      <c r="AZ66" s="1013"/>
      <c r="BA66" s="1013"/>
      <c r="BB66" s="1013"/>
      <c r="BW66" s="180"/>
      <c r="BX66" s="184"/>
      <c r="BY66" s="184"/>
      <c r="BZ66" s="179"/>
      <c r="CA66" s="159"/>
      <c r="CB66" s="159"/>
      <c r="CC66" s="159"/>
      <c r="CD66" s="159"/>
      <c r="CE66" s="159"/>
      <c r="CF66" s="159"/>
      <c r="CG66" s="159"/>
      <c r="CH66" s="159"/>
      <c r="CI66" s="159"/>
      <c r="CJ66" s="159"/>
      <c r="CK66" s="159"/>
      <c r="CL66" s="159"/>
      <c r="CM66" s="159"/>
      <c r="CN66" s="159"/>
      <c r="CO66" s="159"/>
      <c r="CP66" s="159"/>
      <c r="CQ66" s="159"/>
      <c r="CR66" s="159"/>
      <c r="CS66" s="159"/>
      <c r="CT66" s="159"/>
      <c r="CU66" s="159"/>
      <c r="CV66" s="159"/>
      <c r="CW66" s="159"/>
      <c r="CX66" s="159"/>
      <c r="CY66" s="159"/>
      <c r="CZ66" s="159"/>
      <c r="DA66" s="159"/>
      <c r="DB66" s="159"/>
      <c r="DC66" s="159"/>
      <c r="DD66" s="159"/>
      <c r="DE66" s="159"/>
      <c r="DF66" s="159"/>
      <c r="DG66" s="159"/>
      <c r="EP66" s="159"/>
      <c r="EQ66" s="159"/>
      <c r="ER66" s="159"/>
      <c r="ES66" s="159"/>
      <c r="ET66" s="159"/>
      <c r="EU66" s="180"/>
      <c r="EV66" s="184"/>
    </row>
    <row r="67" spans="1:152" ht="6.75" customHeight="1" x14ac:dyDescent="0.25">
      <c r="A67" s="184"/>
      <c r="B67" s="179"/>
      <c r="C67" s="159"/>
      <c r="D67" s="159"/>
      <c r="E67" s="159"/>
      <c r="F67" s="159"/>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59"/>
      <c r="AE67" s="159"/>
      <c r="AF67" s="159"/>
      <c r="AG67" s="159"/>
      <c r="AH67" s="159"/>
      <c r="AI67" s="159"/>
      <c r="AJ67" s="159"/>
      <c r="AK67" s="159"/>
      <c r="AL67" s="159"/>
      <c r="AM67" s="1010" t="str">
        <f>IF(C_Input!D24&lt;&gt;"",C_Input!D24,"")</f>
        <v>Fence</v>
      </c>
      <c r="AN67" s="1010"/>
      <c r="AO67" s="1010"/>
      <c r="AP67" s="1010"/>
      <c r="AQ67" s="1010"/>
      <c r="AR67" s="1010"/>
      <c r="AS67" s="1010"/>
      <c r="AT67" s="1010"/>
      <c r="AU67" s="1010"/>
      <c r="AV67" s="1010"/>
      <c r="AW67" s="1010"/>
      <c r="AX67" s="1010"/>
      <c r="AY67" s="1010"/>
      <c r="AZ67" s="1010"/>
      <c r="BA67" s="1010"/>
      <c r="BB67" s="1010"/>
      <c r="BC67" s="1010"/>
      <c r="BD67" s="1010"/>
      <c r="BE67" s="1010"/>
      <c r="BF67" s="1010"/>
      <c r="BG67" s="1010"/>
      <c r="BH67" s="1010"/>
      <c r="BI67" s="1010"/>
      <c r="BJ67" s="1010"/>
      <c r="BK67" s="1010"/>
      <c r="BL67" s="1010"/>
      <c r="BM67" s="1010"/>
      <c r="BN67" s="1010"/>
      <c r="BO67" s="1010"/>
      <c r="BP67" s="1010"/>
      <c r="BQ67" s="1010"/>
      <c r="BR67" s="1010"/>
      <c r="BS67" s="1010"/>
      <c r="BT67" s="1010"/>
      <c r="BU67" s="1010"/>
      <c r="BV67" s="1010"/>
      <c r="BW67" s="180"/>
      <c r="BX67" s="184"/>
      <c r="BY67" s="184"/>
      <c r="BZ67" s="179"/>
      <c r="CA67" s="159"/>
      <c r="CB67" s="159"/>
      <c r="CC67" s="159"/>
      <c r="CD67" s="159"/>
      <c r="CE67" s="159"/>
      <c r="CF67" s="159"/>
      <c r="CG67" s="159"/>
      <c r="CH67" s="159"/>
      <c r="CI67" s="159"/>
      <c r="CJ67" s="159"/>
      <c r="CK67" s="159"/>
      <c r="CL67" s="159"/>
      <c r="CM67" s="159"/>
      <c r="CN67" s="159"/>
      <c r="CO67" s="159"/>
      <c r="CP67" s="159"/>
      <c r="CQ67" s="159"/>
      <c r="CR67" s="159"/>
      <c r="CS67" s="159"/>
      <c r="CT67" s="159"/>
      <c r="CU67" s="159"/>
      <c r="CV67" s="159"/>
      <c r="CW67" s="159"/>
      <c r="CX67" s="159"/>
      <c r="CY67" s="159"/>
      <c r="CZ67" s="159"/>
      <c r="DA67" s="159"/>
      <c r="DB67" s="159"/>
      <c r="DC67" s="159"/>
      <c r="DD67" s="159"/>
      <c r="DE67" s="159"/>
      <c r="DF67" s="159"/>
      <c r="DG67" s="159"/>
      <c r="EP67" s="159"/>
      <c r="EQ67" s="159"/>
      <c r="ER67" s="159"/>
      <c r="ES67" s="159"/>
      <c r="ET67" s="159"/>
      <c r="EU67" s="180"/>
      <c r="EV67" s="184"/>
    </row>
    <row r="68" spans="1:152" ht="6.75" customHeight="1" x14ac:dyDescent="0.25">
      <c r="A68" s="184"/>
      <c r="B68" s="179"/>
      <c r="C68" s="159"/>
      <c r="D68" s="159"/>
      <c r="E68" s="159"/>
      <c r="F68" s="159"/>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59"/>
      <c r="AE68" s="159"/>
      <c r="AF68" s="159"/>
      <c r="AG68" s="159"/>
      <c r="AH68" s="159"/>
      <c r="AI68" s="159"/>
      <c r="AJ68" s="159"/>
      <c r="AK68" s="159"/>
      <c r="AL68" s="159"/>
      <c r="AM68" s="1010"/>
      <c r="AN68" s="1010"/>
      <c r="AO68" s="1010"/>
      <c r="AP68" s="1010"/>
      <c r="AQ68" s="1010"/>
      <c r="AR68" s="1010"/>
      <c r="AS68" s="1010"/>
      <c r="AT68" s="1010"/>
      <c r="AU68" s="1010"/>
      <c r="AV68" s="1010"/>
      <c r="AW68" s="1010"/>
      <c r="AX68" s="1010"/>
      <c r="AY68" s="1010"/>
      <c r="AZ68" s="1010"/>
      <c r="BA68" s="1010"/>
      <c r="BB68" s="1010"/>
      <c r="BC68" s="1010"/>
      <c r="BD68" s="1010"/>
      <c r="BE68" s="1010"/>
      <c r="BF68" s="1010"/>
      <c r="BG68" s="1010"/>
      <c r="BH68" s="1010"/>
      <c r="BI68" s="1010"/>
      <c r="BJ68" s="1010"/>
      <c r="BK68" s="1010"/>
      <c r="BL68" s="1010"/>
      <c r="BM68" s="1010"/>
      <c r="BN68" s="1010"/>
      <c r="BO68" s="1010"/>
      <c r="BP68" s="1010"/>
      <c r="BQ68" s="1010"/>
      <c r="BR68" s="1010"/>
      <c r="BS68" s="1010"/>
      <c r="BT68" s="1010"/>
      <c r="BU68" s="1010"/>
      <c r="BV68" s="1010"/>
      <c r="BW68" s="180"/>
      <c r="BX68" s="184"/>
      <c r="BY68" s="184"/>
      <c r="BZ68" s="179"/>
      <c r="CA68" s="159"/>
      <c r="CB68" s="159"/>
      <c r="CC68" s="159"/>
      <c r="CD68" s="159"/>
      <c r="CE68" s="159"/>
      <c r="CF68" s="159"/>
      <c r="CG68" s="159"/>
      <c r="CH68" s="159"/>
      <c r="CI68" s="159"/>
      <c r="CJ68" s="159"/>
      <c r="CK68" s="159"/>
      <c r="CL68" s="159"/>
      <c r="CM68" s="159"/>
      <c r="CN68" s="159"/>
      <c r="CO68" s="159"/>
      <c r="CP68" s="159"/>
      <c r="CQ68" s="159"/>
      <c r="CR68" s="159"/>
      <c r="CS68" s="159"/>
      <c r="CT68" s="159"/>
      <c r="CU68" s="159"/>
      <c r="CV68" s="159"/>
      <c r="CW68" s="159"/>
      <c r="CX68" s="159"/>
      <c r="CY68" s="159"/>
      <c r="CZ68" s="159"/>
      <c r="DA68" s="159"/>
      <c r="DB68" s="159"/>
      <c r="DC68" s="159"/>
      <c r="DD68" s="159"/>
      <c r="DE68" s="159"/>
      <c r="DF68" s="159"/>
      <c r="DG68" s="159"/>
      <c r="EP68" s="159"/>
      <c r="EQ68" s="159"/>
      <c r="ER68" s="159"/>
      <c r="ES68" s="159"/>
      <c r="ET68" s="159"/>
      <c r="EU68" s="180"/>
      <c r="EV68" s="184"/>
    </row>
    <row r="69" spans="1:152" ht="6.75" customHeight="1" x14ac:dyDescent="0.25">
      <c r="A69" s="184"/>
      <c r="B69" s="179"/>
      <c r="C69" s="159"/>
      <c r="D69" s="159"/>
      <c r="E69" s="159"/>
      <c r="F69" s="159"/>
      <c r="G69" s="159"/>
      <c r="H69" s="159"/>
      <c r="I69" s="159"/>
      <c r="J69" s="159"/>
      <c r="K69" s="159"/>
      <c r="L69" s="159"/>
      <c r="M69" s="159"/>
      <c r="N69" s="159"/>
      <c r="O69" s="159"/>
      <c r="P69" s="159"/>
      <c r="Q69" s="159"/>
      <c r="R69" s="159"/>
      <c r="S69" s="159"/>
      <c r="T69" s="159"/>
      <c r="U69" s="159"/>
      <c r="V69" s="159"/>
      <c r="W69" s="159"/>
      <c r="X69" s="159"/>
      <c r="Y69" s="159"/>
      <c r="Z69" s="159"/>
      <c r="AA69" s="159"/>
      <c r="AB69" s="159"/>
      <c r="AC69" s="159"/>
      <c r="AD69" s="159"/>
      <c r="AE69" s="159"/>
      <c r="AF69" s="159"/>
      <c r="AG69" s="159"/>
      <c r="AH69" s="159"/>
      <c r="AI69" s="159"/>
      <c r="AJ69" s="159"/>
      <c r="AK69" s="159"/>
      <c r="AL69" s="159"/>
      <c r="AM69" s="1010"/>
      <c r="AN69" s="1010"/>
      <c r="AO69" s="1010"/>
      <c r="AP69" s="1010"/>
      <c r="AQ69" s="1010"/>
      <c r="AR69" s="1010"/>
      <c r="AS69" s="1010"/>
      <c r="AT69" s="1010"/>
      <c r="AU69" s="1010"/>
      <c r="AV69" s="1010"/>
      <c r="AW69" s="1010"/>
      <c r="AX69" s="1010"/>
      <c r="AY69" s="1010"/>
      <c r="AZ69" s="1010"/>
      <c r="BA69" s="1010"/>
      <c r="BB69" s="1010"/>
      <c r="BC69" s="1010"/>
      <c r="BD69" s="1010"/>
      <c r="BE69" s="1010"/>
      <c r="BF69" s="1010"/>
      <c r="BG69" s="1010"/>
      <c r="BH69" s="1010"/>
      <c r="BI69" s="1010"/>
      <c r="BJ69" s="1010"/>
      <c r="BK69" s="1010"/>
      <c r="BL69" s="1010"/>
      <c r="BM69" s="1010"/>
      <c r="BN69" s="1010"/>
      <c r="BO69" s="1010"/>
      <c r="BP69" s="1010"/>
      <c r="BQ69" s="1010"/>
      <c r="BR69" s="1010"/>
      <c r="BS69" s="1010"/>
      <c r="BT69" s="1010"/>
      <c r="BU69" s="1010"/>
      <c r="BV69" s="1010"/>
      <c r="BW69" s="180"/>
      <c r="BX69" s="184"/>
      <c r="BY69" s="184"/>
      <c r="BZ69" s="179"/>
      <c r="CA69" s="159"/>
      <c r="CB69" s="159"/>
      <c r="CC69" s="159"/>
      <c r="CD69" s="159"/>
      <c r="CE69" s="159"/>
      <c r="CF69" s="159"/>
      <c r="CG69" s="159"/>
      <c r="CH69" s="159"/>
      <c r="CI69" s="159"/>
      <c r="CJ69" s="159"/>
      <c r="CK69" s="159"/>
      <c r="CL69" s="159"/>
      <c r="CM69" s="159"/>
      <c r="CN69" s="159"/>
      <c r="CO69" s="159"/>
      <c r="CP69" s="159"/>
      <c r="CQ69" s="159"/>
      <c r="CR69" s="159"/>
      <c r="CS69" s="159"/>
      <c r="CT69" s="159"/>
      <c r="CU69" s="159"/>
      <c r="CV69" s="159"/>
      <c r="CW69" s="159"/>
      <c r="CX69" s="159"/>
      <c r="CY69" s="159"/>
      <c r="CZ69" s="159"/>
      <c r="DA69" s="159"/>
      <c r="DB69" s="159"/>
      <c r="DC69" s="159"/>
      <c r="DD69" s="159"/>
      <c r="DE69" s="159"/>
      <c r="DF69" s="159"/>
      <c r="DG69" s="159"/>
      <c r="EP69" s="159"/>
      <c r="EQ69" s="159"/>
      <c r="ER69" s="159"/>
      <c r="ES69" s="159"/>
      <c r="ET69" s="159"/>
      <c r="EU69" s="180"/>
      <c r="EV69" s="184"/>
    </row>
    <row r="70" spans="1:152" ht="6.75" customHeight="1" x14ac:dyDescent="0.25">
      <c r="A70" s="184"/>
      <c r="B70" s="179"/>
      <c r="C70" s="159"/>
      <c r="D70" s="159"/>
      <c r="E70" s="159"/>
      <c r="F70" s="159"/>
      <c r="G70" s="159"/>
      <c r="H70" s="159"/>
      <c r="I70" s="159"/>
      <c r="J70" s="159"/>
      <c r="K70" s="159"/>
      <c r="L70" s="159"/>
      <c r="M70" s="159"/>
      <c r="N70" s="159"/>
      <c r="O70" s="159"/>
      <c r="P70" s="159"/>
      <c r="Q70" s="159"/>
      <c r="R70" s="159"/>
      <c r="S70" s="159"/>
      <c r="T70" s="159"/>
      <c r="U70" s="159"/>
      <c r="V70" s="159"/>
      <c r="W70" s="159"/>
      <c r="X70" s="159"/>
      <c r="Y70" s="159"/>
      <c r="Z70" s="159"/>
      <c r="AA70" s="159"/>
      <c r="AB70" s="159"/>
      <c r="AC70" s="159"/>
      <c r="AD70" s="159"/>
      <c r="AE70" s="159"/>
      <c r="AF70" s="159"/>
      <c r="AG70" s="159"/>
      <c r="AH70" s="159"/>
      <c r="AI70" s="159"/>
      <c r="AJ70" s="159"/>
      <c r="AK70" s="159"/>
      <c r="AL70" s="159"/>
      <c r="AM70" s="1010"/>
      <c r="AN70" s="1010"/>
      <c r="AO70" s="1010"/>
      <c r="AP70" s="1010"/>
      <c r="AQ70" s="1010"/>
      <c r="AR70" s="1010"/>
      <c r="AS70" s="1010"/>
      <c r="AT70" s="1010"/>
      <c r="AU70" s="1010"/>
      <c r="AV70" s="1010"/>
      <c r="AW70" s="1010"/>
      <c r="AX70" s="1010"/>
      <c r="AY70" s="1010"/>
      <c r="AZ70" s="1010"/>
      <c r="BA70" s="1010"/>
      <c r="BB70" s="1010"/>
      <c r="BC70" s="1010"/>
      <c r="BD70" s="1010"/>
      <c r="BE70" s="1010"/>
      <c r="BF70" s="1010"/>
      <c r="BG70" s="1010"/>
      <c r="BH70" s="1010"/>
      <c r="BI70" s="1010"/>
      <c r="BJ70" s="1010"/>
      <c r="BK70" s="1010"/>
      <c r="BL70" s="1010"/>
      <c r="BM70" s="1010"/>
      <c r="BN70" s="1010"/>
      <c r="BO70" s="1010"/>
      <c r="BP70" s="1010"/>
      <c r="BQ70" s="1010"/>
      <c r="BR70" s="1010"/>
      <c r="BS70" s="1010"/>
      <c r="BT70" s="1010"/>
      <c r="BU70" s="1010"/>
      <c r="BV70" s="1010"/>
      <c r="BW70" s="180"/>
      <c r="BX70" s="184"/>
      <c r="BY70" s="184"/>
      <c r="BZ70" s="179"/>
      <c r="CA70" s="159"/>
      <c r="CB70" s="159"/>
      <c r="CC70" s="159"/>
      <c r="CD70" s="159"/>
      <c r="CE70" s="159"/>
      <c r="CF70" s="159"/>
      <c r="CG70" s="159"/>
      <c r="CH70" s="159"/>
      <c r="CI70" s="159"/>
      <c r="CJ70" s="159"/>
      <c r="CK70" s="159"/>
      <c r="CL70" s="159"/>
      <c r="CM70" s="159"/>
      <c r="CN70" s="159"/>
      <c r="CO70" s="159"/>
      <c r="CP70" s="159"/>
      <c r="CQ70" s="159"/>
      <c r="CR70" s="159"/>
      <c r="CS70" s="159"/>
      <c r="CT70" s="159"/>
      <c r="CU70" s="159"/>
      <c r="CV70" s="159"/>
      <c r="CW70" s="159"/>
      <c r="CX70" s="159"/>
      <c r="CY70" s="159"/>
      <c r="CZ70" s="159"/>
      <c r="DA70" s="159"/>
      <c r="DB70" s="159"/>
      <c r="DC70" s="159"/>
      <c r="DD70" s="159"/>
      <c r="DE70" s="159"/>
      <c r="DF70" s="159"/>
      <c r="DG70" s="159"/>
      <c r="EP70" s="159"/>
      <c r="EQ70" s="159"/>
      <c r="ER70" s="159"/>
      <c r="ES70" s="159"/>
      <c r="ET70" s="159"/>
      <c r="EU70" s="180"/>
      <c r="EV70" s="184"/>
    </row>
    <row r="71" spans="1:152" ht="6.75" customHeight="1" x14ac:dyDescent="0.25">
      <c r="A71" s="184"/>
      <c r="B71" s="179"/>
      <c r="C71" s="159"/>
      <c r="D71" s="159"/>
      <c r="E71" s="159"/>
      <c r="F71" s="159"/>
      <c r="G71" s="159"/>
      <c r="H71" s="159"/>
      <c r="I71" s="159"/>
      <c r="J71" s="159"/>
      <c r="K71" s="159"/>
      <c r="L71" s="159"/>
      <c r="M71" s="159"/>
      <c r="N71" s="159"/>
      <c r="O71" s="159"/>
      <c r="P71" s="159"/>
      <c r="Q71" s="159"/>
      <c r="R71" s="159"/>
      <c r="S71" s="159"/>
      <c r="T71" s="159"/>
      <c r="U71" s="159"/>
      <c r="V71" s="159"/>
      <c r="W71" s="159"/>
      <c r="X71" s="159"/>
      <c r="Y71" s="159"/>
      <c r="Z71" s="159"/>
      <c r="AA71" s="159"/>
      <c r="AB71" s="159"/>
      <c r="AC71" s="159"/>
      <c r="AD71" s="159"/>
      <c r="AE71" s="159"/>
      <c r="AF71" s="159"/>
      <c r="AG71" s="159"/>
      <c r="AH71" s="159"/>
      <c r="AI71" s="159"/>
      <c r="AJ71" s="159"/>
      <c r="AK71" s="159"/>
      <c r="AL71" s="159"/>
      <c r="AM71" s="1010"/>
      <c r="AN71" s="1010"/>
      <c r="AO71" s="1010"/>
      <c r="AP71" s="1010"/>
      <c r="AQ71" s="1010"/>
      <c r="AR71" s="1010"/>
      <c r="AS71" s="1010"/>
      <c r="AT71" s="1010"/>
      <c r="AU71" s="1010"/>
      <c r="AV71" s="1010"/>
      <c r="AW71" s="1010"/>
      <c r="AX71" s="1010"/>
      <c r="AY71" s="1010"/>
      <c r="AZ71" s="1010"/>
      <c r="BA71" s="1010"/>
      <c r="BB71" s="1010"/>
      <c r="BC71" s="1010"/>
      <c r="BD71" s="1010"/>
      <c r="BE71" s="1010"/>
      <c r="BF71" s="1010"/>
      <c r="BG71" s="1010"/>
      <c r="BH71" s="1010"/>
      <c r="BI71" s="1010"/>
      <c r="BJ71" s="1010"/>
      <c r="BK71" s="1010"/>
      <c r="BL71" s="1010"/>
      <c r="BM71" s="1010"/>
      <c r="BN71" s="1010"/>
      <c r="BO71" s="1010"/>
      <c r="BP71" s="1010"/>
      <c r="BQ71" s="1010"/>
      <c r="BR71" s="1010"/>
      <c r="BS71" s="1010"/>
      <c r="BT71" s="1010"/>
      <c r="BU71" s="1010"/>
      <c r="BV71" s="1010"/>
      <c r="BW71" s="180"/>
      <c r="BX71" s="184"/>
      <c r="BY71" s="184"/>
      <c r="BZ71" s="179"/>
      <c r="CA71" s="159"/>
      <c r="CB71" s="159"/>
      <c r="CC71" s="159"/>
      <c r="CD71" s="159"/>
      <c r="CE71" s="159"/>
      <c r="CF71" s="159"/>
      <c r="CG71" s="159"/>
      <c r="CH71" s="159"/>
      <c r="CI71" s="159"/>
      <c r="CJ71" s="159"/>
      <c r="CK71" s="159"/>
      <c r="CL71" s="159"/>
      <c r="CM71" s="159"/>
      <c r="CN71" s="159"/>
      <c r="CO71" s="159"/>
      <c r="CP71" s="159"/>
      <c r="CQ71" s="159"/>
      <c r="CR71" s="159"/>
      <c r="CS71" s="159"/>
      <c r="CT71" s="159"/>
      <c r="CU71" s="159"/>
      <c r="CV71" s="159"/>
      <c r="CW71" s="159"/>
      <c r="CX71" s="159"/>
      <c r="CY71" s="159"/>
      <c r="CZ71" s="159"/>
      <c r="DA71" s="159"/>
      <c r="DB71" s="159"/>
      <c r="DC71" s="159"/>
      <c r="DD71" s="159"/>
      <c r="DE71" s="159"/>
      <c r="DF71" s="159"/>
      <c r="DG71" s="159"/>
      <c r="EP71" s="159"/>
      <c r="EQ71" s="159"/>
      <c r="ER71" s="159"/>
      <c r="ES71" s="159"/>
      <c r="ET71" s="159"/>
      <c r="EU71" s="180"/>
      <c r="EV71" s="184"/>
    </row>
    <row r="72" spans="1:152" ht="6.75" customHeight="1" x14ac:dyDescent="0.25">
      <c r="A72" s="184"/>
      <c r="B72" s="179"/>
      <c r="C72" s="159"/>
      <c r="D72" s="159"/>
      <c r="E72" s="159"/>
      <c r="F72" s="159"/>
      <c r="G72" s="159"/>
      <c r="H72" s="159"/>
      <c r="I72" s="159"/>
      <c r="J72" s="159"/>
      <c r="K72" s="159"/>
      <c r="L72" s="159"/>
      <c r="M72" s="159"/>
      <c r="N72" s="159"/>
      <c r="O72" s="159"/>
      <c r="P72" s="159"/>
      <c r="Q72" s="159"/>
      <c r="R72" s="159"/>
      <c r="S72" s="159"/>
      <c r="T72" s="159"/>
      <c r="U72" s="159"/>
      <c r="V72" s="159"/>
      <c r="W72" s="159"/>
      <c r="X72" s="159"/>
      <c r="Y72" s="159"/>
      <c r="Z72" s="159"/>
      <c r="AA72" s="159"/>
      <c r="AB72" s="159"/>
      <c r="AC72" s="159"/>
      <c r="AD72" s="159"/>
      <c r="AE72" s="159"/>
      <c r="AF72" s="159"/>
      <c r="AG72" s="159"/>
      <c r="AH72" s="159"/>
      <c r="AI72" s="159"/>
      <c r="AJ72" s="159"/>
      <c r="AK72" s="159"/>
      <c r="AL72" s="159"/>
      <c r="AM72" s="1010"/>
      <c r="AN72" s="1010"/>
      <c r="AO72" s="1010"/>
      <c r="AP72" s="1010"/>
      <c r="AQ72" s="1010"/>
      <c r="AR72" s="1010"/>
      <c r="AS72" s="1010"/>
      <c r="AT72" s="1010"/>
      <c r="AU72" s="1010"/>
      <c r="AV72" s="1010"/>
      <c r="AW72" s="1010"/>
      <c r="AX72" s="1010"/>
      <c r="AY72" s="1010"/>
      <c r="AZ72" s="1010"/>
      <c r="BA72" s="1010"/>
      <c r="BB72" s="1010"/>
      <c r="BC72" s="1010"/>
      <c r="BD72" s="1010"/>
      <c r="BE72" s="1010"/>
      <c r="BF72" s="1010"/>
      <c r="BG72" s="1010"/>
      <c r="BH72" s="1010"/>
      <c r="BI72" s="1010"/>
      <c r="BJ72" s="1010"/>
      <c r="BK72" s="1010"/>
      <c r="BL72" s="1010"/>
      <c r="BM72" s="1010"/>
      <c r="BN72" s="1010"/>
      <c r="BO72" s="1010"/>
      <c r="BP72" s="1010"/>
      <c r="BQ72" s="1010"/>
      <c r="BR72" s="1010"/>
      <c r="BS72" s="1010"/>
      <c r="BT72" s="1010"/>
      <c r="BU72" s="1010"/>
      <c r="BV72" s="1010"/>
      <c r="BW72" s="180"/>
      <c r="BX72" s="184"/>
      <c r="BY72" s="184"/>
      <c r="BZ72" s="179"/>
      <c r="CA72" s="159"/>
      <c r="CB72" s="159"/>
      <c r="CC72" s="159"/>
      <c r="CD72" s="159"/>
      <c r="CE72" s="159"/>
      <c r="CF72" s="159"/>
      <c r="CG72" s="159"/>
      <c r="CH72" s="159"/>
      <c r="CI72" s="159"/>
      <c r="CJ72" s="159"/>
      <c r="CK72" s="159"/>
      <c r="CL72" s="159"/>
      <c r="CM72" s="159"/>
      <c r="CN72" s="159"/>
      <c r="CO72" s="159"/>
      <c r="CP72" s="159"/>
      <c r="CQ72" s="159"/>
      <c r="CR72" s="159"/>
      <c r="CS72" s="159"/>
      <c r="CT72" s="159"/>
      <c r="CU72" s="159"/>
      <c r="CV72" s="159"/>
      <c r="CW72" s="159"/>
      <c r="CX72" s="159"/>
      <c r="CY72" s="159"/>
      <c r="CZ72" s="159"/>
      <c r="DA72" s="159"/>
      <c r="DB72" s="159"/>
      <c r="DC72" s="159"/>
      <c r="DD72" s="159"/>
      <c r="DE72" s="159"/>
      <c r="DF72" s="159"/>
      <c r="DG72" s="159"/>
      <c r="EP72" s="159"/>
      <c r="EQ72" s="159"/>
      <c r="ER72" s="159"/>
      <c r="ES72" s="159"/>
      <c r="ET72" s="159"/>
      <c r="EU72" s="180"/>
      <c r="EV72" s="184"/>
    </row>
    <row r="73" spans="1:152" ht="6.75" customHeight="1" x14ac:dyDescent="0.25">
      <c r="A73" s="184"/>
      <c r="B73" s="179"/>
      <c r="C73" s="159"/>
      <c r="D73" s="159"/>
      <c r="E73" s="159"/>
      <c r="F73" s="159"/>
      <c r="G73" s="159"/>
      <c r="H73" s="159"/>
      <c r="I73" s="159"/>
      <c r="J73" s="159"/>
      <c r="K73" s="159"/>
      <c r="L73" s="159"/>
      <c r="M73" s="159"/>
      <c r="N73" s="159"/>
      <c r="O73" s="159"/>
      <c r="P73" s="159"/>
      <c r="Q73" s="159"/>
      <c r="R73" s="159"/>
      <c r="S73" s="159"/>
      <c r="T73" s="159"/>
      <c r="U73" s="159"/>
      <c r="V73" s="159"/>
      <c r="W73" s="159"/>
      <c r="X73" s="159"/>
      <c r="Y73" s="159"/>
      <c r="Z73" s="159"/>
      <c r="AA73" s="159"/>
      <c r="AB73" s="159"/>
      <c r="AC73" s="159"/>
      <c r="AD73" s="159"/>
      <c r="AE73" s="159"/>
      <c r="AF73" s="159"/>
      <c r="AG73" s="159"/>
      <c r="AH73" s="159"/>
      <c r="AI73" s="159"/>
      <c r="AJ73" s="159"/>
      <c r="AK73" s="159"/>
      <c r="AL73" s="159"/>
      <c r="AM73" s="1010"/>
      <c r="AN73" s="1010"/>
      <c r="AO73" s="1010"/>
      <c r="AP73" s="1010"/>
      <c r="AQ73" s="1010"/>
      <c r="AR73" s="1010"/>
      <c r="AS73" s="1010"/>
      <c r="AT73" s="1010"/>
      <c r="AU73" s="1010"/>
      <c r="AV73" s="1010"/>
      <c r="AW73" s="1010"/>
      <c r="AX73" s="1010"/>
      <c r="AY73" s="1010"/>
      <c r="AZ73" s="1010"/>
      <c r="BA73" s="1010"/>
      <c r="BB73" s="1010"/>
      <c r="BC73" s="1010"/>
      <c r="BD73" s="1010"/>
      <c r="BE73" s="1010"/>
      <c r="BF73" s="1010"/>
      <c r="BG73" s="1010"/>
      <c r="BH73" s="1010"/>
      <c r="BI73" s="1010"/>
      <c r="BJ73" s="1010"/>
      <c r="BK73" s="1010"/>
      <c r="BL73" s="1010"/>
      <c r="BM73" s="1010"/>
      <c r="BN73" s="1010"/>
      <c r="BO73" s="1010"/>
      <c r="BP73" s="1010"/>
      <c r="BQ73" s="1010"/>
      <c r="BR73" s="1010"/>
      <c r="BS73" s="1010"/>
      <c r="BT73" s="1010"/>
      <c r="BU73" s="1010"/>
      <c r="BV73" s="1010"/>
      <c r="BW73" s="180"/>
      <c r="BX73" s="184"/>
      <c r="BY73" s="184"/>
      <c r="BZ73" s="179"/>
      <c r="CA73" s="159"/>
      <c r="CB73" s="159"/>
      <c r="CC73" s="159"/>
      <c r="CD73" s="159"/>
      <c r="CE73" s="159"/>
      <c r="CF73" s="159"/>
      <c r="CG73" s="159"/>
      <c r="CH73" s="159"/>
      <c r="CI73" s="159"/>
      <c r="CJ73" s="159"/>
      <c r="CK73" s="159"/>
      <c r="CL73" s="159"/>
      <c r="CM73" s="159"/>
      <c r="CN73" s="159"/>
      <c r="CO73" s="159"/>
      <c r="CP73" s="159"/>
      <c r="CQ73" s="159"/>
      <c r="CR73" s="159"/>
      <c r="CS73" s="159"/>
      <c r="CT73" s="159"/>
      <c r="CU73" s="159"/>
      <c r="CV73" s="159"/>
      <c r="CW73" s="159"/>
      <c r="CX73" s="159"/>
      <c r="CY73" s="159"/>
      <c r="CZ73" s="159"/>
      <c r="DA73" s="159"/>
      <c r="DB73" s="159"/>
      <c r="DC73" s="159"/>
      <c r="DD73" s="159"/>
      <c r="DE73" s="159"/>
      <c r="DF73" s="159"/>
      <c r="DG73" s="159"/>
      <c r="EP73" s="159"/>
      <c r="EQ73" s="159"/>
      <c r="ER73" s="159"/>
      <c r="ES73" s="159"/>
      <c r="ET73" s="159"/>
      <c r="EU73" s="180"/>
      <c r="EV73" s="184"/>
    </row>
    <row r="74" spans="1:152" ht="6.75" customHeight="1" x14ac:dyDescent="0.25">
      <c r="A74" s="184"/>
      <c r="B74" s="179"/>
      <c r="C74" s="159"/>
      <c r="D74" s="159"/>
      <c r="E74" s="159"/>
      <c r="F74" s="159"/>
      <c r="G74" s="159"/>
      <c r="H74" s="159"/>
      <c r="I74" s="159"/>
      <c r="J74" s="159"/>
      <c r="K74" s="159"/>
      <c r="L74" s="159"/>
      <c r="M74" s="159"/>
      <c r="N74" s="159"/>
      <c r="O74" s="159"/>
      <c r="P74" s="159"/>
      <c r="Q74" s="159"/>
      <c r="R74" s="159"/>
      <c r="S74" s="159"/>
      <c r="T74" s="159"/>
      <c r="U74" s="159"/>
      <c r="V74" s="159"/>
      <c r="W74" s="159"/>
      <c r="X74" s="159"/>
      <c r="Y74" s="159"/>
      <c r="Z74" s="159"/>
      <c r="AA74" s="159"/>
      <c r="AB74" s="159"/>
      <c r="AC74" s="159"/>
      <c r="AD74" s="159"/>
      <c r="AE74" s="159"/>
      <c r="AF74" s="159"/>
      <c r="AG74" s="159"/>
      <c r="AH74" s="159"/>
      <c r="AI74" s="159"/>
      <c r="AJ74" s="159"/>
      <c r="AK74" s="159"/>
      <c r="AL74" s="159"/>
      <c r="AM74" s="1010"/>
      <c r="AN74" s="1010"/>
      <c r="AO74" s="1010"/>
      <c r="AP74" s="1010"/>
      <c r="AQ74" s="1010"/>
      <c r="AR74" s="1010"/>
      <c r="AS74" s="1010"/>
      <c r="AT74" s="1010"/>
      <c r="AU74" s="1010"/>
      <c r="AV74" s="1010"/>
      <c r="AW74" s="1010"/>
      <c r="AX74" s="1010"/>
      <c r="AY74" s="1010"/>
      <c r="AZ74" s="1010"/>
      <c r="BA74" s="1010"/>
      <c r="BB74" s="1010"/>
      <c r="BC74" s="1010"/>
      <c r="BD74" s="1010"/>
      <c r="BE74" s="1010"/>
      <c r="BF74" s="1010"/>
      <c r="BG74" s="1010"/>
      <c r="BH74" s="1010"/>
      <c r="BI74" s="1010"/>
      <c r="BJ74" s="1010"/>
      <c r="BK74" s="1010"/>
      <c r="BL74" s="1010"/>
      <c r="BM74" s="1010"/>
      <c r="BN74" s="1010"/>
      <c r="BO74" s="1010"/>
      <c r="BP74" s="1010"/>
      <c r="BQ74" s="1010"/>
      <c r="BR74" s="1010"/>
      <c r="BS74" s="1010"/>
      <c r="BT74" s="1010"/>
      <c r="BU74" s="1010"/>
      <c r="BV74" s="1010"/>
      <c r="BW74" s="180"/>
      <c r="BX74" s="184"/>
      <c r="BY74" s="184"/>
      <c r="BZ74" s="179"/>
      <c r="CA74" s="159"/>
      <c r="CB74" s="159"/>
      <c r="CC74" s="159"/>
      <c r="CD74" s="159"/>
      <c r="CE74" s="159"/>
      <c r="CF74" s="159"/>
      <c r="CG74" s="159"/>
      <c r="CH74" s="159"/>
      <c r="CI74" s="159"/>
      <c r="CJ74" s="159"/>
      <c r="CK74" s="159"/>
      <c r="CL74" s="159"/>
      <c r="CM74" s="159"/>
      <c r="CN74" s="159"/>
      <c r="CO74" s="159"/>
      <c r="CP74" s="159"/>
      <c r="CQ74" s="159"/>
      <c r="CR74" s="159"/>
      <c r="CS74" s="159"/>
      <c r="CT74" s="159"/>
      <c r="CU74" s="159"/>
      <c r="CV74" s="159"/>
      <c r="CW74" s="159"/>
      <c r="CX74" s="159"/>
      <c r="CY74" s="159"/>
      <c r="CZ74" s="159"/>
      <c r="DA74" s="159"/>
      <c r="DB74" s="159"/>
      <c r="DC74" s="159"/>
      <c r="DD74" s="159"/>
      <c r="DE74" s="159"/>
      <c r="DF74" s="159"/>
      <c r="DG74" s="159"/>
      <c r="EP74" s="159"/>
      <c r="EQ74" s="159"/>
      <c r="ER74" s="159"/>
      <c r="ES74" s="159"/>
      <c r="ET74" s="159"/>
      <c r="EU74" s="180"/>
      <c r="EV74" s="184"/>
    </row>
    <row r="75" spans="1:152" ht="6.75" customHeight="1" x14ac:dyDescent="0.25">
      <c r="A75" s="184"/>
      <c r="B75" s="179"/>
      <c r="C75" s="159"/>
      <c r="D75" s="159"/>
      <c r="E75" s="159"/>
      <c r="F75" s="159"/>
      <c r="G75" s="159"/>
      <c r="H75" s="159"/>
      <c r="I75" s="159"/>
      <c r="J75" s="159"/>
      <c r="K75" s="159"/>
      <c r="L75" s="159"/>
      <c r="M75" s="159"/>
      <c r="N75" s="159"/>
      <c r="O75" s="159"/>
      <c r="P75" s="159"/>
      <c r="Q75" s="159"/>
      <c r="R75" s="159"/>
      <c r="S75" s="159"/>
      <c r="T75" s="159"/>
      <c r="U75" s="159"/>
      <c r="V75" s="159"/>
      <c r="W75" s="159"/>
      <c r="X75" s="159"/>
      <c r="Y75" s="159"/>
      <c r="Z75" s="159"/>
      <c r="AA75" s="159"/>
      <c r="AB75" s="159"/>
      <c r="AC75" s="159"/>
      <c r="AD75" s="159"/>
      <c r="AE75" s="159"/>
      <c r="AF75" s="159"/>
      <c r="AG75" s="159"/>
      <c r="AH75" s="159"/>
      <c r="AI75" s="159"/>
      <c r="AJ75" s="159"/>
      <c r="AK75" s="159"/>
      <c r="AL75" s="159"/>
      <c r="AM75" s="1010"/>
      <c r="AN75" s="1010"/>
      <c r="AO75" s="1010"/>
      <c r="AP75" s="1010"/>
      <c r="AQ75" s="1010"/>
      <c r="AR75" s="1010"/>
      <c r="AS75" s="1010"/>
      <c r="AT75" s="1010"/>
      <c r="AU75" s="1010"/>
      <c r="AV75" s="1010"/>
      <c r="AW75" s="1010"/>
      <c r="AX75" s="1010"/>
      <c r="AY75" s="1010"/>
      <c r="AZ75" s="1010"/>
      <c r="BA75" s="1010"/>
      <c r="BB75" s="1010"/>
      <c r="BC75" s="1010"/>
      <c r="BD75" s="1010"/>
      <c r="BE75" s="1010"/>
      <c r="BF75" s="1010"/>
      <c r="BG75" s="1010"/>
      <c r="BH75" s="1010"/>
      <c r="BI75" s="1010"/>
      <c r="BJ75" s="1010"/>
      <c r="BK75" s="1010"/>
      <c r="BL75" s="1010"/>
      <c r="BM75" s="1010"/>
      <c r="BN75" s="1010"/>
      <c r="BO75" s="1010"/>
      <c r="BP75" s="1010"/>
      <c r="BQ75" s="1010"/>
      <c r="BR75" s="1010"/>
      <c r="BS75" s="1010"/>
      <c r="BT75" s="1010"/>
      <c r="BU75" s="1010"/>
      <c r="BV75" s="1010"/>
      <c r="BW75" s="180"/>
      <c r="BX75" s="184"/>
      <c r="BY75" s="184"/>
      <c r="BZ75" s="179"/>
      <c r="CA75" s="159"/>
      <c r="CB75" s="159"/>
      <c r="CC75" s="159"/>
      <c r="CD75" s="159"/>
      <c r="CE75" s="159"/>
      <c r="CF75" s="159"/>
      <c r="CG75" s="159"/>
      <c r="CH75" s="159"/>
      <c r="CI75" s="159"/>
      <c r="CJ75" s="159"/>
      <c r="CK75" s="159"/>
      <c r="CL75" s="159"/>
      <c r="CM75" s="159"/>
      <c r="CN75" s="159"/>
      <c r="CO75" s="159"/>
      <c r="CP75" s="159"/>
      <c r="CQ75" s="159"/>
      <c r="CR75" s="159"/>
      <c r="CS75" s="159"/>
      <c r="CT75" s="159"/>
      <c r="CU75" s="159"/>
      <c r="CV75" s="159"/>
      <c r="CW75" s="159"/>
      <c r="CX75" s="159"/>
      <c r="CY75" s="159"/>
      <c r="CZ75" s="159"/>
      <c r="DA75" s="159"/>
      <c r="DB75" s="159"/>
      <c r="DC75" s="159"/>
      <c r="DD75" s="159"/>
      <c r="DE75" s="159"/>
      <c r="DF75" s="159"/>
      <c r="DG75" s="159"/>
      <c r="EP75" s="159"/>
      <c r="EQ75" s="159"/>
      <c r="ER75" s="159"/>
      <c r="ES75" s="159"/>
      <c r="ET75" s="159"/>
      <c r="EU75" s="180"/>
      <c r="EV75" s="184"/>
    </row>
    <row r="76" spans="1:152" ht="6.75" customHeight="1" x14ac:dyDescent="0.25">
      <c r="A76" s="184"/>
      <c r="B76" s="179"/>
      <c r="C76" s="159"/>
      <c r="D76" s="159"/>
      <c r="E76" s="159"/>
      <c r="F76" s="159"/>
      <c r="G76" s="159"/>
      <c r="H76" s="159"/>
      <c r="I76" s="159"/>
      <c r="J76" s="159"/>
      <c r="K76" s="159"/>
      <c r="L76" s="159"/>
      <c r="M76" s="159"/>
      <c r="N76" s="159"/>
      <c r="O76" s="159"/>
      <c r="P76" s="159"/>
      <c r="Q76" s="159"/>
      <c r="R76" s="159"/>
      <c r="S76" s="159"/>
      <c r="T76" s="159"/>
      <c r="U76" s="159"/>
      <c r="V76" s="159"/>
      <c r="W76" s="159"/>
      <c r="X76" s="159"/>
      <c r="Y76" s="159"/>
      <c r="Z76" s="159"/>
      <c r="AA76" s="159"/>
      <c r="AB76" s="159"/>
      <c r="AC76" s="159"/>
      <c r="AD76" s="159"/>
      <c r="AE76" s="159"/>
      <c r="AF76" s="159"/>
      <c r="AG76" s="159"/>
      <c r="AH76" s="159"/>
      <c r="AI76" s="159"/>
      <c r="AJ76" s="159"/>
      <c r="AK76" s="159"/>
      <c r="AL76" s="159"/>
      <c r="AM76" s="159"/>
      <c r="AN76" s="159"/>
      <c r="AO76" s="159"/>
      <c r="AP76" s="159"/>
      <c r="AQ76" s="159"/>
      <c r="AR76" s="159"/>
      <c r="AS76" s="159"/>
      <c r="AT76" s="159"/>
      <c r="AU76" s="159"/>
      <c r="AV76" s="159"/>
      <c r="AW76" s="159"/>
      <c r="AX76" s="159"/>
      <c r="AY76" s="159"/>
      <c r="AZ76" s="159"/>
      <c r="BA76" s="159"/>
      <c r="BB76" s="159"/>
      <c r="BC76" s="159"/>
      <c r="BD76" s="159"/>
      <c r="BE76" s="159"/>
      <c r="BF76" s="159"/>
      <c r="BG76" s="159"/>
      <c r="BH76" s="159"/>
      <c r="BI76" s="159"/>
      <c r="BJ76" s="159"/>
      <c r="BK76" s="159"/>
      <c r="BL76" s="159"/>
      <c r="BM76" s="159"/>
      <c r="BN76" s="159"/>
      <c r="BO76" s="159"/>
      <c r="BP76" s="159"/>
      <c r="BQ76" s="159"/>
      <c r="BR76" s="159"/>
      <c r="BS76" s="159"/>
      <c r="BT76" s="159"/>
      <c r="BU76" s="159"/>
      <c r="BV76" s="159"/>
      <c r="BW76" s="180"/>
      <c r="BX76" s="184"/>
      <c r="BY76" s="184"/>
      <c r="BZ76" s="179"/>
      <c r="CA76" s="159"/>
      <c r="CB76" s="159"/>
      <c r="CC76" s="159"/>
      <c r="CD76" s="159"/>
      <c r="CE76" s="159"/>
      <c r="CF76" s="159"/>
      <c r="CG76" s="159"/>
      <c r="CH76" s="159"/>
      <c r="CI76" s="159"/>
      <c r="CJ76" s="159"/>
      <c r="CK76" s="159"/>
      <c r="CL76" s="159"/>
      <c r="CM76" s="159"/>
      <c r="CN76" s="159"/>
      <c r="CO76" s="159"/>
      <c r="CP76" s="159"/>
      <c r="CQ76" s="159"/>
      <c r="CR76" s="159"/>
      <c r="CS76" s="159"/>
      <c r="CT76" s="159"/>
      <c r="CU76" s="159"/>
      <c r="CV76" s="159"/>
      <c r="CW76" s="159"/>
      <c r="CX76" s="159"/>
      <c r="CY76" s="159"/>
      <c r="CZ76" s="159"/>
      <c r="DA76" s="159"/>
      <c r="DB76" s="159"/>
      <c r="DC76" s="159"/>
      <c r="DD76" s="159"/>
      <c r="DE76" s="159"/>
      <c r="DF76" s="159"/>
      <c r="DG76" s="159"/>
      <c r="EP76" s="159"/>
      <c r="EQ76" s="159"/>
      <c r="ER76" s="159"/>
      <c r="ES76" s="159"/>
      <c r="ET76" s="159"/>
      <c r="EU76" s="180"/>
      <c r="EV76" s="184"/>
    </row>
    <row r="77" spans="1:152" ht="6.75" customHeight="1" x14ac:dyDescent="0.25">
      <c r="A77" s="184"/>
      <c r="B77" s="179"/>
      <c r="C77" s="159"/>
      <c r="D77" s="159"/>
      <c r="E77" s="159"/>
      <c r="F77" s="159"/>
      <c r="G77" s="159"/>
      <c r="H77" s="159"/>
      <c r="I77" s="159"/>
      <c r="J77" s="159"/>
      <c r="K77" s="159"/>
      <c r="L77" s="159"/>
      <c r="M77" s="159"/>
      <c r="N77" s="159"/>
      <c r="O77" s="159"/>
      <c r="P77" s="159"/>
      <c r="Q77" s="159"/>
      <c r="R77" s="159"/>
      <c r="S77" s="159"/>
      <c r="T77" s="159"/>
      <c r="U77" s="159"/>
      <c r="V77" s="159"/>
      <c r="W77" s="159"/>
      <c r="X77" s="159"/>
      <c r="Y77" s="159"/>
      <c r="Z77" s="159"/>
      <c r="AA77" s="159"/>
      <c r="AB77" s="159"/>
      <c r="AC77" s="159"/>
      <c r="AD77" s="159"/>
      <c r="AE77" s="159"/>
      <c r="AF77" s="159"/>
      <c r="AG77" s="159"/>
      <c r="AH77" s="159"/>
      <c r="AI77" s="159"/>
      <c r="AJ77" s="159"/>
      <c r="AK77" s="159"/>
      <c r="AL77" s="159"/>
      <c r="AM77" s="159"/>
      <c r="AN77" s="159"/>
      <c r="AO77" s="159"/>
      <c r="AP77" s="159"/>
      <c r="AQ77" s="159"/>
      <c r="AR77" s="159"/>
      <c r="AS77" s="159"/>
      <c r="AT77" s="159"/>
      <c r="AU77" s="159"/>
      <c r="AV77" s="159"/>
      <c r="AW77" s="159"/>
      <c r="AX77" s="159"/>
      <c r="AY77" s="159"/>
      <c r="AZ77" s="159"/>
      <c r="BA77" s="159"/>
      <c r="BB77" s="159"/>
      <c r="BC77" s="159"/>
      <c r="BD77" s="159"/>
      <c r="BE77" s="159"/>
      <c r="BF77" s="159"/>
      <c r="BG77" s="159"/>
      <c r="BH77" s="159"/>
      <c r="BI77" s="159"/>
      <c r="BJ77" s="159"/>
      <c r="BK77" s="159"/>
      <c r="BL77" s="159"/>
      <c r="BM77" s="159"/>
      <c r="BN77" s="159"/>
      <c r="BO77" s="159"/>
      <c r="BP77" s="159"/>
      <c r="BQ77" s="159"/>
      <c r="BR77" s="159"/>
      <c r="BS77" s="159"/>
      <c r="BT77" s="159"/>
      <c r="BU77" s="159"/>
      <c r="BV77" s="159"/>
      <c r="BW77" s="180"/>
      <c r="BX77" s="184"/>
      <c r="BY77" s="184"/>
      <c r="BZ77" s="179"/>
      <c r="CA77" s="159"/>
      <c r="CB77" s="159"/>
      <c r="CC77" s="159"/>
      <c r="CD77" s="159"/>
      <c r="CE77" s="159"/>
      <c r="CF77" s="159"/>
      <c r="CG77" s="159"/>
      <c r="CH77" s="159"/>
      <c r="CI77" s="159"/>
      <c r="CJ77" s="159"/>
      <c r="CK77" s="159"/>
      <c r="CL77" s="159"/>
      <c r="CM77" s="159"/>
      <c r="CN77" s="159"/>
      <c r="CO77" s="159"/>
      <c r="CP77" s="159"/>
      <c r="CQ77" s="159"/>
      <c r="CR77" s="159"/>
      <c r="CS77" s="159"/>
      <c r="CT77" s="159"/>
      <c r="CU77" s="159"/>
      <c r="CV77" s="159"/>
      <c r="CW77" s="159"/>
      <c r="CX77" s="159"/>
      <c r="CY77" s="159"/>
      <c r="CZ77" s="159"/>
      <c r="DA77" s="159"/>
      <c r="DB77" s="159"/>
      <c r="DC77" s="159"/>
      <c r="DD77" s="159"/>
      <c r="DE77" s="159"/>
      <c r="DF77" s="159"/>
      <c r="DG77" s="159"/>
      <c r="EP77" s="159"/>
      <c r="EQ77" s="159"/>
      <c r="ER77" s="159"/>
      <c r="ES77" s="159"/>
      <c r="ET77" s="159"/>
      <c r="EU77" s="180"/>
      <c r="EV77" s="184"/>
    </row>
    <row r="78" spans="1:152" ht="6.75" customHeight="1" x14ac:dyDescent="0.25">
      <c r="A78" s="184"/>
      <c r="B78" s="179"/>
      <c r="C78" s="159"/>
      <c r="D78" s="159"/>
      <c r="E78" s="159"/>
      <c r="F78" s="159"/>
      <c r="G78" s="159"/>
      <c r="H78" s="159"/>
      <c r="I78" s="159"/>
      <c r="J78" s="159"/>
      <c r="K78" s="159"/>
      <c r="L78" s="159"/>
      <c r="M78" s="159"/>
      <c r="N78" s="159"/>
      <c r="O78" s="159"/>
      <c r="P78" s="159"/>
      <c r="Q78" s="159"/>
      <c r="R78" s="159"/>
      <c r="S78" s="159"/>
      <c r="T78" s="159"/>
      <c r="U78" s="159"/>
      <c r="V78" s="159"/>
      <c r="W78" s="159"/>
      <c r="X78" s="159"/>
      <c r="Y78" s="159"/>
      <c r="Z78" s="159"/>
      <c r="AA78" s="159"/>
      <c r="AB78" s="159"/>
      <c r="AC78" s="159"/>
      <c r="AD78" s="159"/>
      <c r="AE78" s="159"/>
      <c r="AF78" s="159"/>
      <c r="AG78" s="159"/>
      <c r="AH78" s="159"/>
      <c r="AI78" s="159"/>
      <c r="AJ78" s="159"/>
      <c r="AK78" s="159"/>
      <c r="AL78" s="159"/>
      <c r="AM78" s="159"/>
      <c r="AN78" s="159"/>
      <c r="AO78" s="159"/>
      <c r="AP78" s="159"/>
      <c r="AQ78" s="159"/>
      <c r="AR78" s="159"/>
      <c r="AS78" s="159"/>
      <c r="AT78" s="159"/>
      <c r="AU78" s="159"/>
      <c r="AV78" s="159"/>
      <c r="AW78" s="159"/>
      <c r="AX78" s="159"/>
      <c r="AY78" s="159"/>
      <c r="AZ78" s="159"/>
      <c r="BA78" s="159"/>
      <c r="BB78" s="159"/>
      <c r="BC78" s="159"/>
      <c r="BD78" s="159"/>
      <c r="BE78" s="159"/>
      <c r="BF78" s="159"/>
      <c r="BG78" s="159"/>
      <c r="BH78" s="159"/>
      <c r="BI78" s="159"/>
      <c r="BJ78" s="159"/>
      <c r="BK78" s="159"/>
      <c r="BL78" s="159"/>
      <c r="BM78" s="159"/>
      <c r="BN78" s="159"/>
      <c r="BO78" s="159"/>
      <c r="BP78" s="159"/>
      <c r="BQ78" s="159"/>
      <c r="BR78" s="159"/>
      <c r="BS78" s="159"/>
      <c r="BT78" s="159"/>
      <c r="BU78" s="159"/>
      <c r="BV78" s="159"/>
      <c r="BW78" s="180"/>
      <c r="BX78" s="184"/>
      <c r="BY78" s="184"/>
      <c r="BZ78" s="179"/>
      <c r="CA78" s="159"/>
      <c r="CB78" s="159"/>
      <c r="CC78" s="159"/>
      <c r="CD78" s="159"/>
      <c r="CE78" s="159"/>
      <c r="CF78" s="159"/>
      <c r="CG78" s="159"/>
      <c r="CH78" s="159"/>
      <c r="CI78" s="159"/>
      <c r="CJ78" s="159"/>
      <c r="CK78" s="159"/>
      <c r="CL78" s="159"/>
      <c r="CM78" s="159"/>
      <c r="CN78" s="159"/>
      <c r="CO78" s="159"/>
      <c r="CP78" s="159"/>
      <c r="CQ78" s="159"/>
      <c r="CR78" s="159"/>
      <c r="CS78" s="159"/>
      <c r="CT78" s="159"/>
      <c r="CU78" s="159"/>
      <c r="CV78" s="159"/>
      <c r="CW78" s="159"/>
      <c r="CX78" s="159"/>
      <c r="CY78" s="159"/>
      <c r="CZ78" s="159"/>
      <c r="DA78" s="159"/>
      <c r="DB78" s="159"/>
      <c r="DC78" s="159"/>
      <c r="DD78" s="159"/>
      <c r="DE78" s="159"/>
      <c r="DF78" s="159"/>
      <c r="DG78" s="159"/>
      <c r="EP78" s="159"/>
      <c r="EQ78" s="159"/>
      <c r="ER78" s="159"/>
      <c r="ES78" s="159"/>
      <c r="ET78" s="159"/>
      <c r="EU78" s="180"/>
      <c r="EV78" s="184"/>
    </row>
    <row r="79" spans="1:152" ht="6.75" customHeight="1" x14ac:dyDescent="0.25">
      <c r="A79" s="184"/>
      <c r="B79" s="179"/>
      <c r="C79" s="159"/>
      <c r="D79" s="159"/>
      <c r="E79" s="159"/>
      <c r="F79" s="159"/>
      <c r="G79" s="159"/>
      <c r="H79" s="159"/>
      <c r="I79" s="159"/>
      <c r="J79" s="159"/>
      <c r="K79" s="159"/>
      <c r="L79" s="159"/>
      <c r="M79" s="159"/>
      <c r="N79" s="159"/>
      <c r="O79" s="159"/>
      <c r="P79" s="159"/>
      <c r="Q79" s="159"/>
      <c r="R79" s="159"/>
      <c r="S79" s="159"/>
      <c r="T79" s="159"/>
      <c r="U79" s="159"/>
      <c r="V79" s="159"/>
      <c r="W79" s="159"/>
      <c r="X79" s="159"/>
      <c r="Y79" s="159"/>
      <c r="Z79" s="159"/>
      <c r="AA79" s="159"/>
      <c r="AB79" s="159"/>
      <c r="AC79" s="159"/>
      <c r="AD79" s="159"/>
      <c r="AE79" s="159"/>
      <c r="AF79" s="159"/>
      <c r="AG79" s="159"/>
      <c r="AH79" s="159"/>
      <c r="AI79" s="159"/>
      <c r="AJ79" s="159"/>
      <c r="AK79" s="159"/>
      <c r="AL79" s="159"/>
      <c r="AM79" s="159"/>
      <c r="AN79" s="159"/>
      <c r="AO79" s="159"/>
      <c r="AP79" s="159"/>
      <c r="AQ79" s="159"/>
      <c r="AR79" s="159"/>
      <c r="AS79" s="159"/>
      <c r="AT79" s="159"/>
      <c r="AU79" s="159"/>
      <c r="AV79" s="159"/>
      <c r="AW79" s="159"/>
      <c r="AX79" s="159"/>
      <c r="AY79" s="159"/>
      <c r="AZ79" s="159"/>
      <c r="BA79" s="159"/>
      <c r="BB79" s="159"/>
      <c r="BC79" s="159"/>
      <c r="BD79" s="159"/>
      <c r="BE79" s="159"/>
      <c r="BF79" s="159"/>
      <c r="BG79" s="159"/>
      <c r="BH79" s="159"/>
      <c r="BI79" s="159"/>
      <c r="BJ79" s="159"/>
      <c r="BK79" s="159"/>
      <c r="BL79" s="159"/>
      <c r="BM79" s="159"/>
      <c r="BN79" s="159"/>
      <c r="BO79" s="159"/>
      <c r="BP79" s="159"/>
      <c r="BQ79" s="159"/>
      <c r="BR79" s="159"/>
      <c r="BS79" s="159"/>
      <c r="BT79" s="159"/>
      <c r="BU79" s="159"/>
      <c r="BV79" s="159"/>
      <c r="BW79" s="180"/>
      <c r="BX79" s="184"/>
      <c r="BY79" s="184"/>
      <c r="BZ79" s="179"/>
      <c r="CA79" s="159"/>
      <c r="CB79" s="159"/>
      <c r="CC79" s="159"/>
      <c r="CD79" s="159"/>
      <c r="CE79" s="159"/>
      <c r="CF79" s="159"/>
      <c r="CG79" s="159"/>
      <c r="CH79" s="159"/>
      <c r="CI79" s="159"/>
      <c r="CJ79" s="159"/>
      <c r="CK79" s="159"/>
      <c r="CL79" s="159"/>
      <c r="CM79" s="159"/>
      <c r="CN79" s="159"/>
      <c r="CO79" s="159"/>
      <c r="CP79" s="159"/>
      <c r="CQ79" s="159"/>
      <c r="CR79" s="159"/>
      <c r="CS79" s="159"/>
      <c r="CT79" s="159"/>
      <c r="CU79" s="159"/>
      <c r="CV79" s="159"/>
      <c r="CW79" s="159"/>
      <c r="CX79" s="159"/>
      <c r="CY79" s="159"/>
      <c r="CZ79" s="159"/>
      <c r="DA79" s="159"/>
      <c r="DB79" s="159"/>
      <c r="DC79" s="159"/>
      <c r="DD79" s="159"/>
      <c r="DE79" s="159"/>
      <c r="DF79" s="159"/>
      <c r="DG79" s="159"/>
      <c r="DH79" s="159"/>
      <c r="DI79" s="159"/>
      <c r="DJ79" s="159"/>
      <c r="DK79" s="159"/>
      <c r="DL79" s="159"/>
      <c r="DM79" s="159"/>
      <c r="DN79" s="159"/>
      <c r="DO79" s="159"/>
      <c r="DP79" s="159"/>
      <c r="DQ79" s="159"/>
      <c r="DR79" s="159"/>
      <c r="DS79" s="159"/>
      <c r="DT79" s="159"/>
      <c r="DU79" s="159"/>
      <c r="DV79" s="159"/>
      <c r="DW79" s="159"/>
      <c r="DX79" s="159"/>
      <c r="DY79" s="159"/>
      <c r="DZ79" s="159"/>
      <c r="EA79" s="159"/>
      <c r="EB79" s="159"/>
      <c r="EC79" s="159"/>
      <c r="ED79" s="159"/>
      <c r="EE79" s="159"/>
      <c r="EF79" s="159"/>
      <c r="EG79" s="159"/>
      <c r="EH79" s="159"/>
      <c r="EI79" s="159"/>
      <c r="EJ79" s="159"/>
      <c r="EK79" s="159"/>
      <c r="EL79" s="159"/>
      <c r="EM79" s="159"/>
      <c r="EN79" s="159"/>
      <c r="EO79" s="159"/>
      <c r="EP79" s="159"/>
      <c r="EQ79" s="159"/>
      <c r="ER79" s="159"/>
      <c r="ES79" s="159"/>
      <c r="ET79" s="159"/>
      <c r="EU79" s="180"/>
      <c r="EV79" s="184"/>
    </row>
    <row r="80" spans="1:152" ht="6.75" customHeight="1" x14ac:dyDescent="0.25">
      <c r="A80" s="184"/>
      <c r="B80" s="179"/>
      <c r="C80" s="159"/>
      <c r="D80" s="159"/>
      <c r="E80" s="159"/>
      <c r="F80" s="159"/>
      <c r="G80" s="159"/>
      <c r="H80" s="159"/>
      <c r="I80" s="159"/>
      <c r="J80" s="159"/>
      <c r="K80" s="159"/>
      <c r="L80" s="159"/>
      <c r="M80" s="159"/>
      <c r="N80" s="159"/>
      <c r="O80" s="159"/>
      <c r="P80" s="159"/>
      <c r="Q80" s="159"/>
      <c r="R80" s="159"/>
      <c r="S80" s="159"/>
      <c r="T80" s="159"/>
      <c r="U80" s="159"/>
      <c r="V80" s="159"/>
      <c r="W80" s="159"/>
      <c r="X80" s="159"/>
      <c r="Y80" s="159"/>
      <c r="Z80" s="159"/>
      <c r="AA80" s="159"/>
      <c r="AB80" s="159"/>
      <c r="AC80" s="159"/>
      <c r="AD80" s="159"/>
      <c r="AE80" s="159"/>
      <c r="AF80" s="159"/>
      <c r="AG80" s="159"/>
      <c r="AH80" s="159"/>
      <c r="AI80" s="159"/>
      <c r="AJ80" s="159"/>
      <c r="AK80" s="159"/>
      <c r="AL80" s="159"/>
      <c r="AM80" s="159"/>
      <c r="AN80" s="159"/>
      <c r="AO80" s="159"/>
      <c r="AP80" s="159"/>
      <c r="AQ80" s="159"/>
      <c r="AR80" s="159"/>
      <c r="AS80" s="159"/>
      <c r="AT80" s="159"/>
      <c r="AU80" s="159"/>
      <c r="AV80" s="159"/>
      <c r="AW80" s="159"/>
      <c r="AX80" s="159"/>
      <c r="AY80" s="159"/>
      <c r="AZ80" s="159"/>
      <c r="BA80" s="159"/>
      <c r="BB80" s="159"/>
      <c r="BC80" s="159"/>
      <c r="BD80" s="159"/>
      <c r="BE80" s="159"/>
      <c r="BF80" s="159"/>
      <c r="BG80" s="159"/>
      <c r="BH80" s="159"/>
      <c r="BI80" s="159"/>
      <c r="BJ80" s="159"/>
      <c r="BK80" s="159"/>
      <c r="BL80" s="159"/>
      <c r="BM80" s="159"/>
      <c r="BN80" s="159"/>
      <c r="BO80" s="159"/>
      <c r="BP80" s="159"/>
      <c r="BQ80" s="159"/>
      <c r="BR80" s="159"/>
      <c r="BS80" s="159"/>
      <c r="BT80" s="159"/>
      <c r="BU80" s="159"/>
      <c r="BV80" s="159"/>
      <c r="BW80" s="180"/>
      <c r="BX80" s="184"/>
      <c r="BY80" s="184"/>
      <c r="BZ80" s="179"/>
      <c r="CA80" s="159"/>
      <c r="CB80" s="159"/>
      <c r="CC80" s="159"/>
      <c r="CD80" s="159"/>
      <c r="CE80" s="159"/>
      <c r="CF80" s="159"/>
      <c r="CG80" s="159"/>
      <c r="CH80" s="159"/>
      <c r="CI80" s="159"/>
      <c r="CJ80" s="159"/>
      <c r="CK80" s="159"/>
      <c r="CL80" s="159"/>
      <c r="CM80" s="159"/>
      <c r="CN80" s="159"/>
      <c r="CO80" s="159"/>
      <c r="CP80" s="159"/>
      <c r="CQ80" s="159"/>
      <c r="CR80" s="159"/>
      <c r="CS80" s="159"/>
      <c r="CT80" s="159"/>
      <c r="CU80" s="159"/>
      <c r="CV80" s="159"/>
      <c r="CW80" s="159"/>
      <c r="CX80" s="159"/>
      <c r="CY80" s="159"/>
      <c r="CZ80" s="159"/>
      <c r="DA80" s="159"/>
      <c r="DB80" s="159"/>
      <c r="DC80" s="159"/>
      <c r="DD80" s="159"/>
      <c r="DE80" s="159"/>
      <c r="DF80" s="159"/>
      <c r="DG80" s="159"/>
      <c r="DH80" s="159"/>
      <c r="DI80" s="159"/>
      <c r="DJ80" s="159"/>
      <c r="DK80" s="159"/>
      <c r="DL80" s="159"/>
      <c r="DM80" s="159"/>
      <c r="DN80" s="159"/>
      <c r="DO80" s="159"/>
      <c r="DP80" s="159"/>
      <c r="DQ80" s="159"/>
      <c r="DR80" s="159"/>
      <c r="DS80" s="159"/>
      <c r="DT80" s="159"/>
      <c r="DU80" s="159"/>
      <c r="DV80" s="159"/>
      <c r="DW80" s="159"/>
      <c r="DX80" s="159"/>
      <c r="DY80" s="159"/>
      <c r="DZ80" s="159"/>
      <c r="EA80" s="159"/>
      <c r="EB80" s="159"/>
      <c r="EC80" s="159"/>
      <c r="ED80" s="159"/>
      <c r="EE80" s="159"/>
      <c r="EF80" s="159"/>
      <c r="EG80" s="159"/>
      <c r="EH80" s="159"/>
      <c r="EI80" s="159"/>
      <c r="EJ80" s="159"/>
      <c r="EK80" s="159"/>
      <c r="EL80" s="159"/>
      <c r="EM80" s="159"/>
      <c r="EN80" s="159"/>
      <c r="EO80" s="159"/>
      <c r="EP80" s="159"/>
      <c r="EQ80" s="159"/>
      <c r="ER80" s="159"/>
      <c r="ES80" s="159"/>
      <c r="ET80" s="159"/>
      <c r="EU80" s="180"/>
      <c r="EV80" s="184"/>
    </row>
    <row r="81" spans="1:152" ht="6.75" customHeight="1" x14ac:dyDescent="0.25">
      <c r="A81" s="184"/>
      <c r="B81" s="179"/>
      <c r="C81" s="159"/>
      <c r="D81" s="159"/>
      <c r="E81" s="159"/>
      <c r="F81" s="159"/>
      <c r="G81" s="159"/>
      <c r="H81" s="159"/>
      <c r="I81" s="159"/>
      <c r="J81" s="159"/>
      <c r="K81" s="159"/>
      <c r="L81" s="159"/>
      <c r="M81" s="159"/>
      <c r="N81" s="159"/>
      <c r="O81" s="159"/>
      <c r="P81" s="159"/>
      <c r="Q81" s="159"/>
      <c r="R81" s="159"/>
      <c r="S81" s="159"/>
      <c r="T81" s="159"/>
      <c r="U81" s="159"/>
      <c r="V81" s="159"/>
      <c r="W81" s="159"/>
      <c r="X81" s="159"/>
      <c r="Y81" s="159"/>
      <c r="Z81" s="159"/>
      <c r="AA81" s="159"/>
      <c r="AB81" s="159"/>
      <c r="AC81" s="159"/>
      <c r="AD81" s="159"/>
      <c r="AE81" s="159"/>
      <c r="AF81" s="159"/>
      <c r="AG81" s="159"/>
      <c r="AH81" s="159"/>
      <c r="AI81" s="159"/>
      <c r="AJ81" s="159"/>
      <c r="AK81" s="159"/>
      <c r="AL81" s="159"/>
      <c r="AM81" s="159"/>
      <c r="AN81" s="159"/>
      <c r="AO81" s="159"/>
      <c r="AP81" s="159"/>
      <c r="AQ81" s="159"/>
      <c r="AR81" s="159"/>
      <c r="AS81" s="159"/>
      <c r="AT81" s="159"/>
      <c r="AU81" s="159"/>
      <c r="AV81" s="159"/>
      <c r="AW81" s="159"/>
      <c r="AX81" s="159"/>
      <c r="AY81" s="159"/>
      <c r="AZ81" s="159"/>
      <c r="BA81" s="159"/>
      <c r="BB81" s="159"/>
      <c r="BC81" s="159"/>
      <c r="BD81" s="159"/>
      <c r="BE81" s="159"/>
      <c r="BF81" s="159"/>
      <c r="BG81" s="159"/>
      <c r="BH81" s="159"/>
      <c r="BI81" s="159"/>
      <c r="BJ81" s="159"/>
      <c r="BK81" s="159"/>
      <c r="BL81" s="159"/>
      <c r="BM81" s="159"/>
      <c r="BN81" s="159"/>
      <c r="BO81" s="159"/>
      <c r="BP81" s="159"/>
      <c r="BQ81" s="159"/>
      <c r="BR81" s="159"/>
      <c r="BS81" s="159"/>
      <c r="BT81" s="159"/>
      <c r="BU81" s="159"/>
      <c r="BV81" s="159"/>
      <c r="BW81" s="180"/>
      <c r="BX81" s="184"/>
      <c r="BY81" s="184"/>
      <c r="BZ81" s="179"/>
      <c r="CA81" s="159"/>
      <c r="CB81" s="159"/>
      <c r="CC81" s="159"/>
      <c r="CD81" s="159"/>
      <c r="CE81" s="159"/>
      <c r="CF81" s="159"/>
      <c r="CG81" s="159"/>
      <c r="CH81" s="159"/>
      <c r="CI81" s="159"/>
      <c r="CJ81" s="159"/>
      <c r="CK81" s="159"/>
      <c r="CL81" s="159"/>
      <c r="CM81" s="159"/>
      <c r="CN81" s="159"/>
      <c r="CO81" s="159"/>
      <c r="CP81" s="159"/>
      <c r="CQ81" s="159"/>
      <c r="CR81" s="159"/>
      <c r="CS81" s="159"/>
      <c r="CT81" s="159"/>
      <c r="CU81" s="159"/>
      <c r="CV81" s="159"/>
      <c r="CW81" s="159"/>
      <c r="CX81" s="159"/>
      <c r="CY81" s="159"/>
      <c r="CZ81" s="159"/>
      <c r="DA81" s="159"/>
      <c r="DB81" s="159"/>
      <c r="DC81" s="159"/>
      <c r="DD81" s="159"/>
      <c r="DE81" s="159"/>
      <c r="DF81" s="159"/>
      <c r="DG81" s="159"/>
      <c r="DH81" s="159"/>
      <c r="DI81" s="159"/>
      <c r="DJ81" s="159"/>
      <c r="DK81" s="159"/>
      <c r="DL81" s="159"/>
      <c r="DM81" s="159"/>
      <c r="DN81" s="159"/>
      <c r="DO81" s="159"/>
      <c r="DP81" s="159"/>
      <c r="DQ81" s="159"/>
      <c r="DR81" s="159"/>
      <c r="DS81" s="159"/>
      <c r="DT81" s="159"/>
      <c r="DU81" s="159"/>
      <c r="DV81" s="159"/>
      <c r="DW81" s="159"/>
      <c r="DX81" s="159"/>
      <c r="DY81" s="159"/>
      <c r="DZ81" s="159"/>
      <c r="EA81" s="159"/>
      <c r="EB81" s="159"/>
      <c r="EC81" s="159"/>
      <c r="ED81" s="159"/>
      <c r="EE81" s="159"/>
      <c r="EF81" s="159"/>
      <c r="EG81" s="159"/>
      <c r="EH81" s="159"/>
      <c r="EI81" s="159"/>
      <c r="EJ81" s="159"/>
      <c r="EK81" s="159"/>
      <c r="EL81" s="159"/>
      <c r="EM81" s="159"/>
      <c r="EN81" s="159"/>
      <c r="EO81" s="159"/>
      <c r="EP81" s="159"/>
      <c r="EQ81" s="159"/>
      <c r="ER81" s="159"/>
      <c r="ES81" s="159"/>
      <c r="ET81" s="159">
        <v>1</v>
      </c>
      <c r="EU81" s="180"/>
      <c r="EV81" s="184"/>
    </row>
    <row r="82" spans="1:152" ht="6.75" customHeight="1" x14ac:dyDescent="0.25">
      <c r="A82" s="184"/>
      <c r="B82" s="179"/>
      <c r="C82" s="159"/>
      <c r="D82" s="159"/>
      <c r="E82" s="159"/>
      <c r="F82" s="159"/>
      <c r="G82" s="159"/>
      <c r="H82" s="159"/>
      <c r="I82" s="159"/>
      <c r="J82" s="159"/>
      <c r="K82" s="159"/>
      <c r="L82" s="159"/>
      <c r="M82" s="159"/>
      <c r="N82" s="159"/>
      <c r="O82" s="159"/>
      <c r="P82" s="159"/>
      <c r="Q82" s="159"/>
      <c r="R82" s="159"/>
      <c r="S82" s="159"/>
      <c r="T82" s="159"/>
      <c r="U82" s="159"/>
      <c r="V82" s="159"/>
      <c r="W82" s="159"/>
      <c r="X82" s="159"/>
      <c r="Y82" s="159"/>
      <c r="Z82" s="159"/>
      <c r="AA82" s="159"/>
      <c r="AB82" s="159"/>
      <c r="AC82" s="159"/>
      <c r="AD82" s="159"/>
      <c r="AE82" s="159"/>
      <c r="AF82" s="159"/>
      <c r="AG82" s="159"/>
      <c r="AH82" s="159"/>
      <c r="AI82" s="159"/>
      <c r="AJ82" s="159"/>
      <c r="AK82" s="159"/>
      <c r="AL82" s="159"/>
      <c r="AM82" s="159"/>
      <c r="AN82" s="159"/>
      <c r="AO82" s="159"/>
      <c r="AP82" s="159"/>
      <c r="AQ82" s="159"/>
      <c r="AR82" s="159"/>
      <c r="AS82" s="159"/>
      <c r="AT82" s="159"/>
      <c r="AU82" s="159"/>
      <c r="AV82" s="159"/>
      <c r="AW82" s="159"/>
      <c r="AX82" s="159"/>
      <c r="AY82" s="159"/>
      <c r="AZ82" s="159"/>
      <c r="BA82" s="159"/>
      <c r="BB82" s="159"/>
      <c r="BC82" s="159"/>
      <c r="BD82" s="159"/>
      <c r="BE82" s="159"/>
      <c r="BF82" s="159"/>
      <c r="BG82" s="159"/>
      <c r="BH82" s="159"/>
      <c r="BI82" s="159"/>
      <c r="BJ82" s="159"/>
      <c r="BK82" s="159"/>
      <c r="BL82" s="159"/>
      <c r="BM82" s="159"/>
      <c r="BN82" s="159"/>
      <c r="BO82" s="159"/>
      <c r="BP82" s="159"/>
      <c r="BQ82" s="159"/>
      <c r="BR82" s="159"/>
      <c r="BS82" s="159"/>
      <c r="BT82" s="159"/>
      <c r="BU82" s="159"/>
      <c r="BV82" s="159"/>
      <c r="BW82" s="180"/>
      <c r="BX82" s="184"/>
      <c r="BY82" s="184"/>
      <c r="BZ82" s="179"/>
      <c r="CA82" s="159"/>
      <c r="CB82" s="159"/>
      <c r="CC82" s="159"/>
      <c r="CD82" s="159"/>
      <c r="CE82" s="159"/>
      <c r="CF82" s="159"/>
      <c r="CG82" s="159"/>
      <c r="CH82" s="159"/>
      <c r="CI82" s="159"/>
      <c r="CJ82" s="159"/>
      <c r="CK82" s="159"/>
      <c r="CL82" s="159"/>
      <c r="CM82" s="159"/>
      <c r="CN82" s="159"/>
      <c r="CO82" s="159"/>
      <c r="CP82" s="159"/>
      <c r="CQ82" s="159"/>
      <c r="CR82" s="159"/>
      <c r="CS82" s="159"/>
      <c r="CT82" s="159"/>
      <c r="CU82" s="159"/>
      <c r="CV82" s="159"/>
      <c r="CW82" s="159"/>
      <c r="CX82" s="159"/>
      <c r="CY82" s="159"/>
      <c r="CZ82" s="159"/>
      <c r="DA82" s="159"/>
      <c r="DB82" s="159"/>
      <c r="DC82" s="159"/>
      <c r="DD82" s="159"/>
      <c r="DE82" s="159"/>
      <c r="DF82" s="159"/>
      <c r="DG82" s="159"/>
      <c r="DH82" s="159"/>
      <c r="DI82" s="159"/>
      <c r="DJ82" s="159"/>
      <c r="DK82" s="159"/>
      <c r="DL82" s="159"/>
      <c r="DM82" s="159"/>
      <c r="DN82" s="159"/>
      <c r="DO82" s="159"/>
      <c r="DP82" s="159"/>
      <c r="DQ82" s="159"/>
      <c r="DR82" s="159"/>
      <c r="DS82" s="159"/>
      <c r="DT82" s="159"/>
      <c r="DU82" s="159"/>
      <c r="DV82" s="159"/>
      <c r="DW82" s="159"/>
      <c r="DX82" s="159"/>
      <c r="DY82" s="159"/>
      <c r="DZ82" s="159"/>
      <c r="EA82" s="159"/>
      <c r="EB82" s="159"/>
      <c r="EC82" s="159"/>
      <c r="ED82" s="159"/>
      <c r="EE82" s="159"/>
      <c r="EF82" s="159"/>
      <c r="EG82" s="159"/>
      <c r="EH82" s="159"/>
      <c r="EI82" s="159"/>
      <c r="EJ82" s="159"/>
      <c r="EK82" s="159"/>
      <c r="EL82" s="159"/>
      <c r="EM82" s="159"/>
      <c r="EN82" s="159"/>
      <c r="EO82" s="159"/>
      <c r="EP82" s="159"/>
      <c r="EQ82" s="159"/>
      <c r="ER82" s="159"/>
      <c r="ES82" s="159"/>
      <c r="ET82" s="159"/>
      <c r="EU82" s="180"/>
      <c r="EV82" s="184"/>
    </row>
    <row r="83" spans="1:152" ht="6.75" customHeight="1" x14ac:dyDescent="0.25">
      <c r="A83" s="184"/>
      <c r="B83" s="179"/>
      <c r="C83" s="159"/>
      <c r="D83" s="159"/>
      <c r="E83" s="159"/>
      <c r="F83" s="159"/>
      <c r="G83" s="159"/>
      <c r="H83" s="159"/>
      <c r="I83" s="159"/>
      <c r="J83" s="159"/>
      <c r="K83" s="159"/>
      <c r="L83" s="159"/>
      <c r="M83" s="159"/>
      <c r="N83" s="159"/>
      <c r="O83" s="159"/>
      <c r="P83" s="159"/>
      <c r="Q83" s="159"/>
      <c r="R83" s="159"/>
      <c r="S83" s="159"/>
      <c r="T83" s="159"/>
      <c r="U83" s="159"/>
      <c r="V83" s="159"/>
      <c r="W83" s="159"/>
      <c r="X83" s="159"/>
      <c r="Y83" s="159"/>
      <c r="Z83" s="159"/>
      <c r="AA83" s="159"/>
      <c r="AB83" s="159"/>
      <c r="AC83" s="159"/>
      <c r="AD83" s="159"/>
      <c r="AE83" s="159"/>
      <c r="AF83" s="159"/>
      <c r="AG83" s="159"/>
      <c r="AH83" s="159"/>
      <c r="AI83" s="159"/>
      <c r="AJ83" s="159"/>
      <c r="AK83" s="159"/>
      <c r="AL83" s="159"/>
      <c r="AM83" s="159"/>
      <c r="AN83" s="159"/>
      <c r="AO83" s="159"/>
      <c r="AP83" s="159"/>
      <c r="AQ83" s="159"/>
      <c r="AR83" s="159"/>
      <c r="AS83" s="159"/>
      <c r="AT83" s="159"/>
      <c r="AU83" s="159"/>
      <c r="AV83" s="159"/>
      <c r="AW83" s="159"/>
      <c r="AX83" s="159"/>
      <c r="AY83" s="159"/>
      <c r="AZ83" s="159"/>
      <c r="BA83" s="159"/>
      <c r="BB83" s="159"/>
      <c r="BC83" s="159"/>
      <c r="BD83" s="159"/>
      <c r="BE83" s="159"/>
      <c r="BF83" s="159"/>
      <c r="BG83" s="159"/>
      <c r="BH83" s="159"/>
      <c r="BI83" s="159"/>
      <c r="BJ83" s="159"/>
      <c r="BK83" s="159"/>
      <c r="BL83" s="159"/>
      <c r="BM83" s="159"/>
      <c r="BN83" s="159"/>
      <c r="BO83" s="159"/>
      <c r="BP83" s="159"/>
      <c r="BQ83" s="159"/>
      <c r="BR83" s="159"/>
      <c r="BS83" s="159"/>
      <c r="BT83" s="159"/>
      <c r="BU83" s="159"/>
      <c r="BV83" s="159"/>
      <c r="BW83" s="180"/>
      <c r="BX83" s="184"/>
      <c r="BY83" s="184"/>
      <c r="BZ83" s="179"/>
      <c r="CA83" s="159"/>
      <c r="CB83" s="159"/>
      <c r="CC83" s="159"/>
      <c r="CD83" s="159"/>
      <c r="CE83" s="159"/>
      <c r="CF83" s="159"/>
      <c r="CG83" s="159"/>
      <c r="CH83" s="159"/>
      <c r="CI83" s="159"/>
      <c r="CJ83" s="159"/>
      <c r="CK83" s="159"/>
      <c r="CL83" s="159"/>
      <c r="CM83" s="159"/>
      <c r="CN83" s="159"/>
      <c r="CO83" s="159"/>
      <c r="CP83" s="159"/>
      <c r="CQ83" s="159"/>
      <c r="CR83" s="159"/>
      <c r="CS83" s="159"/>
      <c r="CT83" s="159"/>
      <c r="CU83" s="159"/>
      <c r="CV83" s="159"/>
      <c r="CW83" s="159"/>
      <c r="CX83" s="159"/>
      <c r="CY83" s="159"/>
      <c r="CZ83" s="159"/>
      <c r="DA83" s="159"/>
      <c r="DB83" s="159"/>
      <c r="DC83" s="159"/>
      <c r="DD83" s="159"/>
      <c r="DE83" s="159"/>
      <c r="DF83" s="159"/>
      <c r="DG83" s="159"/>
      <c r="DH83" s="159"/>
      <c r="DI83" s="159"/>
      <c r="DJ83" s="159"/>
      <c r="DK83" s="159"/>
      <c r="DL83" s="159"/>
      <c r="DM83" s="159"/>
      <c r="DN83" s="159"/>
      <c r="DO83" s="159"/>
      <c r="DP83" s="159"/>
      <c r="DQ83" s="159"/>
      <c r="DR83" s="159"/>
      <c r="DS83" s="159"/>
      <c r="DT83" s="159"/>
      <c r="DU83" s="159"/>
      <c r="DV83" s="159"/>
      <c r="DW83" s="159"/>
      <c r="DX83" s="159"/>
      <c r="DY83" s="159"/>
      <c r="DZ83" s="159"/>
      <c r="EA83" s="159"/>
      <c r="EB83" s="159"/>
      <c r="EC83" s="159"/>
      <c r="ED83" s="159"/>
      <c r="EE83" s="159"/>
      <c r="EF83" s="159"/>
      <c r="EG83" s="159"/>
      <c r="EH83" s="159"/>
      <c r="EI83" s="159"/>
      <c r="EJ83" s="159"/>
      <c r="EK83" s="159"/>
      <c r="EL83" s="159"/>
      <c r="EM83" s="159"/>
      <c r="EN83" s="159"/>
      <c r="EO83" s="159"/>
      <c r="EP83" s="159"/>
      <c r="EQ83" s="159"/>
      <c r="ER83" s="159"/>
      <c r="ES83" s="159"/>
      <c r="ET83" s="159"/>
      <c r="EU83" s="180"/>
      <c r="EV83" s="184"/>
    </row>
    <row r="84" spans="1:152" ht="6.75" customHeight="1" x14ac:dyDescent="0.25">
      <c r="A84" s="184"/>
      <c r="B84" s="179"/>
      <c r="C84" s="159"/>
      <c r="D84" s="159"/>
      <c r="E84" s="159"/>
      <c r="F84" s="159"/>
      <c r="G84" s="159"/>
      <c r="H84" s="159"/>
      <c r="I84" s="159"/>
      <c r="J84" s="159"/>
      <c r="K84" s="159"/>
      <c r="L84" s="159"/>
      <c r="M84" s="159"/>
      <c r="N84" s="159"/>
      <c r="O84" s="159"/>
      <c r="P84" s="159"/>
      <c r="Q84" s="159"/>
      <c r="R84" s="159"/>
      <c r="S84" s="159"/>
      <c r="T84" s="159"/>
      <c r="U84" s="159"/>
      <c r="V84" s="159"/>
      <c r="W84" s="159"/>
      <c r="X84" s="159"/>
      <c r="Y84" s="159"/>
      <c r="Z84" s="159"/>
      <c r="AA84" s="159"/>
      <c r="AB84" s="159"/>
      <c r="AC84" s="159"/>
      <c r="AD84" s="159"/>
      <c r="AE84" s="159"/>
      <c r="AF84" s="159"/>
      <c r="AG84" s="159"/>
      <c r="AH84" s="159"/>
      <c r="AI84" s="159"/>
      <c r="AJ84" s="159"/>
      <c r="AK84" s="159"/>
      <c r="AL84" s="159"/>
      <c r="AM84" s="159"/>
      <c r="AN84" s="159"/>
      <c r="AO84" s="159"/>
      <c r="AP84" s="159"/>
      <c r="AQ84" s="159"/>
      <c r="AR84" s="159"/>
      <c r="AS84" s="159"/>
      <c r="AT84" s="159"/>
      <c r="AU84" s="159"/>
      <c r="AV84" s="159"/>
      <c r="AW84" s="159"/>
      <c r="AX84" s="159"/>
      <c r="AY84" s="159"/>
      <c r="AZ84" s="159"/>
      <c r="BA84" s="159"/>
      <c r="BB84" s="159"/>
      <c r="BC84" s="159"/>
      <c r="BD84" s="159"/>
      <c r="BE84" s="159"/>
      <c r="BF84" s="159"/>
      <c r="BG84" s="159"/>
      <c r="BH84" s="159"/>
      <c r="BI84" s="159"/>
      <c r="BJ84" s="159"/>
      <c r="BK84" s="159"/>
      <c r="BL84" s="159"/>
      <c r="BM84" s="159"/>
      <c r="BN84" s="159"/>
      <c r="BO84" s="159"/>
      <c r="BP84" s="159"/>
      <c r="BQ84" s="159"/>
      <c r="BR84" s="159"/>
      <c r="BS84" s="159"/>
      <c r="BT84" s="159"/>
      <c r="BU84" s="159"/>
      <c r="BV84" s="159"/>
      <c r="BW84" s="180"/>
      <c r="BX84" s="184"/>
      <c r="BY84" s="184"/>
      <c r="BZ84" s="179"/>
      <c r="CA84" s="159"/>
      <c r="CB84" s="159"/>
      <c r="CC84" s="159"/>
      <c r="CD84" s="159"/>
      <c r="CE84" s="159"/>
      <c r="CF84" s="159"/>
      <c r="CG84" s="159"/>
      <c r="CH84" s="159"/>
      <c r="CI84" s="159"/>
      <c r="CJ84" s="159"/>
      <c r="CK84" s="159"/>
      <c r="CL84" s="159"/>
      <c r="CM84" s="159"/>
      <c r="CN84" s="159"/>
      <c r="CO84" s="159"/>
      <c r="CP84" s="159"/>
      <c r="CQ84" s="159"/>
      <c r="CR84" s="159"/>
      <c r="CS84" s="159"/>
      <c r="CT84" s="159"/>
      <c r="CU84" s="159"/>
      <c r="CV84" s="159"/>
      <c r="CW84" s="159"/>
      <c r="CX84" s="159"/>
      <c r="CY84" s="159"/>
      <c r="CZ84" s="159"/>
      <c r="DA84" s="159"/>
      <c r="DB84" s="159"/>
      <c r="DC84" s="159"/>
      <c r="DD84" s="159"/>
      <c r="DE84" s="159"/>
      <c r="DF84" s="159"/>
      <c r="DG84" s="159"/>
      <c r="DH84" s="159"/>
      <c r="DI84" s="159"/>
      <c r="DJ84" s="159"/>
      <c r="DK84" s="159"/>
      <c r="DL84" s="159"/>
      <c r="DM84" s="159"/>
      <c r="DN84" s="159"/>
      <c r="DO84" s="159"/>
      <c r="DP84" s="159"/>
      <c r="DQ84" s="159"/>
      <c r="DR84" s="159"/>
      <c r="DS84" s="159"/>
      <c r="DT84" s="159"/>
      <c r="DU84" s="159"/>
      <c r="DV84" s="159"/>
      <c r="DW84" s="159"/>
      <c r="DX84" s="159"/>
      <c r="DY84" s="159"/>
      <c r="DZ84" s="159"/>
      <c r="EA84" s="159"/>
      <c r="EB84" s="159"/>
      <c r="EC84" s="159"/>
      <c r="ED84" s="159"/>
      <c r="EE84" s="159"/>
      <c r="EF84" s="159"/>
      <c r="EG84" s="159"/>
      <c r="EH84" s="159"/>
      <c r="EI84" s="159"/>
      <c r="EJ84" s="159"/>
      <c r="EK84" s="159"/>
      <c r="EL84" s="159"/>
      <c r="EM84" s="159"/>
      <c r="EN84" s="159"/>
      <c r="EO84" s="159"/>
      <c r="EP84" s="159"/>
      <c r="EQ84" s="159"/>
      <c r="ER84" s="159"/>
      <c r="ES84" s="159"/>
      <c r="ET84" s="159"/>
      <c r="EU84" s="180"/>
      <c r="EV84" s="184"/>
    </row>
    <row r="85" spans="1:152" ht="6.75" customHeight="1" x14ac:dyDescent="0.25">
      <c r="A85" s="184"/>
      <c r="B85" s="179"/>
      <c r="C85" s="159"/>
      <c r="D85" s="159"/>
      <c r="E85" s="159"/>
      <c r="F85" s="159"/>
      <c r="G85" s="159"/>
      <c r="H85" s="159"/>
      <c r="I85" s="159"/>
      <c r="J85" s="159"/>
      <c r="K85" s="159"/>
      <c r="L85" s="159"/>
      <c r="M85" s="159"/>
      <c r="N85" s="159"/>
      <c r="O85" s="159"/>
      <c r="P85" s="159"/>
      <c r="Q85" s="159"/>
      <c r="R85" s="159"/>
      <c r="S85" s="159"/>
      <c r="T85" s="159"/>
      <c r="U85" s="159"/>
      <c r="V85" s="159"/>
      <c r="W85" s="159"/>
      <c r="X85" s="159"/>
      <c r="Y85" s="159"/>
      <c r="Z85" s="159"/>
      <c r="AA85" s="159"/>
      <c r="AB85" s="159"/>
      <c r="AC85" s="159"/>
      <c r="AD85" s="159"/>
      <c r="AE85" s="159"/>
      <c r="AF85" s="159"/>
      <c r="AG85" s="159"/>
      <c r="AH85" s="159"/>
      <c r="AI85" s="159"/>
      <c r="AJ85" s="159"/>
      <c r="AK85" s="159"/>
      <c r="AL85" s="159"/>
      <c r="AM85" s="159"/>
      <c r="AN85" s="159"/>
      <c r="AO85" s="159"/>
      <c r="AP85" s="159"/>
      <c r="AQ85" s="159"/>
      <c r="AR85" s="159"/>
      <c r="AS85" s="159"/>
      <c r="AT85" s="159"/>
      <c r="AU85" s="159"/>
      <c r="AV85" s="159"/>
      <c r="AW85" s="159"/>
      <c r="AX85" s="159"/>
      <c r="AY85" s="159"/>
      <c r="AZ85" s="159"/>
      <c r="BA85" s="159"/>
      <c r="BB85" s="159"/>
      <c r="BC85" s="159"/>
      <c r="BD85" s="159"/>
      <c r="BE85" s="159"/>
      <c r="BF85" s="159"/>
      <c r="BG85" s="159"/>
      <c r="BH85" s="159"/>
      <c r="BI85" s="159"/>
      <c r="BJ85" s="159"/>
      <c r="BK85" s="159"/>
      <c r="BL85" s="159"/>
      <c r="BM85" s="159"/>
      <c r="BN85" s="159"/>
      <c r="BO85" s="159"/>
      <c r="BP85" s="159"/>
      <c r="BQ85" s="159"/>
      <c r="BR85" s="159"/>
      <c r="BS85" s="159"/>
      <c r="BT85" s="159"/>
      <c r="BU85" s="159"/>
      <c r="BV85" s="159"/>
      <c r="BW85" s="180"/>
      <c r="BX85" s="184"/>
      <c r="BY85" s="184"/>
      <c r="BZ85" s="179"/>
      <c r="CA85" s="159"/>
      <c r="CB85" s="159"/>
      <c r="CC85" s="159"/>
      <c r="CD85" s="159"/>
      <c r="CE85" s="159"/>
      <c r="CF85" s="159"/>
      <c r="CG85" s="159"/>
      <c r="CH85" s="159"/>
      <c r="CI85" s="159"/>
      <c r="CJ85" s="159"/>
      <c r="CK85" s="159"/>
      <c r="CL85" s="159"/>
      <c r="CM85" s="159"/>
      <c r="CN85" s="159"/>
      <c r="CO85" s="159"/>
      <c r="CP85" s="159"/>
      <c r="CQ85" s="159"/>
      <c r="CR85" s="159"/>
      <c r="CS85" s="159"/>
      <c r="CT85" s="159"/>
      <c r="CU85" s="159"/>
      <c r="CV85" s="159"/>
      <c r="CW85" s="159"/>
      <c r="CX85" s="159"/>
      <c r="CY85" s="159"/>
      <c r="CZ85" s="159"/>
      <c r="DA85" s="159"/>
      <c r="DB85" s="159"/>
      <c r="DC85" s="159"/>
      <c r="DD85" s="159"/>
      <c r="DE85" s="159"/>
      <c r="DF85" s="159"/>
      <c r="DG85" s="159"/>
      <c r="DH85" s="159"/>
      <c r="DI85" s="159"/>
      <c r="DJ85" s="159"/>
      <c r="DK85" s="159"/>
      <c r="DL85" s="159"/>
      <c r="DM85" s="159"/>
      <c r="DN85" s="159"/>
      <c r="DO85" s="159"/>
      <c r="DP85" s="159"/>
      <c r="DQ85" s="159"/>
      <c r="DR85" s="159"/>
      <c r="DS85" s="159"/>
      <c r="DT85" s="159"/>
      <c r="DU85" s="159"/>
      <c r="DV85" s="159"/>
      <c r="DW85" s="159"/>
      <c r="DX85" s="159"/>
      <c r="DY85" s="159"/>
      <c r="DZ85" s="159"/>
      <c r="EA85" s="159"/>
      <c r="EB85" s="159"/>
      <c r="EC85" s="159"/>
      <c r="ED85" s="159"/>
      <c r="EE85" s="159"/>
      <c r="EF85" s="159"/>
      <c r="EG85" s="159"/>
      <c r="EH85" s="159"/>
      <c r="EI85" s="159"/>
      <c r="EJ85" s="159"/>
      <c r="EK85" s="159"/>
      <c r="EL85" s="159"/>
      <c r="EM85" s="159"/>
      <c r="EN85" s="159"/>
      <c r="EO85" s="159"/>
      <c r="EP85" s="159"/>
      <c r="EQ85" s="159"/>
      <c r="ER85" s="159"/>
      <c r="ES85" s="159"/>
      <c r="ET85" s="159"/>
      <c r="EU85" s="180"/>
      <c r="EV85" s="184"/>
    </row>
    <row r="86" spans="1:152" ht="6.75" customHeight="1" x14ac:dyDescent="0.25">
      <c r="A86" s="184"/>
      <c r="B86" s="179"/>
      <c r="C86" s="159"/>
      <c r="D86" s="159"/>
      <c r="E86" s="159"/>
      <c r="F86" s="159"/>
      <c r="G86" s="159"/>
      <c r="H86" s="159"/>
      <c r="I86" s="159"/>
      <c r="J86" s="159"/>
      <c r="K86" s="159"/>
      <c r="L86" s="159"/>
      <c r="M86" s="159"/>
      <c r="N86" s="159"/>
      <c r="O86" s="159"/>
      <c r="P86" s="159"/>
      <c r="Q86" s="159"/>
      <c r="R86" s="159"/>
      <c r="S86" s="159"/>
      <c r="T86" s="159"/>
      <c r="U86" s="159"/>
      <c r="V86" s="159"/>
      <c r="W86" s="159"/>
      <c r="X86" s="159"/>
      <c r="Y86" s="159"/>
      <c r="Z86" s="159"/>
      <c r="AA86" s="159"/>
      <c r="AB86" s="159"/>
      <c r="AC86" s="159"/>
      <c r="AD86" s="159"/>
      <c r="AE86" s="159"/>
      <c r="AF86" s="159"/>
      <c r="AG86" s="159"/>
      <c r="AH86" s="159"/>
      <c r="AI86" s="159"/>
      <c r="AJ86" s="159"/>
      <c r="AK86" s="159"/>
      <c r="AL86" s="159"/>
      <c r="AM86" s="159"/>
      <c r="AN86" s="159"/>
      <c r="AO86" s="159"/>
      <c r="AP86" s="159"/>
      <c r="AQ86" s="159"/>
      <c r="AR86" s="159"/>
      <c r="AS86" s="159"/>
      <c r="AT86" s="159"/>
      <c r="AU86" s="159"/>
      <c r="AV86" s="159"/>
      <c r="AW86" s="159"/>
      <c r="AX86" s="159"/>
      <c r="AY86" s="159"/>
      <c r="AZ86" s="159"/>
      <c r="BA86" s="159"/>
      <c r="BB86" s="159"/>
      <c r="BC86" s="159"/>
      <c r="BD86" s="159"/>
      <c r="BE86" s="159"/>
      <c r="BF86" s="159"/>
      <c r="BG86" s="159"/>
      <c r="BH86" s="159"/>
      <c r="BI86" s="159"/>
      <c r="BJ86" s="159"/>
      <c r="BK86" s="159"/>
      <c r="BL86" s="159"/>
      <c r="BM86" s="159"/>
      <c r="BN86" s="159"/>
      <c r="BO86" s="159"/>
      <c r="BP86" s="159"/>
      <c r="BQ86" s="159"/>
      <c r="BR86" s="159"/>
      <c r="BS86" s="159"/>
      <c r="BT86" s="159"/>
      <c r="BU86" s="159"/>
      <c r="BV86" s="159"/>
      <c r="BW86" s="180"/>
      <c r="BX86" s="184"/>
      <c r="BY86" s="184"/>
      <c r="BZ86" s="179"/>
      <c r="CA86" s="159"/>
      <c r="CB86" s="159"/>
      <c r="CC86" s="159"/>
      <c r="CD86" s="159"/>
      <c r="CE86" s="159"/>
      <c r="CF86" s="159"/>
      <c r="CG86" s="159"/>
      <c r="CH86" s="159"/>
      <c r="CI86" s="159"/>
      <c r="CJ86" s="159"/>
      <c r="CK86" s="159"/>
      <c r="CL86" s="159"/>
      <c r="CM86" s="159"/>
      <c r="CN86" s="159"/>
      <c r="CO86" s="159"/>
      <c r="CP86" s="159"/>
      <c r="CQ86" s="159"/>
      <c r="CR86" s="159"/>
      <c r="CS86" s="159"/>
      <c r="CT86" s="159"/>
      <c r="CU86" s="159"/>
      <c r="CV86" s="159"/>
      <c r="CW86" s="159"/>
      <c r="CX86" s="159"/>
      <c r="CY86" s="159"/>
      <c r="CZ86" s="159"/>
      <c r="DA86" s="159"/>
      <c r="DB86" s="159"/>
      <c r="DC86" s="159"/>
      <c r="DD86" s="159"/>
      <c r="DE86" s="159"/>
      <c r="DF86" s="159"/>
      <c r="DG86" s="159"/>
      <c r="DH86" s="159"/>
      <c r="DI86" s="159"/>
      <c r="DJ86" s="159"/>
      <c r="DK86" s="159"/>
      <c r="DL86" s="159"/>
      <c r="DM86" s="159"/>
      <c r="DN86" s="159"/>
      <c r="DO86" s="159"/>
      <c r="DP86" s="159"/>
      <c r="DQ86" s="159"/>
      <c r="DR86" s="159"/>
      <c r="DS86" s="159"/>
      <c r="DT86" s="159"/>
      <c r="DU86" s="159"/>
      <c r="DV86" s="159"/>
      <c r="DW86" s="159"/>
      <c r="DX86" s="159"/>
      <c r="DY86" s="159"/>
      <c r="DZ86" s="159"/>
      <c r="EA86" s="159"/>
      <c r="EB86" s="159"/>
      <c r="EC86" s="159"/>
      <c r="ED86" s="159"/>
      <c r="EE86" s="159"/>
      <c r="EF86" s="159"/>
      <c r="EG86" s="159"/>
      <c r="EH86" s="159"/>
      <c r="EI86" s="159"/>
      <c r="EJ86" s="159"/>
      <c r="EK86" s="159"/>
      <c r="EL86" s="159"/>
      <c r="EM86" s="159"/>
      <c r="EN86" s="159"/>
      <c r="EO86" s="159"/>
      <c r="EP86" s="159"/>
      <c r="EQ86" s="159"/>
      <c r="ER86" s="159"/>
      <c r="ES86" s="159"/>
      <c r="ET86" s="159"/>
      <c r="EU86" s="180"/>
      <c r="EV86" s="184"/>
    </row>
    <row r="87" spans="1:152" ht="6.75" customHeight="1" x14ac:dyDescent="0.25">
      <c r="A87" s="184"/>
      <c r="B87" s="179"/>
      <c r="C87" s="159"/>
      <c r="D87" s="159"/>
      <c r="E87" s="159"/>
      <c r="F87" s="159"/>
      <c r="G87" s="159"/>
      <c r="H87" s="159"/>
      <c r="I87" s="159"/>
      <c r="J87" s="159"/>
      <c r="K87" s="159"/>
      <c r="L87" s="159"/>
      <c r="M87" s="159"/>
      <c r="N87" s="159"/>
      <c r="O87" s="159"/>
      <c r="P87" s="159"/>
      <c r="Q87" s="159"/>
      <c r="R87" s="159"/>
      <c r="S87" s="159"/>
      <c r="T87" s="159"/>
      <c r="U87" s="159"/>
      <c r="V87" s="159"/>
      <c r="W87" s="159"/>
      <c r="X87" s="159"/>
      <c r="Y87" s="159"/>
      <c r="Z87" s="159"/>
      <c r="AA87" s="159"/>
      <c r="AB87" s="159"/>
      <c r="AC87" s="159"/>
      <c r="AD87" s="159"/>
      <c r="AE87" s="159"/>
      <c r="AF87" s="159"/>
      <c r="AG87" s="159"/>
      <c r="AH87" s="159"/>
      <c r="AI87" s="159"/>
      <c r="AJ87" s="159"/>
      <c r="AK87" s="159"/>
      <c r="AL87" s="159"/>
      <c r="AM87" s="159"/>
      <c r="AN87" s="159"/>
      <c r="AO87" s="159"/>
      <c r="AP87" s="159"/>
      <c r="AQ87" s="159"/>
      <c r="AR87" s="159"/>
      <c r="AS87" s="159"/>
      <c r="AT87" s="159"/>
      <c r="AU87" s="159"/>
      <c r="AV87" s="159"/>
      <c r="AW87" s="159"/>
      <c r="AX87" s="159"/>
      <c r="AY87" s="159"/>
      <c r="AZ87" s="159"/>
      <c r="BA87" s="159"/>
      <c r="BB87" s="159"/>
      <c r="BC87" s="159"/>
      <c r="BD87" s="159"/>
      <c r="BE87" s="159"/>
      <c r="BF87" s="159"/>
      <c r="BG87" s="159"/>
      <c r="BH87" s="159"/>
      <c r="BI87" s="159"/>
      <c r="BJ87" s="159"/>
      <c r="BK87" s="159"/>
      <c r="BL87" s="159"/>
      <c r="BM87" s="159"/>
      <c r="BN87" s="159"/>
      <c r="BO87" s="159"/>
      <c r="BP87" s="159"/>
      <c r="BQ87" s="159"/>
      <c r="BR87" s="159"/>
      <c r="BS87" s="159"/>
      <c r="BT87" s="159"/>
      <c r="BU87" s="159"/>
      <c r="BV87" s="159"/>
      <c r="BW87" s="180"/>
      <c r="BX87" s="184"/>
      <c r="BY87" s="184"/>
      <c r="BZ87" s="179"/>
      <c r="CA87" s="159"/>
      <c r="CB87" s="159"/>
      <c r="CC87" s="159"/>
      <c r="CD87" s="159"/>
      <c r="CE87" s="159"/>
      <c r="CF87" s="159"/>
      <c r="CG87" s="159"/>
      <c r="CH87" s="159"/>
      <c r="CI87" s="159"/>
      <c r="CJ87" s="159"/>
      <c r="CK87" s="159"/>
      <c r="CL87" s="159"/>
      <c r="CM87" s="159"/>
      <c r="CN87" s="159"/>
      <c r="CO87" s="159"/>
      <c r="CP87" s="159"/>
      <c r="CQ87" s="159"/>
      <c r="CR87" s="159"/>
      <c r="CS87" s="159"/>
      <c r="CT87" s="159"/>
      <c r="CU87" s="159"/>
      <c r="CV87" s="159"/>
      <c r="CW87" s="159"/>
      <c r="CX87" s="159"/>
      <c r="CY87" s="159"/>
      <c r="CZ87" s="159"/>
      <c r="DA87" s="159"/>
      <c r="DB87" s="159"/>
      <c r="DC87" s="159"/>
      <c r="DD87" s="159"/>
      <c r="DE87" s="159"/>
      <c r="DF87" s="159"/>
      <c r="DG87" s="159"/>
      <c r="DH87" s="159"/>
      <c r="DI87" s="159"/>
      <c r="DJ87" s="159"/>
      <c r="DK87" s="159"/>
      <c r="DL87" s="159"/>
      <c r="DM87" s="159"/>
      <c r="DN87" s="159"/>
      <c r="DO87" s="159"/>
      <c r="DP87" s="159"/>
      <c r="DQ87" s="159"/>
      <c r="DR87" s="159"/>
      <c r="DS87" s="159"/>
      <c r="DT87" s="159"/>
      <c r="DU87" s="159"/>
      <c r="DV87" s="159"/>
      <c r="DW87" s="159"/>
      <c r="DX87" s="159"/>
      <c r="DY87" s="159"/>
      <c r="DZ87" s="159"/>
      <c r="EA87" s="159"/>
      <c r="EB87" s="159"/>
      <c r="EC87" s="159"/>
      <c r="ED87" s="159"/>
      <c r="EE87" s="159"/>
      <c r="EF87" s="159"/>
      <c r="EG87" s="159"/>
      <c r="EH87" s="159"/>
      <c r="EI87" s="159"/>
      <c r="EJ87" s="159"/>
      <c r="EK87" s="159"/>
      <c r="EL87" s="159"/>
      <c r="EM87" s="159"/>
      <c r="EN87" s="159"/>
      <c r="EO87" s="159"/>
      <c r="EP87" s="159"/>
      <c r="EQ87" s="159"/>
      <c r="ER87" s="159"/>
      <c r="ES87" s="159"/>
      <c r="ET87" s="159"/>
      <c r="EU87" s="180"/>
      <c r="EV87" s="184"/>
    </row>
    <row r="88" spans="1:152" ht="6.75" customHeight="1" x14ac:dyDescent="0.25">
      <c r="A88" s="184"/>
      <c r="B88" s="179"/>
      <c r="C88" s="159"/>
      <c r="D88" s="159"/>
      <c r="E88" s="159"/>
      <c r="F88" s="159"/>
      <c r="G88" s="159"/>
      <c r="H88" s="159"/>
      <c r="I88" s="159"/>
      <c r="J88" s="159"/>
      <c r="K88" s="159"/>
      <c r="L88" s="159"/>
      <c r="M88" s="159"/>
      <c r="N88" s="159"/>
      <c r="O88" s="159"/>
      <c r="P88" s="159"/>
      <c r="Q88" s="159"/>
      <c r="R88" s="159"/>
      <c r="S88" s="159"/>
      <c r="T88" s="159"/>
      <c r="U88" s="159"/>
      <c r="V88" s="159"/>
      <c r="W88" s="159"/>
      <c r="X88" s="159"/>
      <c r="Y88" s="159"/>
      <c r="Z88" s="159"/>
      <c r="AA88" s="159"/>
      <c r="AB88" s="159"/>
      <c r="AC88" s="159"/>
      <c r="AD88" s="159"/>
      <c r="AE88" s="159"/>
      <c r="AF88" s="159"/>
      <c r="AG88" s="159"/>
      <c r="AH88" s="159"/>
      <c r="AI88" s="159"/>
      <c r="AJ88" s="159"/>
      <c r="AK88" s="159"/>
      <c r="AL88" s="159"/>
      <c r="AM88" s="159"/>
      <c r="AN88" s="159"/>
      <c r="AO88" s="159"/>
      <c r="AP88" s="159"/>
      <c r="AQ88" s="159"/>
      <c r="AR88" s="159"/>
      <c r="AS88" s="159"/>
      <c r="AT88" s="159"/>
      <c r="AU88" s="159"/>
      <c r="AV88" s="159"/>
      <c r="AW88" s="159"/>
      <c r="AX88" s="159"/>
      <c r="AY88" s="159"/>
      <c r="AZ88" s="159"/>
      <c r="BA88" s="159"/>
      <c r="BB88" s="159"/>
      <c r="BC88" s="159"/>
      <c r="BD88" s="159"/>
      <c r="BE88" s="159"/>
      <c r="BF88" s="159"/>
      <c r="BG88" s="159"/>
      <c r="BH88" s="159"/>
      <c r="BI88" s="159"/>
      <c r="BJ88" s="159"/>
      <c r="BK88" s="159"/>
      <c r="BL88" s="159"/>
      <c r="BM88" s="159"/>
      <c r="BN88" s="159"/>
      <c r="BO88" s="159"/>
      <c r="BP88" s="159"/>
      <c r="BQ88" s="159"/>
      <c r="BR88" s="159"/>
      <c r="BS88" s="159"/>
      <c r="BT88" s="159"/>
      <c r="BU88" s="159"/>
      <c r="BV88" s="159"/>
      <c r="BW88" s="180"/>
      <c r="BX88" s="184"/>
      <c r="BY88" s="184"/>
      <c r="BZ88" s="179"/>
      <c r="CA88" s="159"/>
      <c r="CB88" s="159"/>
      <c r="CC88" s="159"/>
      <c r="CD88" s="159"/>
      <c r="CE88" s="159"/>
      <c r="CF88" s="159"/>
      <c r="CG88" s="159"/>
      <c r="CH88" s="159"/>
      <c r="CI88" s="159"/>
      <c r="CJ88" s="159"/>
      <c r="CK88" s="159"/>
      <c r="CL88" s="159"/>
      <c r="CM88" s="159"/>
      <c r="CN88" s="159"/>
      <c r="CO88" s="159"/>
      <c r="CP88" s="159"/>
      <c r="CQ88" s="159"/>
      <c r="CR88" s="159"/>
      <c r="CS88" s="159"/>
      <c r="CT88" s="159"/>
      <c r="CU88" s="159"/>
      <c r="CV88" s="159"/>
      <c r="CW88" s="159"/>
      <c r="CX88" s="159"/>
      <c r="CY88" s="159"/>
      <c r="CZ88" s="159"/>
      <c r="DA88" s="159"/>
      <c r="DB88" s="159"/>
      <c r="DC88" s="159"/>
      <c r="DD88" s="159"/>
      <c r="DE88" s="159"/>
      <c r="DF88" s="159"/>
      <c r="DG88" s="159"/>
      <c r="DH88" s="159"/>
      <c r="DI88" s="159"/>
      <c r="DJ88" s="159"/>
      <c r="DK88" s="159"/>
      <c r="DL88" s="159"/>
      <c r="DM88" s="159"/>
      <c r="DN88" s="159"/>
      <c r="DO88" s="159"/>
      <c r="DP88" s="159"/>
      <c r="DQ88" s="159"/>
      <c r="DR88" s="159"/>
      <c r="DS88" s="159"/>
      <c r="DT88" s="159"/>
      <c r="DU88" s="159"/>
      <c r="DV88" s="159"/>
      <c r="DW88" s="159"/>
      <c r="DX88" s="159"/>
      <c r="DY88" s="159"/>
      <c r="DZ88" s="159"/>
      <c r="EA88" s="159"/>
      <c r="EB88" s="159"/>
      <c r="EC88" s="159"/>
      <c r="ED88" s="159"/>
      <c r="EE88" s="159"/>
      <c r="EF88" s="159"/>
      <c r="EG88" s="159"/>
      <c r="EH88" s="159"/>
      <c r="EI88" s="159"/>
      <c r="EJ88" s="159"/>
      <c r="EK88" s="159"/>
      <c r="EL88" s="159"/>
      <c r="EM88" s="159"/>
      <c r="EN88" s="159"/>
      <c r="EO88" s="159"/>
      <c r="EP88" s="159"/>
      <c r="EQ88" s="159"/>
      <c r="ER88" s="159"/>
      <c r="ES88" s="159"/>
      <c r="ET88" s="159"/>
      <c r="EU88" s="180"/>
      <c r="EV88" s="184"/>
    </row>
    <row r="89" spans="1:152" ht="6.75" customHeight="1" x14ac:dyDescent="0.25">
      <c r="A89" s="184"/>
      <c r="B89" s="179"/>
      <c r="C89" s="159"/>
      <c r="D89" s="159"/>
      <c r="E89" s="159"/>
      <c r="F89" s="159"/>
      <c r="G89" s="159"/>
      <c r="H89" s="159"/>
      <c r="I89" s="159"/>
      <c r="J89" s="159"/>
      <c r="K89" s="159"/>
      <c r="L89" s="159"/>
      <c r="M89" s="159"/>
      <c r="N89" s="159"/>
      <c r="O89" s="159"/>
      <c r="P89" s="159"/>
      <c r="Q89" s="159"/>
      <c r="R89" s="159"/>
      <c r="S89" s="159"/>
      <c r="T89" s="159"/>
      <c r="U89" s="159"/>
      <c r="V89" s="159"/>
      <c r="W89" s="159"/>
      <c r="X89" s="159"/>
      <c r="Y89" s="159"/>
      <c r="Z89" s="159"/>
      <c r="AA89" s="159"/>
      <c r="AB89" s="159"/>
      <c r="AC89" s="159"/>
      <c r="AD89" s="159"/>
      <c r="AE89" s="159"/>
      <c r="AF89" s="159"/>
      <c r="AG89" s="159"/>
      <c r="AH89" s="159"/>
      <c r="AI89" s="159"/>
      <c r="AJ89" s="159"/>
      <c r="AK89" s="159"/>
      <c r="AL89" s="159"/>
      <c r="AM89" s="159"/>
      <c r="AN89" s="159"/>
      <c r="AO89" s="159"/>
      <c r="AP89" s="159"/>
      <c r="AQ89" s="159"/>
      <c r="AR89" s="159"/>
      <c r="AS89" s="159"/>
      <c r="AT89" s="159"/>
      <c r="AU89" s="159"/>
      <c r="AV89" s="159"/>
      <c r="AW89" s="159"/>
      <c r="AX89" s="159"/>
      <c r="AY89" s="159"/>
      <c r="AZ89" s="159"/>
      <c r="BA89" s="159"/>
      <c r="BB89" s="159"/>
      <c r="BC89" s="159"/>
      <c r="BD89" s="159"/>
      <c r="BE89" s="159"/>
      <c r="BF89" s="159"/>
      <c r="BG89" s="159"/>
      <c r="BH89" s="159"/>
      <c r="BI89" s="159"/>
      <c r="BJ89" s="159"/>
      <c r="BK89" s="159"/>
      <c r="BL89" s="159"/>
      <c r="BM89" s="159"/>
      <c r="BN89" s="159"/>
      <c r="BO89" s="159"/>
      <c r="BP89" s="159"/>
      <c r="BQ89" s="159"/>
      <c r="BR89" s="159"/>
      <c r="BS89" s="159"/>
      <c r="BT89" s="159"/>
      <c r="BU89" s="159"/>
      <c r="BV89" s="159"/>
      <c r="BW89" s="180"/>
      <c r="BX89" s="184"/>
      <c r="BY89" s="184"/>
      <c r="BZ89" s="179"/>
      <c r="CA89" s="159"/>
      <c r="CB89" s="159"/>
      <c r="CC89" s="159"/>
      <c r="CD89" s="159"/>
      <c r="CE89" s="159"/>
      <c r="CF89" s="159"/>
      <c r="CG89" s="159"/>
      <c r="CH89" s="159"/>
      <c r="CI89" s="159"/>
      <c r="CJ89" s="159"/>
      <c r="CK89" s="159"/>
      <c r="CL89" s="159"/>
      <c r="CM89" s="159"/>
      <c r="CN89" s="159"/>
      <c r="CO89" s="159"/>
      <c r="CP89" s="159"/>
      <c r="CQ89" s="159"/>
      <c r="CR89" s="159"/>
      <c r="CS89" s="159"/>
      <c r="CT89" s="159"/>
      <c r="CU89" s="159"/>
      <c r="CV89" s="159"/>
      <c r="CW89" s="159"/>
      <c r="CX89" s="159"/>
      <c r="CY89" s="159"/>
      <c r="CZ89" s="159"/>
      <c r="DA89" s="159"/>
      <c r="DB89" s="159"/>
      <c r="DC89" s="159"/>
      <c r="DD89" s="159"/>
      <c r="DE89" s="159"/>
      <c r="DF89" s="159"/>
      <c r="DG89" s="159"/>
      <c r="DH89" s="159"/>
      <c r="DI89" s="159"/>
      <c r="DJ89" s="159"/>
      <c r="DK89" s="159"/>
      <c r="DL89" s="159"/>
      <c r="DM89" s="159"/>
      <c r="DN89" s="159"/>
      <c r="DO89" s="159"/>
      <c r="DP89" s="159"/>
      <c r="DQ89" s="159"/>
      <c r="DR89" s="159"/>
      <c r="DS89" s="159"/>
      <c r="DT89" s="159"/>
      <c r="DU89" s="159"/>
      <c r="DV89" s="159"/>
      <c r="DW89" s="159"/>
      <c r="DX89" s="159"/>
      <c r="DY89" s="159"/>
      <c r="DZ89" s="159"/>
      <c r="EA89" s="159"/>
      <c r="EB89" s="159"/>
      <c r="EC89" s="159"/>
      <c r="ED89" s="159"/>
      <c r="EE89" s="159"/>
      <c r="EF89" s="159"/>
      <c r="EG89" s="159"/>
      <c r="EH89" s="159"/>
      <c r="EI89" s="159"/>
      <c r="EJ89" s="159"/>
      <c r="EK89" s="159"/>
      <c r="EL89" s="159"/>
      <c r="EM89" s="159"/>
      <c r="EN89" s="159"/>
      <c r="EO89" s="159"/>
      <c r="EP89" s="159"/>
      <c r="EQ89" s="159"/>
      <c r="ER89" s="159"/>
      <c r="ES89" s="159"/>
      <c r="ET89" s="159"/>
      <c r="EU89" s="180"/>
      <c r="EV89" s="184"/>
    </row>
    <row r="90" spans="1:152" ht="6.75" customHeight="1" x14ac:dyDescent="0.25">
      <c r="A90" s="184"/>
      <c r="B90" s="179"/>
      <c r="C90" s="159"/>
      <c r="D90" s="159"/>
      <c r="E90" s="159"/>
      <c r="F90" s="159"/>
      <c r="G90" s="159"/>
      <c r="H90" s="159"/>
      <c r="I90" s="159"/>
      <c r="J90" s="159"/>
      <c r="K90" s="159"/>
      <c r="L90" s="159"/>
      <c r="M90" s="159"/>
      <c r="N90" s="159"/>
      <c r="O90" s="159"/>
      <c r="P90" s="159"/>
      <c r="Q90" s="159"/>
      <c r="R90" s="159"/>
      <c r="S90" s="159"/>
      <c r="T90" s="159"/>
      <c r="U90" s="159"/>
      <c r="V90" s="159"/>
      <c r="W90" s="159"/>
      <c r="X90" s="159"/>
      <c r="Y90" s="159"/>
      <c r="Z90" s="159"/>
      <c r="AA90" s="159"/>
      <c r="AB90" s="159"/>
      <c r="AC90" s="159"/>
      <c r="AD90" s="159"/>
      <c r="AE90" s="159"/>
      <c r="AF90" s="159"/>
      <c r="AG90" s="159"/>
      <c r="AH90" s="159"/>
      <c r="AI90" s="159"/>
      <c r="AJ90" s="159"/>
      <c r="AK90" s="159"/>
      <c r="AL90" s="159"/>
      <c r="AM90" s="159"/>
      <c r="AN90" s="159"/>
      <c r="AO90" s="159"/>
      <c r="AP90" s="159"/>
      <c r="AQ90" s="159"/>
      <c r="AR90" s="159"/>
      <c r="AS90" s="159"/>
      <c r="AT90" s="159"/>
      <c r="AU90" s="159"/>
      <c r="AV90" s="159"/>
      <c r="AW90" s="159"/>
      <c r="AX90" s="159"/>
      <c r="AY90" s="159"/>
      <c r="AZ90" s="159"/>
      <c r="BA90" s="159"/>
      <c r="BB90" s="159"/>
      <c r="BC90" s="159"/>
      <c r="BD90" s="159"/>
      <c r="BE90" s="159"/>
      <c r="BF90" s="159"/>
      <c r="BG90" s="159"/>
      <c r="BH90" s="159"/>
      <c r="BI90" s="159"/>
      <c r="BJ90" s="159"/>
      <c r="BK90" s="159"/>
      <c r="BL90" s="159"/>
      <c r="BM90" s="159"/>
      <c r="BN90" s="159"/>
      <c r="BO90" s="159"/>
      <c r="BP90" s="159"/>
      <c r="BQ90" s="159"/>
      <c r="BR90" s="159"/>
      <c r="BS90" s="159"/>
      <c r="BT90" s="159"/>
      <c r="BU90" s="159"/>
      <c r="BV90" s="159"/>
      <c r="BW90" s="180"/>
      <c r="BX90" s="184"/>
      <c r="BY90" s="184"/>
      <c r="BZ90" s="179"/>
      <c r="CA90" s="159"/>
      <c r="CB90" s="159"/>
      <c r="CC90" s="159"/>
      <c r="CD90" s="159"/>
      <c r="CE90" s="159"/>
      <c r="CF90" s="159"/>
      <c r="CG90" s="159"/>
      <c r="CH90" s="159"/>
      <c r="CI90" s="159"/>
      <c r="CJ90" s="159"/>
      <c r="CK90" s="159"/>
      <c r="CL90" s="159"/>
      <c r="CM90" s="159"/>
      <c r="CN90" s="159"/>
      <c r="CO90" s="159"/>
      <c r="CP90" s="159"/>
      <c r="CQ90" s="159"/>
      <c r="CR90" s="159"/>
      <c r="CS90" s="159"/>
      <c r="CT90" s="159"/>
      <c r="CU90" s="159"/>
      <c r="CV90" s="159"/>
      <c r="CW90" s="159"/>
      <c r="CX90" s="159"/>
      <c r="CY90" s="159"/>
      <c r="CZ90" s="159"/>
      <c r="DA90" s="159"/>
      <c r="DB90" s="159"/>
      <c r="DC90" s="159"/>
      <c r="DD90" s="159"/>
      <c r="DE90" s="159"/>
      <c r="DF90" s="159"/>
      <c r="DG90" s="159"/>
      <c r="DH90" s="159"/>
      <c r="DI90" s="159"/>
      <c r="DJ90" s="159"/>
      <c r="DK90" s="159"/>
      <c r="DL90" s="159"/>
      <c r="DM90" s="159"/>
      <c r="DN90" s="159"/>
      <c r="DO90" s="159"/>
      <c r="DP90" s="159"/>
      <c r="DQ90" s="159"/>
      <c r="DR90" s="159"/>
      <c r="DS90" s="159"/>
      <c r="DT90" s="159"/>
      <c r="DU90" s="159"/>
      <c r="DV90" s="159"/>
      <c r="DW90" s="159"/>
      <c r="DX90" s="159"/>
      <c r="DY90" s="159"/>
      <c r="DZ90" s="159"/>
      <c r="EA90" s="159"/>
      <c r="EB90" s="159"/>
      <c r="EC90" s="159"/>
      <c r="ED90" s="159"/>
      <c r="EE90" s="159"/>
      <c r="EF90" s="159"/>
      <c r="EG90" s="159"/>
      <c r="EH90" s="159"/>
      <c r="EI90" s="159"/>
      <c r="EJ90" s="159"/>
      <c r="EK90" s="159"/>
      <c r="EL90" s="159"/>
      <c r="EM90" s="159"/>
      <c r="EN90" s="159"/>
      <c r="EO90" s="159"/>
      <c r="EP90" s="159"/>
      <c r="EQ90" s="159"/>
      <c r="ER90" s="159"/>
      <c r="ES90" s="159"/>
      <c r="ET90" s="159"/>
      <c r="EU90" s="180"/>
      <c r="EV90" s="184"/>
    </row>
    <row r="91" spans="1:152" ht="6.75" customHeight="1" x14ac:dyDescent="0.25">
      <c r="A91" s="184"/>
      <c r="B91" s="179"/>
      <c r="C91" s="159"/>
      <c r="D91" s="159"/>
      <c r="E91" s="159"/>
      <c r="F91" s="159"/>
      <c r="G91" s="159"/>
      <c r="H91" s="159"/>
      <c r="I91" s="159"/>
      <c r="J91" s="159"/>
      <c r="K91" s="159"/>
      <c r="L91" s="159"/>
      <c r="M91" s="159"/>
      <c r="N91" s="159"/>
      <c r="O91" s="159"/>
      <c r="P91" s="159"/>
      <c r="Q91" s="159"/>
      <c r="R91" s="159"/>
      <c r="S91" s="159"/>
      <c r="T91" s="159"/>
      <c r="U91" s="159"/>
      <c r="V91" s="159"/>
      <c r="W91" s="159"/>
      <c r="X91" s="159"/>
      <c r="Y91" s="159"/>
      <c r="Z91" s="159"/>
      <c r="AA91" s="159"/>
      <c r="AB91" s="159"/>
      <c r="AC91" s="159"/>
      <c r="AD91" s="159"/>
      <c r="AE91" s="159"/>
      <c r="AF91" s="159"/>
      <c r="AG91" s="159"/>
      <c r="AH91" s="159"/>
      <c r="AI91" s="159"/>
      <c r="AJ91" s="159"/>
      <c r="AK91" s="159"/>
      <c r="AL91" s="159"/>
      <c r="AM91" s="159"/>
      <c r="AN91" s="159"/>
      <c r="AO91" s="159"/>
      <c r="AP91" s="159"/>
      <c r="AQ91" s="159"/>
      <c r="AR91" s="159"/>
      <c r="AS91" s="159"/>
      <c r="AT91" s="159"/>
      <c r="AU91" s="159"/>
      <c r="AV91" s="159"/>
      <c r="AW91" s="159"/>
      <c r="AX91" s="159"/>
      <c r="AY91" s="159"/>
      <c r="AZ91" s="159"/>
      <c r="BA91" s="159"/>
      <c r="BB91" s="159"/>
      <c r="BC91" s="159"/>
      <c r="BD91" s="159"/>
      <c r="BE91" s="159"/>
      <c r="BF91" s="159"/>
      <c r="BG91" s="159"/>
      <c r="BH91" s="159"/>
      <c r="BI91" s="159"/>
      <c r="BJ91" s="159"/>
      <c r="BK91" s="159"/>
      <c r="BL91" s="159"/>
      <c r="BM91" s="159"/>
      <c r="BN91" s="159"/>
      <c r="BO91" s="159"/>
      <c r="BP91" s="159"/>
      <c r="BQ91" s="159"/>
      <c r="BR91" s="159"/>
      <c r="BS91" s="159"/>
      <c r="BT91" s="159"/>
      <c r="BU91" s="159"/>
      <c r="BV91" s="159"/>
      <c r="BW91" s="180"/>
      <c r="BX91" s="184"/>
      <c r="BY91" s="184"/>
      <c r="BZ91" s="179"/>
      <c r="CA91" s="159"/>
      <c r="CB91" s="159"/>
      <c r="CC91" s="159"/>
      <c r="CD91" s="159"/>
      <c r="CE91" s="159"/>
      <c r="CF91" s="159"/>
      <c r="CG91" s="159"/>
      <c r="CH91" s="159"/>
      <c r="CI91" s="159"/>
      <c r="CJ91" s="159"/>
      <c r="CK91" s="159"/>
      <c r="CL91" s="159"/>
      <c r="CM91" s="159"/>
      <c r="CN91" s="159"/>
      <c r="CO91" s="159"/>
      <c r="CP91" s="159"/>
      <c r="CQ91" s="159"/>
      <c r="CR91" s="159"/>
      <c r="CS91" s="159"/>
      <c r="CT91" s="159"/>
      <c r="CU91" s="159"/>
      <c r="CV91" s="159"/>
      <c r="CW91" s="159"/>
      <c r="CX91" s="159"/>
      <c r="CY91" s="159"/>
      <c r="CZ91" s="159"/>
      <c r="DA91" s="159"/>
      <c r="DB91" s="159"/>
      <c r="DC91" s="159"/>
      <c r="DD91" s="159"/>
      <c r="DE91" s="159"/>
      <c r="DF91" s="159"/>
      <c r="DG91" s="159"/>
      <c r="DH91" s="159"/>
      <c r="DI91" s="159"/>
      <c r="DJ91" s="159"/>
      <c r="DK91" s="159"/>
      <c r="DL91" s="159"/>
      <c r="DM91" s="159"/>
      <c r="DN91" s="159"/>
      <c r="DO91" s="159"/>
      <c r="DP91" s="159"/>
      <c r="DQ91" s="159"/>
      <c r="DR91" s="159"/>
      <c r="DS91" s="159"/>
      <c r="DT91" s="159"/>
      <c r="DU91" s="159"/>
      <c r="DV91" s="159"/>
      <c r="DW91" s="159"/>
      <c r="DX91" s="159"/>
      <c r="DY91" s="159"/>
      <c r="DZ91" s="159"/>
      <c r="EA91" s="159"/>
      <c r="EB91" s="159"/>
      <c r="EC91" s="159"/>
      <c r="ED91" s="159"/>
      <c r="EE91" s="159"/>
      <c r="EF91" s="159"/>
      <c r="EG91" s="159"/>
      <c r="EH91" s="159"/>
      <c r="EI91" s="159"/>
      <c r="EJ91" s="159"/>
      <c r="EK91" s="159"/>
      <c r="EL91" s="159"/>
      <c r="EM91" s="159"/>
      <c r="EN91" s="159"/>
      <c r="EO91" s="159"/>
      <c r="EP91" s="159"/>
      <c r="EQ91" s="159"/>
      <c r="ER91" s="159"/>
      <c r="ES91" s="159"/>
      <c r="ET91" s="159"/>
      <c r="EU91" s="180"/>
      <c r="EV91" s="184"/>
    </row>
    <row r="92" spans="1:152" ht="6.75" customHeight="1" x14ac:dyDescent="0.25">
      <c r="A92" s="184"/>
      <c r="B92" s="179"/>
      <c r="C92" s="159"/>
      <c r="D92" s="159"/>
      <c r="E92" s="159"/>
      <c r="F92" s="159"/>
      <c r="G92" s="159"/>
      <c r="H92" s="159"/>
      <c r="I92" s="159"/>
      <c r="J92" s="159"/>
      <c r="K92" s="159"/>
      <c r="L92" s="159"/>
      <c r="M92" s="159"/>
      <c r="N92" s="159"/>
      <c r="O92" s="159"/>
      <c r="P92" s="159"/>
      <c r="Q92" s="159"/>
      <c r="R92" s="159"/>
      <c r="S92" s="159"/>
      <c r="T92" s="159"/>
      <c r="U92" s="159"/>
      <c r="V92" s="159"/>
      <c r="W92" s="159"/>
      <c r="X92" s="159"/>
      <c r="Y92" s="159"/>
      <c r="Z92" s="159"/>
      <c r="AA92" s="159"/>
      <c r="AB92" s="159"/>
      <c r="AC92" s="159"/>
      <c r="AD92" s="159"/>
      <c r="AE92" s="159"/>
      <c r="AF92" s="159"/>
      <c r="AG92" s="159"/>
      <c r="AH92" s="159"/>
      <c r="AI92" s="159"/>
      <c r="AJ92" s="159"/>
      <c r="AK92" s="159"/>
      <c r="AL92" s="159"/>
      <c r="AM92" s="159"/>
      <c r="AN92" s="159"/>
      <c r="AO92" s="159"/>
      <c r="AP92" s="159"/>
      <c r="AQ92" s="159"/>
      <c r="AR92" s="159"/>
      <c r="AS92" s="159"/>
      <c r="AT92" s="159"/>
      <c r="AU92" s="159"/>
      <c r="AV92" s="159"/>
      <c r="AW92" s="159"/>
      <c r="AX92" s="159"/>
      <c r="AY92" s="159"/>
      <c r="AZ92" s="159"/>
      <c r="BA92" s="159"/>
      <c r="BB92" s="159"/>
      <c r="BC92" s="159"/>
      <c r="BD92" s="159"/>
      <c r="BE92" s="159"/>
      <c r="BF92" s="159"/>
      <c r="BG92" s="159"/>
      <c r="BH92" s="159"/>
      <c r="BI92" s="159"/>
      <c r="BJ92" s="159"/>
      <c r="BK92" s="159"/>
      <c r="BL92" s="159"/>
      <c r="BM92" s="159"/>
      <c r="BN92" s="159"/>
      <c r="BO92" s="159"/>
      <c r="BP92" s="159"/>
      <c r="BQ92" s="159"/>
      <c r="BR92" s="159"/>
      <c r="BS92" s="159"/>
      <c r="BT92" s="159"/>
      <c r="BU92" s="159"/>
      <c r="BV92" s="159"/>
      <c r="BW92" s="180"/>
      <c r="BX92" s="184"/>
      <c r="BY92" s="184"/>
      <c r="BZ92" s="179"/>
      <c r="CA92" s="159"/>
      <c r="CB92" s="159"/>
      <c r="CC92" s="159"/>
      <c r="CD92" s="159"/>
      <c r="CE92" s="159"/>
      <c r="CF92" s="159"/>
      <c r="CG92" s="159"/>
      <c r="CH92" s="159"/>
      <c r="CI92" s="159"/>
      <c r="CJ92" s="159"/>
      <c r="CK92" s="159"/>
      <c r="CL92" s="159"/>
      <c r="CM92" s="159"/>
      <c r="CN92" s="159"/>
      <c r="CO92" s="159"/>
      <c r="CP92" s="159"/>
      <c r="CQ92" s="159"/>
      <c r="CR92" s="159"/>
      <c r="CS92" s="159"/>
      <c r="CT92" s="159"/>
      <c r="CU92" s="159"/>
      <c r="CV92" s="159"/>
      <c r="CW92" s="159"/>
      <c r="CX92" s="159"/>
      <c r="CY92" s="159"/>
      <c r="CZ92" s="159"/>
      <c r="DA92" s="159"/>
      <c r="DB92" s="159"/>
      <c r="DC92" s="159"/>
      <c r="DD92" s="159"/>
      <c r="DE92" s="159"/>
      <c r="DF92" s="159"/>
      <c r="DG92" s="159"/>
      <c r="DH92" s="159"/>
      <c r="DI92" s="159"/>
      <c r="DJ92" s="159"/>
      <c r="DK92" s="159"/>
      <c r="DL92" s="159"/>
      <c r="DM92" s="159"/>
      <c r="DN92" s="159"/>
      <c r="DO92" s="159"/>
      <c r="DP92" s="159"/>
      <c r="DQ92" s="159"/>
      <c r="DR92" s="159"/>
      <c r="DS92" s="159"/>
      <c r="DT92" s="159"/>
      <c r="DU92" s="159"/>
      <c r="DV92" s="159"/>
      <c r="DW92" s="159"/>
      <c r="DX92" s="159"/>
      <c r="DY92" s="159"/>
      <c r="DZ92" s="159"/>
      <c r="EA92" s="159"/>
      <c r="EB92" s="159"/>
      <c r="EC92" s="159"/>
      <c r="ED92" s="159"/>
      <c r="EE92" s="159"/>
      <c r="EF92" s="159"/>
      <c r="EG92" s="159"/>
      <c r="EH92" s="159"/>
      <c r="EI92" s="159"/>
      <c r="EJ92" s="159"/>
      <c r="EK92" s="159"/>
      <c r="EL92" s="159"/>
      <c r="EM92" s="159"/>
      <c r="EN92" s="159"/>
      <c r="EO92" s="159"/>
      <c r="EP92" s="159"/>
      <c r="EQ92" s="159"/>
      <c r="ER92" s="159"/>
      <c r="ES92" s="159"/>
      <c r="ET92" s="159"/>
      <c r="EU92" s="180"/>
      <c r="EV92" s="184"/>
    </row>
    <row r="93" spans="1:152" ht="6.75" customHeight="1" x14ac:dyDescent="0.25">
      <c r="A93" s="184"/>
      <c r="B93" s="179"/>
      <c r="C93" s="159"/>
      <c r="D93" s="159"/>
      <c r="E93" s="159"/>
      <c r="F93" s="159"/>
      <c r="G93" s="159"/>
      <c r="H93" s="159"/>
      <c r="I93" s="159"/>
      <c r="J93" s="159"/>
      <c r="K93" s="159"/>
      <c r="L93" s="159"/>
      <c r="M93" s="159"/>
      <c r="N93" s="159"/>
      <c r="O93" s="159"/>
      <c r="P93" s="159"/>
      <c r="Q93" s="159"/>
      <c r="R93" s="159"/>
      <c r="S93" s="159"/>
      <c r="T93" s="159"/>
      <c r="U93" s="159"/>
      <c r="V93" s="159"/>
      <c r="W93" s="159"/>
      <c r="X93" s="159"/>
      <c r="Y93" s="159"/>
      <c r="Z93" s="159"/>
      <c r="AA93" s="159"/>
      <c r="AB93" s="159"/>
      <c r="AC93" s="159"/>
      <c r="AD93" s="159"/>
      <c r="AE93" s="159"/>
      <c r="AF93" s="159"/>
      <c r="AG93" s="159"/>
      <c r="AH93" s="159"/>
      <c r="AI93" s="159"/>
      <c r="AJ93" s="159"/>
      <c r="AK93" s="159"/>
      <c r="AL93" s="159"/>
      <c r="AM93" s="159"/>
      <c r="AN93" s="159"/>
      <c r="AO93" s="159"/>
      <c r="AP93" s="159"/>
      <c r="AQ93" s="159"/>
      <c r="AR93" s="159"/>
      <c r="AS93" s="159"/>
      <c r="AT93" s="159"/>
      <c r="AU93" s="159"/>
      <c r="AV93" s="159"/>
      <c r="AW93" s="159"/>
      <c r="AX93" s="159"/>
      <c r="AY93" s="159"/>
      <c r="AZ93" s="159"/>
      <c r="BA93" s="159"/>
      <c r="BB93" s="159"/>
      <c r="BC93" s="159"/>
      <c r="BD93" s="159"/>
      <c r="BE93" s="159"/>
      <c r="BF93" s="159"/>
      <c r="BG93" s="159"/>
      <c r="BH93" s="159"/>
      <c r="BI93" s="159"/>
      <c r="BJ93" s="159"/>
      <c r="BK93" s="159"/>
      <c r="BL93" s="159"/>
      <c r="BM93" s="159"/>
      <c r="BN93" s="159"/>
      <c r="BO93" s="159"/>
      <c r="BP93" s="159"/>
      <c r="BQ93" s="159"/>
      <c r="BR93" s="159"/>
      <c r="BS93" s="159"/>
      <c r="BT93" s="159"/>
      <c r="BU93" s="159"/>
      <c r="BV93" s="159"/>
      <c r="BW93" s="180"/>
      <c r="BX93" s="184"/>
      <c r="BY93" s="184"/>
      <c r="BZ93" s="179"/>
      <c r="CA93" s="159"/>
      <c r="CB93" s="159"/>
      <c r="CC93" s="159"/>
      <c r="CD93" s="159"/>
      <c r="CE93" s="159"/>
      <c r="CF93" s="159"/>
      <c r="CG93" s="159"/>
      <c r="CH93" s="159"/>
      <c r="CI93" s="159"/>
      <c r="CJ93" s="159"/>
      <c r="CK93" s="159"/>
      <c r="CL93" s="159"/>
      <c r="CM93" s="159"/>
      <c r="CN93" s="159"/>
      <c r="CO93" s="159"/>
      <c r="CP93" s="159"/>
      <c r="CQ93" s="159"/>
      <c r="CR93" s="159"/>
      <c r="CS93" s="159"/>
      <c r="CT93" s="159"/>
      <c r="CU93" s="159"/>
      <c r="CV93" s="159"/>
      <c r="CW93" s="159"/>
      <c r="CX93" s="159"/>
      <c r="CY93" s="159"/>
      <c r="CZ93" s="159"/>
      <c r="DA93" s="159"/>
      <c r="DB93" s="159"/>
      <c r="DC93" s="159"/>
      <c r="DD93" s="159"/>
      <c r="DE93" s="159"/>
      <c r="DF93" s="159"/>
      <c r="DG93" s="159"/>
      <c r="DH93" s="159"/>
      <c r="DI93" s="159"/>
      <c r="DJ93" s="159"/>
      <c r="DK93" s="159"/>
      <c r="DL93" s="159"/>
      <c r="DM93" s="159"/>
      <c r="DN93" s="159"/>
      <c r="DO93" s="159"/>
      <c r="DP93" s="159"/>
      <c r="DQ93" s="159"/>
      <c r="DR93" s="159"/>
      <c r="DS93" s="159"/>
      <c r="DT93" s="159"/>
      <c r="DU93" s="159"/>
      <c r="DV93" s="159"/>
      <c r="DW93" s="159"/>
      <c r="DX93" s="159"/>
      <c r="DY93" s="159"/>
      <c r="DZ93" s="159"/>
      <c r="EA93" s="159"/>
      <c r="EB93" s="159"/>
      <c r="EC93" s="159"/>
      <c r="ED93" s="159"/>
      <c r="EE93" s="159"/>
      <c r="EF93" s="159"/>
      <c r="EG93" s="159"/>
      <c r="EH93" s="159"/>
      <c r="EI93" s="159"/>
      <c r="EJ93" s="159"/>
      <c r="EK93" s="159"/>
      <c r="EL93" s="159"/>
      <c r="EM93" s="159"/>
      <c r="EN93" s="159"/>
      <c r="EO93" s="159"/>
      <c r="EP93" s="159"/>
      <c r="EQ93" s="159"/>
      <c r="ER93" s="159"/>
      <c r="ES93" s="159"/>
      <c r="ET93" s="159"/>
      <c r="EU93" s="180"/>
      <c r="EV93" s="184"/>
    </row>
    <row r="94" spans="1:152" ht="6.75" customHeight="1" x14ac:dyDescent="0.25">
      <c r="A94" s="184"/>
      <c r="B94" s="179"/>
      <c r="C94" s="159"/>
      <c r="D94" s="159"/>
      <c r="E94" s="159"/>
      <c r="F94" s="159"/>
      <c r="G94" s="159"/>
      <c r="H94" s="159"/>
      <c r="I94" s="159"/>
      <c r="J94" s="159"/>
      <c r="K94" s="159"/>
      <c r="L94" s="159"/>
      <c r="M94" s="159"/>
      <c r="N94" s="159"/>
      <c r="O94" s="159"/>
      <c r="P94" s="159"/>
      <c r="Q94" s="159"/>
      <c r="R94" s="159"/>
      <c r="S94" s="159"/>
      <c r="T94" s="159"/>
      <c r="U94" s="159"/>
      <c r="V94" s="159"/>
      <c r="W94" s="159"/>
      <c r="X94" s="159"/>
      <c r="Y94" s="159"/>
      <c r="Z94" s="159"/>
      <c r="AA94" s="159"/>
      <c r="AB94" s="159"/>
      <c r="AC94" s="159"/>
      <c r="AD94" s="159"/>
      <c r="AE94" s="159"/>
      <c r="AF94" s="159"/>
      <c r="AG94" s="159"/>
      <c r="AH94" s="159"/>
      <c r="AI94" s="159"/>
      <c r="AJ94" s="159"/>
      <c r="AK94" s="159"/>
      <c r="AL94" s="159"/>
      <c r="AM94" s="159"/>
      <c r="AN94" s="159"/>
      <c r="AO94" s="159"/>
      <c r="AP94" s="159"/>
      <c r="AQ94" s="159"/>
      <c r="AR94" s="159"/>
      <c r="AS94" s="159"/>
      <c r="AT94" s="159"/>
      <c r="AU94" s="159"/>
      <c r="AV94" s="159"/>
      <c r="AW94" s="159"/>
      <c r="AX94" s="159"/>
      <c r="AY94" s="159"/>
      <c r="AZ94" s="159"/>
      <c r="BA94" s="159"/>
      <c r="BB94" s="159"/>
      <c r="BC94" s="159"/>
      <c r="BD94" s="159"/>
      <c r="BE94" s="159"/>
      <c r="BF94" s="159"/>
      <c r="BG94" s="159"/>
      <c r="BH94" s="159"/>
      <c r="BI94" s="159"/>
      <c r="BJ94" s="159"/>
      <c r="BK94" s="159"/>
      <c r="BL94" s="159"/>
      <c r="BM94" s="159"/>
      <c r="BN94" s="159"/>
      <c r="BO94" s="159"/>
      <c r="BP94" s="159"/>
      <c r="BQ94" s="159"/>
      <c r="BR94" s="159"/>
      <c r="BS94" s="159"/>
      <c r="BT94" s="159"/>
      <c r="BU94" s="159"/>
      <c r="BV94" s="159"/>
      <c r="BW94" s="180"/>
      <c r="BX94" s="184"/>
      <c r="BY94" s="184"/>
      <c r="BZ94" s="179"/>
      <c r="CA94" s="159"/>
      <c r="CB94" s="159"/>
      <c r="CC94" s="159"/>
      <c r="CD94" s="159"/>
      <c r="CE94" s="159"/>
      <c r="CF94" s="159"/>
      <c r="CG94" s="159"/>
      <c r="CH94" s="159"/>
      <c r="CI94" s="159"/>
      <c r="CJ94" s="159"/>
      <c r="CK94" s="159"/>
      <c r="CL94" s="159"/>
      <c r="CM94" s="159"/>
      <c r="CN94" s="159"/>
      <c r="CO94" s="159"/>
      <c r="CP94" s="159"/>
      <c r="CQ94" s="159"/>
      <c r="CR94" s="159"/>
      <c r="CS94" s="159"/>
      <c r="CT94" s="159"/>
      <c r="CU94" s="159"/>
      <c r="CV94" s="159"/>
      <c r="CW94" s="159"/>
      <c r="CX94" s="159"/>
      <c r="CY94" s="159"/>
      <c r="CZ94" s="159"/>
      <c r="DA94" s="159"/>
      <c r="DB94" s="159"/>
      <c r="DC94" s="159"/>
      <c r="DD94" s="159"/>
      <c r="DE94" s="159"/>
      <c r="DF94" s="159"/>
      <c r="DG94" s="159"/>
      <c r="DH94" s="159"/>
      <c r="DI94" s="159"/>
      <c r="DJ94" s="159"/>
      <c r="DK94" s="159"/>
      <c r="DL94" s="159"/>
      <c r="DM94" s="159"/>
      <c r="DN94" s="159"/>
      <c r="DO94" s="159"/>
      <c r="DP94" s="159"/>
      <c r="DQ94" s="159"/>
      <c r="DR94" s="159"/>
      <c r="DS94" s="159"/>
      <c r="DT94" s="159"/>
      <c r="DU94" s="159"/>
      <c r="DV94" s="159"/>
      <c r="DW94" s="159"/>
      <c r="DX94" s="159"/>
      <c r="DY94" s="159"/>
      <c r="DZ94" s="159"/>
      <c r="EA94" s="159"/>
      <c r="EB94" s="159"/>
      <c r="EC94" s="159"/>
      <c r="ED94" s="159"/>
      <c r="EE94" s="159"/>
      <c r="EF94" s="159"/>
      <c r="EG94" s="159"/>
      <c r="EH94" s="159"/>
      <c r="EI94" s="159"/>
      <c r="EJ94" s="159"/>
      <c r="EK94" s="159"/>
      <c r="EL94" s="159"/>
      <c r="EM94" s="159"/>
      <c r="EN94" s="159"/>
      <c r="EO94" s="159"/>
      <c r="EP94" s="159"/>
      <c r="EQ94" s="159"/>
      <c r="ER94" s="159"/>
      <c r="ES94" s="159"/>
      <c r="ET94" s="159"/>
      <c r="EU94" s="180"/>
      <c r="EV94" s="184"/>
    </row>
    <row r="95" spans="1:152" ht="6.75" customHeight="1" x14ac:dyDescent="0.25">
      <c r="A95" s="184"/>
      <c r="B95" s="179"/>
      <c r="C95" s="159"/>
      <c r="D95" s="159"/>
      <c r="E95" s="159"/>
      <c r="F95" s="159"/>
      <c r="G95" s="159"/>
      <c r="H95" s="159"/>
      <c r="I95" s="159"/>
      <c r="J95" s="159"/>
      <c r="K95" s="159"/>
      <c r="L95" s="159"/>
      <c r="M95" s="159"/>
      <c r="N95" s="159"/>
      <c r="O95" s="159"/>
      <c r="P95" s="159"/>
      <c r="Q95" s="159"/>
      <c r="R95" s="159"/>
      <c r="S95" s="159"/>
      <c r="T95" s="159"/>
      <c r="U95" s="159"/>
      <c r="V95" s="159"/>
      <c r="W95" s="159"/>
      <c r="X95" s="159"/>
      <c r="Y95" s="159"/>
      <c r="Z95" s="159"/>
      <c r="AA95" s="159"/>
      <c r="AB95" s="159"/>
      <c r="AC95" s="159"/>
      <c r="AD95" s="159"/>
      <c r="AE95" s="159"/>
      <c r="AF95" s="159"/>
      <c r="AG95" s="159"/>
      <c r="AH95" s="159"/>
      <c r="AI95" s="159"/>
      <c r="AJ95" s="159"/>
      <c r="AK95" s="159"/>
      <c r="AL95" s="159"/>
      <c r="AM95" s="159"/>
      <c r="AN95" s="159"/>
      <c r="AO95" s="159"/>
      <c r="AP95" s="159"/>
      <c r="AQ95" s="159"/>
      <c r="AR95" s="159"/>
      <c r="AS95" s="159"/>
      <c r="AT95" s="159"/>
      <c r="AU95" s="159"/>
      <c r="AV95" s="159"/>
      <c r="AW95" s="159"/>
      <c r="AX95" s="159"/>
      <c r="AY95" s="159"/>
      <c r="AZ95" s="159"/>
      <c r="BA95" s="159"/>
      <c r="BB95" s="159"/>
      <c r="BC95" s="159"/>
      <c r="BD95" s="159"/>
      <c r="BE95" s="159"/>
      <c r="BF95" s="159"/>
      <c r="BG95" s="159"/>
      <c r="BH95" s="159"/>
      <c r="BI95" s="159"/>
      <c r="BJ95" s="159"/>
      <c r="BK95" s="159"/>
      <c r="BL95" s="159"/>
      <c r="BM95" s="159"/>
      <c r="BN95" s="159"/>
      <c r="BO95" s="159"/>
      <c r="BP95" s="159"/>
      <c r="BQ95" s="159"/>
      <c r="BR95" s="159"/>
      <c r="BS95" s="159"/>
      <c r="BT95" s="159"/>
      <c r="BU95" s="159"/>
      <c r="BV95" s="159"/>
      <c r="BW95" s="180"/>
      <c r="BX95" s="184"/>
      <c r="BY95" s="184"/>
      <c r="BZ95" s="179"/>
      <c r="CA95" s="159"/>
      <c r="CB95" s="159"/>
      <c r="CC95" s="159"/>
      <c r="CD95" s="159"/>
      <c r="CE95" s="159"/>
      <c r="CF95" s="159"/>
      <c r="CG95" s="159"/>
      <c r="CH95" s="159"/>
      <c r="CI95" s="159"/>
      <c r="CJ95" s="159"/>
      <c r="CK95" s="159"/>
      <c r="CL95" s="159"/>
      <c r="CM95" s="159"/>
      <c r="CN95" s="159"/>
      <c r="CO95" s="159"/>
      <c r="CP95" s="159"/>
      <c r="CQ95" s="159"/>
      <c r="CR95" s="159"/>
      <c r="CS95" s="159"/>
      <c r="CT95" s="159"/>
      <c r="CU95" s="159"/>
      <c r="CV95" s="159"/>
      <c r="CW95" s="159"/>
      <c r="CX95" s="159"/>
      <c r="CY95" s="159"/>
      <c r="CZ95" s="159"/>
      <c r="DA95" s="159"/>
      <c r="DB95" s="159"/>
      <c r="DC95" s="159"/>
      <c r="DD95" s="159"/>
      <c r="DE95" s="159"/>
      <c r="DF95" s="159"/>
      <c r="DG95" s="159"/>
      <c r="DH95" s="159"/>
      <c r="DI95" s="159"/>
      <c r="DJ95" s="159"/>
      <c r="DK95" s="159"/>
      <c r="DL95" s="159"/>
      <c r="DM95" s="159"/>
      <c r="DN95" s="159"/>
      <c r="DO95" s="159"/>
      <c r="DP95" s="159"/>
      <c r="DQ95" s="159"/>
      <c r="DR95" s="159"/>
      <c r="DS95" s="159"/>
      <c r="DT95" s="159"/>
      <c r="DU95" s="159"/>
      <c r="DV95" s="159"/>
      <c r="DW95" s="159"/>
      <c r="DX95" s="159"/>
      <c r="DY95" s="159"/>
      <c r="DZ95" s="159"/>
      <c r="EA95" s="159"/>
      <c r="EB95" s="159"/>
      <c r="EC95" s="159"/>
      <c r="ED95" s="159"/>
      <c r="EE95" s="159"/>
      <c r="EF95" s="159"/>
      <c r="EG95" s="159"/>
      <c r="EH95" s="159"/>
      <c r="EI95" s="159"/>
      <c r="EJ95" s="159"/>
      <c r="EK95" s="159"/>
      <c r="EL95" s="159"/>
      <c r="EM95" s="159"/>
      <c r="EN95" s="159"/>
      <c r="EO95" s="159"/>
      <c r="EP95" s="159"/>
      <c r="EQ95" s="159"/>
      <c r="ER95" s="159"/>
      <c r="ES95" s="159"/>
      <c r="ET95" s="159"/>
      <c r="EU95" s="180"/>
      <c r="EV95" s="184"/>
    </row>
    <row r="96" spans="1:152" ht="6.75" customHeight="1" x14ac:dyDescent="0.25">
      <c r="A96" s="184"/>
      <c r="B96" s="179"/>
      <c r="C96" s="159"/>
      <c r="D96" s="159"/>
      <c r="E96" s="159"/>
      <c r="F96" s="159"/>
      <c r="G96" s="159"/>
      <c r="H96" s="159"/>
      <c r="I96" s="159"/>
      <c r="J96" s="159"/>
      <c r="K96" s="159"/>
      <c r="L96" s="159"/>
      <c r="M96" s="159"/>
      <c r="N96" s="159"/>
      <c r="O96" s="159"/>
      <c r="P96" s="159"/>
      <c r="Q96" s="159"/>
      <c r="R96" s="159"/>
      <c r="S96" s="159"/>
      <c r="T96" s="159"/>
      <c r="U96" s="159"/>
      <c r="V96" s="159"/>
      <c r="W96" s="159"/>
      <c r="X96" s="159"/>
      <c r="Y96" s="159"/>
      <c r="Z96" s="159"/>
      <c r="AA96" s="159"/>
      <c r="AB96" s="159"/>
      <c r="AC96" s="159"/>
      <c r="AD96" s="159"/>
      <c r="AE96" s="159"/>
      <c r="AF96" s="159"/>
      <c r="AG96" s="159"/>
      <c r="AH96" s="159"/>
      <c r="AI96" s="159"/>
      <c r="AJ96" s="159"/>
      <c r="AK96" s="159"/>
      <c r="AL96" s="159"/>
      <c r="AM96" s="159"/>
      <c r="AN96" s="159"/>
      <c r="AO96" s="159"/>
      <c r="AP96" s="159"/>
      <c r="AQ96" s="159"/>
      <c r="AR96" s="159"/>
      <c r="AS96" s="159"/>
      <c r="AT96" s="159"/>
      <c r="AU96" s="159"/>
      <c r="AV96" s="159"/>
      <c r="AW96" s="159"/>
      <c r="AX96" s="159"/>
      <c r="AY96" s="159"/>
      <c r="AZ96" s="159"/>
      <c r="BA96" s="159"/>
      <c r="BB96" s="159"/>
      <c r="BC96" s="159"/>
      <c r="BD96" s="159"/>
      <c r="BE96" s="159"/>
      <c r="BF96" s="159"/>
      <c r="BG96" s="159"/>
      <c r="BH96" s="159"/>
      <c r="BI96" s="159"/>
      <c r="BJ96" s="159"/>
      <c r="BK96" s="159"/>
      <c r="BL96" s="159"/>
      <c r="BM96" s="159"/>
      <c r="BN96" s="159"/>
      <c r="BO96" s="159"/>
      <c r="BP96" s="159"/>
      <c r="BQ96" s="159"/>
      <c r="BR96" s="159"/>
      <c r="BS96" s="159"/>
      <c r="BT96" s="159"/>
      <c r="BU96" s="159"/>
      <c r="BV96" s="159"/>
      <c r="BW96" s="180"/>
      <c r="BX96" s="184"/>
      <c r="BY96" s="184"/>
      <c r="BZ96" s="179"/>
      <c r="CA96" s="159"/>
      <c r="CB96" s="159"/>
      <c r="CC96" s="159"/>
      <c r="CD96" s="159"/>
      <c r="CE96" s="159"/>
      <c r="CF96" s="159"/>
      <c r="CG96" s="159"/>
      <c r="CH96" s="159"/>
      <c r="CI96" s="159"/>
      <c r="CJ96" s="159"/>
      <c r="CK96" s="159"/>
      <c r="CL96" s="159"/>
      <c r="CM96" s="159"/>
      <c r="CN96" s="159"/>
      <c r="CO96" s="159"/>
      <c r="CP96" s="159"/>
      <c r="CQ96" s="159"/>
      <c r="CR96" s="159"/>
      <c r="CS96" s="159"/>
      <c r="CT96" s="159"/>
      <c r="CU96" s="159"/>
      <c r="CV96" s="159"/>
      <c r="CW96" s="159"/>
      <c r="CX96" s="159"/>
      <c r="CY96" s="159"/>
      <c r="CZ96" s="159"/>
      <c r="DA96" s="159"/>
      <c r="DB96" s="159"/>
      <c r="DC96" s="159"/>
      <c r="DD96" s="159"/>
      <c r="DE96" s="159"/>
      <c r="DF96" s="159"/>
      <c r="DG96" s="159"/>
      <c r="DH96" s="159"/>
      <c r="DI96" s="159"/>
      <c r="DJ96" s="159"/>
      <c r="DK96" s="159"/>
      <c r="DL96" s="159"/>
      <c r="DM96" s="159"/>
      <c r="DN96" s="159"/>
      <c r="DO96" s="159"/>
      <c r="DP96" s="159"/>
      <c r="DQ96" s="159"/>
      <c r="DR96" s="159"/>
      <c r="DS96" s="159"/>
      <c r="DT96" s="159"/>
      <c r="DU96" s="159"/>
      <c r="DV96" s="159"/>
      <c r="DW96" s="159"/>
      <c r="DX96" s="159"/>
      <c r="DY96" s="159"/>
      <c r="DZ96" s="159"/>
      <c r="EA96" s="159"/>
      <c r="EB96" s="159"/>
      <c r="EC96" s="159"/>
      <c r="ED96" s="159"/>
      <c r="EE96" s="159"/>
      <c r="EF96" s="159"/>
      <c r="EG96" s="159"/>
      <c r="EH96" s="159"/>
      <c r="EI96" s="159"/>
      <c r="EJ96" s="159"/>
      <c r="EK96" s="159"/>
      <c r="EL96" s="159"/>
      <c r="EM96" s="159"/>
      <c r="EN96" s="159"/>
      <c r="EO96" s="159"/>
      <c r="EP96" s="159"/>
      <c r="EQ96" s="159"/>
      <c r="ER96" s="159"/>
      <c r="ES96" s="159"/>
      <c r="ET96" s="159"/>
      <c r="EU96" s="180"/>
      <c r="EV96" s="184"/>
    </row>
    <row r="97" spans="1:152" ht="6.75" customHeight="1" x14ac:dyDescent="0.25">
      <c r="A97" s="184"/>
      <c r="B97" s="179"/>
      <c r="C97" s="159"/>
      <c r="D97" s="159"/>
      <c r="E97" s="159"/>
      <c r="F97" s="159"/>
      <c r="G97" s="159"/>
      <c r="H97" s="159"/>
      <c r="I97" s="159"/>
      <c r="J97" s="159"/>
      <c r="K97" s="159"/>
      <c r="L97" s="159"/>
      <c r="M97" s="159"/>
      <c r="N97" s="159"/>
      <c r="O97" s="159"/>
      <c r="P97" s="159"/>
      <c r="Q97" s="159"/>
      <c r="R97" s="159"/>
      <c r="S97" s="159"/>
      <c r="T97" s="159"/>
      <c r="U97" s="159"/>
      <c r="V97" s="159"/>
      <c r="W97" s="159"/>
      <c r="X97" s="159"/>
      <c r="Y97" s="159"/>
      <c r="Z97" s="159"/>
      <c r="AA97" s="159"/>
      <c r="AB97" s="159"/>
      <c r="AC97" s="159"/>
      <c r="AD97" s="159"/>
      <c r="AE97" s="159"/>
      <c r="AF97" s="159"/>
      <c r="AG97" s="159"/>
      <c r="AH97" s="159"/>
      <c r="AI97" s="159"/>
      <c r="AJ97" s="159"/>
      <c r="AK97" s="159"/>
      <c r="AL97" s="159"/>
      <c r="AM97" s="159"/>
      <c r="AN97" s="159"/>
      <c r="AO97" s="159"/>
      <c r="AP97" s="159"/>
      <c r="AQ97" s="159"/>
      <c r="AR97" s="159"/>
      <c r="AS97" s="159"/>
      <c r="AT97" s="159"/>
      <c r="AU97" s="159"/>
      <c r="AV97" s="159"/>
      <c r="AW97" s="159"/>
      <c r="AX97" s="159"/>
      <c r="AY97" s="159"/>
      <c r="AZ97" s="159"/>
      <c r="BA97" s="159"/>
      <c r="BB97" s="159"/>
      <c r="BC97" s="159"/>
      <c r="BD97" s="159"/>
      <c r="BE97" s="159"/>
      <c r="BF97" s="159"/>
      <c r="BG97" s="159"/>
      <c r="BH97" s="159"/>
      <c r="BI97" s="159"/>
      <c r="BJ97" s="159"/>
      <c r="BK97" s="159"/>
      <c r="BL97" s="159"/>
      <c r="BM97" s="159"/>
      <c r="BN97" s="159"/>
      <c r="BO97" s="159"/>
      <c r="BP97" s="159"/>
      <c r="BQ97" s="159"/>
      <c r="BR97" s="159"/>
      <c r="BS97" s="159"/>
      <c r="BT97" s="159"/>
      <c r="BU97" s="159"/>
      <c r="BV97" s="159"/>
      <c r="BW97" s="180"/>
      <c r="BX97" s="184"/>
      <c r="BY97" s="184"/>
      <c r="BZ97" s="179"/>
      <c r="CA97" s="159"/>
      <c r="CB97" s="159"/>
      <c r="CC97" s="159"/>
      <c r="CD97" s="159"/>
      <c r="CE97" s="159"/>
      <c r="CF97" s="159"/>
      <c r="CG97" s="159"/>
      <c r="CH97" s="159"/>
      <c r="CI97" s="159"/>
      <c r="CJ97" s="159"/>
      <c r="CK97" s="159"/>
      <c r="CL97" s="159"/>
      <c r="CM97" s="159"/>
      <c r="CN97" s="159"/>
      <c r="CO97" s="159"/>
      <c r="CP97" s="159"/>
      <c r="CQ97" s="159"/>
      <c r="CR97" s="159"/>
      <c r="CS97" s="159"/>
      <c r="CT97" s="159"/>
      <c r="CU97" s="159"/>
      <c r="CV97" s="159"/>
      <c r="CW97" s="159"/>
      <c r="CX97" s="159"/>
      <c r="CY97" s="159"/>
      <c r="CZ97" s="159"/>
      <c r="DA97" s="159"/>
      <c r="DB97" s="159"/>
      <c r="DC97" s="159"/>
      <c r="DD97" s="159"/>
      <c r="DE97" s="159"/>
      <c r="DF97" s="159"/>
      <c r="DG97" s="159"/>
      <c r="DH97" s="159"/>
      <c r="DI97" s="159"/>
      <c r="DJ97" s="159"/>
      <c r="DK97" s="159"/>
      <c r="DL97" s="159"/>
      <c r="DM97" s="159"/>
      <c r="DN97" s="159"/>
      <c r="DO97" s="159"/>
      <c r="DP97" s="159"/>
      <c r="DQ97" s="159"/>
      <c r="DR97" s="159"/>
      <c r="DS97" s="159"/>
      <c r="DT97" s="159"/>
      <c r="DU97" s="159"/>
      <c r="DV97" s="159"/>
      <c r="DW97" s="159"/>
      <c r="DX97" s="159"/>
      <c r="DY97" s="159"/>
      <c r="DZ97" s="159"/>
      <c r="EA97" s="159"/>
      <c r="EB97" s="159"/>
      <c r="EC97" s="159"/>
      <c r="ED97" s="159"/>
      <c r="EE97" s="159"/>
      <c r="EF97" s="159"/>
      <c r="EG97" s="159"/>
      <c r="EH97" s="159"/>
      <c r="EI97" s="159"/>
      <c r="EJ97" s="159"/>
      <c r="EK97" s="159"/>
      <c r="EL97" s="159"/>
      <c r="EM97" s="159"/>
      <c r="EN97" s="159"/>
      <c r="EO97" s="159"/>
      <c r="EP97" s="159"/>
      <c r="EQ97" s="159"/>
      <c r="ER97" s="159"/>
      <c r="ES97" s="159"/>
      <c r="ET97" s="159"/>
      <c r="EU97" s="180"/>
      <c r="EV97" s="184"/>
    </row>
    <row r="98" spans="1:152" ht="6.75" customHeight="1" x14ac:dyDescent="0.25">
      <c r="A98" s="184"/>
      <c r="B98" s="179"/>
      <c r="C98" s="159"/>
      <c r="D98" s="159"/>
      <c r="E98" s="159"/>
      <c r="F98" s="159"/>
      <c r="G98" s="159"/>
      <c r="H98" s="159"/>
      <c r="I98" s="159"/>
      <c r="J98" s="159"/>
      <c r="K98" s="159"/>
      <c r="L98" s="159"/>
      <c r="M98" s="159"/>
      <c r="N98" s="159"/>
      <c r="O98" s="159"/>
      <c r="P98" s="159"/>
      <c r="Q98" s="159"/>
      <c r="R98" s="159"/>
      <c r="S98" s="159"/>
      <c r="T98" s="159"/>
      <c r="U98" s="159"/>
      <c r="V98" s="159"/>
      <c r="W98" s="159"/>
      <c r="X98" s="159"/>
      <c r="Y98" s="159"/>
      <c r="Z98" s="159"/>
      <c r="AA98" s="159"/>
      <c r="AB98" s="159"/>
      <c r="AC98" s="159"/>
      <c r="AD98" s="159"/>
      <c r="AE98" s="159"/>
      <c r="AF98" s="159"/>
      <c r="AG98" s="159"/>
      <c r="AH98" s="159"/>
      <c r="AI98" s="159"/>
      <c r="AJ98" s="159"/>
      <c r="AK98" s="159"/>
      <c r="AL98" s="159"/>
      <c r="AM98" s="159"/>
      <c r="AN98" s="159"/>
      <c r="AO98" s="159"/>
      <c r="AP98" s="159"/>
      <c r="AQ98" s="159"/>
      <c r="AR98" s="159"/>
      <c r="AS98" s="159"/>
      <c r="AT98" s="159"/>
      <c r="AU98" s="159"/>
      <c r="AV98" s="159"/>
      <c r="AW98" s="159"/>
      <c r="AX98" s="159"/>
      <c r="AY98" s="159"/>
      <c r="AZ98" s="159"/>
      <c r="BA98" s="159"/>
      <c r="BB98" s="159"/>
      <c r="BC98" s="159"/>
      <c r="BD98" s="159"/>
      <c r="BE98" s="159"/>
      <c r="BF98" s="159"/>
      <c r="BG98" s="159"/>
      <c r="BH98" s="159"/>
      <c r="BI98" s="159"/>
      <c r="BJ98" s="159"/>
      <c r="BK98" s="159"/>
      <c r="BL98" s="159"/>
      <c r="BM98" s="159"/>
      <c r="BN98" s="159"/>
      <c r="BO98" s="159"/>
      <c r="BP98" s="159"/>
      <c r="BQ98" s="159"/>
      <c r="BR98" s="159"/>
      <c r="BS98" s="159"/>
      <c r="BT98" s="159"/>
      <c r="BU98" s="159"/>
      <c r="BV98" s="159"/>
      <c r="BW98" s="180"/>
      <c r="BX98" s="184"/>
      <c r="BY98" s="184"/>
      <c r="BZ98" s="179"/>
      <c r="CA98" s="159"/>
      <c r="CB98" s="159"/>
      <c r="CC98" s="159"/>
      <c r="CD98" s="159"/>
      <c r="CE98" s="159"/>
      <c r="CF98" s="159"/>
      <c r="CG98" s="159"/>
      <c r="CH98" s="159"/>
      <c r="CI98" s="159"/>
      <c r="CJ98" s="159"/>
      <c r="CK98" s="159"/>
      <c r="CL98" s="159"/>
      <c r="CM98" s="159"/>
      <c r="CN98" s="159"/>
      <c r="CO98" s="159"/>
      <c r="CP98" s="159"/>
      <c r="CQ98" s="159"/>
      <c r="CR98" s="159"/>
      <c r="CS98" s="159"/>
      <c r="CT98" s="159"/>
      <c r="CU98" s="159"/>
      <c r="CV98" s="159"/>
      <c r="CW98" s="159"/>
      <c r="CX98" s="159"/>
      <c r="CY98" s="159"/>
      <c r="CZ98" s="159"/>
      <c r="DA98" s="159"/>
      <c r="DB98" s="159"/>
      <c r="DC98" s="159"/>
      <c r="DD98" s="159"/>
      <c r="DE98" s="159"/>
      <c r="DF98" s="159"/>
      <c r="DG98" s="159"/>
      <c r="DH98" s="159"/>
      <c r="DI98" s="159"/>
      <c r="DJ98" s="159"/>
      <c r="DK98" s="159"/>
      <c r="DL98" s="159"/>
      <c r="DM98" s="159"/>
      <c r="DN98" s="159"/>
      <c r="DO98" s="159"/>
      <c r="DP98" s="159"/>
      <c r="DQ98" s="159"/>
      <c r="DR98" s="159"/>
      <c r="DS98" s="159"/>
      <c r="DT98" s="159"/>
      <c r="DU98" s="159"/>
      <c r="DV98" s="159"/>
      <c r="DW98" s="159"/>
      <c r="DX98" s="159"/>
      <c r="DY98" s="159"/>
      <c r="DZ98" s="159"/>
      <c r="EA98" s="159"/>
      <c r="EB98" s="159"/>
      <c r="EC98" s="159"/>
      <c r="ED98" s="159"/>
      <c r="EE98" s="159"/>
      <c r="EF98" s="159"/>
      <c r="EG98" s="159"/>
      <c r="EH98" s="159"/>
      <c r="EI98" s="159"/>
      <c r="EJ98" s="159"/>
      <c r="EK98" s="159"/>
      <c r="EL98" s="159"/>
      <c r="EM98" s="159"/>
      <c r="EN98" s="159"/>
      <c r="EO98" s="159"/>
      <c r="EP98" s="159"/>
      <c r="EQ98" s="159"/>
      <c r="ER98" s="159"/>
      <c r="ES98" s="159"/>
      <c r="ET98" s="159"/>
      <c r="EU98" s="180"/>
      <c r="EV98" s="184"/>
    </row>
    <row r="99" spans="1:152" ht="6.75" customHeight="1" x14ac:dyDescent="0.25">
      <c r="A99" s="184"/>
      <c r="B99" s="179"/>
      <c r="C99" s="159"/>
      <c r="D99" s="159"/>
      <c r="E99" s="159"/>
      <c r="F99" s="159"/>
      <c r="G99" s="159"/>
      <c r="H99" s="159"/>
      <c r="I99" s="159"/>
      <c r="J99" s="159"/>
      <c r="K99" s="159"/>
      <c r="L99" s="159"/>
      <c r="M99" s="159"/>
      <c r="N99" s="159"/>
      <c r="O99" s="159"/>
      <c r="P99" s="159"/>
      <c r="Q99" s="159"/>
      <c r="R99" s="159"/>
      <c r="S99" s="159"/>
      <c r="T99" s="159"/>
      <c r="U99" s="159"/>
      <c r="V99" s="159"/>
      <c r="W99" s="159"/>
      <c r="X99" s="159"/>
      <c r="Y99" s="159"/>
      <c r="Z99" s="159"/>
      <c r="AA99" s="159"/>
      <c r="AB99" s="159"/>
      <c r="AC99" s="159"/>
      <c r="AD99" s="159"/>
      <c r="AE99" s="159"/>
      <c r="AF99" s="159"/>
      <c r="AG99" s="159"/>
      <c r="AH99" s="159"/>
      <c r="AI99" s="159"/>
      <c r="AJ99" s="159"/>
      <c r="AK99" s="159"/>
      <c r="AL99" s="159"/>
      <c r="AM99" s="159"/>
      <c r="AN99" s="159"/>
      <c r="AO99" s="159"/>
      <c r="AP99" s="159"/>
      <c r="AQ99" s="159"/>
      <c r="AR99" s="159"/>
      <c r="AS99" s="159"/>
      <c r="AT99" s="159"/>
      <c r="AU99" s="159"/>
      <c r="AV99" s="159"/>
      <c r="AW99" s="159"/>
      <c r="AX99" s="159"/>
      <c r="AY99" s="159"/>
      <c r="AZ99" s="159"/>
      <c r="BA99" s="159"/>
      <c r="BB99" s="159"/>
      <c r="BC99" s="159"/>
      <c r="BD99" s="159"/>
      <c r="BE99" s="159"/>
      <c r="BF99" s="159"/>
      <c r="BG99" s="159"/>
      <c r="BH99" s="159"/>
      <c r="BI99" s="159"/>
      <c r="BJ99" s="159"/>
      <c r="BK99" s="159"/>
      <c r="BL99" s="159"/>
      <c r="BM99" s="159"/>
      <c r="BN99" s="159"/>
      <c r="BO99" s="159"/>
      <c r="BP99" s="159"/>
      <c r="BQ99" s="159"/>
      <c r="BR99" s="159"/>
      <c r="BS99" s="159"/>
      <c r="BT99" s="159"/>
      <c r="BU99" s="159"/>
      <c r="BV99" s="159"/>
      <c r="BW99" s="180"/>
      <c r="BX99" s="184"/>
      <c r="BY99" s="184"/>
      <c r="BZ99" s="179"/>
      <c r="CA99" s="159"/>
      <c r="CB99" s="159"/>
      <c r="CC99" s="159"/>
      <c r="CD99" s="159"/>
      <c r="CE99" s="159"/>
      <c r="CF99" s="159"/>
      <c r="CG99" s="159"/>
      <c r="CH99" s="159"/>
      <c r="CI99" s="159"/>
      <c r="CJ99" s="159"/>
      <c r="CK99" s="159"/>
      <c r="CL99" s="159"/>
      <c r="CM99" s="159"/>
      <c r="CN99" s="159"/>
      <c r="CO99" s="159"/>
      <c r="CP99" s="159"/>
      <c r="CQ99" s="159"/>
      <c r="CR99" s="159"/>
      <c r="CS99" s="159"/>
      <c r="CT99" s="159"/>
      <c r="CU99" s="159"/>
      <c r="CV99" s="159"/>
      <c r="CW99" s="159"/>
      <c r="CX99" s="159"/>
      <c r="CY99" s="159"/>
      <c r="CZ99" s="159"/>
      <c r="DA99" s="159"/>
      <c r="DB99" s="159"/>
      <c r="DC99" s="159"/>
      <c r="DD99" s="159"/>
      <c r="DE99" s="159"/>
      <c r="DF99" s="159"/>
      <c r="DG99" s="159"/>
      <c r="DH99" s="159"/>
      <c r="DI99" s="159"/>
      <c r="DJ99" s="159"/>
      <c r="DK99" s="159"/>
      <c r="DL99" s="159"/>
      <c r="DM99" s="159"/>
      <c r="DN99" s="159"/>
      <c r="DO99" s="159"/>
      <c r="DP99" s="159"/>
      <c r="DQ99" s="159"/>
      <c r="DR99" s="159"/>
      <c r="DS99" s="159"/>
      <c r="DT99" s="159"/>
      <c r="DU99" s="159"/>
      <c r="DV99" s="159"/>
      <c r="DW99" s="159"/>
      <c r="DX99" s="159"/>
      <c r="DY99" s="159"/>
      <c r="DZ99" s="159"/>
      <c r="EA99" s="159"/>
      <c r="EB99" s="159"/>
      <c r="EC99" s="159"/>
      <c r="ED99" s="159"/>
      <c r="EE99" s="159"/>
      <c r="EF99" s="159"/>
      <c r="EG99" s="159"/>
      <c r="EH99" s="159"/>
      <c r="EI99" s="159"/>
      <c r="EJ99" s="159"/>
      <c r="EK99" s="159"/>
      <c r="EL99" s="159"/>
      <c r="EM99" s="159"/>
      <c r="EN99" s="159"/>
      <c r="EO99" s="159"/>
      <c r="EP99" s="159"/>
      <c r="EQ99" s="159"/>
      <c r="ER99" s="159"/>
      <c r="ES99" s="159"/>
      <c r="ET99" s="159"/>
      <c r="EU99" s="180"/>
      <c r="EV99" s="184"/>
    </row>
    <row r="100" spans="1:152" ht="6.75" customHeight="1" x14ac:dyDescent="0.25">
      <c r="A100" s="184"/>
      <c r="B100" s="179"/>
      <c r="C100" s="159"/>
      <c r="D100" s="159"/>
      <c r="E100" s="159"/>
      <c r="F100" s="159"/>
      <c r="G100" s="159"/>
      <c r="H100" s="159"/>
      <c r="I100" s="159"/>
      <c r="J100" s="159"/>
      <c r="K100" s="159"/>
      <c r="L100" s="159"/>
      <c r="M100" s="159"/>
      <c r="N100" s="159"/>
      <c r="O100" s="159"/>
      <c r="P100" s="159"/>
      <c r="Q100" s="159"/>
      <c r="R100" s="159"/>
      <c r="S100" s="159"/>
      <c r="T100" s="159"/>
      <c r="U100" s="159"/>
      <c r="V100" s="159"/>
      <c r="W100" s="159"/>
      <c r="X100" s="159"/>
      <c r="Y100" s="159"/>
      <c r="Z100" s="159"/>
      <c r="AA100" s="159"/>
      <c r="AB100" s="159"/>
      <c r="AC100" s="159"/>
      <c r="AD100" s="159"/>
      <c r="AE100" s="159"/>
      <c r="AF100" s="159"/>
      <c r="AG100" s="159"/>
      <c r="AH100" s="159"/>
      <c r="AI100" s="159"/>
      <c r="AJ100" s="159"/>
      <c r="AK100" s="159"/>
      <c r="AL100" s="159"/>
      <c r="AM100" s="159"/>
      <c r="AN100" s="159"/>
      <c r="AO100" s="159"/>
      <c r="AP100" s="159"/>
      <c r="AQ100" s="159"/>
      <c r="AR100" s="159"/>
      <c r="AS100" s="159"/>
      <c r="AT100" s="159"/>
      <c r="AU100" s="159"/>
      <c r="AV100" s="159"/>
      <c r="AW100" s="159"/>
      <c r="AX100" s="159"/>
      <c r="AY100" s="159"/>
      <c r="AZ100" s="159"/>
      <c r="BA100" s="159"/>
      <c r="BB100" s="159"/>
      <c r="BC100" s="159"/>
      <c r="BD100" s="159"/>
      <c r="BE100" s="159"/>
      <c r="BF100" s="159"/>
      <c r="BG100" s="159"/>
      <c r="BH100" s="159"/>
      <c r="BI100" s="159"/>
      <c r="BJ100" s="159"/>
      <c r="BK100" s="159"/>
      <c r="BL100" s="159"/>
      <c r="BM100" s="159"/>
      <c r="BN100" s="159"/>
      <c r="BO100" s="159"/>
      <c r="BP100" s="159"/>
      <c r="BQ100" s="159"/>
      <c r="BR100" s="159"/>
      <c r="BS100" s="159"/>
      <c r="BT100" s="159"/>
      <c r="BU100" s="159"/>
      <c r="BV100" s="159"/>
      <c r="BW100" s="180"/>
      <c r="BX100" s="184"/>
      <c r="BY100" s="184"/>
      <c r="BZ100" s="179"/>
      <c r="CA100" s="159"/>
      <c r="CB100" s="159"/>
      <c r="CC100" s="159"/>
      <c r="CD100" s="159"/>
      <c r="CE100" s="159"/>
      <c r="CF100" s="159"/>
      <c r="CG100" s="159"/>
      <c r="CH100" s="159"/>
      <c r="CI100" s="159"/>
      <c r="CJ100" s="159"/>
      <c r="CK100" s="159"/>
      <c r="CL100" s="159"/>
      <c r="CM100" s="159"/>
      <c r="CN100" s="159"/>
      <c r="CO100" s="159"/>
      <c r="CP100" s="159"/>
      <c r="CQ100" s="159"/>
      <c r="CR100" s="159"/>
      <c r="CS100" s="159"/>
      <c r="CT100" s="159"/>
      <c r="CU100" s="159"/>
      <c r="CV100" s="159"/>
      <c r="CW100" s="159"/>
      <c r="CX100" s="159"/>
      <c r="CY100" s="159"/>
      <c r="CZ100" s="159"/>
      <c r="DA100" s="159"/>
      <c r="DB100" s="159"/>
      <c r="DC100" s="159"/>
      <c r="DD100" s="159"/>
      <c r="DE100" s="159"/>
      <c r="DF100" s="159"/>
      <c r="DG100" s="159"/>
      <c r="DH100" s="159"/>
      <c r="DI100" s="159"/>
      <c r="DJ100" s="159"/>
      <c r="DK100" s="159"/>
      <c r="DL100" s="159"/>
      <c r="DM100" s="159"/>
      <c r="DN100" s="159"/>
      <c r="DO100" s="159"/>
      <c r="DP100" s="159"/>
      <c r="DQ100" s="159"/>
      <c r="DR100" s="159"/>
      <c r="DS100" s="159"/>
      <c r="DT100" s="159"/>
      <c r="DU100" s="159"/>
      <c r="DV100" s="159"/>
      <c r="DW100" s="159"/>
      <c r="DX100" s="159"/>
      <c r="DY100" s="159"/>
      <c r="DZ100" s="159"/>
      <c r="EA100" s="159"/>
      <c r="EB100" s="159"/>
      <c r="EC100" s="159"/>
      <c r="ED100" s="159"/>
      <c r="EE100" s="159"/>
      <c r="EF100" s="159"/>
      <c r="EG100" s="159"/>
      <c r="EH100" s="159"/>
      <c r="EI100" s="159"/>
      <c r="EJ100" s="159"/>
      <c r="EK100" s="159"/>
      <c r="EL100" s="159"/>
      <c r="EM100" s="159"/>
      <c r="EN100" s="159"/>
      <c r="EO100" s="159"/>
      <c r="EP100" s="159"/>
      <c r="EQ100" s="159"/>
      <c r="ER100" s="159"/>
      <c r="ES100" s="159"/>
      <c r="ET100" s="159"/>
      <c r="EU100" s="180"/>
      <c r="EV100" s="184"/>
    </row>
    <row r="101" spans="1:152" ht="6.75" customHeight="1" x14ac:dyDescent="0.25">
      <c r="A101" s="184"/>
      <c r="B101" s="179"/>
      <c r="C101" s="159"/>
      <c r="D101" s="159"/>
      <c r="E101" s="159"/>
      <c r="F101" s="159"/>
      <c r="G101" s="159"/>
      <c r="H101" s="159"/>
      <c r="I101" s="159"/>
      <c r="J101" s="159"/>
      <c r="K101" s="159"/>
      <c r="L101" s="159"/>
      <c r="M101" s="159"/>
      <c r="N101" s="159"/>
      <c r="O101" s="159"/>
      <c r="P101" s="159"/>
      <c r="Q101" s="159"/>
      <c r="R101" s="159"/>
      <c r="S101" s="159"/>
      <c r="T101" s="159"/>
      <c r="U101" s="159"/>
      <c r="V101" s="159"/>
      <c r="W101" s="159"/>
      <c r="X101" s="159"/>
      <c r="Y101" s="159"/>
      <c r="Z101" s="159"/>
      <c r="AA101" s="159"/>
      <c r="AB101" s="159"/>
      <c r="AC101" s="159"/>
      <c r="AD101" s="159"/>
      <c r="AE101" s="159"/>
      <c r="AF101" s="159"/>
      <c r="AG101" s="159"/>
      <c r="AH101" s="159"/>
      <c r="AI101" s="159"/>
      <c r="AJ101" s="159"/>
      <c r="AK101" s="159"/>
      <c r="AL101" s="159"/>
      <c r="AM101" s="159"/>
      <c r="AN101" s="159"/>
      <c r="AO101" s="159"/>
      <c r="AP101" s="159"/>
      <c r="AQ101" s="159"/>
      <c r="AR101" s="159"/>
      <c r="AS101" s="159"/>
      <c r="AT101" s="159"/>
      <c r="AU101" s="159"/>
      <c r="AV101" s="159"/>
      <c r="AW101" s="159"/>
      <c r="AX101" s="159"/>
      <c r="AY101" s="159"/>
      <c r="AZ101" s="159"/>
      <c r="BA101" s="159"/>
      <c r="BB101" s="159"/>
      <c r="BC101" s="159"/>
      <c r="BD101" s="159"/>
      <c r="BE101" s="159"/>
      <c r="BF101" s="159"/>
      <c r="BG101" s="159"/>
      <c r="BH101" s="159"/>
      <c r="BI101" s="159"/>
      <c r="BJ101" s="159"/>
      <c r="BK101" s="159"/>
      <c r="BL101" s="159"/>
      <c r="BM101" s="159"/>
      <c r="BN101" s="159"/>
      <c r="BO101" s="159"/>
      <c r="BP101" s="159"/>
      <c r="BQ101" s="159"/>
      <c r="BR101" s="159"/>
      <c r="BS101" s="159"/>
      <c r="BT101" s="159"/>
      <c r="BU101" s="159"/>
      <c r="BV101" s="159"/>
      <c r="BW101" s="180"/>
      <c r="BX101" s="184"/>
      <c r="BY101" s="184"/>
      <c r="BZ101" s="179"/>
      <c r="CA101" s="159"/>
      <c r="CB101" s="159"/>
      <c r="CC101" s="159"/>
      <c r="CD101" s="159"/>
      <c r="CE101" s="159"/>
      <c r="CF101" s="159"/>
      <c r="CG101" s="159"/>
      <c r="CH101" s="159"/>
      <c r="CI101" s="159"/>
      <c r="CJ101" s="159"/>
      <c r="CK101" s="159"/>
      <c r="CL101" s="159"/>
      <c r="CM101" s="159"/>
      <c r="CN101" s="159"/>
      <c r="CO101" s="159"/>
      <c r="CP101" s="159"/>
      <c r="CQ101" s="159"/>
      <c r="CR101" s="159"/>
      <c r="CS101" s="159"/>
      <c r="CT101" s="159"/>
      <c r="CU101" s="159"/>
      <c r="CV101" s="159"/>
      <c r="CW101" s="159"/>
      <c r="CX101" s="159"/>
      <c r="CY101" s="159"/>
      <c r="CZ101" s="159"/>
      <c r="DA101" s="159"/>
      <c r="DB101" s="159"/>
      <c r="DC101" s="159"/>
      <c r="DD101" s="159"/>
      <c r="DE101" s="159"/>
      <c r="DF101" s="159"/>
      <c r="DG101" s="159"/>
      <c r="DH101" s="159"/>
      <c r="DI101" s="159"/>
      <c r="DJ101" s="159"/>
      <c r="DK101" s="159"/>
      <c r="DL101" s="159"/>
      <c r="DM101" s="159"/>
      <c r="DN101" s="159"/>
      <c r="DO101" s="159"/>
      <c r="DP101" s="159"/>
      <c r="DQ101" s="159"/>
      <c r="DR101" s="159"/>
      <c r="DS101" s="159"/>
      <c r="DT101" s="159"/>
      <c r="DU101" s="159"/>
      <c r="DV101" s="159"/>
      <c r="DW101" s="159"/>
      <c r="DX101" s="159"/>
      <c r="DY101" s="159"/>
      <c r="DZ101" s="159"/>
      <c r="EA101" s="159"/>
      <c r="EB101" s="159"/>
      <c r="EC101" s="159"/>
      <c r="ED101" s="159"/>
      <c r="EE101" s="159"/>
      <c r="EF101" s="159"/>
      <c r="EG101" s="159"/>
      <c r="EH101" s="159"/>
      <c r="EI101" s="159"/>
      <c r="EJ101" s="159"/>
      <c r="EK101" s="159"/>
      <c r="EL101" s="159"/>
      <c r="EM101" s="159"/>
      <c r="EN101" s="159"/>
      <c r="EO101" s="159"/>
      <c r="EP101" s="159"/>
      <c r="EQ101" s="159"/>
      <c r="ER101" s="159"/>
      <c r="ES101" s="159"/>
      <c r="ET101" s="159"/>
      <c r="EU101" s="180"/>
      <c r="EV101" s="184"/>
    </row>
    <row r="102" spans="1:152" ht="6.75" customHeight="1" x14ac:dyDescent="0.25">
      <c r="A102" s="184"/>
      <c r="B102" s="179"/>
      <c r="C102" s="159"/>
      <c r="D102" s="159"/>
      <c r="E102" s="159"/>
      <c r="F102" s="159"/>
      <c r="G102" s="159"/>
      <c r="H102" s="159"/>
      <c r="I102" s="159"/>
      <c r="J102" s="159"/>
      <c r="K102" s="159"/>
      <c r="L102" s="159"/>
      <c r="M102" s="159"/>
      <c r="N102" s="159"/>
      <c r="O102" s="159"/>
      <c r="P102" s="159"/>
      <c r="Q102" s="159"/>
      <c r="R102" s="159"/>
      <c r="S102" s="159"/>
      <c r="T102" s="159"/>
      <c r="U102" s="159"/>
      <c r="V102" s="159"/>
      <c r="W102" s="159"/>
      <c r="X102" s="159"/>
      <c r="Y102" s="159"/>
      <c r="Z102" s="159"/>
      <c r="AA102" s="159"/>
      <c r="AB102" s="159"/>
      <c r="AC102" s="159"/>
      <c r="AD102" s="159"/>
      <c r="AE102" s="159"/>
      <c r="AF102" s="159"/>
      <c r="AG102" s="159"/>
      <c r="AH102" s="159"/>
      <c r="AI102" s="159"/>
      <c r="AJ102" s="159"/>
      <c r="AK102" s="159"/>
      <c r="AL102" s="159"/>
      <c r="AM102" s="159"/>
      <c r="AN102" s="159"/>
      <c r="AO102" s="159"/>
      <c r="AP102" s="159"/>
      <c r="AQ102" s="159"/>
      <c r="AR102" s="159"/>
      <c r="AS102" s="159"/>
      <c r="AT102" s="159"/>
      <c r="AU102" s="159"/>
      <c r="AV102" s="159"/>
      <c r="AW102" s="159"/>
      <c r="AX102" s="159"/>
      <c r="AY102" s="159"/>
      <c r="AZ102" s="159"/>
      <c r="BA102" s="159"/>
      <c r="BB102" s="159"/>
      <c r="BC102" s="159"/>
      <c r="BD102" s="159"/>
      <c r="BE102" s="159"/>
      <c r="BF102" s="159"/>
      <c r="BG102" s="159"/>
      <c r="BH102" s="159"/>
      <c r="BI102" s="159"/>
      <c r="BJ102" s="159"/>
      <c r="BK102" s="159"/>
      <c r="BL102" s="159"/>
      <c r="BM102" s="159"/>
      <c r="BN102" s="159"/>
      <c r="BO102" s="159"/>
      <c r="BP102" s="159"/>
      <c r="BQ102" s="159"/>
      <c r="BR102" s="159"/>
      <c r="BS102" s="159"/>
      <c r="BT102" s="159"/>
      <c r="BU102" s="159"/>
      <c r="BV102" s="159"/>
      <c r="BW102" s="180"/>
      <c r="BX102" s="184"/>
      <c r="BY102" s="184"/>
      <c r="BZ102" s="179"/>
      <c r="CA102" s="159"/>
      <c r="CB102" s="159"/>
      <c r="CC102" s="159"/>
      <c r="CD102" s="159"/>
      <c r="CE102" s="159"/>
      <c r="CF102" s="159"/>
      <c r="CG102" s="159"/>
      <c r="CH102" s="159"/>
      <c r="CI102" s="159"/>
      <c r="CJ102" s="159"/>
      <c r="CK102" s="159"/>
      <c r="CL102" s="159"/>
      <c r="CM102" s="159"/>
      <c r="CN102" s="159"/>
      <c r="CO102" s="159"/>
      <c r="CP102" s="159"/>
      <c r="CQ102" s="159"/>
      <c r="CR102" s="159"/>
      <c r="CS102" s="159"/>
      <c r="CT102" s="159"/>
      <c r="CU102" s="159"/>
      <c r="CV102" s="159"/>
      <c r="CW102" s="159"/>
      <c r="CX102" s="159"/>
      <c r="CY102" s="159"/>
      <c r="CZ102" s="159"/>
      <c r="DA102" s="159"/>
      <c r="DB102" s="159"/>
      <c r="DC102" s="159"/>
      <c r="DD102" s="159"/>
      <c r="DE102" s="159"/>
      <c r="DF102" s="159"/>
      <c r="DG102" s="159"/>
      <c r="DH102" s="159"/>
      <c r="DI102" s="159"/>
      <c r="DJ102" s="159"/>
      <c r="DK102" s="159"/>
      <c r="DL102" s="159"/>
      <c r="DM102" s="159"/>
      <c r="DN102" s="159"/>
      <c r="DO102" s="159"/>
      <c r="DP102" s="159"/>
      <c r="DQ102" s="159"/>
      <c r="DR102" s="159"/>
      <c r="DS102" s="159"/>
      <c r="DT102" s="159"/>
      <c r="DU102" s="159"/>
      <c r="DV102" s="159"/>
      <c r="DW102" s="159"/>
      <c r="DX102" s="159"/>
      <c r="DY102" s="159"/>
      <c r="DZ102" s="159"/>
      <c r="EA102" s="159"/>
      <c r="EB102" s="159"/>
      <c r="EC102" s="159"/>
      <c r="ED102" s="159"/>
      <c r="EE102" s="159"/>
      <c r="EF102" s="159"/>
      <c r="EG102" s="159"/>
      <c r="EH102" s="159"/>
      <c r="EI102" s="159"/>
      <c r="EJ102" s="159"/>
      <c r="EK102" s="159"/>
      <c r="EL102" s="159"/>
      <c r="EM102" s="159"/>
      <c r="EN102" s="159"/>
      <c r="EO102" s="159"/>
      <c r="EP102" s="159"/>
      <c r="EQ102" s="159"/>
      <c r="ER102" s="159"/>
      <c r="ES102" s="159"/>
      <c r="ET102" s="159"/>
      <c r="EU102" s="180"/>
      <c r="EV102" s="184"/>
    </row>
    <row r="103" spans="1:152" ht="6.75" customHeight="1" x14ac:dyDescent="0.25">
      <c r="A103" s="184"/>
      <c r="B103" s="179"/>
      <c r="C103" s="159"/>
      <c r="D103" s="159"/>
      <c r="E103" s="159"/>
      <c r="F103" s="159"/>
      <c r="G103" s="159"/>
      <c r="H103" s="159"/>
      <c r="I103" s="159"/>
      <c r="J103" s="159"/>
      <c r="K103" s="159"/>
      <c r="L103" s="159"/>
      <c r="M103" s="159"/>
      <c r="N103" s="159"/>
      <c r="O103" s="159"/>
      <c r="P103" s="159"/>
      <c r="Q103" s="159"/>
      <c r="R103" s="159"/>
      <c r="S103" s="159"/>
      <c r="T103" s="159"/>
      <c r="U103" s="159"/>
      <c r="V103" s="159"/>
      <c r="W103" s="159"/>
      <c r="X103" s="159"/>
      <c r="Y103" s="159"/>
      <c r="Z103" s="159"/>
      <c r="AA103" s="159"/>
      <c r="AB103" s="159"/>
      <c r="AC103" s="159"/>
      <c r="AD103" s="159"/>
      <c r="AE103" s="159"/>
      <c r="AF103" s="159"/>
      <c r="AG103" s="159"/>
      <c r="AH103" s="159"/>
      <c r="AI103" s="159"/>
      <c r="AJ103" s="159"/>
      <c r="AK103" s="159"/>
      <c r="AL103" s="159"/>
      <c r="AM103" s="159"/>
      <c r="AN103" s="159"/>
      <c r="AO103" s="159"/>
      <c r="AP103" s="159"/>
      <c r="AQ103" s="159"/>
      <c r="AR103" s="159"/>
      <c r="AS103" s="159"/>
      <c r="AT103" s="159"/>
      <c r="AU103" s="159"/>
      <c r="AV103" s="159"/>
      <c r="AW103" s="159"/>
      <c r="AX103" s="159"/>
      <c r="AY103" s="159"/>
      <c r="AZ103" s="159"/>
      <c r="BA103" s="159"/>
      <c r="BB103" s="159"/>
      <c r="BC103" s="159"/>
      <c r="BD103" s="159"/>
      <c r="BE103" s="159"/>
      <c r="BF103" s="159"/>
      <c r="BG103" s="159"/>
      <c r="BH103" s="159"/>
      <c r="BI103" s="159"/>
      <c r="BJ103" s="159"/>
      <c r="BK103" s="159"/>
      <c r="BL103" s="159"/>
      <c r="BM103" s="159"/>
      <c r="BN103" s="159"/>
      <c r="BO103" s="159"/>
      <c r="BP103" s="159"/>
      <c r="BQ103" s="159"/>
      <c r="BR103" s="159"/>
      <c r="BS103" s="159"/>
      <c r="BT103" s="159"/>
      <c r="BU103" s="159"/>
      <c r="BV103" s="159"/>
      <c r="BW103" s="180"/>
      <c r="BX103" s="184"/>
      <c r="BY103" s="184"/>
      <c r="BZ103" s="179"/>
      <c r="CA103" s="159"/>
      <c r="CB103" s="159"/>
      <c r="CC103" s="159"/>
      <c r="CD103" s="159"/>
      <c r="CE103" s="159"/>
      <c r="CF103" s="159"/>
      <c r="CG103" s="159"/>
      <c r="CH103" s="159"/>
      <c r="CI103" s="159"/>
      <c r="CJ103" s="159"/>
      <c r="CK103" s="159"/>
      <c r="CL103" s="159"/>
      <c r="CM103" s="159"/>
      <c r="CN103" s="159"/>
      <c r="CO103" s="159"/>
      <c r="CP103" s="159"/>
      <c r="CQ103" s="159"/>
      <c r="CR103" s="159"/>
      <c r="CS103" s="159"/>
      <c r="CT103" s="159"/>
      <c r="CU103" s="159"/>
      <c r="CV103" s="159"/>
      <c r="CW103" s="159"/>
      <c r="CX103" s="159"/>
      <c r="CY103" s="159"/>
      <c r="CZ103" s="159"/>
      <c r="DA103" s="159"/>
      <c r="DB103" s="159"/>
      <c r="DC103" s="159"/>
      <c r="DD103" s="159"/>
      <c r="DE103" s="159"/>
      <c r="DF103" s="159"/>
      <c r="DG103" s="159"/>
      <c r="DH103" s="159"/>
      <c r="DI103" s="159"/>
      <c r="DJ103" s="159"/>
      <c r="DK103" s="159"/>
      <c r="DL103" s="159"/>
      <c r="DM103" s="159"/>
      <c r="DN103" s="159"/>
      <c r="DO103" s="159"/>
      <c r="DP103" s="159"/>
      <c r="DQ103" s="159"/>
      <c r="DR103" s="159"/>
      <c r="DS103" s="159"/>
      <c r="DT103" s="159"/>
      <c r="DU103" s="159"/>
      <c r="DV103" s="159"/>
      <c r="DW103" s="159"/>
      <c r="DX103" s="159"/>
      <c r="DY103" s="159"/>
      <c r="DZ103" s="159"/>
      <c r="EA103" s="159"/>
      <c r="EB103" s="159"/>
      <c r="EC103" s="159"/>
      <c r="ED103" s="159"/>
      <c r="EE103" s="159"/>
      <c r="EF103" s="159"/>
      <c r="EG103" s="159"/>
      <c r="EH103" s="159"/>
      <c r="EI103" s="159"/>
      <c r="EJ103" s="159"/>
      <c r="EK103" s="159"/>
      <c r="EL103" s="159"/>
      <c r="EM103" s="159"/>
      <c r="EN103" s="159"/>
      <c r="EO103" s="159"/>
      <c r="EP103" s="159"/>
      <c r="EQ103" s="159"/>
      <c r="ER103" s="159"/>
      <c r="ES103" s="159"/>
      <c r="ET103" s="159"/>
      <c r="EU103" s="180"/>
      <c r="EV103" s="184"/>
    </row>
    <row r="104" spans="1:152" ht="6.75" customHeight="1" x14ac:dyDescent="0.25">
      <c r="A104" s="184"/>
      <c r="B104" s="179"/>
      <c r="C104" s="159"/>
      <c r="D104" s="159"/>
      <c r="E104" s="159"/>
      <c r="F104" s="159"/>
      <c r="G104" s="159"/>
      <c r="H104" s="159"/>
      <c r="I104" s="159"/>
      <c r="J104" s="159"/>
      <c r="K104" s="159"/>
      <c r="L104" s="159"/>
      <c r="M104" s="159"/>
      <c r="N104" s="159"/>
      <c r="O104" s="159"/>
      <c r="P104" s="159"/>
      <c r="Q104" s="159"/>
      <c r="R104" s="159"/>
      <c r="S104" s="159"/>
      <c r="T104" s="159"/>
      <c r="U104" s="159"/>
      <c r="V104" s="159"/>
      <c r="W104" s="159"/>
      <c r="X104" s="159"/>
      <c r="Y104" s="159"/>
      <c r="Z104" s="159"/>
      <c r="AA104" s="159"/>
      <c r="AB104" s="159"/>
      <c r="AC104" s="159"/>
      <c r="AD104" s="159"/>
      <c r="AE104" s="159"/>
      <c r="AF104" s="159"/>
      <c r="AG104" s="159"/>
      <c r="AH104" s="159"/>
      <c r="AI104" s="159"/>
      <c r="AJ104" s="159"/>
      <c r="AK104" s="159"/>
      <c r="AL104" s="159"/>
      <c r="AM104" s="159"/>
      <c r="AN104" s="159"/>
      <c r="AO104" s="159"/>
      <c r="AP104" s="159"/>
      <c r="AQ104" s="159"/>
      <c r="AR104" s="159"/>
      <c r="AS104" s="159"/>
      <c r="AT104" s="159"/>
      <c r="AU104" s="159"/>
      <c r="AV104" s="159"/>
      <c r="AW104" s="159"/>
      <c r="AX104" s="159"/>
      <c r="AY104" s="159"/>
      <c r="AZ104" s="159"/>
      <c r="BA104" s="159"/>
      <c r="BB104" s="159"/>
      <c r="BC104" s="159"/>
      <c r="BD104" s="159"/>
      <c r="BE104" s="159"/>
      <c r="BF104" s="159"/>
      <c r="BG104" s="159"/>
      <c r="BH104" s="159"/>
      <c r="BI104" s="159"/>
      <c r="BJ104" s="159"/>
      <c r="BK104" s="159"/>
      <c r="BL104" s="159"/>
      <c r="BM104" s="159"/>
      <c r="BN104" s="159"/>
      <c r="BO104" s="159"/>
      <c r="BP104" s="159"/>
      <c r="BQ104" s="159"/>
      <c r="BR104" s="159"/>
      <c r="BS104" s="159"/>
      <c r="BT104" s="159"/>
      <c r="BU104" s="159"/>
      <c r="BV104" s="159"/>
      <c r="BW104" s="180"/>
      <c r="BX104" s="184"/>
      <c r="BY104" s="184"/>
      <c r="BZ104" s="179"/>
      <c r="CA104" s="159"/>
      <c r="CB104" s="159"/>
      <c r="CC104" s="159"/>
      <c r="CD104" s="159"/>
      <c r="CE104" s="159"/>
      <c r="CF104" s="159"/>
      <c r="CG104" s="159"/>
      <c r="CH104" s="159"/>
      <c r="CI104" s="159"/>
      <c r="CJ104" s="159"/>
      <c r="CK104" s="159"/>
      <c r="CL104" s="159"/>
      <c r="CM104" s="159"/>
      <c r="CN104" s="159"/>
      <c r="CO104" s="159"/>
      <c r="CP104" s="159"/>
      <c r="CQ104" s="159"/>
      <c r="CR104" s="159"/>
      <c r="CS104" s="159"/>
      <c r="CT104" s="159"/>
      <c r="CU104" s="159"/>
      <c r="CV104" s="159"/>
      <c r="CW104" s="159"/>
      <c r="CX104" s="159"/>
      <c r="CY104" s="159"/>
      <c r="CZ104" s="159"/>
      <c r="DA104" s="159"/>
      <c r="DB104" s="159"/>
      <c r="DC104" s="159"/>
      <c r="DD104" s="159"/>
      <c r="DE104" s="159"/>
      <c r="DF104" s="159"/>
      <c r="DG104" s="159"/>
      <c r="DH104" s="159"/>
      <c r="DI104" s="159"/>
      <c r="DJ104" s="159"/>
      <c r="DK104" s="159"/>
      <c r="DL104" s="159"/>
      <c r="DM104" s="159"/>
      <c r="DN104" s="159"/>
      <c r="DO104" s="159"/>
      <c r="DP104" s="159"/>
      <c r="DQ104" s="159"/>
      <c r="DR104" s="159"/>
      <c r="DS104" s="159"/>
      <c r="DT104" s="159"/>
      <c r="DU104" s="159"/>
      <c r="DV104" s="159"/>
      <c r="DW104" s="159"/>
      <c r="DX104" s="159"/>
      <c r="DY104" s="159"/>
      <c r="DZ104" s="159"/>
      <c r="EA104" s="159"/>
      <c r="EB104" s="159"/>
      <c r="EC104" s="159"/>
      <c r="ED104" s="159"/>
      <c r="EE104" s="159"/>
      <c r="EF104" s="159"/>
      <c r="EG104" s="159"/>
      <c r="EH104" s="159"/>
      <c r="EI104" s="159"/>
      <c r="EJ104" s="159"/>
      <c r="EK104" s="159"/>
      <c r="EL104" s="159"/>
      <c r="EM104" s="159"/>
      <c r="EN104" s="159"/>
      <c r="EO104" s="159"/>
      <c r="EP104" s="159"/>
      <c r="EQ104" s="159"/>
      <c r="ER104" s="159"/>
      <c r="ES104" s="159"/>
      <c r="ET104" s="159"/>
      <c r="EU104" s="180"/>
      <c r="EV104" s="184"/>
    </row>
    <row r="105" spans="1:152" ht="6.75" customHeight="1" x14ac:dyDescent="0.25">
      <c r="A105" s="184"/>
      <c r="B105" s="179"/>
      <c r="C105" s="159"/>
      <c r="D105" s="159"/>
      <c r="E105" s="159"/>
      <c r="F105" s="159"/>
      <c r="G105" s="159"/>
      <c r="H105" s="159"/>
      <c r="I105" s="159"/>
      <c r="J105" s="159"/>
      <c r="K105" s="159"/>
      <c r="L105" s="159"/>
      <c r="M105" s="159"/>
      <c r="N105" s="159"/>
      <c r="O105" s="159"/>
      <c r="P105" s="159"/>
      <c r="Q105" s="159"/>
      <c r="R105" s="159"/>
      <c r="S105" s="159"/>
      <c r="T105" s="159"/>
      <c r="U105" s="159"/>
      <c r="V105" s="159"/>
      <c r="W105" s="159"/>
      <c r="X105" s="159"/>
      <c r="Y105" s="159"/>
      <c r="Z105" s="159"/>
      <c r="AA105" s="159"/>
      <c r="AB105" s="159"/>
      <c r="AC105" s="159"/>
      <c r="AD105" s="159"/>
      <c r="AE105" s="159"/>
      <c r="AF105" s="159"/>
      <c r="AG105" s="159"/>
      <c r="AH105" s="159"/>
      <c r="AI105" s="159"/>
      <c r="AJ105" s="159"/>
      <c r="AK105" s="159"/>
      <c r="AL105" s="159"/>
      <c r="AM105" s="159"/>
      <c r="AN105" s="159"/>
      <c r="AO105" s="159"/>
      <c r="AP105" s="159"/>
      <c r="AQ105" s="159"/>
      <c r="AR105" s="159"/>
      <c r="AS105" s="159"/>
      <c r="AT105" s="159"/>
      <c r="AU105" s="159"/>
      <c r="AV105" s="159"/>
      <c r="AW105" s="159"/>
      <c r="AX105" s="159"/>
      <c r="AY105" s="159"/>
      <c r="AZ105" s="159"/>
      <c r="BA105" s="159"/>
      <c r="BB105" s="159"/>
      <c r="BC105" s="159"/>
      <c r="BD105" s="159"/>
      <c r="BE105" s="159"/>
      <c r="BF105" s="159"/>
      <c r="BG105" s="159"/>
      <c r="BH105" s="159"/>
      <c r="BI105" s="159"/>
      <c r="BJ105" s="159"/>
      <c r="BK105" s="159"/>
      <c r="BL105" s="159"/>
      <c r="BM105" s="159"/>
      <c r="BN105" s="159"/>
      <c r="BO105" s="159"/>
      <c r="BP105" s="159"/>
      <c r="BQ105" s="159"/>
      <c r="BR105" s="159"/>
      <c r="BS105" s="159"/>
      <c r="BT105" s="159"/>
      <c r="BU105" s="159"/>
      <c r="BV105" s="159"/>
      <c r="BW105" s="180"/>
      <c r="BX105" s="184"/>
      <c r="BY105" s="184"/>
      <c r="BZ105" s="179"/>
      <c r="CA105" s="159"/>
      <c r="CB105" s="159"/>
      <c r="CC105" s="159"/>
      <c r="CD105" s="159"/>
      <c r="CE105" s="159"/>
      <c r="CF105" s="159"/>
      <c r="CG105" s="159"/>
      <c r="CH105" s="159"/>
      <c r="CI105" s="159"/>
      <c r="CJ105" s="159"/>
      <c r="CK105" s="159"/>
      <c r="CL105" s="159"/>
      <c r="CM105" s="159"/>
      <c r="CN105" s="159"/>
      <c r="CO105" s="159"/>
      <c r="CP105" s="159"/>
      <c r="CQ105" s="159"/>
      <c r="CR105" s="159"/>
      <c r="CS105" s="159"/>
      <c r="CT105" s="159"/>
      <c r="CU105" s="159"/>
      <c r="CV105" s="159"/>
      <c r="CW105" s="159"/>
      <c r="CX105" s="159"/>
      <c r="CY105" s="159"/>
      <c r="CZ105" s="159"/>
      <c r="DA105" s="159"/>
      <c r="DB105" s="159"/>
      <c r="DC105" s="159"/>
      <c r="DD105" s="159"/>
      <c r="DE105" s="159"/>
      <c r="DF105" s="159"/>
      <c r="DG105" s="159"/>
      <c r="DH105" s="159"/>
      <c r="DI105" s="159"/>
      <c r="DJ105" s="159"/>
      <c r="DK105" s="159"/>
      <c r="DL105" s="159"/>
      <c r="DM105" s="159"/>
      <c r="DN105" s="159"/>
      <c r="DO105" s="159"/>
      <c r="DP105" s="159"/>
      <c r="DQ105" s="159"/>
      <c r="DR105" s="159"/>
      <c r="DS105" s="159"/>
      <c r="DT105" s="159"/>
      <c r="DU105" s="159"/>
      <c r="DV105" s="159"/>
      <c r="DW105" s="159"/>
      <c r="DX105" s="159"/>
      <c r="DY105" s="159"/>
      <c r="DZ105" s="159"/>
      <c r="EA105" s="159"/>
      <c r="EB105" s="159"/>
      <c r="EC105" s="159"/>
      <c r="ED105" s="159"/>
      <c r="EE105" s="159"/>
      <c r="EF105" s="159"/>
      <c r="EG105" s="159"/>
      <c r="EH105" s="159"/>
      <c r="EI105" s="159"/>
      <c r="EJ105" s="159"/>
      <c r="EK105" s="159"/>
      <c r="EL105" s="159"/>
      <c r="EM105" s="159"/>
      <c r="EN105" s="159"/>
      <c r="EO105" s="159"/>
      <c r="EP105" s="159"/>
      <c r="EQ105" s="159"/>
      <c r="ER105" s="159"/>
      <c r="ES105" s="159"/>
      <c r="ET105" s="159"/>
      <c r="EU105" s="180"/>
      <c r="EV105" s="184"/>
    </row>
    <row r="106" spans="1:152" ht="6.75" customHeight="1" x14ac:dyDescent="0.25">
      <c r="A106" s="184"/>
      <c r="B106" s="179"/>
      <c r="C106" s="159"/>
      <c r="D106" s="159"/>
      <c r="E106" s="159"/>
      <c r="F106" s="159"/>
      <c r="G106" s="159"/>
      <c r="H106" s="159"/>
      <c r="I106" s="159"/>
      <c r="J106" s="159"/>
      <c r="K106" s="159"/>
      <c r="L106" s="159"/>
      <c r="M106" s="159"/>
      <c r="N106" s="159"/>
      <c r="O106" s="159"/>
      <c r="P106" s="159"/>
      <c r="Q106" s="159"/>
      <c r="R106" s="159"/>
      <c r="S106" s="159"/>
      <c r="T106" s="159"/>
      <c r="U106" s="159"/>
      <c r="V106" s="159"/>
      <c r="W106" s="159"/>
      <c r="X106" s="159"/>
      <c r="Y106" s="159"/>
      <c r="Z106" s="159"/>
      <c r="AA106" s="159"/>
      <c r="AB106" s="159"/>
      <c r="AC106" s="159"/>
      <c r="AD106" s="159"/>
      <c r="AE106" s="159"/>
      <c r="AF106" s="159"/>
      <c r="AG106" s="159"/>
      <c r="AH106" s="159"/>
      <c r="AI106" s="159"/>
      <c r="AJ106" s="159"/>
      <c r="AK106" s="159"/>
      <c r="AL106" s="159"/>
      <c r="AM106" s="159"/>
      <c r="AN106" s="159"/>
      <c r="AO106" s="159"/>
      <c r="AP106" s="159"/>
      <c r="AQ106" s="159"/>
      <c r="AR106" s="159"/>
      <c r="AS106" s="159"/>
      <c r="AT106" s="159"/>
      <c r="AU106" s="159"/>
      <c r="AV106" s="159"/>
      <c r="AW106" s="159"/>
      <c r="AX106" s="159"/>
      <c r="AY106" s="159"/>
      <c r="AZ106" s="159"/>
      <c r="BA106" s="159"/>
      <c r="BB106" s="159"/>
      <c r="BC106" s="159"/>
      <c r="BD106" s="159"/>
      <c r="BE106" s="159"/>
      <c r="BF106" s="159"/>
      <c r="BG106" s="159"/>
      <c r="BH106" s="159"/>
      <c r="BI106" s="159"/>
      <c r="BJ106" s="159"/>
      <c r="BK106" s="159"/>
      <c r="BL106" s="159"/>
      <c r="BM106" s="159"/>
      <c r="BN106" s="159"/>
      <c r="BO106" s="159"/>
      <c r="BP106" s="159"/>
      <c r="BQ106" s="159"/>
      <c r="BR106" s="159"/>
      <c r="BS106" s="159"/>
      <c r="BT106" s="159"/>
      <c r="BU106" s="159"/>
      <c r="BV106" s="159"/>
      <c r="BW106" s="180"/>
      <c r="BX106" s="184"/>
      <c r="BY106" s="184"/>
      <c r="BZ106" s="179"/>
      <c r="CA106" s="159"/>
      <c r="CB106" s="159"/>
      <c r="CC106" s="159"/>
      <c r="CD106" s="159"/>
      <c r="CE106" s="159"/>
      <c r="CF106" s="159"/>
      <c r="CG106" s="159"/>
      <c r="CH106" s="159"/>
      <c r="CI106" s="159"/>
      <c r="CJ106" s="159"/>
      <c r="CK106" s="159"/>
      <c r="CL106" s="159"/>
      <c r="CM106" s="159"/>
      <c r="CN106" s="159"/>
      <c r="CO106" s="159"/>
      <c r="CP106" s="159"/>
      <c r="CQ106" s="159"/>
      <c r="CR106" s="159"/>
      <c r="CS106" s="159"/>
      <c r="CT106" s="159"/>
      <c r="CU106" s="159"/>
      <c r="CV106" s="159"/>
      <c r="CW106" s="159"/>
      <c r="CX106" s="159"/>
      <c r="CY106" s="159"/>
      <c r="CZ106" s="159"/>
      <c r="DA106" s="159"/>
      <c r="DB106" s="159"/>
      <c r="DC106" s="159"/>
      <c r="DD106" s="159"/>
      <c r="DE106" s="159"/>
      <c r="DF106" s="159"/>
      <c r="DG106" s="159"/>
      <c r="DH106" s="159"/>
      <c r="DI106" s="159"/>
      <c r="DJ106" s="159"/>
      <c r="DK106" s="159"/>
      <c r="DL106" s="159"/>
      <c r="DM106" s="159"/>
      <c r="DN106" s="159"/>
      <c r="DO106" s="159"/>
      <c r="DP106" s="159"/>
      <c r="DQ106" s="159"/>
      <c r="DR106" s="159"/>
      <c r="DS106" s="159"/>
      <c r="DT106" s="159"/>
      <c r="DU106" s="159"/>
      <c r="DV106" s="159"/>
      <c r="DW106" s="159"/>
      <c r="DX106" s="159"/>
      <c r="DY106" s="159"/>
      <c r="DZ106" s="159"/>
      <c r="EA106" s="159"/>
      <c r="EB106" s="159"/>
      <c r="EC106" s="159"/>
      <c r="ED106" s="159"/>
      <c r="EE106" s="159"/>
      <c r="EF106" s="159"/>
      <c r="EG106" s="159"/>
      <c r="EH106" s="159"/>
      <c r="EI106" s="159"/>
      <c r="EJ106" s="159"/>
      <c r="EK106" s="159"/>
      <c r="EL106" s="159"/>
      <c r="EM106" s="159"/>
      <c r="EN106" s="159"/>
      <c r="EO106" s="159"/>
      <c r="EP106" s="159"/>
      <c r="EQ106" s="159"/>
      <c r="ER106" s="159"/>
      <c r="ES106" s="159"/>
      <c r="ET106" s="159"/>
      <c r="EU106" s="180"/>
      <c r="EV106" s="184"/>
    </row>
    <row r="107" spans="1:152" ht="6.75" customHeight="1" x14ac:dyDescent="0.25">
      <c r="A107" s="184"/>
      <c r="B107" s="179"/>
      <c r="C107" s="159"/>
      <c r="D107" s="159"/>
      <c r="E107" s="159"/>
      <c r="F107" s="159"/>
      <c r="G107" s="159"/>
      <c r="H107" s="159"/>
      <c r="I107" s="159"/>
      <c r="J107" s="159"/>
      <c r="K107" s="159"/>
      <c r="L107" s="159"/>
      <c r="M107" s="159"/>
      <c r="N107" s="159"/>
      <c r="O107" s="159"/>
      <c r="P107" s="159"/>
      <c r="Q107" s="159"/>
      <c r="R107" s="159"/>
      <c r="S107" s="159"/>
      <c r="T107" s="159"/>
      <c r="U107" s="159"/>
      <c r="V107" s="159"/>
      <c r="W107" s="159"/>
      <c r="X107" s="159"/>
      <c r="Y107" s="159"/>
      <c r="Z107" s="159"/>
      <c r="AA107" s="159"/>
      <c r="AB107" s="159"/>
      <c r="AC107" s="159"/>
      <c r="AD107" s="159"/>
      <c r="AE107" s="159"/>
      <c r="AF107" s="159"/>
      <c r="AG107" s="159"/>
      <c r="AH107" s="159"/>
      <c r="AI107" s="159"/>
      <c r="AJ107" s="159"/>
      <c r="AK107" s="159"/>
      <c r="AL107" s="159"/>
      <c r="AM107" s="159"/>
      <c r="AN107" s="159"/>
      <c r="AO107" s="159"/>
      <c r="AP107" s="159"/>
      <c r="AQ107" s="159"/>
      <c r="AR107" s="159"/>
      <c r="AS107" s="159"/>
      <c r="AT107" s="159"/>
      <c r="AU107" s="159"/>
      <c r="AV107" s="159"/>
      <c r="AW107" s="159"/>
      <c r="AX107" s="159"/>
      <c r="AY107" s="159"/>
      <c r="AZ107" s="159"/>
      <c r="BA107" s="159"/>
      <c r="BB107" s="159"/>
      <c r="BC107" s="159"/>
      <c r="BD107" s="159"/>
      <c r="BE107" s="159"/>
      <c r="BF107" s="159"/>
      <c r="BG107" s="159"/>
      <c r="BH107" s="159"/>
      <c r="BI107" s="159"/>
      <c r="BJ107" s="159"/>
      <c r="BK107" s="159"/>
      <c r="BL107" s="159"/>
      <c r="BM107" s="159"/>
      <c r="BN107" s="159"/>
      <c r="BO107" s="159"/>
      <c r="BP107" s="159"/>
      <c r="BQ107" s="159"/>
      <c r="BR107" s="159"/>
      <c r="BS107" s="159"/>
      <c r="BT107" s="159"/>
      <c r="BU107" s="159"/>
      <c r="BV107" s="159"/>
      <c r="BW107" s="180"/>
      <c r="BX107" s="184"/>
      <c r="BY107" s="184"/>
      <c r="BZ107" s="179"/>
      <c r="CA107" s="159"/>
      <c r="CB107" s="159"/>
      <c r="CC107" s="159"/>
      <c r="CD107" s="159"/>
      <c r="CE107" s="159"/>
      <c r="CF107" s="159"/>
      <c r="CG107" s="159"/>
      <c r="CH107" s="159"/>
      <c r="CI107" s="159"/>
      <c r="CJ107" s="159"/>
      <c r="CK107" s="159"/>
      <c r="CL107" s="159"/>
      <c r="CM107" s="159"/>
      <c r="CN107" s="159"/>
      <c r="CO107" s="159"/>
      <c r="CP107" s="159"/>
      <c r="CQ107" s="159"/>
      <c r="CR107" s="159"/>
      <c r="CS107" s="159"/>
      <c r="CT107" s="159"/>
      <c r="CU107" s="159"/>
      <c r="CV107" s="159"/>
      <c r="CW107" s="159"/>
      <c r="CX107" s="159"/>
      <c r="CY107" s="159"/>
      <c r="CZ107" s="159"/>
      <c r="DA107" s="159"/>
      <c r="DB107" s="159"/>
      <c r="DC107" s="159"/>
      <c r="DD107" s="159"/>
      <c r="DE107" s="159"/>
      <c r="DF107" s="159"/>
      <c r="DG107" s="159"/>
      <c r="DH107" s="159"/>
      <c r="DI107" s="159"/>
      <c r="DJ107" s="159"/>
      <c r="DK107" s="159"/>
      <c r="DL107" s="159"/>
      <c r="DM107" s="159"/>
      <c r="DN107" s="159"/>
      <c r="DO107" s="159"/>
      <c r="DP107" s="159"/>
      <c r="DQ107" s="159"/>
      <c r="DR107" s="159"/>
      <c r="DS107" s="159"/>
      <c r="DT107" s="159"/>
      <c r="DU107" s="159"/>
      <c r="DV107" s="159"/>
      <c r="DW107" s="159"/>
      <c r="DX107" s="159"/>
      <c r="DY107" s="159"/>
      <c r="DZ107" s="159"/>
      <c r="EA107" s="159"/>
      <c r="EB107" s="159"/>
      <c r="EC107" s="159"/>
      <c r="ED107" s="159"/>
      <c r="EE107" s="159"/>
      <c r="EF107" s="159"/>
      <c r="EG107" s="159"/>
      <c r="EH107" s="159"/>
      <c r="EI107" s="159"/>
      <c r="EJ107" s="159"/>
      <c r="EK107" s="159"/>
      <c r="EL107" s="159"/>
      <c r="EM107" s="159"/>
      <c r="EN107" s="159"/>
      <c r="EO107" s="159"/>
      <c r="EP107" s="159"/>
      <c r="EQ107" s="159"/>
      <c r="ER107" s="159"/>
      <c r="ES107" s="159"/>
      <c r="ET107" s="159"/>
      <c r="EU107" s="180"/>
      <c r="EV107" s="184"/>
    </row>
    <row r="108" spans="1:152" ht="6.75" customHeight="1" x14ac:dyDescent="0.25">
      <c r="A108" s="184"/>
      <c r="B108" s="179"/>
      <c r="C108" s="159"/>
      <c r="D108" s="159"/>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159"/>
      <c r="AA108" s="159"/>
      <c r="AB108" s="159"/>
      <c r="AC108" s="159"/>
      <c r="AD108" s="159"/>
      <c r="AE108" s="159"/>
      <c r="AF108" s="159"/>
      <c r="AG108" s="159"/>
      <c r="AH108" s="159"/>
      <c r="AI108" s="159"/>
      <c r="AJ108" s="159"/>
      <c r="AK108" s="159"/>
      <c r="AL108" s="159"/>
      <c r="AM108" s="159"/>
      <c r="AN108" s="159"/>
      <c r="AO108" s="159"/>
      <c r="AP108" s="159"/>
      <c r="AQ108" s="159"/>
      <c r="AR108" s="159"/>
      <c r="AS108" s="159"/>
      <c r="AT108" s="159"/>
      <c r="AU108" s="159"/>
      <c r="AV108" s="159"/>
      <c r="AW108" s="159"/>
      <c r="AX108" s="159"/>
      <c r="AY108" s="159"/>
      <c r="AZ108" s="159"/>
      <c r="BA108" s="159"/>
      <c r="BB108" s="159"/>
      <c r="BC108" s="159"/>
      <c r="BD108" s="159"/>
      <c r="BE108" s="159"/>
      <c r="BF108" s="159"/>
      <c r="BG108" s="159"/>
      <c r="BH108" s="159"/>
      <c r="BI108" s="159"/>
      <c r="BJ108" s="159"/>
      <c r="BK108" s="159"/>
      <c r="BL108" s="159"/>
      <c r="BM108" s="159"/>
      <c r="BN108" s="159"/>
      <c r="BO108" s="159"/>
      <c r="BP108" s="159"/>
      <c r="BQ108" s="159"/>
      <c r="BR108" s="159"/>
      <c r="BS108" s="159"/>
      <c r="BT108" s="159"/>
      <c r="BU108" s="159"/>
      <c r="BV108" s="159"/>
      <c r="BW108" s="180"/>
      <c r="BX108" s="184"/>
      <c r="BY108" s="184"/>
      <c r="BZ108" s="179"/>
      <c r="CA108" s="159"/>
      <c r="CB108" s="159"/>
      <c r="CC108" s="159"/>
      <c r="CD108" s="159"/>
      <c r="CE108" s="159"/>
      <c r="CF108" s="159"/>
      <c r="CG108" s="159"/>
      <c r="CH108" s="159"/>
      <c r="CI108" s="159"/>
      <c r="CJ108" s="159"/>
      <c r="CK108" s="159"/>
      <c r="CL108" s="159"/>
      <c r="CM108" s="159"/>
      <c r="CN108" s="159"/>
      <c r="CO108" s="159"/>
      <c r="CP108" s="159"/>
      <c r="CQ108" s="159"/>
      <c r="CR108" s="159"/>
      <c r="CS108" s="159"/>
      <c r="CT108" s="159"/>
      <c r="CU108" s="159"/>
      <c r="CV108" s="159"/>
      <c r="CW108" s="159"/>
      <c r="CX108" s="159"/>
      <c r="CY108" s="159"/>
      <c r="CZ108" s="159"/>
      <c r="DA108" s="159"/>
      <c r="DB108" s="159"/>
      <c r="DC108" s="159"/>
      <c r="DD108" s="159"/>
      <c r="DE108" s="159"/>
      <c r="DF108" s="159"/>
      <c r="DG108" s="159"/>
      <c r="DH108" s="159"/>
      <c r="DI108" s="159"/>
      <c r="DJ108" s="159"/>
      <c r="DK108" s="159"/>
      <c r="DL108" s="159"/>
      <c r="DM108" s="159"/>
      <c r="DN108" s="159"/>
      <c r="DO108" s="159"/>
      <c r="DP108" s="159"/>
      <c r="DQ108" s="159"/>
      <c r="DR108" s="159"/>
      <c r="DS108" s="159"/>
      <c r="DT108" s="159"/>
      <c r="DU108" s="159"/>
      <c r="DV108" s="159"/>
      <c r="DW108" s="159"/>
      <c r="DX108" s="159"/>
      <c r="DY108" s="159"/>
      <c r="DZ108" s="159"/>
      <c r="EA108" s="159"/>
      <c r="EB108" s="159"/>
      <c r="EC108" s="159"/>
      <c r="ED108" s="159"/>
      <c r="EE108" s="159"/>
      <c r="EF108" s="159"/>
      <c r="EG108" s="159"/>
      <c r="EH108" s="159"/>
      <c r="EI108" s="159"/>
      <c r="EJ108" s="159"/>
      <c r="EK108" s="159"/>
      <c r="EL108" s="159"/>
      <c r="EM108" s="159"/>
      <c r="EN108" s="159"/>
      <c r="EO108" s="159"/>
      <c r="EP108" s="159"/>
      <c r="EQ108" s="159"/>
      <c r="ER108" s="159"/>
      <c r="ES108" s="159"/>
      <c r="ET108" s="159"/>
      <c r="EU108" s="180"/>
      <c r="EV108" s="184"/>
    </row>
    <row r="109" spans="1:152" ht="6.75" customHeight="1" x14ac:dyDescent="0.25">
      <c r="A109" s="184"/>
      <c r="B109" s="179"/>
      <c r="C109" s="159"/>
      <c r="D109" s="159"/>
      <c r="E109" s="159"/>
      <c r="F109" s="159"/>
      <c r="G109" s="159"/>
      <c r="H109" s="159"/>
      <c r="I109" s="159"/>
      <c r="J109" s="159"/>
      <c r="K109" s="159"/>
      <c r="L109" s="159"/>
      <c r="M109" s="159"/>
      <c r="N109" s="159"/>
      <c r="O109" s="159"/>
      <c r="P109" s="159"/>
      <c r="Q109" s="159"/>
      <c r="R109" s="159"/>
      <c r="S109" s="159"/>
      <c r="T109" s="159"/>
      <c r="U109" s="159"/>
      <c r="V109" s="159"/>
      <c r="W109" s="159"/>
      <c r="X109" s="159"/>
      <c r="Y109" s="159"/>
      <c r="Z109" s="159"/>
      <c r="AA109" s="159"/>
      <c r="AB109" s="159"/>
      <c r="AC109" s="159"/>
      <c r="AD109" s="159"/>
      <c r="AE109" s="159"/>
      <c r="AF109" s="159"/>
      <c r="AG109" s="159"/>
      <c r="AH109" s="159"/>
      <c r="AI109" s="159"/>
      <c r="AJ109" s="159"/>
      <c r="AK109" s="159"/>
      <c r="AL109" s="159"/>
      <c r="AM109" s="159"/>
      <c r="AN109" s="159"/>
      <c r="AO109" s="159"/>
      <c r="AP109" s="159"/>
      <c r="AQ109" s="159"/>
      <c r="AR109" s="159"/>
      <c r="AS109" s="159"/>
      <c r="AT109" s="159"/>
      <c r="AU109" s="159"/>
      <c r="AV109" s="159"/>
      <c r="AW109" s="159"/>
      <c r="AX109" s="159"/>
      <c r="AY109" s="159"/>
      <c r="AZ109" s="159"/>
      <c r="BA109" s="159"/>
      <c r="BB109" s="159"/>
      <c r="BC109" s="159"/>
      <c r="BD109" s="159"/>
      <c r="BE109" s="159"/>
      <c r="BF109" s="159"/>
      <c r="BG109" s="159"/>
      <c r="BH109" s="159"/>
      <c r="BI109" s="159"/>
      <c r="BJ109" s="159"/>
      <c r="BK109" s="159"/>
      <c r="BL109" s="159"/>
      <c r="BM109" s="159"/>
      <c r="BN109" s="159"/>
      <c r="BO109" s="159"/>
      <c r="BP109" s="159"/>
      <c r="BQ109" s="159"/>
      <c r="BR109" s="159"/>
      <c r="BS109" s="159"/>
      <c r="BT109" s="159"/>
      <c r="BU109" s="159"/>
      <c r="BV109" s="159"/>
      <c r="BW109" s="180"/>
      <c r="BX109" s="184"/>
      <c r="BY109" s="184"/>
      <c r="BZ109" s="179"/>
      <c r="CA109" s="159"/>
      <c r="CB109" s="159"/>
      <c r="CC109" s="159"/>
      <c r="CD109" s="159"/>
      <c r="CE109" s="159"/>
      <c r="CF109" s="159"/>
      <c r="CG109" s="159"/>
      <c r="CH109" s="159"/>
      <c r="CI109" s="159"/>
      <c r="CJ109" s="159"/>
      <c r="CK109" s="159"/>
      <c r="CL109" s="159"/>
      <c r="CM109" s="159"/>
      <c r="CN109" s="159"/>
      <c r="CO109" s="159"/>
      <c r="CP109" s="159"/>
      <c r="CQ109" s="159"/>
      <c r="CR109" s="159"/>
      <c r="CS109" s="159"/>
      <c r="CT109" s="159"/>
      <c r="CU109" s="159"/>
      <c r="CV109" s="159"/>
      <c r="CW109" s="159"/>
      <c r="CX109" s="159"/>
      <c r="CY109" s="159"/>
      <c r="CZ109" s="159"/>
      <c r="DA109" s="159"/>
      <c r="DB109" s="159"/>
      <c r="DC109" s="159"/>
      <c r="DD109" s="159"/>
      <c r="DE109" s="159"/>
      <c r="DF109" s="159"/>
      <c r="DG109" s="159"/>
      <c r="DH109" s="159"/>
      <c r="DI109" s="159"/>
      <c r="DJ109" s="159"/>
      <c r="DK109" s="159"/>
      <c r="DL109" s="159"/>
      <c r="DM109" s="159"/>
      <c r="DN109" s="159"/>
      <c r="DO109" s="159"/>
      <c r="DP109" s="159"/>
      <c r="DQ109" s="159"/>
      <c r="DR109" s="159"/>
      <c r="DS109" s="159"/>
      <c r="DT109" s="159"/>
      <c r="DU109" s="159"/>
      <c r="DV109" s="159"/>
      <c r="DW109" s="159"/>
      <c r="DX109" s="159"/>
      <c r="DY109" s="159"/>
      <c r="DZ109" s="159"/>
      <c r="EA109" s="159"/>
      <c r="EB109" s="159"/>
      <c r="EC109" s="159"/>
      <c r="ED109" s="159"/>
      <c r="EE109" s="159"/>
      <c r="EF109" s="159"/>
      <c r="EG109" s="159"/>
      <c r="EH109" s="159"/>
      <c r="EI109" s="159"/>
      <c r="EJ109" s="159"/>
      <c r="EK109" s="159"/>
      <c r="EL109" s="159"/>
      <c r="EM109" s="159"/>
      <c r="EN109" s="159"/>
      <c r="EO109" s="159"/>
      <c r="EP109" s="159"/>
      <c r="EQ109" s="159"/>
      <c r="ER109" s="159"/>
      <c r="ES109" s="159"/>
      <c r="ET109" s="159"/>
      <c r="EU109" s="180"/>
      <c r="EV109" s="184"/>
    </row>
    <row r="110" spans="1:152" ht="6.75" customHeight="1" x14ac:dyDescent="0.25">
      <c r="A110" s="184"/>
      <c r="B110" s="17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c r="BU110" s="159"/>
      <c r="BV110" s="159"/>
      <c r="BW110" s="180"/>
      <c r="BX110" s="184"/>
      <c r="BY110" s="184"/>
      <c r="BZ110" s="179"/>
      <c r="CA110" s="159"/>
      <c r="CB110" s="159"/>
      <c r="CC110" s="159"/>
      <c r="CD110" s="159"/>
      <c r="CE110" s="159"/>
      <c r="CF110" s="159"/>
      <c r="CG110" s="159"/>
      <c r="CH110" s="159"/>
      <c r="CI110" s="159"/>
      <c r="CJ110" s="159"/>
      <c r="CK110" s="159"/>
      <c r="CL110" s="159"/>
      <c r="CM110" s="159"/>
      <c r="CN110" s="159"/>
      <c r="CO110" s="159"/>
      <c r="CP110" s="159"/>
      <c r="CQ110" s="159"/>
      <c r="CR110" s="159"/>
      <c r="CS110" s="159"/>
      <c r="CT110" s="159"/>
      <c r="CU110" s="159"/>
      <c r="CV110" s="159"/>
      <c r="CW110" s="159"/>
      <c r="CX110" s="159"/>
      <c r="CY110" s="159"/>
      <c r="CZ110" s="159"/>
      <c r="DA110" s="159"/>
      <c r="DB110" s="159"/>
      <c r="DC110" s="159"/>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80"/>
      <c r="EV110" s="184"/>
    </row>
    <row r="111" spans="1:152" ht="6.75" customHeight="1" x14ac:dyDescent="0.25">
      <c r="A111" s="184"/>
      <c r="B111" s="179"/>
      <c r="C111" s="159"/>
      <c r="D111" s="159"/>
      <c r="E111" s="159"/>
      <c r="F111" s="159"/>
      <c r="G111" s="159"/>
      <c r="H111" s="159"/>
      <c r="I111" s="159"/>
      <c r="J111" s="159"/>
      <c r="K111" s="159"/>
      <c r="L111" s="159"/>
      <c r="M111" s="159"/>
      <c r="N111" s="159"/>
      <c r="O111" s="159"/>
      <c r="P111" s="159"/>
      <c r="Q111" s="159"/>
      <c r="R111" s="159"/>
      <c r="S111" s="159"/>
      <c r="T111" s="159"/>
      <c r="U111" s="159"/>
      <c r="V111" s="159"/>
      <c r="W111" s="159"/>
      <c r="X111" s="159"/>
      <c r="Y111" s="159"/>
      <c r="Z111" s="159"/>
      <c r="AA111" s="159"/>
      <c r="AB111" s="159"/>
      <c r="AC111" s="159"/>
      <c r="AD111" s="159"/>
      <c r="AE111" s="159"/>
      <c r="AF111" s="159"/>
      <c r="AG111" s="159"/>
      <c r="AH111" s="159"/>
      <c r="AI111" s="159"/>
      <c r="AJ111" s="159"/>
      <c r="AK111" s="159"/>
      <c r="AL111" s="159"/>
      <c r="AM111" s="159"/>
      <c r="AN111" s="159"/>
      <c r="AO111" s="159"/>
      <c r="AP111" s="159"/>
      <c r="AQ111" s="159"/>
      <c r="AR111" s="159"/>
      <c r="AS111" s="159"/>
      <c r="AT111" s="159"/>
      <c r="AU111" s="159"/>
      <c r="AV111" s="159"/>
      <c r="AW111" s="159"/>
      <c r="AX111" s="159"/>
      <c r="AY111" s="159"/>
      <c r="AZ111" s="159"/>
      <c r="BA111" s="159"/>
      <c r="BB111" s="159"/>
      <c r="BC111" s="159"/>
      <c r="BD111" s="159"/>
      <c r="BE111" s="159"/>
      <c r="BF111" s="159"/>
      <c r="BG111" s="159"/>
      <c r="BH111" s="159"/>
      <c r="BI111" s="159"/>
      <c r="BJ111" s="159"/>
      <c r="BK111" s="159"/>
      <c r="BL111" s="159"/>
      <c r="BM111" s="159"/>
      <c r="BN111" s="159"/>
      <c r="BO111" s="159"/>
      <c r="BP111" s="159"/>
      <c r="BQ111" s="159"/>
      <c r="BR111" s="159"/>
      <c r="BS111" s="159"/>
      <c r="BT111" s="159"/>
      <c r="BU111" s="159"/>
      <c r="BV111" s="159"/>
      <c r="BW111" s="180"/>
      <c r="BX111" s="184"/>
      <c r="BY111" s="184"/>
      <c r="BZ111" s="179"/>
      <c r="CA111" s="159"/>
      <c r="CB111" s="159"/>
      <c r="CC111" s="159"/>
      <c r="CD111" s="159"/>
      <c r="CE111" s="159"/>
      <c r="CF111" s="159"/>
      <c r="CG111" s="159"/>
      <c r="CH111" s="159"/>
      <c r="CI111" s="159"/>
      <c r="CJ111" s="159"/>
      <c r="CK111" s="159"/>
      <c r="CL111" s="159"/>
      <c r="CM111" s="159"/>
      <c r="CN111" s="159"/>
      <c r="CO111" s="159"/>
      <c r="CP111" s="159"/>
      <c r="CQ111" s="159"/>
      <c r="CR111" s="159"/>
      <c r="CS111" s="159"/>
      <c r="CT111" s="159"/>
      <c r="CU111" s="159"/>
      <c r="CV111" s="159"/>
      <c r="CW111" s="159"/>
      <c r="CX111" s="159"/>
      <c r="CY111" s="159"/>
      <c r="CZ111" s="159"/>
      <c r="DA111" s="159"/>
      <c r="DB111" s="159"/>
      <c r="DC111" s="159"/>
      <c r="DD111" s="159"/>
      <c r="DE111" s="159"/>
      <c r="DF111" s="159"/>
      <c r="DG111" s="159"/>
      <c r="DH111" s="159"/>
      <c r="DI111" s="159"/>
      <c r="DJ111" s="159"/>
      <c r="DK111" s="159"/>
      <c r="DL111" s="159"/>
      <c r="DM111" s="159"/>
      <c r="DN111" s="159"/>
      <c r="DO111" s="159"/>
      <c r="DP111" s="159"/>
      <c r="DQ111" s="159"/>
      <c r="DR111" s="159"/>
      <c r="DS111" s="159"/>
      <c r="DT111" s="159"/>
      <c r="DU111" s="159"/>
      <c r="DV111" s="159"/>
      <c r="DW111" s="159"/>
      <c r="DX111" s="159"/>
      <c r="DY111" s="159"/>
      <c r="DZ111" s="159"/>
      <c r="EA111" s="159"/>
      <c r="EB111" s="159"/>
      <c r="EC111" s="159"/>
      <c r="ED111" s="159"/>
      <c r="EE111" s="159"/>
      <c r="EF111" s="159"/>
      <c r="EG111" s="159"/>
      <c r="EH111" s="159"/>
      <c r="EI111" s="159"/>
      <c r="EJ111" s="159"/>
      <c r="EK111" s="159"/>
      <c r="EL111" s="159"/>
      <c r="EM111" s="159"/>
      <c r="EN111" s="159"/>
      <c r="EO111" s="159"/>
      <c r="EP111" s="159"/>
      <c r="EQ111" s="159"/>
      <c r="ER111" s="159"/>
      <c r="ES111" s="159"/>
      <c r="ET111" s="159"/>
      <c r="EU111" s="180"/>
      <c r="EV111" s="184"/>
    </row>
    <row r="112" spans="1:152" ht="6.75" customHeight="1" thickBot="1" x14ac:dyDescent="0.3">
      <c r="A112" s="184"/>
      <c r="B112" s="181"/>
      <c r="C112" s="182"/>
      <c r="D112" s="182"/>
      <c r="E112" s="182"/>
      <c r="F112" s="182"/>
      <c r="G112" s="182"/>
      <c r="H112" s="182"/>
      <c r="I112" s="182"/>
      <c r="J112" s="182"/>
      <c r="K112" s="182"/>
      <c r="L112" s="182"/>
      <c r="M112" s="182"/>
      <c r="N112" s="182"/>
      <c r="O112" s="182"/>
      <c r="P112" s="182"/>
      <c r="Q112" s="182"/>
      <c r="R112" s="182"/>
      <c r="S112" s="182"/>
      <c r="T112" s="182"/>
      <c r="U112" s="182"/>
      <c r="V112" s="182"/>
      <c r="W112" s="182"/>
      <c r="X112" s="182"/>
      <c r="Y112" s="182"/>
      <c r="Z112" s="182"/>
      <c r="AA112" s="182"/>
      <c r="AB112" s="182"/>
      <c r="AC112" s="182"/>
      <c r="AD112" s="182"/>
      <c r="AE112" s="182"/>
      <c r="AF112" s="182"/>
      <c r="AG112" s="182"/>
      <c r="AH112" s="182"/>
      <c r="AI112" s="182"/>
      <c r="AJ112" s="182"/>
      <c r="AK112" s="182"/>
      <c r="AL112" s="182"/>
      <c r="AM112" s="182"/>
      <c r="AN112" s="182"/>
      <c r="AO112" s="182"/>
      <c r="AP112" s="182"/>
      <c r="AQ112" s="182"/>
      <c r="AR112" s="182"/>
      <c r="AS112" s="182"/>
      <c r="AT112" s="182"/>
      <c r="AU112" s="182"/>
      <c r="AV112" s="182"/>
      <c r="AW112" s="182"/>
      <c r="AX112" s="182"/>
      <c r="AY112" s="182"/>
      <c r="AZ112" s="182"/>
      <c r="BA112" s="182"/>
      <c r="BB112" s="182"/>
      <c r="BC112" s="182"/>
      <c r="BD112" s="182"/>
      <c r="BE112" s="182"/>
      <c r="BF112" s="182"/>
      <c r="BG112" s="182"/>
      <c r="BH112" s="182"/>
      <c r="BI112" s="182"/>
      <c r="BJ112" s="182"/>
      <c r="BK112" s="182"/>
      <c r="BL112" s="182"/>
      <c r="BM112" s="182"/>
      <c r="BN112" s="182"/>
      <c r="BO112" s="182"/>
      <c r="BP112" s="182"/>
      <c r="BQ112" s="182"/>
      <c r="BR112" s="182"/>
      <c r="BS112" s="182"/>
      <c r="BT112" s="182"/>
      <c r="BU112" s="182"/>
      <c r="BV112" s="182"/>
      <c r="BW112" s="183"/>
      <c r="BX112" s="184"/>
      <c r="BY112" s="184"/>
      <c r="BZ112" s="181"/>
      <c r="CA112" s="159"/>
      <c r="CB112" s="159"/>
      <c r="CC112" s="159"/>
      <c r="CD112" s="159"/>
      <c r="CE112" s="159"/>
      <c r="CF112" s="159"/>
      <c r="CG112" s="159"/>
      <c r="CH112" s="159"/>
      <c r="CI112" s="159"/>
      <c r="CJ112" s="159"/>
      <c r="CK112" s="159"/>
      <c r="CL112" s="159"/>
      <c r="CM112" s="159"/>
      <c r="CN112" s="159"/>
      <c r="CO112" s="159"/>
      <c r="CP112" s="159"/>
      <c r="CQ112" s="159"/>
      <c r="CR112" s="159"/>
      <c r="CS112" s="159"/>
      <c r="CT112" s="159"/>
      <c r="CU112" s="159"/>
      <c r="CV112" s="159"/>
      <c r="CW112" s="159"/>
      <c r="CX112" s="159"/>
      <c r="CY112" s="159"/>
      <c r="CZ112" s="159"/>
      <c r="DA112" s="159"/>
      <c r="DB112" s="159"/>
      <c r="DC112" s="159"/>
      <c r="DD112" s="159"/>
      <c r="DE112" s="159"/>
      <c r="DF112" s="159"/>
      <c r="DG112" s="159"/>
      <c r="DH112" s="159"/>
      <c r="DI112" s="159"/>
      <c r="DJ112" s="159"/>
      <c r="DK112" s="159"/>
      <c r="DL112" s="159"/>
      <c r="DM112" s="159"/>
      <c r="DN112" s="159"/>
      <c r="DO112" s="159"/>
      <c r="DP112" s="159"/>
      <c r="DQ112" s="159"/>
      <c r="DR112" s="159"/>
      <c r="DS112" s="159"/>
      <c r="DT112" s="159"/>
      <c r="DU112" s="159"/>
      <c r="DV112" s="159"/>
      <c r="DW112" s="159"/>
      <c r="DX112" s="159"/>
      <c r="DY112" s="159"/>
      <c r="DZ112" s="159"/>
      <c r="EA112" s="159"/>
      <c r="EB112" s="159"/>
      <c r="EC112" s="159"/>
      <c r="ED112" s="159"/>
      <c r="EE112" s="159"/>
      <c r="EF112" s="159"/>
      <c r="EG112" s="159"/>
      <c r="EH112" s="159"/>
      <c r="EI112" s="159"/>
      <c r="EJ112" s="159"/>
      <c r="EK112" s="159"/>
      <c r="EL112" s="159"/>
      <c r="EM112" s="159"/>
      <c r="EN112" s="159"/>
      <c r="EO112" s="159"/>
      <c r="EP112" s="159"/>
      <c r="EQ112" s="159"/>
      <c r="ER112" s="159"/>
      <c r="ES112" s="159"/>
      <c r="ET112" s="182"/>
      <c r="EU112" s="183"/>
      <c r="EV112" s="184"/>
    </row>
    <row r="113" spans="1:152" ht="6.75" customHeight="1" x14ac:dyDescent="0.25">
      <c r="A113" s="184"/>
      <c r="B113" s="184"/>
      <c r="C113" s="184"/>
      <c r="D113" s="184"/>
      <c r="E113" s="184"/>
      <c r="F113" s="184"/>
      <c r="G113" s="184"/>
      <c r="H113" s="184"/>
      <c r="I113" s="184"/>
      <c r="J113" s="184"/>
      <c r="K113" s="184"/>
      <c r="L113" s="184"/>
      <c r="M113" s="184"/>
      <c r="N113" s="184"/>
      <c r="O113" s="184"/>
      <c r="P113" s="184"/>
      <c r="Q113" s="184"/>
      <c r="R113" s="184"/>
      <c r="S113" s="184"/>
      <c r="T113" s="184"/>
      <c r="U113" s="184"/>
      <c r="V113" s="184"/>
      <c r="W113" s="184"/>
      <c r="X113" s="184"/>
      <c r="Y113" s="184"/>
      <c r="Z113" s="184"/>
      <c r="AA113" s="184"/>
      <c r="AB113" s="184"/>
      <c r="AC113" s="184"/>
      <c r="AD113" s="184"/>
      <c r="AE113" s="184"/>
      <c r="AF113" s="184"/>
      <c r="AG113" s="184"/>
      <c r="AH113" s="184"/>
      <c r="AI113" s="184"/>
      <c r="AJ113" s="184"/>
      <c r="AK113" s="184"/>
      <c r="AL113" s="184"/>
      <c r="AM113" s="184"/>
      <c r="AN113" s="184"/>
      <c r="AO113" s="184"/>
      <c r="AP113" s="184"/>
      <c r="AQ113" s="184"/>
      <c r="AR113" s="184"/>
      <c r="AS113" s="184"/>
      <c r="AT113" s="184"/>
      <c r="AU113" s="184"/>
      <c r="AV113" s="184"/>
      <c r="AW113" s="184"/>
      <c r="AX113" s="184"/>
      <c r="AY113" s="184"/>
      <c r="AZ113" s="184"/>
      <c r="BA113" s="184"/>
      <c r="BB113" s="184"/>
      <c r="BC113" s="184"/>
      <c r="BD113" s="184"/>
      <c r="BE113" s="184"/>
      <c r="BF113" s="184"/>
      <c r="BG113" s="184"/>
      <c r="BH113" s="184"/>
      <c r="BI113" s="184"/>
      <c r="BJ113" s="184"/>
      <c r="BK113" s="184"/>
      <c r="BL113" s="184"/>
      <c r="BM113" s="184"/>
      <c r="BN113" s="184"/>
      <c r="BO113" s="184"/>
      <c r="BP113" s="184"/>
      <c r="BQ113" s="184"/>
      <c r="BR113" s="184"/>
      <c r="BS113" s="184"/>
      <c r="BT113" s="184"/>
      <c r="BU113" s="184"/>
      <c r="BV113" s="184"/>
      <c r="BW113" s="184"/>
      <c r="BX113" s="184"/>
      <c r="BY113" s="184"/>
      <c r="BZ113" s="184"/>
      <c r="CA113" s="184"/>
      <c r="CB113" s="184"/>
      <c r="CC113" s="184"/>
      <c r="CD113" s="184"/>
      <c r="CE113" s="184"/>
      <c r="CF113" s="184"/>
      <c r="CG113" s="184"/>
      <c r="CH113" s="184"/>
      <c r="CI113" s="184"/>
      <c r="CJ113" s="184"/>
      <c r="CK113" s="184"/>
      <c r="CL113" s="184"/>
      <c r="CM113" s="184"/>
      <c r="CN113" s="184"/>
      <c r="CO113" s="184"/>
      <c r="CP113" s="184"/>
      <c r="CQ113" s="184"/>
      <c r="CR113" s="184"/>
      <c r="CS113" s="184"/>
      <c r="CT113" s="184"/>
      <c r="CU113" s="184"/>
      <c r="CV113" s="184"/>
      <c r="CW113" s="184"/>
      <c r="CX113" s="184"/>
      <c r="CY113" s="184"/>
      <c r="CZ113" s="184"/>
      <c r="DA113" s="184"/>
      <c r="DB113" s="184"/>
      <c r="DC113" s="184"/>
      <c r="DD113" s="184"/>
      <c r="DE113" s="184"/>
      <c r="DF113" s="184"/>
      <c r="DG113" s="184"/>
      <c r="DH113" s="184"/>
      <c r="DI113" s="184"/>
      <c r="DJ113" s="184"/>
      <c r="DK113" s="184"/>
      <c r="DL113" s="184"/>
      <c r="DM113" s="184"/>
      <c r="DN113" s="184"/>
      <c r="DO113" s="184"/>
      <c r="DP113" s="184"/>
      <c r="DQ113" s="184"/>
      <c r="DR113" s="184"/>
      <c r="DS113" s="184"/>
      <c r="DT113" s="184"/>
      <c r="DU113" s="184"/>
      <c r="DV113" s="184"/>
      <c r="DW113" s="184"/>
      <c r="DX113" s="184"/>
      <c r="DY113" s="184"/>
      <c r="DZ113" s="184"/>
      <c r="EA113" s="184"/>
      <c r="EB113" s="184"/>
      <c r="EC113" s="184"/>
      <c r="ED113" s="184"/>
      <c r="EE113" s="184"/>
      <c r="EF113" s="184"/>
      <c r="EG113" s="184"/>
      <c r="EH113" s="184"/>
      <c r="EI113" s="184"/>
      <c r="EJ113" s="184"/>
      <c r="EK113" s="184"/>
      <c r="EL113" s="184"/>
      <c r="EM113" s="184"/>
      <c r="EN113" s="184"/>
      <c r="EO113" s="184"/>
      <c r="EP113" s="184"/>
      <c r="EQ113" s="184"/>
      <c r="ER113" s="184"/>
      <c r="ES113" s="184"/>
      <c r="ET113" s="184"/>
      <c r="EU113" s="184"/>
      <c r="EV113" s="184"/>
    </row>
  </sheetData>
  <mergeCells count="71">
    <mergeCell ref="BH3:BV5"/>
    <mergeCell ref="BJ6:BT7"/>
    <mergeCell ref="AS9:BG11"/>
    <mergeCell ref="AU12:BE13"/>
    <mergeCell ref="C9:AC11"/>
    <mergeCell ref="E12:AA13"/>
    <mergeCell ref="AD9:AR11"/>
    <mergeCell ref="AF12:AP13"/>
    <mergeCell ref="AS3:BG5"/>
    <mergeCell ref="AU6:BE7"/>
    <mergeCell ref="BH9:BV11"/>
    <mergeCell ref="BJ12:BT13"/>
    <mergeCell ref="C3:AC5"/>
    <mergeCell ref="AD3:AR5"/>
    <mergeCell ref="E6:AA7"/>
    <mergeCell ref="AF6:AP7"/>
    <mergeCell ref="E18:K19"/>
    <mergeCell ref="C15:M17"/>
    <mergeCell ref="O15:Y17"/>
    <mergeCell ref="Q18:W19"/>
    <mergeCell ref="I28:M31"/>
    <mergeCell ref="O28:S31"/>
    <mergeCell ref="C33:G36"/>
    <mergeCell ref="I33:M36"/>
    <mergeCell ref="O33:S36"/>
    <mergeCell ref="U33:Y36"/>
    <mergeCell ref="C28:G31"/>
    <mergeCell ref="C53:G56"/>
    <mergeCell ref="I53:M56"/>
    <mergeCell ref="O53:S56"/>
    <mergeCell ref="U53:Y56"/>
    <mergeCell ref="O38:S41"/>
    <mergeCell ref="U38:Y41"/>
    <mergeCell ref="C43:G46"/>
    <mergeCell ref="I43:M46"/>
    <mergeCell ref="O43:S46"/>
    <mergeCell ref="U43:Y46"/>
    <mergeCell ref="C38:G41"/>
    <mergeCell ref="I38:M41"/>
    <mergeCell ref="C48:G51"/>
    <mergeCell ref="I48:M51"/>
    <mergeCell ref="BL15:BV17"/>
    <mergeCell ref="BN18:BT19"/>
    <mergeCell ref="AM23:BV31"/>
    <mergeCell ref="O48:S51"/>
    <mergeCell ref="U48:Y51"/>
    <mergeCell ref="U28:Y31"/>
    <mergeCell ref="Z29:AA30"/>
    <mergeCell ref="AA15:AK17"/>
    <mergeCell ref="AC18:AI19"/>
    <mergeCell ref="AN15:AX17"/>
    <mergeCell ref="AP18:AV19"/>
    <mergeCell ref="AZ15:BJ17"/>
    <mergeCell ref="BB18:BH19"/>
    <mergeCell ref="AM21:BB22"/>
    <mergeCell ref="Z34:AA35"/>
    <mergeCell ref="Z39:AA40"/>
    <mergeCell ref="Z44:AA45"/>
    <mergeCell ref="Z49:AA50"/>
    <mergeCell ref="AM67:BV75"/>
    <mergeCell ref="I23:M26"/>
    <mergeCell ref="O23:S26"/>
    <mergeCell ref="U23:Y26"/>
    <mergeCell ref="AM43:BB44"/>
    <mergeCell ref="AM45:BV53"/>
    <mergeCell ref="AM54:BB55"/>
    <mergeCell ref="AM56:BV64"/>
    <mergeCell ref="AM65:BB66"/>
    <mergeCell ref="AM34:BV42"/>
    <mergeCell ref="AM32:BB33"/>
    <mergeCell ref="Z54:AA5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DK244"/>
  <sheetViews>
    <sheetView showGridLines="0" showRowColHeaders="0" showOutlineSymbols="0" topLeftCell="AL1" zoomScale="70" zoomScaleNormal="70" zoomScaleSheetLayoutView="100" workbookViewId="0">
      <selection activeCell="CE19" sqref="CE19:CI20"/>
    </sheetView>
  </sheetViews>
  <sheetFormatPr defaultColWidth="0" defaultRowHeight="12" customHeight="1" zeroHeight="1" x14ac:dyDescent="0.2"/>
  <cols>
    <col min="1" max="1" width="0.7109375" style="658" customWidth="1"/>
    <col min="2" max="99" width="2.5703125" style="658" customWidth="1"/>
    <col min="100" max="100" width="0.7109375" style="658" customWidth="1"/>
    <col min="101" max="16384" width="2.5703125" style="658" hidden="1"/>
  </cols>
  <sheetData>
    <row r="1" spans="1:100" s="643" customFormat="1" ht="3.75" customHeight="1" x14ac:dyDescent="0.2">
      <c r="A1" s="641"/>
      <c r="B1" s="641"/>
      <c r="C1" s="641"/>
      <c r="D1" s="641"/>
      <c r="E1" s="641"/>
      <c r="F1" s="641"/>
      <c r="G1" s="641"/>
      <c r="H1" s="641"/>
      <c r="I1" s="641"/>
      <c r="J1" s="641"/>
      <c r="K1" s="641"/>
      <c r="L1" s="641"/>
      <c r="M1" s="641"/>
      <c r="N1" s="641"/>
      <c r="O1" s="641"/>
      <c r="P1" s="641"/>
      <c r="Q1" s="641"/>
      <c r="R1" s="641"/>
      <c r="S1" s="641"/>
      <c r="T1" s="641"/>
      <c r="U1" s="641"/>
      <c r="V1" s="641"/>
      <c r="W1" s="641"/>
      <c r="X1" s="641"/>
      <c r="Y1" s="641"/>
      <c r="Z1" s="641"/>
      <c r="AA1" s="641"/>
      <c r="AB1" s="641"/>
      <c r="AC1" s="641"/>
      <c r="AD1" s="641"/>
      <c r="AE1" s="641"/>
      <c r="AF1" s="641"/>
      <c r="AG1" s="641"/>
      <c r="AH1" s="641"/>
      <c r="AI1" s="641"/>
      <c r="AJ1" s="641"/>
      <c r="AK1" s="641"/>
      <c r="AL1" s="641"/>
      <c r="AM1" s="641"/>
      <c r="AN1" s="641"/>
      <c r="AO1" s="641"/>
      <c r="AP1" s="641"/>
      <c r="AQ1" s="641"/>
      <c r="AR1" s="641"/>
      <c r="AS1" s="641"/>
      <c r="AT1" s="641"/>
      <c r="AU1" s="641"/>
      <c r="AV1" s="641"/>
      <c r="AW1" s="641"/>
      <c r="AX1" s="641"/>
      <c r="AY1" s="641"/>
      <c r="AZ1" s="641"/>
      <c r="BA1" s="641"/>
      <c r="BB1" s="641"/>
      <c r="BC1" s="641"/>
      <c r="BD1" s="641"/>
      <c r="BE1" s="641"/>
      <c r="BF1" s="641"/>
      <c r="BG1" s="641"/>
      <c r="BH1" s="641"/>
      <c r="BI1" s="641"/>
      <c r="BJ1" s="641"/>
      <c r="BK1" s="641"/>
      <c r="BL1" s="641"/>
      <c r="BM1" s="641"/>
      <c r="BN1" s="642"/>
      <c r="BO1" s="642"/>
      <c r="BP1" s="642"/>
      <c r="BQ1" s="642"/>
      <c r="BR1" s="642"/>
      <c r="BS1" s="642"/>
      <c r="BT1" s="642"/>
      <c r="BU1" s="642"/>
      <c r="BV1" s="642"/>
      <c r="BW1" s="642"/>
      <c r="BX1" s="642"/>
      <c r="BY1" s="642"/>
      <c r="BZ1" s="641"/>
      <c r="CA1" s="642"/>
      <c r="CB1" s="641"/>
      <c r="CC1" s="641"/>
      <c r="CD1" s="641"/>
      <c r="CE1" s="641"/>
      <c r="CF1" s="641"/>
      <c r="CG1" s="641"/>
      <c r="CH1" s="641"/>
      <c r="CI1" s="641"/>
      <c r="CJ1" s="641"/>
      <c r="CK1" s="641"/>
      <c r="CL1" s="641"/>
      <c r="CM1" s="641"/>
      <c r="CN1" s="641"/>
      <c r="CO1" s="641"/>
      <c r="CP1" s="642"/>
      <c r="CQ1" s="642"/>
      <c r="CR1" s="642"/>
      <c r="CS1" s="642"/>
      <c r="CT1" s="642"/>
      <c r="CU1" s="642"/>
      <c r="CV1" s="642"/>
    </row>
    <row r="2" spans="1:100" s="643" customFormat="1" ht="12" customHeight="1" x14ac:dyDescent="0.4">
      <c r="A2" s="641"/>
      <c r="B2" s="1302"/>
      <c r="C2" s="1302"/>
      <c r="D2" s="1302"/>
      <c r="E2" s="1302"/>
      <c r="F2" s="1302"/>
      <c r="G2" s="1302"/>
      <c r="H2" s="1302"/>
      <c r="I2" s="1302"/>
      <c r="J2" s="1302"/>
      <c r="K2" s="1302"/>
      <c r="L2" s="1302"/>
      <c r="M2" s="1302"/>
      <c r="N2" s="1302"/>
      <c r="O2" s="1302"/>
      <c r="P2" s="1302"/>
      <c r="Q2" s="1302"/>
      <c r="R2" s="1302"/>
      <c r="S2" s="1302"/>
      <c r="T2" s="1302"/>
      <c r="U2" s="1302"/>
      <c r="V2" s="1302"/>
      <c r="W2" s="1302"/>
      <c r="X2" s="1302"/>
      <c r="Y2" s="1302"/>
      <c r="Z2" s="1302"/>
      <c r="AA2" s="1302"/>
      <c r="AB2" s="1302"/>
      <c r="AC2" s="1302"/>
      <c r="AD2" s="644"/>
      <c r="AE2" s="1298"/>
      <c r="AF2" s="1298"/>
      <c r="AG2" s="1298"/>
      <c r="AH2" s="1298"/>
      <c r="AI2" s="1298"/>
      <c r="AJ2" s="1298"/>
      <c r="AK2" s="1298"/>
      <c r="AL2" s="1298"/>
      <c r="AM2" s="1298"/>
      <c r="AN2" s="1298"/>
      <c r="AO2" s="1298"/>
      <c r="AP2" s="1298"/>
      <c r="AQ2" s="1298"/>
      <c r="AR2" s="1298"/>
      <c r="AS2" s="1298"/>
      <c r="AT2" s="1298"/>
      <c r="AU2" s="1298"/>
      <c r="AV2" s="1298"/>
      <c r="AW2" s="645"/>
      <c r="AX2" s="1304"/>
      <c r="AY2" s="1304"/>
      <c r="AZ2" s="1304"/>
      <c r="BA2" s="1304"/>
      <c r="BB2" s="1304"/>
      <c r="BC2" s="1304"/>
      <c r="BD2" s="1304"/>
      <c r="BE2" s="1304"/>
      <c r="BF2" s="1304"/>
      <c r="BG2" s="1304"/>
      <c r="BH2" s="1304"/>
      <c r="BI2" s="645"/>
      <c r="BJ2" s="1304"/>
      <c r="BK2" s="1304"/>
      <c r="BL2" s="1304"/>
      <c r="BM2" s="1304"/>
      <c r="BN2" s="1304"/>
      <c r="BO2" s="1304"/>
      <c r="BP2" s="1304"/>
      <c r="BQ2" s="1304"/>
      <c r="BR2" s="1304"/>
      <c r="BS2" s="1304"/>
      <c r="BT2" s="1304"/>
      <c r="BU2" s="645"/>
      <c r="BV2" s="1296"/>
      <c r="BW2" s="1296"/>
      <c r="BX2" s="1296"/>
      <c r="BY2" s="1296"/>
      <c r="BZ2" s="1296"/>
      <c r="CA2" s="1296"/>
      <c r="CB2" s="1296"/>
      <c r="CC2" s="1296"/>
      <c r="CD2" s="1296"/>
      <c r="CE2" s="1296"/>
      <c r="CF2" s="1296"/>
      <c r="CG2" s="1296"/>
      <c r="CH2" s="1296"/>
      <c r="CI2" s="1296"/>
      <c r="CJ2" s="1296"/>
      <c r="CK2" s="1296"/>
      <c r="CL2" s="1296"/>
      <c r="CM2" s="1296"/>
      <c r="CN2" s="641"/>
      <c r="CO2" s="641"/>
      <c r="CP2" s="642"/>
      <c r="CQ2" s="642"/>
      <c r="CR2" s="642"/>
      <c r="CS2" s="642"/>
      <c r="CT2" s="642"/>
      <c r="CU2" s="642"/>
      <c r="CV2" s="642"/>
    </row>
    <row r="3" spans="1:100" s="643" customFormat="1" ht="12" customHeight="1" thickBot="1" x14ac:dyDescent="0.25">
      <c r="A3" s="641"/>
      <c r="B3" s="1303"/>
      <c r="C3" s="1303"/>
      <c r="D3" s="1303"/>
      <c r="E3" s="1303"/>
      <c r="F3" s="1303"/>
      <c r="G3" s="1303"/>
      <c r="H3" s="1303"/>
      <c r="I3" s="1303"/>
      <c r="J3" s="1303"/>
      <c r="K3" s="1303"/>
      <c r="L3" s="1303"/>
      <c r="M3" s="1303"/>
      <c r="N3" s="1303"/>
      <c r="O3" s="1303"/>
      <c r="P3" s="1303"/>
      <c r="Q3" s="1303"/>
      <c r="R3" s="1303"/>
      <c r="S3" s="1303"/>
      <c r="T3" s="1303"/>
      <c r="U3" s="1303"/>
      <c r="V3" s="1303"/>
      <c r="W3" s="1303"/>
      <c r="X3" s="1303"/>
      <c r="Y3" s="1303"/>
      <c r="Z3" s="1303"/>
      <c r="AA3" s="1303"/>
      <c r="AB3" s="1303"/>
      <c r="AC3" s="1303"/>
      <c r="AD3" s="646"/>
      <c r="AE3" s="1299"/>
      <c r="AF3" s="1299"/>
      <c r="AG3" s="1299"/>
      <c r="AH3" s="1299"/>
      <c r="AI3" s="1299"/>
      <c r="AJ3" s="1299"/>
      <c r="AK3" s="1299"/>
      <c r="AL3" s="1299"/>
      <c r="AM3" s="1299"/>
      <c r="AN3" s="1299"/>
      <c r="AO3" s="1299"/>
      <c r="AP3" s="1299"/>
      <c r="AQ3" s="1299"/>
      <c r="AR3" s="1299"/>
      <c r="AS3" s="1299"/>
      <c r="AT3" s="1299"/>
      <c r="AU3" s="1299"/>
      <c r="AV3" s="1299"/>
      <c r="AW3" s="645"/>
      <c r="AX3" s="1305"/>
      <c r="AY3" s="1305"/>
      <c r="AZ3" s="1305"/>
      <c r="BA3" s="1305"/>
      <c r="BB3" s="1305"/>
      <c r="BC3" s="1305"/>
      <c r="BD3" s="1305"/>
      <c r="BE3" s="1305"/>
      <c r="BF3" s="1305"/>
      <c r="BG3" s="1305"/>
      <c r="BH3" s="1305"/>
      <c r="BI3" s="645"/>
      <c r="BJ3" s="1305"/>
      <c r="BK3" s="1305"/>
      <c r="BL3" s="1305"/>
      <c r="BM3" s="1305"/>
      <c r="BN3" s="1305"/>
      <c r="BO3" s="1305"/>
      <c r="BP3" s="1305"/>
      <c r="BQ3" s="1305"/>
      <c r="BR3" s="1305"/>
      <c r="BS3" s="1305"/>
      <c r="BT3" s="1305"/>
      <c r="BU3" s="645"/>
      <c r="BV3" s="1297"/>
      <c r="BW3" s="1297"/>
      <c r="BX3" s="1297"/>
      <c r="BY3" s="1297"/>
      <c r="BZ3" s="1297"/>
      <c r="CA3" s="1297"/>
      <c r="CB3" s="1297"/>
      <c r="CC3" s="1297"/>
      <c r="CD3" s="1297"/>
      <c r="CE3" s="1297"/>
      <c r="CF3" s="1297"/>
      <c r="CG3" s="1297"/>
      <c r="CH3" s="1297"/>
      <c r="CI3" s="1297"/>
      <c r="CJ3" s="1297"/>
      <c r="CK3" s="1297"/>
      <c r="CL3" s="1297"/>
      <c r="CM3" s="1297"/>
      <c r="CN3" s="641"/>
      <c r="CO3" s="641"/>
      <c r="CP3" s="641"/>
      <c r="CQ3" s="641"/>
      <c r="CR3" s="641"/>
      <c r="CS3" s="641"/>
      <c r="CT3" s="641"/>
      <c r="CU3" s="641"/>
      <c r="CV3" s="642"/>
    </row>
    <row r="4" spans="1:100" s="643" customFormat="1" ht="12" customHeight="1" x14ac:dyDescent="0.2">
      <c r="A4" s="641"/>
      <c r="B4" s="647" t="s">
        <v>7171</v>
      </c>
      <c r="C4" s="647"/>
      <c r="D4" s="647"/>
      <c r="E4" s="647"/>
      <c r="F4" s="647"/>
      <c r="G4" s="647"/>
      <c r="H4" s="647"/>
      <c r="I4" s="647"/>
      <c r="J4" s="647"/>
      <c r="K4" s="647"/>
      <c r="L4" s="647"/>
      <c r="M4" s="647"/>
      <c r="N4" s="647"/>
      <c r="O4" s="647"/>
      <c r="P4" s="647"/>
      <c r="Q4" s="647"/>
      <c r="R4" s="647"/>
      <c r="S4" s="647"/>
      <c r="T4" s="647"/>
      <c r="U4" s="647"/>
      <c r="V4" s="647"/>
      <c r="W4" s="647"/>
      <c r="X4" s="647"/>
      <c r="Y4" s="647"/>
      <c r="Z4" s="647"/>
      <c r="AA4" s="647"/>
      <c r="AB4" s="647"/>
      <c r="AC4" s="647"/>
      <c r="AD4" s="645"/>
      <c r="AE4" s="647" t="s">
        <v>7172</v>
      </c>
      <c r="AF4" s="647"/>
      <c r="AG4" s="647"/>
      <c r="AH4" s="647"/>
      <c r="AI4" s="647"/>
      <c r="AJ4" s="647"/>
      <c r="AK4" s="647"/>
      <c r="AL4" s="647"/>
      <c r="AM4" s="647"/>
      <c r="AN4" s="647"/>
      <c r="AO4" s="647"/>
      <c r="AP4" s="647"/>
      <c r="AQ4" s="647"/>
      <c r="AR4" s="647"/>
      <c r="AS4" s="647"/>
      <c r="AT4" s="647"/>
      <c r="AU4" s="647"/>
      <c r="AV4" s="647"/>
      <c r="AW4" s="645"/>
      <c r="AX4" s="647" t="s">
        <v>7173</v>
      </c>
      <c r="AY4" s="647"/>
      <c r="AZ4" s="647"/>
      <c r="BA4" s="647"/>
      <c r="BB4" s="647"/>
      <c r="BC4" s="647"/>
      <c r="BD4" s="647"/>
      <c r="BE4" s="647"/>
      <c r="BF4" s="647"/>
      <c r="BG4" s="647"/>
      <c r="BH4" s="647"/>
      <c r="BI4" s="645"/>
      <c r="BJ4" s="648" t="s">
        <v>7174</v>
      </c>
      <c r="BK4" s="645"/>
      <c r="BL4" s="645"/>
      <c r="BM4" s="645"/>
      <c r="BN4" s="649"/>
      <c r="BO4" s="649"/>
      <c r="BP4" s="649"/>
      <c r="BQ4" s="649"/>
      <c r="BR4" s="649"/>
      <c r="BS4" s="645"/>
      <c r="BT4" s="645"/>
      <c r="BU4" s="645"/>
      <c r="BV4" s="648" t="s">
        <v>7175</v>
      </c>
      <c r="BW4" s="648"/>
      <c r="BX4" s="648"/>
      <c r="BY4" s="648"/>
      <c r="BZ4" s="648"/>
      <c r="CA4" s="648"/>
      <c r="CB4" s="648"/>
      <c r="CC4" s="648"/>
      <c r="CD4" s="648"/>
      <c r="CE4" s="648"/>
      <c r="CF4" s="648"/>
      <c r="CG4" s="648"/>
      <c r="CH4" s="648"/>
      <c r="CI4" s="648"/>
      <c r="CJ4" s="648"/>
      <c r="CK4" s="648"/>
      <c r="CL4" s="648"/>
      <c r="CM4" s="641"/>
      <c r="CN4" s="641"/>
      <c r="CO4" s="641"/>
      <c r="CP4" s="641"/>
      <c r="CQ4" s="641"/>
      <c r="CR4" s="641"/>
      <c r="CS4" s="641"/>
      <c r="CT4" s="641"/>
      <c r="CU4" s="641"/>
      <c r="CV4" s="642"/>
    </row>
    <row r="5" spans="1:100" s="643" customFormat="1" ht="12" customHeight="1" x14ac:dyDescent="0.2">
      <c r="A5" s="641"/>
      <c r="B5" s="648"/>
      <c r="C5" s="645"/>
      <c r="D5" s="645"/>
      <c r="E5" s="645"/>
      <c r="F5" s="645"/>
      <c r="G5" s="645"/>
      <c r="H5" s="645"/>
      <c r="I5" s="645"/>
      <c r="J5" s="645"/>
      <c r="K5" s="645"/>
      <c r="L5" s="645"/>
      <c r="M5" s="645"/>
      <c r="N5" s="645"/>
      <c r="O5" s="645"/>
      <c r="P5" s="645"/>
      <c r="Q5" s="641"/>
      <c r="R5" s="641"/>
      <c r="S5" s="641"/>
      <c r="T5" s="641"/>
      <c r="U5" s="641"/>
      <c r="V5" s="645"/>
      <c r="W5" s="645"/>
      <c r="X5" s="645"/>
      <c r="Y5" s="645"/>
      <c r="Z5" s="645"/>
      <c r="AA5" s="645"/>
      <c r="AB5" s="645"/>
      <c r="AC5" s="645"/>
      <c r="AD5" s="645"/>
      <c r="AE5" s="650"/>
      <c r="AF5" s="650"/>
      <c r="AG5" s="650"/>
      <c r="AH5" s="650"/>
      <c r="AI5" s="650"/>
      <c r="AJ5" s="650"/>
      <c r="AK5" s="650"/>
      <c r="AL5" s="650"/>
      <c r="AM5" s="650"/>
      <c r="AN5" s="650"/>
      <c r="AO5" s="650"/>
      <c r="AP5" s="650"/>
      <c r="AQ5" s="650"/>
      <c r="AR5" s="650"/>
      <c r="AS5" s="650"/>
      <c r="AT5" s="650"/>
      <c r="AU5" s="650"/>
      <c r="AV5" s="650"/>
      <c r="AW5" s="645"/>
      <c r="AX5" s="648"/>
      <c r="AY5" s="645"/>
      <c r="AZ5" s="645"/>
      <c r="BA5" s="645"/>
      <c r="BB5" s="645"/>
      <c r="BC5" s="645"/>
      <c r="BD5" s="645"/>
      <c r="BE5" s="645"/>
      <c r="BF5" s="645"/>
      <c r="BG5" s="645"/>
      <c r="BH5" s="645"/>
      <c r="BI5" s="645"/>
      <c r="BJ5" s="648"/>
      <c r="BK5" s="645"/>
      <c r="BL5" s="645"/>
      <c r="BM5" s="645"/>
      <c r="BN5" s="649"/>
      <c r="BO5" s="649"/>
      <c r="BP5" s="649"/>
      <c r="BQ5" s="649"/>
      <c r="BR5" s="649"/>
      <c r="BS5" s="645"/>
      <c r="BT5" s="645"/>
      <c r="BU5" s="645"/>
      <c r="BV5" s="650"/>
      <c r="BW5" s="650"/>
      <c r="BX5" s="650"/>
      <c r="BY5" s="650"/>
      <c r="BZ5" s="650"/>
      <c r="CA5" s="650"/>
      <c r="CB5" s="650"/>
      <c r="CC5" s="650"/>
      <c r="CD5" s="650"/>
      <c r="CE5" s="650"/>
      <c r="CF5" s="650"/>
      <c r="CG5" s="650"/>
      <c r="CH5" s="650"/>
      <c r="CI5" s="650"/>
      <c r="CJ5" s="650"/>
      <c r="CK5" s="650"/>
      <c r="CL5" s="650"/>
      <c r="CM5" s="641"/>
      <c r="CN5" s="641"/>
      <c r="CO5" s="641"/>
      <c r="CP5" s="651"/>
      <c r="CQ5" s="641"/>
      <c r="CR5" s="641"/>
      <c r="CS5" s="641"/>
      <c r="CT5" s="641"/>
      <c r="CU5" s="641"/>
      <c r="CV5" s="642"/>
    </row>
    <row r="6" spans="1:100" s="643" customFormat="1" ht="12" customHeight="1" x14ac:dyDescent="0.2">
      <c r="A6" s="641"/>
      <c r="B6" s="1296"/>
      <c r="C6" s="1296"/>
      <c r="D6" s="1296"/>
      <c r="E6" s="1296"/>
      <c r="F6" s="1296"/>
      <c r="G6" s="1296"/>
      <c r="H6" s="1296"/>
      <c r="I6" s="1296"/>
      <c r="J6" s="1296"/>
      <c r="K6" s="1296"/>
      <c r="L6" s="1296"/>
      <c r="M6" s="1296"/>
      <c r="N6" s="1296"/>
      <c r="O6" s="1296"/>
      <c r="P6" s="1296"/>
      <c r="Q6" s="1296"/>
      <c r="R6" s="1296"/>
      <c r="S6" s="1296"/>
      <c r="T6" s="1296"/>
      <c r="U6" s="1296"/>
      <c r="V6" s="1296"/>
      <c r="W6" s="1296"/>
      <c r="X6" s="1296"/>
      <c r="Y6" s="645"/>
      <c r="Z6" s="1296"/>
      <c r="AA6" s="1296"/>
      <c r="AB6" s="1296"/>
      <c r="AC6" s="1296"/>
      <c r="AD6" s="1296"/>
      <c r="AE6" s="1296"/>
      <c r="AF6" s="1296"/>
      <c r="AG6" s="1296"/>
      <c r="AH6" s="1296"/>
      <c r="AI6" s="1296"/>
      <c r="AJ6" s="1296"/>
      <c r="AK6" s="1296"/>
      <c r="AL6" s="1296"/>
      <c r="AM6" s="1296"/>
      <c r="AN6" s="1296"/>
      <c r="AO6" s="1296"/>
      <c r="AP6" s="1296"/>
      <c r="AQ6" s="1296"/>
      <c r="AR6" s="1296"/>
      <c r="AS6" s="1296"/>
      <c r="AT6" s="1296"/>
      <c r="AU6" s="1296"/>
      <c r="AV6" s="1296"/>
      <c r="AW6" s="1296"/>
      <c r="AX6" s="1296"/>
      <c r="AY6" s="1296"/>
      <c r="AZ6" s="1296"/>
      <c r="BA6" s="1296"/>
      <c r="BB6" s="645"/>
      <c r="BC6" s="1298"/>
      <c r="BD6" s="1298"/>
      <c r="BE6" s="1298"/>
      <c r="BF6" s="1298"/>
      <c r="BG6" s="1298"/>
      <c r="BH6" s="1298"/>
      <c r="BI6" s="1298"/>
      <c r="BJ6" s="1298"/>
      <c r="BK6" s="1298"/>
      <c r="BL6" s="1298"/>
      <c r="BM6" s="1298"/>
      <c r="BN6" s="1298"/>
      <c r="BO6" s="1298"/>
      <c r="BP6" s="1298"/>
      <c r="BQ6" s="1298"/>
      <c r="BR6" s="645"/>
      <c r="BS6" s="1296"/>
      <c r="BT6" s="1296"/>
      <c r="BU6" s="1296"/>
      <c r="BV6" s="1296"/>
      <c r="BW6" s="1296"/>
      <c r="BX6" s="1296"/>
      <c r="BY6" s="1296"/>
      <c r="BZ6" s="1296"/>
      <c r="CA6" s="1296"/>
      <c r="CB6" s="1296"/>
      <c r="CC6" s="1296"/>
      <c r="CD6" s="1296"/>
      <c r="CE6" s="1296"/>
      <c r="CF6" s="1296"/>
      <c r="CG6" s="1296"/>
      <c r="CH6" s="1296"/>
      <c r="CI6" s="1296"/>
      <c r="CJ6" s="1296"/>
      <c r="CK6" s="1296"/>
      <c r="CL6" s="1296"/>
      <c r="CM6" s="1296"/>
      <c r="CN6" s="652"/>
      <c r="CO6" s="652"/>
      <c r="CP6" s="652"/>
      <c r="CQ6" s="652"/>
      <c r="CR6" s="652"/>
      <c r="CS6" s="652"/>
      <c r="CT6" s="652"/>
      <c r="CU6" s="652"/>
      <c r="CV6" s="652"/>
    </row>
    <row r="7" spans="1:100" s="643" customFormat="1" ht="12" customHeight="1" thickBot="1" x14ac:dyDescent="0.25">
      <c r="A7" s="641"/>
      <c r="B7" s="1297"/>
      <c r="C7" s="1297"/>
      <c r="D7" s="1297"/>
      <c r="E7" s="1297"/>
      <c r="F7" s="1297"/>
      <c r="G7" s="1297"/>
      <c r="H7" s="1297"/>
      <c r="I7" s="1297"/>
      <c r="J7" s="1297"/>
      <c r="K7" s="1297"/>
      <c r="L7" s="1297"/>
      <c r="M7" s="1297"/>
      <c r="N7" s="1297"/>
      <c r="O7" s="1297"/>
      <c r="P7" s="1297"/>
      <c r="Q7" s="1297"/>
      <c r="R7" s="1297"/>
      <c r="S7" s="1297"/>
      <c r="T7" s="1297"/>
      <c r="U7" s="1297"/>
      <c r="V7" s="1297"/>
      <c r="W7" s="1297"/>
      <c r="X7" s="1297"/>
      <c r="Y7" s="645"/>
      <c r="Z7" s="1297"/>
      <c r="AA7" s="1297"/>
      <c r="AB7" s="1297"/>
      <c r="AC7" s="1297"/>
      <c r="AD7" s="1297"/>
      <c r="AE7" s="1297"/>
      <c r="AF7" s="1297"/>
      <c r="AG7" s="1297"/>
      <c r="AH7" s="1297"/>
      <c r="AI7" s="1297"/>
      <c r="AJ7" s="1297"/>
      <c r="AK7" s="1297"/>
      <c r="AL7" s="1297"/>
      <c r="AM7" s="1297"/>
      <c r="AN7" s="1297"/>
      <c r="AO7" s="1297"/>
      <c r="AP7" s="1297"/>
      <c r="AQ7" s="1297"/>
      <c r="AR7" s="1297"/>
      <c r="AS7" s="1297"/>
      <c r="AT7" s="1297"/>
      <c r="AU7" s="1297"/>
      <c r="AV7" s="1297"/>
      <c r="AW7" s="1297"/>
      <c r="AX7" s="1297"/>
      <c r="AY7" s="1297"/>
      <c r="AZ7" s="1297"/>
      <c r="BA7" s="1297"/>
      <c r="BB7" s="645"/>
      <c r="BC7" s="1299"/>
      <c r="BD7" s="1299"/>
      <c r="BE7" s="1299"/>
      <c r="BF7" s="1299"/>
      <c r="BG7" s="1299"/>
      <c r="BH7" s="1299"/>
      <c r="BI7" s="1299"/>
      <c r="BJ7" s="1299"/>
      <c r="BK7" s="1299"/>
      <c r="BL7" s="1299"/>
      <c r="BM7" s="1299"/>
      <c r="BN7" s="1299"/>
      <c r="BO7" s="1299"/>
      <c r="BP7" s="1299"/>
      <c r="BQ7" s="1299"/>
      <c r="BR7" s="645"/>
      <c r="BS7" s="1297"/>
      <c r="BT7" s="1297"/>
      <c r="BU7" s="1297"/>
      <c r="BV7" s="1297"/>
      <c r="BW7" s="1297"/>
      <c r="BX7" s="1297"/>
      <c r="BY7" s="1297"/>
      <c r="BZ7" s="1297"/>
      <c r="CA7" s="1297"/>
      <c r="CB7" s="1297"/>
      <c r="CC7" s="1297"/>
      <c r="CD7" s="1297"/>
      <c r="CE7" s="1297"/>
      <c r="CF7" s="1297"/>
      <c r="CG7" s="1297"/>
      <c r="CH7" s="1297"/>
      <c r="CI7" s="1297"/>
      <c r="CJ7" s="1297"/>
      <c r="CK7" s="1297"/>
      <c r="CL7" s="1297"/>
      <c r="CM7" s="1297"/>
      <c r="CN7" s="652"/>
      <c r="CO7" s="652"/>
      <c r="CP7" s="652"/>
      <c r="CQ7" s="652"/>
      <c r="CR7" s="652"/>
      <c r="CS7" s="652"/>
      <c r="CT7" s="652"/>
      <c r="CU7" s="652"/>
      <c r="CV7" s="652"/>
    </row>
    <row r="8" spans="1:100" s="643" customFormat="1" ht="12" customHeight="1" x14ac:dyDescent="0.2">
      <c r="A8" s="641"/>
      <c r="B8" s="648" t="s">
        <v>7176</v>
      </c>
      <c r="C8" s="645"/>
      <c r="D8" s="645"/>
      <c r="E8" s="645"/>
      <c r="F8" s="645"/>
      <c r="G8" s="645"/>
      <c r="H8" s="645"/>
      <c r="I8" s="645"/>
      <c r="J8" s="645"/>
      <c r="K8" s="645"/>
      <c r="L8" s="645"/>
      <c r="M8" s="645"/>
      <c r="N8" s="645"/>
      <c r="O8" s="645"/>
      <c r="P8" s="645"/>
      <c r="Q8" s="645"/>
      <c r="R8" s="645"/>
      <c r="S8" s="645"/>
      <c r="T8" s="645"/>
      <c r="U8" s="645"/>
      <c r="V8" s="645"/>
      <c r="W8" s="645"/>
      <c r="X8" s="645"/>
      <c r="Y8" s="645"/>
      <c r="Z8" s="648" t="s">
        <v>7177</v>
      </c>
      <c r="AA8" s="645"/>
      <c r="AB8" s="645"/>
      <c r="AC8" s="645"/>
      <c r="AD8" s="645"/>
      <c r="AE8" s="645"/>
      <c r="AF8" s="645"/>
      <c r="AG8" s="645"/>
      <c r="AH8" s="645"/>
      <c r="AI8" s="645"/>
      <c r="AJ8" s="645"/>
      <c r="AK8" s="645"/>
      <c r="AL8" s="645"/>
      <c r="AM8" s="645"/>
      <c r="AN8" s="645"/>
      <c r="AO8" s="645"/>
      <c r="AP8" s="645"/>
      <c r="AQ8" s="645"/>
      <c r="AR8" s="645"/>
      <c r="AS8" s="645"/>
      <c r="AT8" s="645"/>
      <c r="AU8" s="645"/>
      <c r="AV8" s="645"/>
      <c r="AW8" s="645"/>
      <c r="AX8" s="645"/>
      <c r="AY8" s="645"/>
      <c r="AZ8" s="645"/>
      <c r="BA8" s="645"/>
      <c r="BB8" s="645"/>
      <c r="BC8" s="648" t="s">
        <v>7178</v>
      </c>
      <c r="BD8" s="645"/>
      <c r="BE8" s="645"/>
      <c r="BF8" s="645"/>
      <c r="BG8" s="645"/>
      <c r="BH8" s="645"/>
      <c r="BI8" s="645"/>
      <c r="BJ8" s="645"/>
      <c r="BK8" s="645"/>
      <c r="BL8" s="645"/>
      <c r="BM8" s="645"/>
      <c r="BN8" s="645"/>
      <c r="BO8" s="645"/>
      <c r="BP8" s="645"/>
      <c r="BQ8" s="645"/>
      <c r="BR8" s="645"/>
      <c r="BS8" s="648" t="s">
        <v>7179</v>
      </c>
      <c r="BT8" s="648"/>
      <c r="BU8" s="648"/>
      <c r="BV8" s="648"/>
      <c r="BW8" s="648"/>
      <c r="BX8" s="648"/>
      <c r="BY8" s="648"/>
      <c r="BZ8" s="648"/>
      <c r="CA8" s="648"/>
      <c r="CB8" s="648"/>
      <c r="CC8" s="648"/>
      <c r="CD8" s="648"/>
      <c r="CE8" s="648"/>
      <c r="CF8" s="648"/>
      <c r="CG8" s="648"/>
      <c r="CH8" s="648"/>
      <c r="CI8" s="648"/>
      <c r="CJ8" s="648"/>
      <c r="CK8" s="648"/>
      <c r="CL8" s="648"/>
      <c r="CM8" s="641"/>
      <c r="CN8" s="641"/>
      <c r="CO8" s="641"/>
      <c r="CP8" s="641"/>
      <c r="CQ8" s="641"/>
      <c r="CR8" s="642"/>
      <c r="CS8" s="642"/>
      <c r="CT8" s="642"/>
      <c r="CU8" s="642"/>
      <c r="CV8" s="642"/>
    </row>
    <row r="9" spans="1:100" s="643" customFormat="1" ht="12" customHeight="1" x14ac:dyDescent="0.3">
      <c r="A9" s="641"/>
      <c r="B9" s="641"/>
      <c r="C9" s="641"/>
      <c r="D9" s="641"/>
      <c r="E9" s="641"/>
      <c r="F9" s="641"/>
      <c r="G9" s="641"/>
      <c r="H9" s="641"/>
      <c r="I9" s="641"/>
      <c r="J9" s="641"/>
      <c r="K9" s="641"/>
      <c r="L9" s="641"/>
      <c r="M9" s="641"/>
      <c r="N9" s="641"/>
      <c r="O9" s="641"/>
      <c r="P9" s="641"/>
      <c r="Q9" s="641"/>
      <c r="R9" s="641"/>
      <c r="S9" s="641"/>
      <c r="T9" s="641"/>
      <c r="U9" s="641"/>
      <c r="V9" s="641"/>
      <c r="W9" s="641"/>
      <c r="X9" s="641"/>
      <c r="Y9" s="641"/>
      <c r="Z9" s="641"/>
      <c r="AA9" s="641"/>
      <c r="AB9" s="641"/>
      <c r="AC9" s="641"/>
      <c r="AD9" s="641"/>
      <c r="AE9" s="641"/>
      <c r="AF9" s="641"/>
      <c r="AG9" s="641"/>
      <c r="AH9" s="641"/>
      <c r="AI9" s="641"/>
      <c r="AJ9" s="641"/>
      <c r="AK9" s="641"/>
      <c r="AL9" s="641"/>
      <c r="AM9" s="641"/>
      <c r="AN9" s="641"/>
      <c r="AO9" s="641"/>
      <c r="AP9" s="641"/>
      <c r="AQ9" s="641"/>
      <c r="AR9" s="641"/>
      <c r="AS9" s="641"/>
      <c r="AT9" s="641"/>
      <c r="AU9" s="641"/>
      <c r="AV9" s="641"/>
      <c r="AW9" s="641"/>
      <c r="AX9" s="641"/>
      <c r="AY9" s="641"/>
      <c r="AZ9" s="641"/>
      <c r="BA9" s="641"/>
      <c r="BB9" s="641"/>
      <c r="BC9" s="641"/>
      <c r="BD9" s="641"/>
      <c r="BE9" s="641"/>
      <c r="BF9" s="641"/>
      <c r="BG9" s="641"/>
      <c r="BH9" s="641"/>
      <c r="BI9" s="641"/>
      <c r="BJ9" s="641"/>
      <c r="BK9" s="641"/>
      <c r="BL9" s="641"/>
      <c r="BM9" s="641"/>
      <c r="BN9" s="641"/>
      <c r="BO9" s="641"/>
      <c r="BP9" s="641"/>
      <c r="BQ9" s="641"/>
      <c r="BR9" s="641"/>
      <c r="BS9" s="641"/>
      <c r="BT9" s="641"/>
      <c r="BU9" s="641"/>
      <c r="BV9" s="641"/>
      <c r="BW9" s="641"/>
      <c r="BX9" s="641"/>
      <c r="BY9" s="641"/>
      <c r="BZ9" s="641"/>
      <c r="CA9" s="641"/>
      <c r="CB9" s="641"/>
      <c r="CC9" s="641"/>
      <c r="CD9" s="641"/>
      <c r="CE9" s="641"/>
      <c r="CF9" s="641"/>
      <c r="CG9" s="641"/>
      <c r="CH9" s="641"/>
      <c r="CI9" s="641"/>
      <c r="CJ9" s="653"/>
      <c r="CK9" s="653"/>
      <c r="CL9" s="653"/>
      <c r="CM9" s="653"/>
      <c r="CN9" s="653"/>
      <c r="CO9" s="653"/>
      <c r="CP9" s="653"/>
      <c r="CQ9" s="653"/>
      <c r="CR9" s="653"/>
      <c r="CS9" s="653"/>
      <c r="CT9" s="653"/>
      <c r="CU9" s="653"/>
      <c r="CV9" s="653"/>
    </row>
    <row r="10" spans="1:100" s="643" customFormat="1" ht="12" customHeight="1" x14ac:dyDescent="0.3">
      <c r="A10" s="641"/>
      <c r="B10" s="1296"/>
      <c r="C10" s="1296"/>
      <c r="D10" s="1296"/>
      <c r="E10" s="645"/>
      <c r="F10" s="1296"/>
      <c r="G10" s="1296"/>
      <c r="H10" s="1296"/>
      <c r="I10" s="1296"/>
      <c r="J10" s="1296"/>
      <c r="K10" s="1296"/>
      <c r="L10" s="1296"/>
      <c r="M10" s="1296"/>
      <c r="N10" s="1296"/>
      <c r="O10" s="1296"/>
      <c r="P10" s="1296"/>
      <c r="Q10" s="1296"/>
      <c r="R10" s="1296"/>
      <c r="S10" s="1296"/>
      <c r="T10" s="1296"/>
      <c r="U10" s="654"/>
      <c r="V10" s="1298"/>
      <c r="W10" s="1298"/>
      <c r="X10" s="1298"/>
      <c r="Y10" s="1298"/>
      <c r="Z10" s="1298"/>
      <c r="AA10" s="1298"/>
      <c r="AB10" s="654"/>
      <c r="AC10" s="1298"/>
      <c r="AD10" s="1298"/>
      <c r="AE10" s="1298"/>
      <c r="AF10" s="1298"/>
      <c r="AG10" s="1298"/>
      <c r="AH10" s="1298"/>
      <c r="AI10" s="654"/>
      <c r="AJ10" s="1300"/>
      <c r="AK10" s="1300"/>
      <c r="AL10" s="1300"/>
      <c r="AM10" s="1300"/>
      <c r="AN10" s="1300"/>
      <c r="AO10" s="654"/>
      <c r="AP10" s="1298"/>
      <c r="AQ10" s="1298"/>
      <c r="AR10" s="1298"/>
      <c r="AS10" s="1298"/>
      <c r="AT10" s="1298"/>
      <c r="AU10" s="654"/>
      <c r="AV10" s="1292"/>
      <c r="AW10" s="1292"/>
      <c r="AX10" s="1292"/>
      <c r="AY10" s="1292"/>
      <c r="AZ10" s="1292"/>
      <c r="BA10" s="1292"/>
      <c r="BB10" s="641"/>
      <c r="BC10" s="1294"/>
      <c r="BD10" s="1294"/>
      <c r="BE10" s="1294"/>
      <c r="BF10" s="1294"/>
      <c r="BG10" s="1294"/>
      <c r="BH10" s="1294"/>
      <c r="BI10" s="1294"/>
      <c r="BJ10" s="1294"/>
      <c r="BK10" s="1294"/>
      <c r="BL10" s="1294"/>
      <c r="BM10" s="1294"/>
      <c r="BN10" s="641"/>
      <c r="BO10" s="1296"/>
      <c r="BP10" s="1296"/>
      <c r="BQ10" s="1296"/>
      <c r="BR10" s="1296"/>
      <c r="BS10" s="1296"/>
      <c r="BT10" s="1296"/>
      <c r="BU10" s="1296"/>
      <c r="BV10" s="1296"/>
      <c r="BW10" s="1296"/>
      <c r="BX10" s="1296"/>
      <c r="BY10" s="1296"/>
      <c r="BZ10" s="1296"/>
      <c r="CA10" s="641"/>
      <c r="CB10" s="1296"/>
      <c r="CC10" s="1296"/>
      <c r="CD10" s="1296"/>
      <c r="CE10" s="1296"/>
      <c r="CF10" s="1296"/>
      <c r="CG10" s="1296"/>
      <c r="CH10" s="1296"/>
      <c r="CI10" s="1296"/>
      <c r="CJ10" s="1296"/>
      <c r="CK10" s="1296"/>
      <c r="CL10" s="1296"/>
      <c r="CM10" s="1296"/>
      <c r="CN10" s="653"/>
      <c r="CO10" s="653"/>
      <c r="CP10" s="653"/>
      <c r="CQ10" s="653"/>
      <c r="CR10" s="653"/>
      <c r="CS10" s="653"/>
      <c r="CT10" s="653"/>
      <c r="CU10" s="653"/>
      <c r="CV10" s="653"/>
    </row>
    <row r="11" spans="1:100" s="643" customFormat="1" ht="12" customHeight="1" thickBot="1" x14ac:dyDescent="0.35">
      <c r="A11" s="641"/>
      <c r="B11" s="1297"/>
      <c r="C11" s="1297"/>
      <c r="D11" s="1297"/>
      <c r="E11" s="645"/>
      <c r="F11" s="1297"/>
      <c r="G11" s="1297"/>
      <c r="H11" s="1297"/>
      <c r="I11" s="1297"/>
      <c r="J11" s="1297"/>
      <c r="K11" s="1297"/>
      <c r="L11" s="1297"/>
      <c r="M11" s="1297"/>
      <c r="N11" s="1297"/>
      <c r="O11" s="1297"/>
      <c r="P11" s="1297"/>
      <c r="Q11" s="1297"/>
      <c r="R11" s="1297"/>
      <c r="S11" s="1297"/>
      <c r="T11" s="1297"/>
      <c r="U11" s="654"/>
      <c r="V11" s="1299"/>
      <c r="W11" s="1299"/>
      <c r="X11" s="1299"/>
      <c r="Y11" s="1299"/>
      <c r="Z11" s="1299"/>
      <c r="AA11" s="1299"/>
      <c r="AB11" s="654"/>
      <c r="AC11" s="1299"/>
      <c r="AD11" s="1299"/>
      <c r="AE11" s="1299"/>
      <c r="AF11" s="1299"/>
      <c r="AG11" s="1299"/>
      <c r="AH11" s="1299"/>
      <c r="AI11" s="654"/>
      <c r="AJ11" s="1301"/>
      <c r="AK11" s="1301"/>
      <c r="AL11" s="1301"/>
      <c r="AM11" s="1301"/>
      <c r="AN11" s="1301"/>
      <c r="AO11" s="654"/>
      <c r="AP11" s="1299"/>
      <c r="AQ11" s="1299"/>
      <c r="AR11" s="1299"/>
      <c r="AS11" s="1299"/>
      <c r="AT11" s="1299"/>
      <c r="AU11" s="654"/>
      <c r="AV11" s="1293"/>
      <c r="AW11" s="1293"/>
      <c r="AX11" s="1293"/>
      <c r="AY11" s="1293"/>
      <c r="AZ11" s="1293"/>
      <c r="BA11" s="1293"/>
      <c r="BB11" s="641"/>
      <c r="BC11" s="1295"/>
      <c r="BD11" s="1295"/>
      <c r="BE11" s="1295"/>
      <c r="BF11" s="1295"/>
      <c r="BG11" s="1295"/>
      <c r="BH11" s="1295"/>
      <c r="BI11" s="1295"/>
      <c r="BJ11" s="1295"/>
      <c r="BK11" s="1295"/>
      <c r="BL11" s="1295"/>
      <c r="BM11" s="1295"/>
      <c r="BN11" s="641"/>
      <c r="BO11" s="1297"/>
      <c r="BP11" s="1297"/>
      <c r="BQ11" s="1297"/>
      <c r="BR11" s="1297"/>
      <c r="BS11" s="1297"/>
      <c r="BT11" s="1297"/>
      <c r="BU11" s="1297"/>
      <c r="BV11" s="1297"/>
      <c r="BW11" s="1297"/>
      <c r="BX11" s="1297"/>
      <c r="BY11" s="1297"/>
      <c r="BZ11" s="1297"/>
      <c r="CA11" s="641"/>
      <c r="CB11" s="1297"/>
      <c r="CC11" s="1297"/>
      <c r="CD11" s="1297"/>
      <c r="CE11" s="1297"/>
      <c r="CF11" s="1297"/>
      <c r="CG11" s="1297"/>
      <c r="CH11" s="1297"/>
      <c r="CI11" s="1297"/>
      <c r="CJ11" s="1297"/>
      <c r="CK11" s="1297"/>
      <c r="CL11" s="1297"/>
      <c r="CM11" s="1297"/>
      <c r="CN11" s="653"/>
      <c r="CO11" s="653"/>
      <c r="CP11" s="653"/>
      <c r="CQ11" s="653"/>
      <c r="CR11" s="653"/>
      <c r="CS11" s="653"/>
      <c r="CT11" s="653"/>
      <c r="CU11" s="653"/>
      <c r="CV11" s="653"/>
    </row>
    <row r="12" spans="1:100" s="643" customFormat="1" ht="12" customHeight="1" x14ac:dyDescent="0.2">
      <c r="A12" s="641"/>
      <c r="B12" s="648" t="s">
        <v>6182</v>
      </c>
      <c r="C12" s="645"/>
      <c r="D12" s="645"/>
      <c r="E12" s="645"/>
      <c r="F12" s="648" t="s">
        <v>7180</v>
      </c>
      <c r="G12" s="645"/>
      <c r="H12" s="645"/>
      <c r="I12" s="645"/>
      <c r="J12" s="645"/>
      <c r="K12" s="645"/>
      <c r="L12" s="645"/>
      <c r="M12" s="645"/>
      <c r="N12" s="645"/>
      <c r="O12" s="645"/>
      <c r="P12" s="645"/>
      <c r="Q12" s="645"/>
      <c r="R12" s="645"/>
      <c r="S12" s="645"/>
      <c r="T12" s="645"/>
      <c r="U12" s="645"/>
      <c r="V12" s="648" t="s">
        <v>5884</v>
      </c>
      <c r="W12" s="645"/>
      <c r="X12" s="645"/>
      <c r="Y12" s="645"/>
      <c r="Z12" s="645"/>
      <c r="AA12" s="645"/>
      <c r="AB12" s="645"/>
      <c r="AC12" s="648" t="s">
        <v>7181</v>
      </c>
      <c r="AD12" s="645"/>
      <c r="AE12" s="645"/>
      <c r="AF12" s="645"/>
      <c r="AG12" s="645"/>
      <c r="AH12" s="645"/>
      <c r="AI12" s="645"/>
      <c r="AJ12" s="648" t="s">
        <v>7182</v>
      </c>
      <c r="AK12" s="646"/>
      <c r="AL12" s="646"/>
      <c r="AM12" s="646"/>
      <c r="AN12" s="646"/>
      <c r="AO12" s="645"/>
      <c r="AP12" s="648" t="s">
        <v>7183</v>
      </c>
      <c r="AQ12" s="645"/>
      <c r="AR12" s="645"/>
      <c r="AS12" s="645"/>
      <c r="AT12" s="645"/>
      <c r="AU12" s="645"/>
      <c r="AV12" s="648" t="s">
        <v>7184</v>
      </c>
      <c r="AW12" s="645"/>
      <c r="AX12" s="645"/>
      <c r="AY12" s="645"/>
      <c r="AZ12" s="645"/>
      <c r="BA12" s="645"/>
      <c r="BB12" s="641"/>
      <c r="BC12" s="648" t="s">
        <v>7185</v>
      </c>
      <c r="BD12" s="645"/>
      <c r="BE12" s="645"/>
      <c r="BF12" s="645"/>
      <c r="BG12" s="645"/>
      <c r="BH12" s="645"/>
      <c r="BI12" s="645"/>
      <c r="BJ12" s="645"/>
      <c r="BK12" s="645"/>
      <c r="BL12" s="655"/>
      <c r="BM12" s="655"/>
      <c r="BN12" s="655"/>
      <c r="BO12" s="648" t="s">
        <v>7186</v>
      </c>
      <c r="BP12" s="645"/>
      <c r="BQ12" s="645"/>
      <c r="BR12" s="645"/>
      <c r="BS12" s="645"/>
      <c r="BT12" s="645"/>
      <c r="BU12" s="645"/>
      <c r="BV12" s="645"/>
      <c r="BW12" s="645"/>
      <c r="BX12" s="645"/>
      <c r="BY12" s="641"/>
      <c r="BZ12" s="641"/>
      <c r="CA12" s="641"/>
      <c r="CB12" s="648" t="s">
        <v>7187</v>
      </c>
      <c r="CC12" s="645"/>
      <c r="CD12" s="645"/>
      <c r="CE12" s="645"/>
      <c r="CF12" s="645"/>
      <c r="CG12" s="645"/>
      <c r="CH12" s="645"/>
      <c r="CI12" s="645"/>
      <c r="CJ12" s="645"/>
      <c r="CK12" s="645"/>
      <c r="CL12" s="656"/>
      <c r="CM12" s="656"/>
      <c r="CN12" s="656"/>
      <c r="CO12" s="656"/>
      <c r="CP12" s="656"/>
      <c r="CQ12" s="656"/>
      <c r="CR12" s="656"/>
      <c r="CS12" s="656"/>
      <c r="CT12" s="656"/>
      <c r="CU12" s="656"/>
      <c r="CV12" s="656"/>
    </row>
    <row r="13" spans="1:100" s="643" customFormat="1" ht="12" customHeight="1" x14ac:dyDescent="0.2">
      <c r="A13" s="641"/>
      <c r="B13" s="641"/>
      <c r="C13" s="641"/>
      <c r="D13" s="641"/>
      <c r="E13" s="641"/>
      <c r="F13" s="641"/>
      <c r="G13" s="641"/>
      <c r="H13" s="641"/>
      <c r="I13" s="641"/>
      <c r="J13" s="641"/>
      <c r="K13" s="641"/>
      <c r="L13" s="641"/>
      <c r="M13" s="641"/>
      <c r="N13" s="641"/>
      <c r="O13" s="641"/>
      <c r="P13" s="641"/>
      <c r="Q13" s="641"/>
      <c r="R13" s="641"/>
      <c r="S13" s="641"/>
      <c r="T13" s="641"/>
      <c r="U13" s="641"/>
      <c r="V13" s="641"/>
      <c r="W13" s="641"/>
      <c r="X13" s="641"/>
      <c r="Y13" s="641"/>
      <c r="Z13" s="641"/>
      <c r="AA13" s="641"/>
      <c r="AB13" s="641"/>
      <c r="AC13" s="641"/>
      <c r="AD13" s="641"/>
      <c r="AE13" s="641"/>
      <c r="AF13" s="641"/>
      <c r="AG13" s="641"/>
      <c r="AH13" s="641"/>
      <c r="AI13" s="641"/>
      <c r="AJ13" s="641"/>
      <c r="AK13" s="641"/>
      <c r="AL13" s="641"/>
      <c r="AM13" s="641"/>
      <c r="AN13" s="641"/>
      <c r="AO13" s="641"/>
      <c r="AP13" s="641"/>
      <c r="AQ13" s="641"/>
      <c r="AR13" s="641"/>
      <c r="AS13" s="641"/>
      <c r="AT13" s="641"/>
      <c r="AU13" s="641"/>
      <c r="AV13" s="641"/>
      <c r="AW13" s="641"/>
      <c r="AX13" s="641"/>
      <c r="AY13" s="641"/>
      <c r="AZ13" s="641"/>
      <c r="BA13" s="641"/>
      <c r="BB13" s="641"/>
      <c r="BC13" s="641"/>
      <c r="BD13" s="641"/>
      <c r="BE13" s="641"/>
      <c r="BF13" s="641"/>
      <c r="BG13" s="641"/>
      <c r="BH13" s="641"/>
      <c r="BI13" s="641"/>
      <c r="BJ13" s="641"/>
      <c r="BK13" s="641"/>
      <c r="BL13" s="641"/>
      <c r="BM13" s="641"/>
      <c r="BN13" s="641"/>
      <c r="BO13" s="655"/>
      <c r="BP13" s="655"/>
      <c r="BQ13" s="655"/>
      <c r="BR13" s="655"/>
      <c r="BS13" s="655"/>
      <c r="BT13" s="655"/>
      <c r="BU13" s="641"/>
      <c r="BV13" s="641"/>
      <c r="BW13" s="641"/>
      <c r="BX13" s="641"/>
      <c r="BY13" s="641"/>
      <c r="BZ13" s="641"/>
      <c r="CA13" s="641"/>
      <c r="CB13" s="641"/>
      <c r="CC13" s="641"/>
      <c r="CD13" s="641"/>
      <c r="CE13" s="641"/>
      <c r="CF13" s="641"/>
      <c r="CG13" s="641"/>
      <c r="CH13" s="641"/>
      <c r="CI13" s="656"/>
      <c r="CJ13" s="656"/>
      <c r="CK13" s="656"/>
      <c r="CL13" s="656"/>
      <c r="CM13" s="656"/>
      <c r="CN13" s="656"/>
      <c r="CO13" s="656"/>
      <c r="CP13" s="656"/>
      <c r="CQ13" s="656"/>
      <c r="CR13" s="656"/>
      <c r="CS13" s="656"/>
      <c r="CT13" s="656"/>
      <c r="CU13" s="656"/>
      <c r="CV13" s="656"/>
    </row>
    <row r="14" spans="1:100" s="643" customFormat="1" ht="12" customHeight="1" x14ac:dyDescent="0.2">
      <c r="A14" s="641"/>
      <c r="B14" s="1073" t="s">
        <v>7188</v>
      </c>
      <c r="C14" s="1073"/>
      <c r="D14" s="1073"/>
      <c r="E14" s="1073"/>
      <c r="F14" s="1073"/>
      <c r="G14" s="1073"/>
      <c r="H14" s="1073"/>
      <c r="I14" s="1073"/>
      <c r="J14" s="1073"/>
      <c r="K14" s="1073"/>
      <c r="L14" s="1073"/>
      <c r="M14" s="1073"/>
      <c r="N14" s="1073"/>
      <c r="O14" s="1073"/>
      <c r="P14" s="1073"/>
      <c r="Q14" s="1073"/>
      <c r="R14" s="1073"/>
      <c r="S14" s="1073"/>
      <c r="T14" s="1073"/>
      <c r="U14" s="1073"/>
      <c r="V14" s="1073"/>
      <c r="W14" s="1073"/>
      <c r="X14" s="1073"/>
      <c r="Y14" s="1073"/>
      <c r="Z14" s="1073"/>
      <c r="AA14" s="1073"/>
      <c r="AB14" s="1073"/>
      <c r="AC14" s="1073"/>
      <c r="AD14" s="1073"/>
      <c r="AE14" s="1073"/>
      <c r="AF14" s="641"/>
      <c r="AG14" s="1073" t="s">
        <v>7189</v>
      </c>
      <c r="AH14" s="1073"/>
      <c r="AI14" s="1073"/>
      <c r="AJ14" s="1073"/>
      <c r="AK14" s="1073"/>
      <c r="AL14" s="1073"/>
      <c r="AM14" s="1073"/>
      <c r="AN14" s="1073"/>
      <c r="AO14" s="1073"/>
      <c r="AP14" s="1073"/>
      <c r="AQ14" s="1073"/>
      <c r="AR14" s="1073"/>
      <c r="AS14" s="1073"/>
      <c r="AT14" s="1073"/>
      <c r="AU14" s="1073"/>
      <c r="AV14" s="1073"/>
      <c r="AW14" s="1073"/>
      <c r="AX14" s="1073"/>
      <c r="AY14" s="1073"/>
      <c r="AZ14" s="1073"/>
      <c r="BA14" s="1073"/>
      <c r="BB14" s="1073"/>
      <c r="BC14" s="1073"/>
      <c r="BD14" s="641"/>
      <c r="BE14" s="1073" t="s">
        <v>5104</v>
      </c>
      <c r="BF14" s="1073"/>
      <c r="BG14" s="1073"/>
      <c r="BH14" s="1073"/>
      <c r="BI14" s="1073"/>
      <c r="BJ14" s="1073"/>
      <c r="BK14" s="1073"/>
      <c r="BL14" s="1073"/>
      <c r="BM14" s="1073"/>
      <c r="BN14" s="1073"/>
      <c r="BO14" s="1073"/>
      <c r="BP14" s="1073"/>
      <c r="BQ14" s="1073"/>
      <c r="BR14" s="1073"/>
      <c r="BS14" s="1073"/>
      <c r="BT14" s="1073"/>
      <c r="BU14" s="1073"/>
      <c r="BV14" s="1073"/>
      <c r="BW14" s="1073"/>
      <c r="BX14" s="1073"/>
      <c r="BY14" s="1073"/>
      <c r="BZ14" s="1073"/>
      <c r="CA14" s="1073"/>
      <c r="CB14" s="1073"/>
      <c r="CC14" s="1073"/>
      <c r="CD14" s="1073"/>
      <c r="CE14" s="1073"/>
      <c r="CF14" s="1073"/>
      <c r="CG14" s="1073"/>
      <c r="CH14" s="1073"/>
      <c r="CI14" s="1073"/>
      <c r="CJ14" s="1073"/>
      <c r="CK14" s="1073"/>
      <c r="CL14" s="1073"/>
      <c r="CM14" s="1073"/>
      <c r="CN14" s="1073"/>
      <c r="CO14" s="1073"/>
      <c r="CP14" s="1073"/>
      <c r="CQ14" s="1073"/>
      <c r="CR14" s="1073"/>
      <c r="CS14" s="1073"/>
      <c r="CT14" s="1073"/>
      <c r="CU14" s="1073"/>
      <c r="CV14" s="641"/>
    </row>
    <row r="15" spans="1:100" ht="12" customHeight="1" x14ac:dyDescent="0.2">
      <c r="A15" s="657"/>
      <c r="B15" s="1073"/>
      <c r="C15" s="1073"/>
      <c r="D15" s="1073"/>
      <c r="E15" s="1073"/>
      <c r="F15" s="1073"/>
      <c r="G15" s="1073"/>
      <c r="H15" s="1073"/>
      <c r="I15" s="1073"/>
      <c r="J15" s="1073"/>
      <c r="K15" s="1073"/>
      <c r="L15" s="1073"/>
      <c r="M15" s="1073"/>
      <c r="N15" s="1073"/>
      <c r="O15" s="1073"/>
      <c r="P15" s="1073"/>
      <c r="Q15" s="1073"/>
      <c r="R15" s="1073"/>
      <c r="S15" s="1073"/>
      <c r="T15" s="1073"/>
      <c r="U15" s="1073"/>
      <c r="V15" s="1073"/>
      <c r="W15" s="1073"/>
      <c r="X15" s="1073"/>
      <c r="Y15" s="1073"/>
      <c r="Z15" s="1073"/>
      <c r="AA15" s="1073"/>
      <c r="AB15" s="1073"/>
      <c r="AC15" s="1073"/>
      <c r="AD15" s="1073"/>
      <c r="AE15" s="1073"/>
      <c r="AF15" s="657"/>
      <c r="AG15" s="1073"/>
      <c r="AH15" s="1073"/>
      <c r="AI15" s="1073"/>
      <c r="AJ15" s="1073"/>
      <c r="AK15" s="1073"/>
      <c r="AL15" s="1073"/>
      <c r="AM15" s="1073"/>
      <c r="AN15" s="1073"/>
      <c r="AO15" s="1073"/>
      <c r="AP15" s="1073"/>
      <c r="AQ15" s="1073"/>
      <c r="AR15" s="1073"/>
      <c r="AS15" s="1073"/>
      <c r="AT15" s="1073"/>
      <c r="AU15" s="1073"/>
      <c r="AV15" s="1073"/>
      <c r="AW15" s="1073"/>
      <c r="AX15" s="1073"/>
      <c r="AY15" s="1073"/>
      <c r="AZ15" s="1073"/>
      <c r="BA15" s="1073"/>
      <c r="BB15" s="1073"/>
      <c r="BC15" s="1073"/>
      <c r="BD15" s="641"/>
      <c r="BE15" s="1073"/>
      <c r="BF15" s="1073"/>
      <c r="BG15" s="1073"/>
      <c r="BH15" s="1073"/>
      <c r="BI15" s="1073"/>
      <c r="BJ15" s="1073"/>
      <c r="BK15" s="1073"/>
      <c r="BL15" s="1073"/>
      <c r="BM15" s="1073"/>
      <c r="BN15" s="1073"/>
      <c r="BO15" s="1073"/>
      <c r="BP15" s="1073"/>
      <c r="BQ15" s="1073"/>
      <c r="BR15" s="1073"/>
      <c r="BS15" s="1073"/>
      <c r="BT15" s="1073"/>
      <c r="BU15" s="1073"/>
      <c r="BV15" s="1073"/>
      <c r="BW15" s="1073"/>
      <c r="BX15" s="1073"/>
      <c r="BY15" s="1073"/>
      <c r="BZ15" s="1073"/>
      <c r="CA15" s="1073"/>
      <c r="CB15" s="1073"/>
      <c r="CC15" s="1073"/>
      <c r="CD15" s="1073"/>
      <c r="CE15" s="1073"/>
      <c r="CF15" s="1073"/>
      <c r="CG15" s="1073"/>
      <c r="CH15" s="1073"/>
      <c r="CI15" s="1073"/>
      <c r="CJ15" s="1073"/>
      <c r="CK15" s="1073"/>
      <c r="CL15" s="1073"/>
      <c r="CM15" s="1073"/>
      <c r="CN15" s="1073"/>
      <c r="CO15" s="1073"/>
      <c r="CP15" s="1073"/>
      <c r="CQ15" s="1073"/>
      <c r="CR15" s="1073"/>
      <c r="CS15" s="1073"/>
      <c r="CT15" s="1073"/>
      <c r="CU15" s="1073"/>
      <c r="CV15" s="657"/>
    </row>
    <row r="16" spans="1:100" ht="12" customHeight="1" x14ac:dyDescent="0.2">
      <c r="A16" s="657"/>
      <c r="B16" s="1287" t="s">
        <v>7190</v>
      </c>
      <c r="C16" s="1225"/>
      <c r="D16" s="1225"/>
      <c r="E16" s="1225"/>
      <c r="F16" s="1225"/>
      <c r="G16" s="1225"/>
      <c r="H16" s="659"/>
      <c r="I16" s="1287" t="s">
        <v>7191</v>
      </c>
      <c r="J16" s="1287"/>
      <c r="K16" s="1287"/>
      <c r="L16" s="1287"/>
      <c r="M16" s="1287"/>
      <c r="N16" s="660"/>
      <c r="O16" s="1287" t="s">
        <v>7192</v>
      </c>
      <c r="P16" s="1287"/>
      <c r="Q16" s="1287"/>
      <c r="R16" s="1287"/>
      <c r="S16" s="1287"/>
      <c r="T16" s="660"/>
      <c r="U16" s="1287" t="s">
        <v>7193</v>
      </c>
      <c r="V16" s="1287"/>
      <c r="W16" s="1287"/>
      <c r="X16" s="1287"/>
      <c r="Y16" s="1287"/>
      <c r="Z16" s="660"/>
      <c r="AA16" s="1287" t="s">
        <v>7194</v>
      </c>
      <c r="AB16" s="1287"/>
      <c r="AC16" s="1287"/>
      <c r="AD16" s="1287"/>
      <c r="AE16" s="1287"/>
      <c r="AF16" s="659"/>
      <c r="AG16" s="1287" t="s">
        <v>7195</v>
      </c>
      <c r="AH16" s="1287"/>
      <c r="AI16" s="1287"/>
      <c r="AJ16" s="1287"/>
      <c r="AK16" s="1287"/>
      <c r="AL16" s="659"/>
      <c r="AM16" s="1287" t="s">
        <v>7192</v>
      </c>
      <c r="AN16" s="1287"/>
      <c r="AO16" s="1287"/>
      <c r="AP16" s="1287"/>
      <c r="AQ16" s="1287"/>
      <c r="AS16" s="1287" t="s">
        <v>7196</v>
      </c>
      <c r="AT16" s="1287"/>
      <c r="AU16" s="1287"/>
      <c r="AV16" s="1287"/>
      <c r="AW16" s="1287"/>
      <c r="AX16" s="661"/>
      <c r="AY16" s="1286" t="s">
        <v>7197</v>
      </c>
      <c r="AZ16" s="1286"/>
      <c r="BA16" s="1286"/>
      <c r="BB16" s="1286"/>
      <c r="BC16" s="1286"/>
      <c r="BD16" s="662"/>
      <c r="BE16" s="1289" t="s">
        <v>7198</v>
      </c>
      <c r="BF16" s="1289"/>
      <c r="BG16" s="1289"/>
      <c r="BH16" s="1289"/>
      <c r="BI16" s="1289"/>
      <c r="BJ16" s="1289"/>
      <c r="BK16" s="1289"/>
      <c r="BL16" s="1289"/>
      <c r="BM16" s="1289"/>
      <c r="BN16" s="1289"/>
      <c r="BO16" s="1289"/>
      <c r="BP16" s="1289"/>
      <c r="BQ16" s="1286" t="s">
        <v>7199</v>
      </c>
      <c r="BR16" s="1286"/>
      <c r="BS16" s="1286"/>
      <c r="BT16" s="1290" t="s">
        <v>7200</v>
      </c>
      <c r="BU16" s="1290"/>
      <c r="BV16" s="1290"/>
      <c r="BW16" s="1290"/>
      <c r="BX16" s="1290"/>
      <c r="BY16" s="1286" t="s">
        <v>7201</v>
      </c>
      <c r="BZ16" s="1286"/>
      <c r="CA16" s="1286"/>
      <c r="CB16" s="1286"/>
      <c r="CC16" s="1286"/>
      <c r="CD16" s="660"/>
      <c r="CE16" s="1286" t="s">
        <v>7192</v>
      </c>
      <c r="CF16" s="1286"/>
      <c r="CG16" s="1286"/>
      <c r="CH16" s="1286"/>
      <c r="CI16" s="1286"/>
      <c r="CK16" s="1286" t="s">
        <v>7196</v>
      </c>
      <c r="CL16" s="1286"/>
      <c r="CM16" s="1286"/>
      <c r="CN16" s="1286"/>
      <c r="CO16" s="1286"/>
      <c r="CP16" s="663"/>
      <c r="CQ16" s="1286" t="s">
        <v>7197</v>
      </c>
      <c r="CR16" s="1286"/>
      <c r="CS16" s="1286"/>
      <c r="CT16" s="1286"/>
      <c r="CU16" s="1286"/>
      <c r="CV16" s="657"/>
    </row>
    <row r="17" spans="1:115" ht="12" customHeight="1" x14ac:dyDescent="0.2">
      <c r="A17" s="657"/>
      <c r="B17" s="1287"/>
      <c r="C17" s="1225"/>
      <c r="D17" s="1225"/>
      <c r="E17" s="1225"/>
      <c r="F17" s="1225"/>
      <c r="G17" s="1225"/>
      <c r="H17" s="659"/>
      <c r="I17" s="1287"/>
      <c r="J17" s="1287"/>
      <c r="K17" s="1287"/>
      <c r="L17" s="1287"/>
      <c r="M17" s="1287"/>
      <c r="N17" s="660"/>
      <c r="O17" s="1287"/>
      <c r="P17" s="1287"/>
      <c r="Q17" s="1287"/>
      <c r="R17" s="1287"/>
      <c r="S17" s="1287"/>
      <c r="T17" s="660"/>
      <c r="U17" s="1287"/>
      <c r="V17" s="1287"/>
      <c r="W17" s="1287"/>
      <c r="X17" s="1287"/>
      <c r="Y17" s="1287"/>
      <c r="Z17" s="660"/>
      <c r="AA17" s="1287"/>
      <c r="AB17" s="1287"/>
      <c r="AC17" s="1287"/>
      <c r="AD17" s="1287"/>
      <c r="AE17" s="1287"/>
      <c r="AF17" s="659"/>
      <c r="AG17" s="1287"/>
      <c r="AH17" s="1287"/>
      <c r="AI17" s="1287"/>
      <c r="AJ17" s="1287"/>
      <c r="AK17" s="1287"/>
      <c r="AL17" s="659"/>
      <c r="AM17" s="1287"/>
      <c r="AN17" s="1287"/>
      <c r="AO17" s="1287"/>
      <c r="AP17" s="1287"/>
      <c r="AQ17" s="1287"/>
      <c r="AR17" s="661"/>
      <c r="AS17" s="1287"/>
      <c r="AT17" s="1287"/>
      <c r="AU17" s="1287"/>
      <c r="AV17" s="1287"/>
      <c r="AW17" s="1287"/>
      <c r="AX17" s="661"/>
      <c r="AY17" s="1286"/>
      <c r="AZ17" s="1286"/>
      <c r="BA17" s="1286"/>
      <c r="BB17" s="1286"/>
      <c r="BC17" s="1286"/>
      <c r="BD17" s="662"/>
      <c r="BE17" s="1289"/>
      <c r="BF17" s="1289"/>
      <c r="BG17" s="1289"/>
      <c r="BH17" s="1289"/>
      <c r="BI17" s="1289"/>
      <c r="BJ17" s="1289"/>
      <c r="BK17" s="1289"/>
      <c r="BL17" s="1289"/>
      <c r="BM17" s="1289"/>
      <c r="BN17" s="1289"/>
      <c r="BO17" s="1289"/>
      <c r="BP17" s="1289"/>
      <c r="BQ17" s="1286"/>
      <c r="BR17" s="1286"/>
      <c r="BS17" s="1286"/>
      <c r="BT17" s="1290"/>
      <c r="BU17" s="1290"/>
      <c r="BV17" s="1290"/>
      <c r="BW17" s="1290"/>
      <c r="BX17" s="1290"/>
      <c r="BY17" s="1286"/>
      <c r="BZ17" s="1286"/>
      <c r="CA17" s="1286"/>
      <c r="CB17" s="1286"/>
      <c r="CC17" s="1286"/>
      <c r="CD17" s="660"/>
      <c r="CE17" s="1286"/>
      <c r="CF17" s="1286"/>
      <c r="CG17" s="1286"/>
      <c r="CH17" s="1286"/>
      <c r="CI17" s="1286"/>
      <c r="CJ17" s="663"/>
      <c r="CK17" s="1286"/>
      <c r="CL17" s="1286"/>
      <c r="CM17" s="1286"/>
      <c r="CN17" s="1286"/>
      <c r="CO17" s="1286"/>
      <c r="CP17" s="663"/>
      <c r="CQ17" s="1286"/>
      <c r="CR17" s="1286"/>
      <c r="CS17" s="1286"/>
      <c r="CT17" s="1286"/>
      <c r="CU17" s="1286"/>
      <c r="CV17" s="657"/>
    </row>
    <row r="18" spans="1:115" ht="12" customHeight="1" thickBot="1" x14ac:dyDescent="0.25">
      <c r="A18" s="657"/>
      <c r="B18" s="1225"/>
      <c r="C18" s="1225"/>
      <c r="D18" s="1291"/>
      <c r="E18" s="1225"/>
      <c r="F18" s="1225"/>
      <c r="G18" s="1225"/>
      <c r="H18" s="659"/>
      <c r="I18" s="1287"/>
      <c r="J18" s="1287"/>
      <c r="K18" s="1287"/>
      <c r="L18" s="1287"/>
      <c r="M18" s="1287"/>
      <c r="N18" s="660"/>
      <c r="O18" s="1288"/>
      <c r="P18" s="1288"/>
      <c r="Q18" s="1288"/>
      <c r="R18" s="1288"/>
      <c r="S18" s="1288"/>
      <c r="T18" s="660"/>
      <c r="U18" s="1287"/>
      <c r="V18" s="1287"/>
      <c r="W18" s="1287"/>
      <c r="X18" s="1287"/>
      <c r="Y18" s="1287"/>
      <c r="Z18" s="660"/>
      <c r="AA18" s="1287"/>
      <c r="AB18" s="1287"/>
      <c r="AC18" s="1287"/>
      <c r="AD18" s="1287"/>
      <c r="AE18" s="1287"/>
      <c r="AF18" s="659"/>
      <c r="AG18" s="1287"/>
      <c r="AH18" s="1287"/>
      <c r="AI18" s="1287"/>
      <c r="AJ18" s="1287"/>
      <c r="AK18" s="1287"/>
      <c r="AL18" s="659"/>
      <c r="AM18" s="1288"/>
      <c r="AN18" s="1288"/>
      <c r="AO18" s="1288"/>
      <c r="AP18" s="1288"/>
      <c r="AQ18" s="1288"/>
      <c r="AR18" s="661"/>
      <c r="AS18" s="1288"/>
      <c r="AT18" s="1288"/>
      <c r="AU18" s="1288"/>
      <c r="AV18" s="1288"/>
      <c r="AW18" s="1288"/>
      <c r="AX18" s="661"/>
      <c r="AY18" s="1286"/>
      <c r="AZ18" s="1286"/>
      <c r="BA18" s="1286"/>
      <c r="BB18" s="1286"/>
      <c r="BC18" s="1286"/>
      <c r="BD18" s="662"/>
      <c r="BE18" s="1289"/>
      <c r="BF18" s="1289"/>
      <c r="BG18" s="1289"/>
      <c r="BH18" s="1289"/>
      <c r="BI18" s="1289"/>
      <c r="BJ18" s="1289"/>
      <c r="BK18" s="1289"/>
      <c r="BL18" s="1289"/>
      <c r="BM18" s="1289"/>
      <c r="BN18" s="1289"/>
      <c r="BO18" s="1289"/>
      <c r="BP18" s="1289"/>
      <c r="BQ18" s="1286"/>
      <c r="BR18" s="1286"/>
      <c r="BS18" s="1286"/>
      <c r="BT18" s="1290"/>
      <c r="BU18" s="1290"/>
      <c r="BV18" s="1290"/>
      <c r="BW18" s="1290"/>
      <c r="BX18" s="1290"/>
      <c r="BY18" s="1286"/>
      <c r="BZ18" s="1286"/>
      <c r="CA18" s="1286"/>
      <c r="CB18" s="1286"/>
      <c r="CC18" s="1286"/>
      <c r="CD18" s="660"/>
      <c r="CE18" s="1286"/>
      <c r="CF18" s="1286"/>
      <c r="CG18" s="1286"/>
      <c r="CH18" s="1286"/>
      <c r="CI18" s="1286"/>
      <c r="CJ18" s="663"/>
      <c r="CK18" s="1286"/>
      <c r="CL18" s="1286"/>
      <c r="CM18" s="1286"/>
      <c r="CN18" s="1286"/>
      <c r="CO18" s="1286"/>
      <c r="CP18" s="663"/>
      <c r="CQ18" s="1286"/>
      <c r="CR18" s="1286"/>
      <c r="CS18" s="1286"/>
      <c r="CT18" s="1286"/>
      <c r="CU18" s="1286"/>
      <c r="CV18" s="657"/>
    </row>
    <row r="19" spans="1:115" ht="12" customHeight="1" x14ac:dyDescent="0.25">
      <c r="A19" s="657"/>
      <c r="B19" s="1073" t="s">
        <v>113</v>
      </c>
      <c r="C19" s="1073"/>
      <c r="D19" s="1284"/>
      <c r="E19" s="1073"/>
      <c r="F19" s="1073"/>
      <c r="G19" s="1073"/>
      <c r="H19" s="657"/>
      <c r="I19" s="1255"/>
      <c r="J19" s="1256"/>
      <c r="K19" s="1256"/>
      <c r="L19" s="1256"/>
      <c r="M19" s="1257"/>
      <c r="N19" s="664"/>
      <c r="O19" s="1264"/>
      <c r="P19" s="1265"/>
      <c r="Q19" s="1265"/>
      <c r="R19" s="1265"/>
      <c r="S19" s="1266"/>
      <c r="T19" s="657"/>
      <c r="U19" s="1273"/>
      <c r="V19" s="1273"/>
      <c r="W19" s="1273"/>
      <c r="X19" s="1273"/>
      <c r="Y19" s="1273"/>
      <c r="Z19" s="657"/>
      <c r="AA19" s="1274"/>
      <c r="AB19" s="1274"/>
      <c r="AC19" s="1274"/>
      <c r="AD19" s="1274"/>
      <c r="AE19" s="1274"/>
      <c r="AF19" s="641"/>
      <c r="AG19" s="1264"/>
      <c r="AH19" s="1256"/>
      <c r="AI19" s="1256"/>
      <c r="AJ19" s="1256"/>
      <c r="AK19" s="1257"/>
      <c r="AL19" s="665"/>
      <c r="AM19" s="1275"/>
      <c r="AN19" s="1276"/>
      <c r="AO19" s="1276"/>
      <c r="AP19" s="1276"/>
      <c r="AQ19" s="1277"/>
      <c r="AR19" s="665"/>
      <c r="AS19" s="1244"/>
      <c r="AT19" s="1245"/>
      <c r="AU19" s="1245"/>
      <c r="AV19" s="1245"/>
      <c r="AW19" s="1246"/>
      <c r="AX19" s="665"/>
      <c r="AY19" s="1285"/>
      <c r="AZ19" s="1285"/>
      <c r="BA19" s="1285"/>
      <c r="BB19" s="1285"/>
      <c r="BC19" s="1285"/>
      <c r="BD19" s="641"/>
      <c r="BE19" s="1199" t="s">
        <v>7202</v>
      </c>
      <c r="BF19" s="1199"/>
      <c r="BG19" s="1199"/>
      <c r="BH19" s="1199"/>
      <c r="BI19" s="1199"/>
      <c r="BJ19" s="1199"/>
      <c r="BK19" s="1199"/>
      <c r="BL19" s="1199"/>
      <c r="BM19" s="1199"/>
      <c r="BN19" s="1199"/>
      <c r="BO19" s="1199"/>
      <c r="BP19" s="1199"/>
      <c r="BQ19" s="1200" t="s">
        <v>117</v>
      </c>
      <c r="BR19" s="1200"/>
      <c r="BS19" s="1200"/>
      <c r="BT19" s="657"/>
      <c r="BU19" s="1201" t="s">
        <v>7203</v>
      </c>
      <c r="BV19" s="1201"/>
      <c r="BW19" s="1201"/>
      <c r="BX19" s="657"/>
      <c r="BY19" s="1188"/>
      <c r="BZ19" s="1188"/>
      <c r="CA19" s="1188"/>
      <c r="CB19" s="1188"/>
      <c r="CC19" s="1188"/>
      <c r="CD19" s="1190" t="s">
        <v>608</v>
      </c>
      <c r="CE19" s="1203"/>
      <c r="CF19" s="1203"/>
      <c r="CG19" s="1203"/>
      <c r="CH19" s="1203"/>
      <c r="CI19" s="1203"/>
      <c r="CJ19" s="1190" t="s">
        <v>606</v>
      </c>
      <c r="CK19" s="1192"/>
      <c r="CL19" s="1192"/>
      <c r="CM19" s="1192"/>
      <c r="CN19" s="1192"/>
      <c r="CO19" s="1192"/>
      <c r="CP19" s="1190" t="s">
        <v>606</v>
      </c>
      <c r="CQ19" s="1194"/>
      <c r="CR19" s="1194"/>
      <c r="CS19" s="1194"/>
      <c r="CT19" s="1194"/>
      <c r="CU19" s="1194"/>
      <c r="CV19" s="657"/>
    </row>
    <row r="20" spans="1:115" ht="12" customHeight="1" x14ac:dyDescent="0.2">
      <c r="A20" s="657"/>
      <c r="B20" s="1073"/>
      <c r="C20" s="1073"/>
      <c r="D20" s="1284"/>
      <c r="E20" s="1073"/>
      <c r="F20" s="1073"/>
      <c r="G20" s="1073"/>
      <c r="H20" s="657"/>
      <c r="I20" s="1258"/>
      <c r="J20" s="1259"/>
      <c r="K20" s="1259"/>
      <c r="L20" s="1259"/>
      <c r="M20" s="1260"/>
      <c r="N20" s="666"/>
      <c r="O20" s="1267"/>
      <c r="P20" s="1268"/>
      <c r="Q20" s="1268"/>
      <c r="R20" s="1268"/>
      <c r="S20" s="1269"/>
      <c r="T20" s="657"/>
      <c r="U20" s="1273"/>
      <c r="V20" s="1273"/>
      <c r="W20" s="1273"/>
      <c r="X20" s="1273"/>
      <c r="Y20" s="1273"/>
      <c r="Z20" s="657"/>
      <c r="AA20" s="1274"/>
      <c r="AB20" s="1274"/>
      <c r="AC20" s="1274"/>
      <c r="AD20" s="1274"/>
      <c r="AE20" s="1274"/>
      <c r="AF20" s="641"/>
      <c r="AG20" s="1258"/>
      <c r="AH20" s="1259"/>
      <c r="AI20" s="1259"/>
      <c r="AJ20" s="1259"/>
      <c r="AK20" s="1260"/>
      <c r="AL20" s="667" t="s">
        <v>608</v>
      </c>
      <c r="AM20" s="1278"/>
      <c r="AN20" s="1279"/>
      <c r="AO20" s="1279"/>
      <c r="AP20" s="1279"/>
      <c r="AQ20" s="1280"/>
      <c r="AR20" s="667" t="s">
        <v>606</v>
      </c>
      <c r="AS20" s="1247"/>
      <c r="AT20" s="1248"/>
      <c r="AU20" s="1248"/>
      <c r="AV20" s="1248"/>
      <c r="AW20" s="1249"/>
      <c r="AX20" s="667" t="s">
        <v>606</v>
      </c>
      <c r="AY20" s="1285"/>
      <c r="AZ20" s="1285"/>
      <c r="BA20" s="1285"/>
      <c r="BB20" s="1285"/>
      <c r="BC20" s="1285"/>
      <c r="BD20" s="641"/>
      <c r="BE20" s="1199"/>
      <c r="BF20" s="1199"/>
      <c r="BG20" s="1199"/>
      <c r="BH20" s="1199"/>
      <c r="BI20" s="1199"/>
      <c r="BJ20" s="1199"/>
      <c r="BK20" s="1199"/>
      <c r="BL20" s="1199"/>
      <c r="BM20" s="1199"/>
      <c r="BN20" s="1199"/>
      <c r="BO20" s="1199"/>
      <c r="BP20" s="1199"/>
      <c r="BQ20" s="1200"/>
      <c r="BR20" s="1200"/>
      <c r="BS20" s="1200"/>
      <c r="BT20" s="657"/>
      <c r="BU20" s="1201"/>
      <c r="BV20" s="1201"/>
      <c r="BW20" s="1201"/>
      <c r="BX20" s="657"/>
      <c r="BY20" s="1202"/>
      <c r="BZ20" s="1202"/>
      <c r="CA20" s="1202"/>
      <c r="CB20" s="1202"/>
      <c r="CC20" s="1202"/>
      <c r="CD20" s="1191"/>
      <c r="CE20" s="1204"/>
      <c r="CF20" s="1204"/>
      <c r="CG20" s="1204"/>
      <c r="CH20" s="1204"/>
      <c r="CI20" s="1204"/>
      <c r="CJ20" s="1191"/>
      <c r="CK20" s="1193"/>
      <c r="CL20" s="1193"/>
      <c r="CM20" s="1193"/>
      <c r="CN20" s="1193"/>
      <c r="CO20" s="1193"/>
      <c r="CP20" s="1191"/>
      <c r="CQ20" s="1195"/>
      <c r="CR20" s="1195"/>
      <c r="CS20" s="1195"/>
      <c r="CT20" s="1195"/>
      <c r="CU20" s="1195"/>
      <c r="CV20" s="657"/>
      <c r="DE20" s="668"/>
      <c r="DF20" s="668"/>
      <c r="DG20" s="668"/>
      <c r="DH20" s="668"/>
      <c r="DI20" s="668"/>
      <c r="DJ20" s="668"/>
      <c r="DK20" s="668"/>
    </row>
    <row r="21" spans="1:115" ht="12" customHeight="1" thickBot="1" x14ac:dyDescent="0.3">
      <c r="A21" s="657"/>
      <c r="B21" s="1082" t="s">
        <v>7204</v>
      </c>
      <c r="C21" s="1082"/>
      <c r="D21" s="1082"/>
      <c r="E21" s="1082"/>
      <c r="F21" s="1082"/>
      <c r="G21" s="1082"/>
      <c r="H21" s="657"/>
      <c r="I21" s="1261"/>
      <c r="J21" s="1262"/>
      <c r="K21" s="1262"/>
      <c r="L21" s="1262"/>
      <c r="M21" s="1263"/>
      <c r="N21" s="666"/>
      <c r="O21" s="1270"/>
      <c r="P21" s="1271"/>
      <c r="Q21" s="1271"/>
      <c r="R21" s="1271"/>
      <c r="S21" s="1272"/>
      <c r="T21" s="657"/>
      <c r="U21" s="1273"/>
      <c r="V21" s="1273"/>
      <c r="W21" s="1273"/>
      <c r="X21" s="1273"/>
      <c r="Y21" s="1273"/>
      <c r="Z21" s="657"/>
      <c r="AA21" s="1274"/>
      <c r="AB21" s="1274"/>
      <c r="AC21" s="1274"/>
      <c r="AD21" s="1274"/>
      <c r="AE21" s="1274"/>
      <c r="AF21" s="641"/>
      <c r="AG21" s="1261"/>
      <c r="AH21" s="1262"/>
      <c r="AI21" s="1262"/>
      <c r="AJ21" s="1262"/>
      <c r="AK21" s="1263"/>
      <c r="AL21" s="665"/>
      <c r="AM21" s="1281"/>
      <c r="AN21" s="1282"/>
      <c r="AO21" s="1282"/>
      <c r="AP21" s="1282"/>
      <c r="AQ21" s="1283"/>
      <c r="AR21" s="665"/>
      <c r="AS21" s="1250"/>
      <c r="AT21" s="1251"/>
      <c r="AU21" s="1251"/>
      <c r="AV21" s="1251"/>
      <c r="AW21" s="1252"/>
      <c r="AX21" s="665"/>
      <c r="AY21" s="1285"/>
      <c r="AZ21" s="1285"/>
      <c r="BA21" s="1285"/>
      <c r="BB21" s="1285"/>
      <c r="BC21" s="1285"/>
      <c r="BD21" s="641"/>
      <c r="BE21" s="1199" t="s">
        <v>7205</v>
      </c>
      <c r="BF21" s="1199"/>
      <c r="BG21" s="1199"/>
      <c r="BH21" s="1199"/>
      <c r="BI21" s="1199"/>
      <c r="BJ21" s="1199"/>
      <c r="BK21" s="1199"/>
      <c r="BL21" s="1199"/>
      <c r="BM21" s="1199"/>
      <c r="BN21" s="1199"/>
      <c r="BO21" s="1199"/>
      <c r="BP21" s="1199"/>
      <c r="BQ21" s="1200" t="s">
        <v>510</v>
      </c>
      <c r="BR21" s="1200"/>
      <c r="BS21" s="1200"/>
      <c r="BT21" s="657"/>
      <c r="BU21" s="1201" t="s">
        <v>7203</v>
      </c>
      <c r="BV21" s="1201"/>
      <c r="BW21" s="1201"/>
      <c r="BX21" s="657"/>
      <c r="BY21" s="1188"/>
      <c r="BZ21" s="1188"/>
      <c r="CA21" s="1188"/>
      <c r="CB21" s="1188"/>
      <c r="CC21" s="1188"/>
      <c r="CD21" s="1190" t="s">
        <v>608</v>
      </c>
      <c r="CE21" s="1203"/>
      <c r="CF21" s="1203"/>
      <c r="CG21" s="1203"/>
      <c r="CH21" s="1203"/>
      <c r="CI21" s="1203"/>
      <c r="CJ21" s="1190" t="s">
        <v>606</v>
      </c>
      <c r="CK21" s="1192"/>
      <c r="CL21" s="1192"/>
      <c r="CM21" s="1192"/>
      <c r="CN21" s="1192"/>
      <c r="CO21" s="1192"/>
      <c r="CP21" s="1190" t="s">
        <v>606</v>
      </c>
      <c r="CQ21" s="1194"/>
      <c r="CR21" s="1194"/>
      <c r="CS21" s="1194"/>
      <c r="CT21" s="1194"/>
      <c r="CU21" s="1194"/>
      <c r="CV21" s="657"/>
    </row>
    <row r="22" spans="1:115" ht="12" customHeight="1" thickBot="1" x14ac:dyDescent="0.3">
      <c r="A22" s="657"/>
      <c r="B22" s="657"/>
      <c r="C22" s="657"/>
      <c r="D22" s="669"/>
      <c r="E22" s="657"/>
      <c r="F22" s="657"/>
      <c r="G22" s="657"/>
      <c r="H22" s="657"/>
      <c r="I22" s="641"/>
      <c r="J22" s="641"/>
      <c r="K22" s="641"/>
      <c r="L22" s="641"/>
      <c r="M22" s="641"/>
      <c r="N22" s="666"/>
      <c r="O22" s="657"/>
      <c r="P22" s="657"/>
      <c r="Q22" s="657"/>
      <c r="R22" s="657"/>
      <c r="S22" s="657"/>
      <c r="T22" s="657"/>
      <c r="U22" s="657"/>
      <c r="V22" s="657"/>
      <c r="W22" s="657"/>
      <c r="X22" s="657"/>
      <c r="Y22" s="657"/>
      <c r="Z22" s="657"/>
      <c r="AA22" s="657"/>
      <c r="AB22" s="641"/>
      <c r="AC22" s="641"/>
      <c r="AD22" s="641"/>
      <c r="AE22" s="641"/>
      <c r="AF22" s="641"/>
      <c r="AG22" s="641"/>
      <c r="AH22" s="641"/>
      <c r="AI22" s="641"/>
      <c r="AJ22" s="641"/>
      <c r="AK22" s="641"/>
      <c r="AL22" s="665"/>
      <c r="AM22" s="657"/>
      <c r="AN22" s="657"/>
      <c r="AO22" s="657"/>
      <c r="AP22" s="657"/>
      <c r="AQ22" s="657"/>
      <c r="AR22" s="665"/>
      <c r="AS22" s="657"/>
      <c r="AT22" s="657"/>
      <c r="AU22" s="657"/>
      <c r="AV22" s="657"/>
      <c r="AW22" s="657"/>
      <c r="AX22" s="665"/>
      <c r="AY22" s="657"/>
      <c r="AZ22" s="641"/>
      <c r="BA22" s="641"/>
      <c r="BB22" s="641"/>
      <c r="BC22" s="641"/>
      <c r="BD22" s="641"/>
      <c r="BE22" s="1199"/>
      <c r="BF22" s="1199"/>
      <c r="BG22" s="1199"/>
      <c r="BH22" s="1199"/>
      <c r="BI22" s="1199"/>
      <c r="BJ22" s="1199"/>
      <c r="BK22" s="1199"/>
      <c r="BL22" s="1199"/>
      <c r="BM22" s="1199"/>
      <c r="BN22" s="1199"/>
      <c r="BO22" s="1199"/>
      <c r="BP22" s="1199"/>
      <c r="BQ22" s="1200"/>
      <c r="BR22" s="1200"/>
      <c r="BS22" s="1200"/>
      <c r="BT22" s="657"/>
      <c r="BU22" s="1201"/>
      <c r="BV22" s="1201"/>
      <c r="BW22" s="1201"/>
      <c r="BX22" s="657"/>
      <c r="BY22" s="1202"/>
      <c r="BZ22" s="1202"/>
      <c r="CA22" s="1202"/>
      <c r="CB22" s="1202"/>
      <c r="CC22" s="1202"/>
      <c r="CD22" s="1191"/>
      <c r="CE22" s="1204"/>
      <c r="CF22" s="1204"/>
      <c r="CG22" s="1204"/>
      <c r="CH22" s="1204"/>
      <c r="CI22" s="1204"/>
      <c r="CJ22" s="1191"/>
      <c r="CK22" s="1193"/>
      <c r="CL22" s="1193"/>
      <c r="CM22" s="1193"/>
      <c r="CN22" s="1193"/>
      <c r="CO22" s="1193"/>
      <c r="CP22" s="1191"/>
      <c r="CQ22" s="1195"/>
      <c r="CR22" s="1195"/>
      <c r="CS22" s="1195"/>
      <c r="CT22" s="1195"/>
      <c r="CU22" s="1195"/>
      <c r="CV22" s="657"/>
    </row>
    <row r="23" spans="1:115" ht="12" customHeight="1" x14ac:dyDescent="0.25">
      <c r="A23" s="657"/>
      <c r="B23" s="1073" t="s">
        <v>117</v>
      </c>
      <c r="C23" s="1073"/>
      <c r="D23" s="1284"/>
      <c r="E23" s="1073"/>
      <c r="F23" s="1073"/>
      <c r="G23" s="1073"/>
      <c r="H23" s="657"/>
      <c r="I23" s="1255" t="str">
        <f>IF(CharacterLevel="","",IF(U23="",DEX,U23))</f>
        <v/>
      </c>
      <c r="J23" s="1256"/>
      <c r="K23" s="1256"/>
      <c r="L23" s="1256"/>
      <c r="M23" s="1257"/>
      <c r="N23" s="666" t="str">
        <f>DEX</f>
        <v/>
      </c>
      <c r="O23" s="1264"/>
      <c r="P23" s="1265"/>
      <c r="Q23" s="1265"/>
      <c r="R23" s="1265"/>
      <c r="S23" s="1266"/>
      <c r="T23" s="657"/>
      <c r="U23" s="1273"/>
      <c r="V23" s="1273"/>
      <c r="W23" s="1273"/>
      <c r="X23" s="1273"/>
      <c r="Y23" s="1273"/>
      <c r="Z23" s="657"/>
      <c r="AA23" s="1274" t="str">
        <f>IF(U23=0,"",INT((U23-10)/2))</f>
        <v/>
      </c>
      <c r="AB23" s="1274"/>
      <c r="AC23" s="1274"/>
      <c r="AD23" s="1274"/>
      <c r="AE23" s="1274"/>
      <c r="AF23" s="641"/>
      <c r="AG23" s="1264"/>
      <c r="AH23" s="1256"/>
      <c r="AI23" s="1256"/>
      <c r="AJ23" s="1256"/>
      <c r="AK23" s="1257"/>
      <c r="AL23" s="665"/>
      <c r="AM23" s="1275"/>
      <c r="AN23" s="1276"/>
      <c r="AO23" s="1276"/>
      <c r="AP23" s="1276"/>
      <c r="AQ23" s="1277"/>
      <c r="AR23" s="665"/>
      <c r="AS23" s="1244"/>
      <c r="AT23" s="1245"/>
      <c r="AU23" s="1245"/>
      <c r="AV23" s="1245"/>
      <c r="AW23" s="1246"/>
      <c r="AX23" s="665"/>
      <c r="AY23" s="1253"/>
      <c r="AZ23" s="1253"/>
      <c r="BA23" s="1253"/>
      <c r="BB23" s="1253"/>
      <c r="BC23" s="1253"/>
      <c r="BD23" s="641"/>
      <c r="BE23" s="1199" t="s">
        <v>7206</v>
      </c>
      <c r="BF23" s="1199"/>
      <c r="BG23" s="1199"/>
      <c r="BH23" s="1199"/>
      <c r="BI23" s="1199"/>
      <c r="BJ23" s="1199"/>
      <c r="BK23" s="1199"/>
      <c r="BL23" s="1199"/>
      <c r="BM23" s="1199"/>
      <c r="BN23" s="1199"/>
      <c r="BO23" s="1199"/>
      <c r="BP23" s="1199"/>
      <c r="BQ23" s="1200" t="s">
        <v>509</v>
      </c>
      <c r="BR23" s="1200"/>
      <c r="BS23" s="1200"/>
      <c r="BT23" s="657"/>
      <c r="BU23" s="1201" t="s">
        <v>7203</v>
      </c>
      <c r="BV23" s="1201"/>
      <c r="BW23" s="1201"/>
      <c r="BX23" s="657"/>
      <c r="BY23" s="1188"/>
      <c r="BZ23" s="1188"/>
      <c r="CA23" s="1188"/>
      <c r="CB23" s="1188"/>
      <c r="CC23" s="1188"/>
      <c r="CD23" s="1190" t="s">
        <v>608</v>
      </c>
      <c r="CE23" s="1203"/>
      <c r="CF23" s="1203"/>
      <c r="CG23" s="1203"/>
      <c r="CH23" s="1203"/>
      <c r="CI23" s="1203"/>
      <c r="CJ23" s="1190" t="s">
        <v>606</v>
      </c>
      <c r="CK23" s="1192"/>
      <c r="CL23" s="1192"/>
      <c r="CM23" s="1192"/>
      <c r="CN23" s="1192"/>
      <c r="CO23" s="1192"/>
      <c r="CP23" s="1190" t="s">
        <v>606</v>
      </c>
      <c r="CQ23" s="1194"/>
      <c r="CR23" s="1194"/>
      <c r="CS23" s="1194"/>
      <c r="CT23" s="1194"/>
      <c r="CU23" s="1194"/>
      <c r="CV23" s="657"/>
    </row>
    <row r="24" spans="1:115" ht="12" customHeight="1" x14ac:dyDescent="0.2">
      <c r="A24" s="657"/>
      <c r="B24" s="1073"/>
      <c r="C24" s="1073"/>
      <c r="D24" s="1284"/>
      <c r="E24" s="1073"/>
      <c r="F24" s="1073"/>
      <c r="G24" s="1073"/>
      <c r="H24" s="657"/>
      <c r="I24" s="1258"/>
      <c r="J24" s="1259"/>
      <c r="K24" s="1259"/>
      <c r="L24" s="1259"/>
      <c r="M24" s="1260"/>
      <c r="N24" s="666"/>
      <c r="O24" s="1267"/>
      <c r="P24" s="1268"/>
      <c r="Q24" s="1268"/>
      <c r="R24" s="1268"/>
      <c r="S24" s="1269"/>
      <c r="T24" s="657"/>
      <c r="U24" s="1273"/>
      <c r="V24" s="1273"/>
      <c r="W24" s="1273"/>
      <c r="X24" s="1273"/>
      <c r="Y24" s="1273"/>
      <c r="Z24" s="657"/>
      <c r="AA24" s="1274"/>
      <c r="AB24" s="1274"/>
      <c r="AC24" s="1274"/>
      <c r="AD24" s="1274"/>
      <c r="AE24" s="1274"/>
      <c r="AF24" s="641"/>
      <c r="AG24" s="1258"/>
      <c r="AH24" s="1259"/>
      <c r="AI24" s="1259"/>
      <c r="AJ24" s="1259"/>
      <c r="AK24" s="1260"/>
      <c r="AL24" s="667" t="s">
        <v>608</v>
      </c>
      <c r="AM24" s="1278"/>
      <c r="AN24" s="1279"/>
      <c r="AO24" s="1279"/>
      <c r="AP24" s="1279"/>
      <c r="AQ24" s="1280"/>
      <c r="AR24" s="667" t="s">
        <v>606</v>
      </c>
      <c r="AS24" s="1247"/>
      <c r="AT24" s="1248"/>
      <c r="AU24" s="1248"/>
      <c r="AV24" s="1248"/>
      <c r="AW24" s="1249"/>
      <c r="AX24" s="667" t="s">
        <v>606</v>
      </c>
      <c r="AY24" s="1253"/>
      <c r="AZ24" s="1253"/>
      <c r="BA24" s="1253"/>
      <c r="BB24" s="1253"/>
      <c r="BC24" s="1253"/>
      <c r="BD24" s="641"/>
      <c r="BE24" s="1199"/>
      <c r="BF24" s="1199"/>
      <c r="BG24" s="1199"/>
      <c r="BH24" s="1199"/>
      <c r="BI24" s="1199"/>
      <c r="BJ24" s="1199"/>
      <c r="BK24" s="1199"/>
      <c r="BL24" s="1199"/>
      <c r="BM24" s="1199"/>
      <c r="BN24" s="1199"/>
      <c r="BO24" s="1199"/>
      <c r="BP24" s="1199"/>
      <c r="BQ24" s="1200"/>
      <c r="BR24" s="1200"/>
      <c r="BS24" s="1200"/>
      <c r="BT24" s="657"/>
      <c r="BU24" s="1201"/>
      <c r="BV24" s="1201"/>
      <c r="BW24" s="1201"/>
      <c r="BX24" s="657"/>
      <c r="BY24" s="1202"/>
      <c r="BZ24" s="1202"/>
      <c r="CA24" s="1202"/>
      <c r="CB24" s="1202"/>
      <c r="CC24" s="1202"/>
      <c r="CD24" s="1191"/>
      <c r="CE24" s="1204"/>
      <c r="CF24" s="1204"/>
      <c r="CG24" s="1204"/>
      <c r="CH24" s="1204"/>
      <c r="CI24" s="1204"/>
      <c r="CJ24" s="1191"/>
      <c r="CK24" s="1193"/>
      <c r="CL24" s="1193"/>
      <c r="CM24" s="1193"/>
      <c r="CN24" s="1193"/>
      <c r="CO24" s="1193"/>
      <c r="CP24" s="1191"/>
      <c r="CQ24" s="1195"/>
      <c r="CR24" s="1195"/>
      <c r="CS24" s="1195"/>
      <c r="CT24" s="1195"/>
      <c r="CU24" s="1195"/>
      <c r="CV24" s="657"/>
    </row>
    <row r="25" spans="1:115" ht="12" customHeight="1" thickBot="1" x14ac:dyDescent="0.3">
      <c r="A25" s="657"/>
      <c r="B25" s="1082" t="s">
        <v>7207</v>
      </c>
      <c r="C25" s="1082"/>
      <c r="D25" s="1082"/>
      <c r="E25" s="1082"/>
      <c r="F25" s="1082"/>
      <c r="G25" s="1082"/>
      <c r="H25" s="657"/>
      <c r="I25" s="1261"/>
      <c r="J25" s="1262"/>
      <c r="K25" s="1262"/>
      <c r="L25" s="1262"/>
      <c r="M25" s="1263"/>
      <c r="N25" s="666"/>
      <c r="O25" s="1270"/>
      <c r="P25" s="1271"/>
      <c r="Q25" s="1271"/>
      <c r="R25" s="1271"/>
      <c r="S25" s="1272"/>
      <c r="T25" s="657"/>
      <c r="U25" s="1273"/>
      <c r="V25" s="1273"/>
      <c r="W25" s="1273"/>
      <c r="X25" s="1273"/>
      <c r="Y25" s="1273"/>
      <c r="Z25" s="657"/>
      <c r="AA25" s="1274"/>
      <c r="AB25" s="1274"/>
      <c r="AC25" s="1274"/>
      <c r="AD25" s="1274"/>
      <c r="AE25" s="1274"/>
      <c r="AF25" s="641"/>
      <c r="AG25" s="1261"/>
      <c r="AH25" s="1262"/>
      <c r="AI25" s="1262"/>
      <c r="AJ25" s="1262"/>
      <c r="AK25" s="1263"/>
      <c r="AL25" s="665"/>
      <c r="AM25" s="1281"/>
      <c r="AN25" s="1282"/>
      <c r="AO25" s="1282"/>
      <c r="AP25" s="1282"/>
      <c r="AQ25" s="1283"/>
      <c r="AR25" s="665"/>
      <c r="AS25" s="1250"/>
      <c r="AT25" s="1251"/>
      <c r="AU25" s="1251"/>
      <c r="AV25" s="1251"/>
      <c r="AW25" s="1252"/>
      <c r="AX25" s="665"/>
      <c r="AY25" s="1253"/>
      <c r="AZ25" s="1253"/>
      <c r="BA25" s="1253"/>
      <c r="BB25" s="1253"/>
      <c r="BC25" s="1253"/>
      <c r="BD25" s="641"/>
      <c r="BE25" s="1199" t="s">
        <v>7208</v>
      </c>
      <c r="BF25" s="1199"/>
      <c r="BG25" s="1199"/>
      <c r="BH25" s="1199"/>
      <c r="BI25" s="1199"/>
      <c r="BJ25" s="1199"/>
      <c r="BK25" s="1199"/>
      <c r="BL25" s="1199"/>
      <c r="BM25" s="1199"/>
      <c r="BN25" s="1199"/>
      <c r="BO25" s="1199"/>
      <c r="BP25" s="1199"/>
      <c r="BQ25" s="1200" t="s">
        <v>113</v>
      </c>
      <c r="BR25" s="1200"/>
      <c r="BS25" s="1200"/>
      <c r="BT25" s="657"/>
      <c r="BU25" s="1201" t="s">
        <v>7203</v>
      </c>
      <c r="BV25" s="1201"/>
      <c r="BW25" s="1201"/>
      <c r="BX25" s="657"/>
      <c r="BY25" s="1188"/>
      <c r="BZ25" s="1188"/>
      <c r="CA25" s="1188"/>
      <c r="CB25" s="1188"/>
      <c r="CC25" s="1188"/>
      <c r="CD25" s="1190" t="s">
        <v>608</v>
      </c>
      <c r="CE25" s="1203"/>
      <c r="CF25" s="1203"/>
      <c r="CG25" s="1203"/>
      <c r="CH25" s="1203"/>
      <c r="CI25" s="1203"/>
      <c r="CJ25" s="1190" t="s">
        <v>606</v>
      </c>
      <c r="CK25" s="1192"/>
      <c r="CL25" s="1192"/>
      <c r="CM25" s="1192"/>
      <c r="CN25" s="1192"/>
      <c r="CO25" s="1192"/>
      <c r="CP25" s="1190" t="s">
        <v>606</v>
      </c>
      <c r="CQ25" s="1194"/>
      <c r="CR25" s="1194"/>
      <c r="CS25" s="1194"/>
      <c r="CT25" s="1194"/>
      <c r="CU25" s="1194"/>
      <c r="CV25" s="657"/>
    </row>
    <row r="26" spans="1:115" ht="12" customHeight="1" thickBot="1" x14ac:dyDescent="0.3">
      <c r="A26" s="657"/>
      <c r="B26" s="657"/>
      <c r="C26" s="657"/>
      <c r="D26" s="669"/>
      <c r="E26" s="657"/>
      <c r="F26" s="657"/>
      <c r="G26" s="657"/>
      <c r="H26" s="657"/>
      <c r="I26" s="641"/>
      <c r="J26" s="641"/>
      <c r="K26" s="641"/>
      <c r="L26" s="641"/>
      <c r="M26" s="641"/>
      <c r="N26" s="666"/>
      <c r="O26" s="657"/>
      <c r="P26" s="657"/>
      <c r="Q26" s="657"/>
      <c r="R26" s="657"/>
      <c r="S26" s="657"/>
      <c r="T26" s="657"/>
      <c r="U26" s="657"/>
      <c r="V26" s="657"/>
      <c r="W26" s="657"/>
      <c r="X26" s="657"/>
      <c r="Y26" s="657"/>
      <c r="Z26" s="657"/>
      <c r="AA26" s="657"/>
      <c r="AB26" s="641"/>
      <c r="AC26" s="641"/>
      <c r="AD26" s="641"/>
      <c r="AE26" s="641"/>
      <c r="AF26" s="641"/>
      <c r="AG26" s="641"/>
      <c r="AH26" s="641"/>
      <c r="AI26" s="641"/>
      <c r="AJ26" s="641"/>
      <c r="AK26" s="641"/>
      <c r="AL26" s="665"/>
      <c r="AM26" s="657"/>
      <c r="AN26" s="657"/>
      <c r="AO26" s="657"/>
      <c r="AP26" s="657"/>
      <c r="AQ26" s="657"/>
      <c r="AR26" s="665"/>
      <c r="AS26" s="657"/>
      <c r="AT26" s="657"/>
      <c r="AU26" s="657"/>
      <c r="AV26" s="657"/>
      <c r="AW26" s="657"/>
      <c r="AX26" s="665"/>
      <c r="AY26" s="657"/>
      <c r="AZ26" s="641"/>
      <c r="BA26" s="641"/>
      <c r="BB26" s="641"/>
      <c r="BC26" s="641"/>
      <c r="BD26" s="641"/>
      <c r="BE26" s="1199"/>
      <c r="BF26" s="1199"/>
      <c r="BG26" s="1199"/>
      <c r="BH26" s="1199"/>
      <c r="BI26" s="1199"/>
      <c r="BJ26" s="1199"/>
      <c r="BK26" s="1199"/>
      <c r="BL26" s="1199"/>
      <c r="BM26" s="1199"/>
      <c r="BN26" s="1199"/>
      <c r="BO26" s="1199"/>
      <c r="BP26" s="1199"/>
      <c r="BQ26" s="1200"/>
      <c r="BR26" s="1200"/>
      <c r="BS26" s="1200"/>
      <c r="BT26" s="657"/>
      <c r="BU26" s="1201"/>
      <c r="BV26" s="1201"/>
      <c r="BW26" s="1201"/>
      <c r="BX26" s="657"/>
      <c r="BY26" s="1202"/>
      <c r="BZ26" s="1202"/>
      <c r="CA26" s="1202"/>
      <c r="CB26" s="1202"/>
      <c r="CC26" s="1202"/>
      <c r="CD26" s="1191"/>
      <c r="CE26" s="1204"/>
      <c r="CF26" s="1204"/>
      <c r="CG26" s="1204"/>
      <c r="CH26" s="1204"/>
      <c r="CI26" s="1204"/>
      <c r="CJ26" s="1191"/>
      <c r="CK26" s="1193"/>
      <c r="CL26" s="1193"/>
      <c r="CM26" s="1193"/>
      <c r="CN26" s="1193"/>
      <c r="CO26" s="1193"/>
      <c r="CP26" s="1191"/>
      <c r="CQ26" s="1195"/>
      <c r="CR26" s="1195"/>
      <c r="CS26" s="1195"/>
      <c r="CT26" s="1195"/>
      <c r="CU26" s="1195"/>
      <c r="CV26" s="657"/>
    </row>
    <row r="27" spans="1:115" ht="12" customHeight="1" x14ac:dyDescent="0.25">
      <c r="A27" s="657"/>
      <c r="B27" s="1073" t="s">
        <v>508</v>
      </c>
      <c r="C27" s="1073"/>
      <c r="D27" s="1284"/>
      <c r="E27" s="1073"/>
      <c r="F27" s="1073"/>
      <c r="G27" s="1073"/>
      <c r="H27" s="657"/>
      <c r="I27" s="1255" t="str">
        <f>IF(CharacterLevel="","",IF(U27="",CON,U27))</f>
        <v/>
      </c>
      <c r="J27" s="1256"/>
      <c r="K27" s="1256"/>
      <c r="L27" s="1256"/>
      <c r="M27" s="1257"/>
      <c r="N27" s="666" t="str">
        <f>CON</f>
        <v/>
      </c>
      <c r="O27" s="1264"/>
      <c r="P27" s="1265"/>
      <c r="Q27" s="1265"/>
      <c r="R27" s="1265"/>
      <c r="S27" s="1266"/>
      <c r="T27" s="657"/>
      <c r="U27" s="1273"/>
      <c r="V27" s="1273"/>
      <c r="W27" s="1273"/>
      <c r="X27" s="1273"/>
      <c r="Y27" s="1273"/>
      <c r="Z27" s="657"/>
      <c r="AA27" s="1274" t="str">
        <f>IF(U27=0,"",INT((U27-10)/2))</f>
        <v/>
      </c>
      <c r="AB27" s="1274"/>
      <c r="AC27" s="1274"/>
      <c r="AD27" s="1274"/>
      <c r="AE27" s="1274"/>
      <c r="AF27" s="641"/>
      <c r="AG27" s="1264"/>
      <c r="AH27" s="1256"/>
      <c r="AI27" s="1256"/>
      <c r="AJ27" s="1256"/>
      <c r="AK27" s="1257"/>
      <c r="AL27" s="665"/>
      <c r="AM27" s="1275"/>
      <c r="AN27" s="1276"/>
      <c r="AO27" s="1276"/>
      <c r="AP27" s="1276"/>
      <c r="AQ27" s="1277"/>
      <c r="AR27" s="665"/>
      <c r="AS27" s="1244"/>
      <c r="AT27" s="1245"/>
      <c r="AU27" s="1245"/>
      <c r="AV27" s="1245"/>
      <c r="AW27" s="1246"/>
      <c r="AX27" s="665"/>
      <c r="AY27" s="1253"/>
      <c r="AZ27" s="1253"/>
      <c r="BA27" s="1253"/>
      <c r="BB27" s="1253"/>
      <c r="BC27" s="1253"/>
      <c r="BD27" s="641"/>
      <c r="BE27" s="1199" t="s">
        <v>7209</v>
      </c>
      <c r="BF27" s="1199"/>
      <c r="BG27" s="1199"/>
      <c r="BH27" s="1199"/>
      <c r="BI27" s="1199"/>
      <c r="BJ27" s="1199"/>
      <c r="BK27" s="1199"/>
      <c r="BL27" s="1199"/>
      <c r="BM27" s="1199"/>
      <c r="BN27" s="1199"/>
      <c r="BO27" s="1199"/>
      <c r="BP27" s="1199"/>
      <c r="BQ27" s="1200" t="s">
        <v>511</v>
      </c>
      <c r="BR27" s="1200"/>
      <c r="BS27" s="1200"/>
      <c r="BT27" s="657"/>
      <c r="BU27" s="1201" t="s">
        <v>7203</v>
      </c>
      <c r="BV27" s="1201"/>
      <c r="BW27" s="1201"/>
      <c r="BX27" s="657"/>
      <c r="BY27" s="1188"/>
      <c r="BZ27" s="1188"/>
      <c r="CA27" s="1188"/>
      <c r="CB27" s="1188"/>
      <c r="CC27" s="1188"/>
      <c r="CD27" s="1190" t="s">
        <v>608</v>
      </c>
      <c r="CE27" s="1203"/>
      <c r="CF27" s="1203"/>
      <c r="CG27" s="1203"/>
      <c r="CH27" s="1203"/>
      <c r="CI27" s="1203"/>
      <c r="CJ27" s="1190" t="s">
        <v>606</v>
      </c>
      <c r="CK27" s="1192"/>
      <c r="CL27" s="1192"/>
      <c r="CM27" s="1192"/>
      <c r="CN27" s="1192"/>
      <c r="CO27" s="1192"/>
      <c r="CP27" s="1190" t="s">
        <v>606</v>
      </c>
      <c r="CQ27" s="1194"/>
      <c r="CR27" s="1194"/>
      <c r="CS27" s="1194"/>
      <c r="CT27" s="1194"/>
      <c r="CU27" s="1194"/>
      <c r="CV27" s="657"/>
    </row>
    <row r="28" spans="1:115" ht="12" customHeight="1" x14ac:dyDescent="0.2">
      <c r="A28" s="657"/>
      <c r="B28" s="1073"/>
      <c r="C28" s="1073"/>
      <c r="D28" s="1284"/>
      <c r="E28" s="1073"/>
      <c r="F28" s="1073"/>
      <c r="G28" s="1073"/>
      <c r="H28" s="657"/>
      <c r="I28" s="1258"/>
      <c r="J28" s="1259"/>
      <c r="K28" s="1259"/>
      <c r="L28" s="1259"/>
      <c r="M28" s="1260"/>
      <c r="N28" s="666"/>
      <c r="O28" s="1267"/>
      <c r="P28" s="1268"/>
      <c r="Q28" s="1268"/>
      <c r="R28" s="1268"/>
      <c r="S28" s="1269"/>
      <c r="T28" s="657"/>
      <c r="U28" s="1273"/>
      <c r="V28" s="1273"/>
      <c r="W28" s="1273"/>
      <c r="X28" s="1273"/>
      <c r="Y28" s="1273"/>
      <c r="Z28" s="657"/>
      <c r="AA28" s="1274"/>
      <c r="AB28" s="1274"/>
      <c r="AC28" s="1274"/>
      <c r="AD28" s="1274"/>
      <c r="AE28" s="1274"/>
      <c r="AF28" s="641"/>
      <c r="AG28" s="1258"/>
      <c r="AH28" s="1259"/>
      <c r="AI28" s="1259"/>
      <c r="AJ28" s="1259"/>
      <c r="AK28" s="1260"/>
      <c r="AL28" s="667" t="s">
        <v>608</v>
      </c>
      <c r="AM28" s="1278"/>
      <c r="AN28" s="1279"/>
      <c r="AO28" s="1279"/>
      <c r="AP28" s="1279"/>
      <c r="AQ28" s="1280"/>
      <c r="AR28" s="667" t="s">
        <v>606</v>
      </c>
      <c r="AS28" s="1247"/>
      <c r="AT28" s="1248"/>
      <c r="AU28" s="1248"/>
      <c r="AV28" s="1248"/>
      <c r="AW28" s="1249"/>
      <c r="AX28" s="667" t="s">
        <v>606</v>
      </c>
      <c r="AY28" s="1253"/>
      <c r="AZ28" s="1253"/>
      <c r="BA28" s="1253"/>
      <c r="BB28" s="1253"/>
      <c r="BC28" s="1253"/>
      <c r="BD28" s="641"/>
      <c r="BE28" s="1199"/>
      <c r="BF28" s="1199"/>
      <c r="BG28" s="1199"/>
      <c r="BH28" s="1199"/>
      <c r="BI28" s="1199"/>
      <c r="BJ28" s="1199"/>
      <c r="BK28" s="1199"/>
      <c r="BL28" s="1199"/>
      <c r="BM28" s="1199"/>
      <c r="BN28" s="1199"/>
      <c r="BO28" s="1199"/>
      <c r="BP28" s="1199"/>
      <c r="BQ28" s="1200"/>
      <c r="BR28" s="1200"/>
      <c r="BS28" s="1200"/>
      <c r="BT28" s="657"/>
      <c r="BU28" s="1201"/>
      <c r="BV28" s="1201"/>
      <c r="BW28" s="1201"/>
      <c r="BX28" s="657"/>
      <c r="BY28" s="1202"/>
      <c r="BZ28" s="1202"/>
      <c r="CA28" s="1202"/>
      <c r="CB28" s="1202"/>
      <c r="CC28" s="1202"/>
      <c r="CD28" s="1191"/>
      <c r="CE28" s="1204"/>
      <c r="CF28" s="1204"/>
      <c r="CG28" s="1204"/>
      <c r="CH28" s="1204"/>
      <c r="CI28" s="1204"/>
      <c r="CJ28" s="1191"/>
      <c r="CK28" s="1193"/>
      <c r="CL28" s="1193"/>
      <c r="CM28" s="1193"/>
      <c r="CN28" s="1193"/>
      <c r="CO28" s="1193"/>
      <c r="CP28" s="1191"/>
      <c r="CQ28" s="1195"/>
      <c r="CR28" s="1195"/>
      <c r="CS28" s="1195"/>
      <c r="CT28" s="1195"/>
      <c r="CU28" s="1195"/>
      <c r="CV28" s="657"/>
    </row>
    <row r="29" spans="1:115" ht="12" customHeight="1" thickBot="1" x14ac:dyDescent="0.3">
      <c r="A29" s="657"/>
      <c r="B29" s="1082" t="s">
        <v>7210</v>
      </c>
      <c r="C29" s="1082"/>
      <c r="D29" s="1082"/>
      <c r="E29" s="1082"/>
      <c r="F29" s="1082"/>
      <c r="G29" s="1082"/>
      <c r="H29" s="657"/>
      <c r="I29" s="1261"/>
      <c r="J29" s="1262"/>
      <c r="K29" s="1262"/>
      <c r="L29" s="1262"/>
      <c r="M29" s="1263"/>
      <c r="N29" s="666"/>
      <c r="O29" s="1270"/>
      <c r="P29" s="1271"/>
      <c r="Q29" s="1271"/>
      <c r="R29" s="1271"/>
      <c r="S29" s="1272"/>
      <c r="T29" s="657"/>
      <c r="U29" s="1273"/>
      <c r="V29" s="1273"/>
      <c r="W29" s="1273"/>
      <c r="X29" s="1273"/>
      <c r="Y29" s="1273"/>
      <c r="Z29" s="657"/>
      <c r="AA29" s="1274"/>
      <c r="AB29" s="1274"/>
      <c r="AC29" s="1274"/>
      <c r="AD29" s="1274"/>
      <c r="AE29" s="1274"/>
      <c r="AF29" s="641"/>
      <c r="AG29" s="1261"/>
      <c r="AH29" s="1262"/>
      <c r="AI29" s="1262"/>
      <c r="AJ29" s="1262"/>
      <c r="AK29" s="1263"/>
      <c r="AL29" s="665"/>
      <c r="AM29" s="1281"/>
      <c r="AN29" s="1282"/>
      <c r="AO29" s="1282"/>
      <c r="AP29" s="1282"/>
      <c r="AQ29" s="1283"/>
      <c r="AR29" s="665"/>
      <c r="AS29" s="1250"/>
      <c r="AT29" s="1251"/>
      <c r="AU29" s="1251"/>
      <c r="AV29" s="1251"/>
      <c r="AW29" s="1252"/>
      <c r="AX29" s="665"/>
      <c r="AY29" s="1253"/>
      <c r="AZ29" s="1253"/>
      <c r="BA29" s="1253"/>
      <c r="BB29" s="1253"/>
      <c r="BC29" s="1253"/>
      <c r="BD29" s="641"/>
      <c r="BE29" s="1199" t="s">
        <v>7211</v>
      </c>
      <c r="BF29" s="1199"/>
      <c r="BG29" s="1199"/>
      <c r="BH29" s="1199"/>
      <c r="BI29" s="1199"/>
      <c r="BJ29" s="1199"/>
      <c r="BK29" s="1199"/>
      <c r="BL29" s="1199"/>
      <c r="BM29" s="1199"/>
      <c r="BN29" s="1199"/>
      <c r="BO29" s="1199"/>
      <c r="BP29" s="1199"/>
      <c r="BQ29" s="1200" t="s">
        <v>509</v>
      </c>
      <c r="BR29" s="1200"/>
      <c r="BS29" s="1200"/>
      <c r="BT29" s="657"/>
      <c r="BU29" s="1201" t="s">
        <v>7203</v>
      </c>
      <c r="BV29" s="1201"/>
      <c r="BW29" s="1201"/>
      <c r="BX29" s="657"/>
      <c r="BY29" s="1188"/>
      <c r="BZ29" s="1188"/>
      <c r="CA29" s="1188"/>
      <c r="CB29" s="1188"/>
      <c r="CC29" s="1188"/>
      <c r="CD29" s="1190" t="s">
        <v>608</v>
      </c>
      <c r="CE29" s="1203"/>
      <c r="CF29" s="1203"/>
      <c r="CG29" s="1203"/>
      <c r="CH29" s="1203"/>
      <c r="CI29" s="1203"/>
      <c r="CJ29" s="1190" t="s">
        <v>606</v>
      </c>
      <c r="CK29" s="1192"/>
      <c r="CL29" s="1192"/>
      <c r="CM29" s="1192"/>
      <c r="CN29" s="1192"/>
      <c r="CO29" s="1192"/>
      <c r="CP29" s="1190" t="s">
        <v>606</v>
      </c>
      <c r="CQ29" s="1194"/>
      <c r="CR29" s="1194"/>
      <c r="CS29" s="1194"/>
      <c r="CT29" s="1194"/>
      <c r="CU29" s="1194"/>
      <c r="CV29" s="657"/>
    </row>
    <row r="30" spans="1:115" ht="12" customHeight="1" thickBot="1" x14ac:dyDescent="0.3">
      <c r="A30" s="657"/>
      <c r="B30" s="657"/>
      <c r="C30" s="657"/>
      <c r="D30" s="669"/>
      <c r="E30" s="657"/>
      <c r="F30" s="657"/>
      <c r="G30" s="657"/>
      <c r="H30" s="657"/>
      <c r="I30" s="641"/>
      <c r="J30" s="641"/>
      <c r="K30" s="641"/>
      <c r="L30" s="641"/>
      <c r="M30" s="641"/>
      <c r="N30" s="666"/>
      <c r="O30" s="657"/>
      <c r="P30" s="657"/>
      <c r="Q30" s="657"/>
      <c r="R30" s="657"/>
      <c r="S30" s="657"/>
      <c r="T30" s="657"/>
      <c r="U30" s="657"/>
      <c r="V30" s="657"/>
      <c r="W30" s="657"/>
      <c r="X30" s="657"/>
      <c r="Y30" s="657"/>
      <c r="Z30" s="657"/>
      <c r="AA30" s="657"/>
      <c r="AB30" s="641"/>
      <c r="AC30" s="641"/>
      <c r="AD30" s="641"/>
      <c r="AE30" s="641"/>
      <c r="AF30" s="641"/>
      <c r="AG30" s="641"/>
      <c r="AH30" s="641"/>
      <c r="AI30" s="641"/>
      <c r="AJ30" s="641"/>
      <c r="AK30" s="641"/>
      <c r="AL30" s="665"/>
      <c r="AM30" s="657"/>
      <c r="AN30" s="657"/>
      <c r="AO30" s="657"/>
      <c r="AP30" s="657"/>
      <c r="AQ30" s="657"/>
      <c r="AR30" s="665"/>
      <c r="AS30" s="657"/>
      <c r="AT30" s="657"/>
      <c r="AU30" s="657"/>
      <c r="AV30" s="657"/>
      <c r="AW30" s="657"/>
      <c r="AX30" s="665"/>
      <c r="AY30" s="657"/>
      <c r="AZ30" s="641"/>
      <c r="BA30" s="641"/>
      <c r="BB30" s="641"/>
      <c r="BC30" s="641"/>
      <c r="BD30" s="641"/>
      <c r="BE30" s="1199"/>
      <c r="BF30" s="1199"/>
      <c r="BG30" s="1199"/>
      <c r="BH30" s="1199"/>
      <c r="BI30" s="1199"/>
      <c r="BJ30" s="1199"/>
      <c r="BK30" s="1199"/>
      <c r="BL30" s="1199"/>
      <c r="BM30" s="1199"/>
      <c r="BN30" s="1199"/>
      <c r="BO30" s="1199"/>
      <c r="BP30" s="1199"/>
      <c r="BQ30" s="1200"/>
      <c r="BR30" s="1200"/>
      <c r="BS30" s="1200"/>
      <c r="BT30" s="657"/>
      <c r="BU30" s="1201"/>
      <c r="BV30" s="1201"/>
      <c r="BW30" s="1201"/>
      <c r="BX30" s="657"/>
      <c r="BY30" s="1202"/>
      <c r="BZ30" s="1202"/>
      <c r="CA30" s="1202"/>
      <c r="CB30" s="1202"/>
      <c r="CC30" s="1202"/>
      <c r="CD30" s="1191"/>
      <c r="CE30" s="1204"/>
      <c r="CF30" s="1204"/>
      <c r="CG30" s="1204"/>
      <c r="CH30" s="1204"/>
      <c r="CI30" s="1204"/>
      <c r="CJ30" s="1191"/>
      <c r="CK30" s="1193"/>
      <c r="CL30" s="1193"/>
      <c r="CM30" s="1193"/>
      <c r="CN30" s="1193"/>
      <c r="CO30" s="1193"/>
      <c r="CP30" s="1191"/>
      <c r="CQ30" s="1195"/>
      <c r="CR30" s="1195"/>
      <c r="CS30" s="1195"/>
      <c r="CT30" s="1195"/>
      <c r="CU30" s="1195"/>
      <c r="CV30" s="657"/>
    </row>
    <row r="31" spans="1:115" ht="12" customHeight="1" x14ac:dyDescent="0.25">
      <c r="A31" s="657"/>
      <c r="B31" s="1073" t="s">
        <v>509</v>
      </c>
      <c r="C31" s="1073"/>
      <c r="D31" s="1284"/>
      <c r="E31" s="1073"/>
      <c r="F31" s="1073"/>
      <c r="G31" s="1073"/>
      <c r="H31" s="657"/>
      <c r="I31" s="1255" t="str">
        <f>IF(CharacterLevel="","",IF(U31="",INT,U31))</f>
        <v/>
      </c>
      <c r="J31" s="1256"/>
      <c r="K31" s="1256"/>
      <c r="L31" s="1256"/>
      <c r="M31" s="1257"/>
      <c r="N31" s="666" t="str">
        <f>INT</f>
        <v/>
      </c>
      <c r="O31" s="1264"/>
      <c r="P31" s="1265"/>
      <c r="Q31" s="1265"/>
      <c r="R31" s="1265"/>
      <c r="S31" s="1266"/>
      <c r="T31" s="657"/>
      <c r="U31" s="1273"/>
      <c r="V31" s="1273"/>
      <c r="W31" s="1273"/>
      <c r="X31" s="1273"/>
      <c r="Y31" s="1273"/>
      <c r="Z31" s="657"/>
      <c r="AA31" s="1274" t="str">
        <f>IF(U31=0,"",INT((U31-10)/2))</f>
        <v/>
      </c>
      <c r="AB31" s="1274"/>
      <c r="AC31" s="1274"/>
      <c r="AD31" s="1274"/>
      <c r="AE31" s="1274"/>
      <c r="AF31" s="641"/>
      <c r="AG31" s="1264"/>
      <c r="AH31" s="1256"/>
      <c r="AI31" s="1256"/>
      <c r="AJ31" s="1256"/>
      <c r="AK31" s="1257"/>
      <c r="AL31" s="665"/>
      <c r="AM31" s="1275"/>
      <c r="AN31" s="1276"/>
      <c r="AO31" s="1276"/>
      <c r="AP31" s="1276"/>
      <c r="AQ31" s="1277"/>
      <c r="AR31" s="665"/>
      <c r="AS31" s="1244"/>
      <c r="AT31" s="1245"/>
      <c r="AU31" s="1245"/>
      <c r="AV31" s="1245"/>
      <c r="AW31" s="1246"/>
      <c r="AX31" s="665"/>
      <c r="AY31" s="1253"/>
      <c r="AZ31" s="1253"/>
      <c r="BA31" s="1253"/>
      <c r="BB31" s="1253"/>
      <c r="BC31" s="1253"/>
      <c r="BD31" s="641"/>
      <c r="BE31" s="1199" t="s">
        <v>7212</v>
      </c>
      <c r="BF31" s="1199"/>
      <c r="BG31" s="1199"/>
      <c r="BH31" s="1199"/>
      <c r="BI31" s="1199"/>
      <c r="BJ31" s="1199"/>
      <c r="BK31" s="1199"/>
      <c r="BL31" s="1199"/>
      <c r="BM31" s="1199"/>
      <c r="BN31" s="1199"/>
      <c r="BO31" s="1199"/>
      <c r="BP31" s="1199"/>
      <c r="BQ31" s="1200" t="s">
        <v>510</v>
      </c>
      <c r="BR31" s="1200"/>
      <c r="BS31" s="1200"/>
      <c r="BT31" s="657"/>
      <c r="BU31" s="1201" t="s">
        <v>7203</v>
      </c>
      <c r="BV31" s="1201"/>
      <c r="BW31" s="1201"/>
      <c r="BX31" s="657"/>
      <c r="BY31" s="1188"/>
      <c r="BZ31" s="1188"/>
      <c r="CA31" s="1188"/>
      <c r="CB31" s="1188"/>
      <c r="CC31" s="1188"/>
      <c r="CD31" s="1190" t="s">
        <v>608</v>
      </c>
      <c r="CE31" s="1203"/>
      <c r="CF31" s="1203"/>
      <c r="CG31" s="1203"/>
      <c r="CH31" s="1203"/>
      <c r="CI31" s="1203"/>
      <c r="CJ31" s="1190" t="s">
        <v>606</v>
      </c>
      <c r="CK31" s="1192"/>
      <c r="CL31" s="1192"/>
      <c r="CM31" s="1192"/>
      <c r="CN31" s="1192"/>
      <c r="CO31" s="1192"/>
      <c r="CP31" s="1190" t="s">
        <v>606</v>
      </c>
      <c r="CQ31" s="1194"/>
      <c r="CR31" s="1194"/>
      <c r="CS31" s="1194"/>
      <c r="CT31" s="1194"/>
      <c r="CU31" s="1194"/>
      <c r="CV31" s="657"/>
    </row>
    <row r="32" spans="1:115" ht="12" customHeight="1" x14ac:dyDescent="0.2">
      <c r="A32" s="657"/>
      <c r="B32" s="1073"/>
      <c r="C32" s="1073"/>
      <c r="D32" s="1073"/>
      <c r="E32" s="1073"/>
      <c r="F32" s="1073"/>
      <c r="G32" s="1073"/>
      <c r="H32" s="657"/>
      <c r="I32" s="1258"/>
      <c r="J32" s="1259"/>
      <c r="K32" s="1259"/>
      <c r="L32" s="1259"/>
      <c r="M32" s="1260"/>
      <c r="N32" s="666"/>
      <c r="O32" s="1267"/>
      <c r="P32" s="1268"/>
      <c r="Q32" s="1268"/>
      <c r="R32" s="1268"/>
      <c r="S32" s="1269"/>
      <c r="T32" s="657"/>
      <c r="U32" s="1273"/>
      <c r="V32" s="1273"/>
      <c r="W32" s="1273"/>
      <c r="X32" s="1273"/>
      <c r="Y32" s="1273"/>
      <c r="Z32" s="657"/>
      <c r="AA32" s="1274"/>
      <c r="AB32" s="1274"/>
      <c r="AC32" s="1274"/>
      <c r="AD32" s="1274"/>
      <c r="AE32" s="1274"/>
      <c r="AF32" s="641"/>
      <c r="AG32" s="1258"/>
      <c r="AH32" s="1259"/>
      <c r="AI32" s="1259"/>
      <c r="AJ32" s="1259"/>
      <c r="AK32" s="1260"/>
      <c r="AL32" s="667" t="s">
        <v>608</v>
      </c>
      <c r="AM32" s="1278"/>
      <c r="AN32" s="1279"/>
      <c r="AO32" s="1279"/>
      <c r="AP32" s="1279"/>
      <c r="AQ32" s="1280"/>
      <c r="AR32" s="667" t="s">
        <v>606</v>
      </c>
      <c r="AS32" s="1247"/>
      <c r="AT32" s="1248"/>
      <c r="AU32" s="1248"/>
      <c r="AV32" s="1248"/>
      <c r="AW32" s="1249"/>
      <c r="AX32" s="667" t="s">
        <v>606</v>
      </c>
      <c r="AY32" s="1253"/>
      <c r="AZ32" s="1253"/>
      <c r="BA32" s="1253"/>
      <c r="BB32" s="1253"/>
      <c r="BC32" s="1253"/>
      <c r="BD32" s="641"/>
      <c r="BE32" s="1199"/>
      <c r="BF32" s="1199"/>
      <c r="BG32" s="1199"/>
      <c r="BH32" s="1199"/>
      <c r="BI32" s="1199"/>
      <c r="BJ32" s="1199"/>
      <c r="BK32" s="1199"/>
      <c r="BL32" s="1199"/>
      <c r="BM32" s="1199"/>
      <c r="BN32" s="1199"/>
      <c r="BO32" s="1199"/>
      <c r="BP32" s="1199"/>
      <c r="BQ32" s="1200"/>
      <c r="BR32" s="1200"/>
      <c r="BS32" s="1200"/>
      <c r="BT32" s="657"/>
      <c r="BU32" s="1201"/>
      <c r="BV32" s="1201"/>
      <c r="BW32" s="1201"/>
      <c r="BX32" s="657"/>
      <c r="BY32" s="1202"/>
      <c r="BZ32" s="1202"/>
      <c r="CA32" s="1202"/>
      <c r="CB32" s="1202"/>
      <c r="CC32" s="1202"/>
      <c r="CD32" s="1191"/>
      <c r="CE32" s="1204"/>
      <c r="CF32" s="1204"/>
      <c r="CG32" s="1204"/>
      <c r="CH32" s="1204"/>
      <c r="CI32" s="1204"/>
      <c r="CJ32" s="1191"/>
      <c r="CK32" s="1193"/>
      <c r="CL32" s="1193"/>
      <c r="CM32" s="1193"/>
      <c r="CN32" s="1193"/>
      <c r="CO32" s="1193"/>
      <c r="CP32" s="1191"/>
      <c r="CQ32" s="1195"/>
      <c r="CR32" s="1195"/>
      <c r="CS32" s="1195"/>
      <c r="CT32" s="1195"/>
      <c r="CU32" s="1195"/>
      <c r="CV32" s="657"/>
    </row>
    <row r="33" spans="1:100" ht="12" customHeight="1" thickBot="1" x14ac:dyDescent="0.3">
      <c r="A33" s="657"/>
      <c r="B33" s="1082" t="s">
        <v>7213</v>
      </c>
      <c r="C33" s="1082"/>
      <c r="D33" s="1082"/>
      <c r="E33" s="1082"/>
      <c r="F33" s="1082"/>
      <c r="G33" s="1082"/>
      <c r="H33" s="657"/>
      <c r="I33" s="1261"/>
      <c r="J33" s="1262"/>
      <c r="K33" s="1262"/>
      <c r="L33" s="1262"/>
      <c r="M33" s="1263"/>
      <c r="N33" s="666"/>
      <c r="O33" s="1270"/>
      <c r="P33" s="1271"/>
      <c r="Q33" s="1271"/>
      <c r="R33" s="1271"/>
      <c r="S33" s="1272"/>
      <c r="T33" s="657"/>
      <c r="U33" s="1273"/>
      <c r="V33" s="1273"/>
      <c r="W33" s="1273"/>
      <c r="X33" s="1273"/>
      <c r="Y33" s="1273"/>
      <c r="Z33" s="657"/>
      <c r="AA33" s="1274"/>
      <c r="AB33" s="1274"/>
      <c r="AC33" s="1274"/>
      <c r="AD33" s="1274"/>
      <c r="AE33" s="1274"/>
      <c r="AF33" s="641"/>
      <c r="AG33" s="1261"/>
      <c r="AH33" s="1262"/>
      <c r="AI33" s="1262"/>
      <c r="AJ33" s="1262"/>
      <c r="AK33" s="1263"/>
      <c r="AL33" s="665"/>
      <c r="AM33" s="1281"/>
      <c r="AN33" s="1282"/>
      <c r="AO33" s="1282"/>
      <c r="AP33" s="1282"/>
      <c r="AQ33" s="1283"/>
      <c r="AR33" s="665"/>
      <c r="AS33" s="1250"/>
      <c r="AT33" s="1251"/>
      <c r="AU33" s="1251"/>
      <c r="AV33" s="1251"/>
      <c r="AW33" s="1252"/>
      <c r="AX33" s="665"/>
      <c r="AY33" s="1253"/>
      <c r="AZ33" s="1253"/>
      <c r="BA33" s="1253"/>
      <c r="BB33" s="1253"/>
      <c r="BC33" s="1253"/>
      <c r="BD33" s="641"/>
      <c r="BE33" s="1199" t="s">
        <v>7214</v>
      </c>
      <c r="BF33" s="1199"/>
      <c r="BG33" s="1199"/>
      <c r="BH33" s="1199"/>
      <c r="BI33" s="1199"/>
      <c r="BJ33" s="1199"/>
      <c r="BK33" s="1199"/>
      <c r="BL33" s="1199"/>
      <c r="BM33" s="1199"/>
      <c r="BN33" s="1199"/>
      <c r="BO33" s="1199"/>
      <c r="BP33" s="1199"/>
      <c r="BQ33" s="1200" t="s">
        <v>511</v>
      </c>
      <c r="BR33" s="1200"/>
      <c r="BS33" s="1200"/>
      <c r="BT33" s="657"/>
      <c r="BU33" s="1201" t="s">
        <v>7203</v>
      </c>
      <c r="BV33" s="1201"/>
      <c r="BW33" s="1201"/>
      <c r="BX33" s="657"/>
      <c r="BY33" s="1188"/>
      <c r="BZ33" s="1188"/>
      <c r="CA33" s="1188"/>
      <c r="CB33" s="1188"/>
      <c r="CC33" s="1188"/>
      <c r="CD33" s="1190" t="s">
        <v>608</v>
      </c>
      <c r="CE33" s="1203"/>
      <c r="CF33" s="1203"/>
      <c r="CG33" s="1203"/>
      <c r="CH33" s="1203"/>
      <c r="CI33" s="1203"/>
      <c r="CJ33" s="1190" t="s">
        <v>606</v>
      </c>
      <c r="CK33" s="1192"/>
      <c r="CL33" s="1192"/>
      <c r="CM33" s="1192"/>
      <c r="CN33" s="1192"/>
      <c r="CO33" s="1192"/>
      <c r="CP33" s="1190" t="s">
        <v>606</v>
      </c>
      <c r="CQ33" s="1194"/>
      <c r="CR33" s="1194"/>
      <c r="CS33" s="1194"/>
      <c r="CT33" s="1194"/>
      <c r="CU33" s="1194"/>
      <c r="CV33" s="657"/>
    </row>
    <row r="34" spans="1:100" ht="12" customHeight="1" thickBot="1" x14ac:dyDescent="0.3">
      <c r="A34" s="657"/>
      <c r="B34" s="657"/>
      <c r="C34" s="657"/>
      <c r="D34" s="657"/>
      <c r="E34" s="657"/>
      <c r="F34" s="657"/>
      <c r="G34" s="657"/>
      <c r="H34" s="657"/>
      <c r="I34" s="641"/>
      <c r="J34" s="641"/>
      <c r="K34" s="641"/>
      <c r="L34" s="641"/>
      <c r="M34" s="641"/>
      <c r="N34" s="666"/>
      <c r="O34" s="657"/>
      <c r="P34" s="657"/>
      <c r="Q34" s="657"/>
      <c r="R34" s="657"/>
      <c r="S34" s="657"/>
      <c r="T34" s="657"/>
      <c r="U34" s="657"/>
      <c r="V34" s="657"/>
      <c r="W34" s="657"/>
      <c r="X34" s="657"/>
      <c r="Y34" s="657"/>
      <c r="Z34" s="657"/>
      <c r="AA34" s="657"/>
      <c r="AB34" s="641"/>
      <c r="AC34" s="641"/>
      <c r="AD34" s="641"/>
      <c r="AE34" s="641"/>
      <c r="AF34" s="641"/>
      <c r="AG34" s="641"/>
      <c r="AH34" s="641"/>
      <c r="AI34" s="641"/>
      <c r="AJ34" s="641"/>
      <c r="AK34" s="641"/>
      <c r="AL34" s="665"/>
      <c r="AM34" s="657"/>
      <c r="AN34" s="657"/>
      <c r="AO34" s="657"/>
      <c r="AP34" s="657"/>
      <c r="AQ34" s="657"/>
      <c r="AR34" s="665"/>
      <c r="AS34" s="657"/>
      <c r="AT34" s="657"/>
      <c r="AU34" s="657"/>
      <c r="AV34" s="657"/>
      <c r="AW34" s="657"/>
      <c r="AX34" s="665"/>
      <c r="AY34" s="657"/>
      <c r="AZ34" s="641"/>
      <c r="BA34" s="641"/>
      <c r="BB34" s="641"/>
      <c r="BC34" s="641"/>
      <c r="BD34" s="641"/>
      <c r="BE34" s="1199"/>
      <c r="BF34" s="1199"/>
      <c r="BG34" s="1199"/>
      <c r="BH34" s="1199"/>
      <c r="BI34" s="1199"/>
      <c r="BJ34" s="1199"/>
      <c r="BK34" s="1199"/>
      <c r="BL34" s="1199"/>
      <c r="BM34" s="1199"/>
      <c r="BN34" s="1199"/>
      <c r="BO34" s="1199"/>
      <c r="BP34" s="1199"/>
      <c r="BQ34" s="1200"/>
      <c r="BR34" s="1200"/>
      <c r="BS34" s="1200"/>
      <c r="BT34" s="657"/>
      <c r="BU34" s="1201"/>
      <c r="BV34" s="1201"/>
      <c r="BW34" s="1201"/>
      <c r="BX34" s="657"/>
      <c r="BY34" s="1202"/>
      <c r="BZ34" s="1202"/>
      <c r="CA34" s="1202"/>
      <c r="CB34" s="1202"/>
      <c r="CC34" s="1202"/>
      <c r="CD34" s="1191"/>
      <c r="CE34" s="1204"/>
      <c r="CF34" s="1204"/>
      <c r="CG34" s="1204"/>
      <c r="CH34" s="1204"/>
      <c r="CI34" s="1204"/>
      <c r="CJ34" s="1191"/>
      <c r="CK34" s="1193"/>
      <c r="CL34" s="1193"/>
      <c r="CM34" s="1193"/>
      <c r="CN34" s="1193"/>
      <c r="CO34" s="1193"/>
      <c r="CP34" s="1191"/>
      <c r="CQ34" s="1195"/>
      <c r="CR34" s="1195"/>
      <c r="CS34" s="1195"/>
      <c r="CT34" s="1195"/>
      <c r="CU34" s="1195"/>
      <c r="CV34" s="657"/>
    </row>
    <row r="35" spans="1:100" ht="12" customHeight="1" x14ac:dyDescent="0.25">
      <c r="A35" s="657"/>
      <c r="B35" s="1073" t="s">
        <v>510</v>
      </c>
      <c r="C35" s="1073"/>
      <c r="D35" s="1073"/>
      <c r="E35" s="1073"/>
      <c r="F35" s="1073"/>
      <c r="G35" s="1073"/>
      <c r="H35" s="657"/>
      <c r="I35" s="1255" t="str">
        <f>IF(CharacterLevel="","",IF(U35="",WIS,U35))</f>
        <v/>
      </c>
      <c r="J35" s="1256"/>
      <c r="K35" s="1256"/>
      <c r="L35" s="1256"/>
      <c r="M35" s="1257"/>
      <c r="N35" s="666" t="str">
        <f>WIS</f>
        <v/>
      </c>
      <c r="O35" s="1264"/>
      <c r="P35" s="1265"/>
      <c r="Q35" s="1265"/>
      <c r="R35" s="1265"/>
      <c r="S35" s="1266"/>
      <c r="T35" s="657"/>
      <c r="U35" s="1273"/>
      <c r="V35" s="1273"/>
      <c r="W35" s="1273"/>
      <c r="X35" s="1273"/>
      <c r="Y35" s="1273"/>
      <c r="Z35" s="657"/>
      <c r="AA35" s="1274" t="str">
        <f>IF(U35=0,"",INT((U35-10)/2))</f>
        <v/>
      </c>
      <c r="AB35" s="1274"/>
      <c r="AC35" s="1274"/>
      <c r="AD35" s="1274"/>
      <c r="AE35" s="1274"/>
      <c r="AF35" s="641"/>
      <c r="AG35" s="1264"/>
      <c r="AH35" s="1256"/>
      <c r="AI35" s="1256"/>
      <c r="AJ35" s="1256"/>
      <c r="AK35" s="1257"/>
      <c r="AL35" s="665"/>
      <c r="AM35" s="1275"/>
      <c r="AN35" s="1276"/>
      <c r="AO35" s="1276"/>
      <c r="AP35" s="1276"/>
      <c r="AQ35" s="1277"/>
      <c r="AR35" s="665"/>
      <c r="AS35" s="1244"/>
      <c r="AT35" s="1245"/>
      <c r="AU35" s="1245"/>
      <c r="AV35" s="1245"/>
      <c r="AW35" s="1246"/>
      <c r="AX35" s="665"/>
      <c r="AY35" s="1253"/>
      <c r="AZ35" s="1253"/>
      <c r="BA35" s="1253"/>
      <c r="BB35" s="1253"/>
      <c r="BC35" s="1253"/>
      <c r="BD35" s="641"/>
      <c r="BE35" s="1199" t="s">
        <v>7215</v>
      </c>
      <c r="BF35" s="1199"/>
      <c r="BG35" s="1199"/>
      <c r="BH35" s="1199"/>
      <c r="BI35" s="1199"/>
      <c r="BJ35" s="1199"/>
      <c r="BK35" s="1199"/>
      <c r="BL35" s="1199"/>
      <c r="BM35" s="1199"/>
      <c r="BN35" s="1199"/>
      <c r="BO35" s="1199"/>
      <c r="BP35" s="1199"/>
      <c r="BQ35" s="1200" t="s">
        <v>509</v>
      </c>
      <c r="BR35" s="1200"/>
      <c r="BS35" s="1200"/>
      <c r="BT35" s="657"/>
      <c r="BU35" s="1201" t="s">
        <v>7203</v>
      </c>
      <c r="BV35" s="1201"/>
      <c r="BW35" s="1201"/>
      <c r="BX35" s="657"/>
      <c r="BY35" s="1188"/>
      <c r="BZ35" s="1188"/>
      <c r="CA35" s="1188"/>
      <c r="CB35" s="1188"/>
      <c r="CC35" s="1188"/>
      <c r="CD35" s="1190" t="s">
        <v>608</v>
      </c>
      <c r="CE35" s="1203"/>
      <c r="CF35" s="1203"/>
      <c r="CG35" s="1203"/>
      <c r="CH35" s="1203"/>
      <c r="CI35" s="1203"/>
      <c r="CJ35" s="1190" t="s">
        <v>606</v>
      </c>
      <c r="CK35" s="1192"/>
      <c r="CL35" s="1192"/>
      <c r="CM35" s="1192"/>
      <c r="CN35" s="1192"/>
      <c r="CO35" s="1192"/>
      <c r="CP35" s="1190" t="s">
        <v>606</v>
      </c>
      <c r="CQ35" s="1194"/>
      <c r="CR35" s="1194"/>
      <c r="CS35" s="1194"/>
      <c r="CT35" s="1194"/>
      <c r="CU35" s="1194"/>
      <c r="CV35" s="657"/>
    </row>
    <row r="36" spans="1:100" ht="12" customHeight="1" x14ac:dyDescent="0.2">
      <c r="A36" s="657"/>
      <c r="B36" s="1073"/>
      <c r="C36" s="1073"/>
      <c r="D36" s="1073"/>
      <c r="E36" s="1073"/>
      <c r="F36" s="1073"/>
      <c r="G36" s="1073"/>
      <c r="H36" s="657"/>
      <c r="I36" s="1258"/>
      <c r="J36" s="1259"/>
      <c r="K36" s="1259"/>
      <c r="L36" s="1259"/>
      <c r="M36" s="1260"/>
      <c r="N36" s="666"/>
      <c r="O36" s="1267"/>
      <c r="P36" s="1268"/>
      <c r="Q36" s="1268"/>
      <c r="R36" s="1268"/>
      <c r="S36" s="1269"/>
      <c r="T36" s="657"/>
      <c r="U36" s="1273"/>
      <c r="V36" s="1273"/>
      <c r="W36" s="1273"/>
      <c r="X36" s="1273"/>
      <c r="Y36" s="1273"/>
      <c r="Z36" s="657"/>
      <c r="AA36" s="1274"/>
      <c r="AB36" s="1274"/>
      <c r="AC36" s="1274"/>
      <c r="AD36" s="1274"/>
      <c r="AE36" s="1274"/>
      <c r="AF36" s="641"/>
      <c r="AG36" s="1258"/>
      <c r="AH36" s="1259"/>
      <c r="AI36" s="1259"/>
      <c r="AJ36" s="1259"/>
      <c r="AK36" s="1260"/>
      <c r="AL36" s="667" t="s">
        <v>608</v>
      </c>
      <c r="AM36" s="1278"/>
      <c r="AN36" s="1279"/>
      <c r="AO36" s="1279"/>
      <c r="AP36" s="1279"/>
      <c r="AQ36" s="1280"/>
      <c r="AR36" s="667" t="s">
        <v>606</v>
      </c>
      <c r="AS36" s="1247"/>
      <c r="AT36" s="1248"/>
      <c r="AU36" s="1248"/>
      <c r="AV36" s="1248"/>
      <c r="AW36" s="1249"/>
      <c r="AX36" s="667" t="s">
        <v>606</v>
      </c>
      <c r="AY36" s="1253"/>
      <c r="AZ36" s="1253"/>
      <c r="BA36" s="1253"/>
      <c r="BB36" s="1253"/>
      <c r="BC36" s="1253"/>
      <c r="BD36" s="641"/>
      <c r="BE36" s="1199"/>
      <c r="BF36" s="1199"/>
      <c r="BG36" s="1199"/>
      <c r="BH36" s="1199"/>
      <c r="BI36" s="1199"/>
      <c r="BJ36" s="1199"/>
      <c r="BK36" s="1199"/>
      <c r="BL36" s="1199"/>
      <c r="BM36" s="1199"/>
      <c r="BN36" s="1199"/>
      <c r="BO36" s="1199"/>
      <c r="BP36" s="1199"/>
      <c r="BQ36" s="1200"/>
      <c r="BR36" s="1200"/>
      <c r="BS36" s="1200"/>
      <c r="BT36" s="657"/>
      <c r="BU36" s="1201"/>
      <c r="BV36" s="1201"/>
      <c r="BW36" s="1201"/>
      <c r="BX36" s="657"/>
      <c r="BY36" s="1202"/>
      <c r="BZ36" s="1202"/>
      <c r="CA36" s="1202"/>
      <c r="CB36" s="1202"/>
      <c r="CC36" s="1202"/>
      <c r="CD36" s="1191"/>
      <c r="CE36" s="1204"/>
      <c r="CF36" s="1204"/>
      <c r="CG36" s="1204"/>
      <c r="CH36" s="1204"/>
      <c r="CI36" s="1204"/>
      <c r="CJ36" s="1191"/>
      <c r="CK36" s="1193"/>
      <c r="CL36" s="1193"/>
      <c r="CM36" s="1193"/>
      <c r="CN36" s="1193"/>
      <c r="CO36" s="1193"/>
      <c r="CP36" s="1191"/>
      <c r="CQ36" s="1195"/>
      <c r="CR36" s="1195"/>
      <c r="CS36" s="1195"/>
      <c r="CT36" s="1195"/>
      <c r="CU36" s="1195"/>
      <c r="CV36" s="657"/>
    </row>
    <row r="37" spans="1:100" ht="12" customHeight="1" thickBot="1" x14ac:dyDescent="0.3">
      <c r="A37" s="657"/>
      <c r="B37" s="1082" t="s">
        <v>7216</v>
      </c>
      <c r="C37" s="1082"/>
      <c r="D37" s="1082"/>
      <c r="E37" s="1082"/>
      <c r="F37" s="1082"/>
      <c r="G37" s="1082"/>
      <c r="H37" s="657"/>
      <c r="I37" s="1261"/>
      <c r="J37" s="1262"/>
      <c r="K37" s="1262"/>
      <c r="L37" s="1262"/>
      <c r="M37" s="1263"/>
      <c r="N37" s="666"/>
      <c r="O37" s="1270"/>
      <c r="P37" s="1271"/>
      <c r="Q37" s="1271"/>
      <c r="R37" s="1271"/>
      <c r="S37" s="1272"/>
      <c r="T37" s="657"/>
      <c r="U37" s="1273"/>
      <c r="V37" s="1273"/>
      <c r="W37" s="1273"/>
      <c r="X37" s="1273"/>
      <c r="Y37" s="1273"/>
      <c r="Z37" s="657"/>
      <c r="AA37" s="1274"/>
      <c r="AB37" s="1274"/>
      <c r="AC37" s="1274"/>
      <c r="AD37" s="1274"/>
      <c r="AE37" s="1274"/>
      <c r="AF37" s="641"/>
      <c r="AG37" s="1261"/>
      <c r="AH37" s="1262"/>
      <c r="AI37" s="1262"/>
      <c r="AJ37" s="1262"/>
      <c r="AK37" s="1263"/>
      <c r="AL37" s="665"/>
      <c r="AM37" s="1281"/>
      <c r="AN37" s="1282"/>
      <c r="AO37" s="1282"/>
      <c r="AP37" s="1282"/>
      <c r="AQ37" s="1283"/>
      <c r="AR37" s="665"/>
      <c r="AS37" s="1250"/>
      <c r="AT37" s="1251"/>
      <c r="AU37" s="1251"/>
      <c r="AV37" s="1251"/>
      <c r="AW37" s="1252"/>
      <c r="AX37" s="665"/>
      <c r="AY37" s="1253"/>
      <c r="AZ37" s="1253"/>
      <c r="BA37" s="1253"/>
      <c r="BB37" s="1253"/>
      <c r="BC37" s="1253"/>
      <c r="BD37" s="641"/>
      <c r="BE37" s="1199" t="s">
        <v>7217</v>
      </c>
      <c r="BF37" s="1199"/>
      <c r="BG37" s="1199"/>
      <c r="BH37" s="1199"/>
      <c r="BI37" s="1199"/>
      <c r="BJ37" s="1199"/>
      <c r="BK37" s="1199"/>
      <c r="BL37" s="1199"/>
      <c r="BM37" s="1199"/>
      <c r="BN37" s="1199"/>
      <c r="BO37" s="1199"/>
      <c r="BP37" s="1199"/>
      <c r="BQ37" s="1200" t="s">
        <v>510</v>
      </c>
      <c r="BR37" s="1200"/>
      <c r="BS37" s="1200"/>
      <c r="BT37" s="657"/>
      <c r="BU37" s="1201" t="s">
        <v>7203</v>
      </c>
      <c r="BV37" s="1201"/>
      <c r="BW37" s="1201"/>
      <c r="BX37" s="657"/>
      <c r="BY37" s="1188"/>
      <c r="BZ37" s="1188"/>
      <c r="CA37" s="1188"/>
      <c r="CB37" s="1188"/>
      <c r="CC37" s="1188"/>
      <c r="CD37" s="1190" t="s">
        <v>608</v>
      </c>
      <c r="CE37" s="1203"/>
      <c r="CF37" s="1203"/>
      <c r="CG37" s="1203"/>
      <c r="CH37" s="1203"/>
      <c r="CI37" s="1203"/>
      <c r="CJ37" s="1190" t="s">
        <v>606</v>
      </c>
      <c r="CK37" s="1192"/>
      <c r="CL37" s="1192"/>
      <c r="CM37" s="1192"/>
      <c r="CN37" s="1192"/>
      <c r="CO37" s="1192"/>
      <c r="CP37" s="1190" t="s">
        <v>606</v>
      </c>
      <c r="CQ37" s="1194"/>
      <c r="CR37" s="1194"/>
      <c r="CS37" s="1194"/>
      <c r="CT37" s="1194"/>
      <c r="CU37" s="1194"/>
      <c r="CV37" s="657"/>
    </row>
    <row r="38" spans="1:100" ht="12" customHeight="1" thickBot="1" x14ac:dyDescent="0.3">
      <c r="A38" s="657"/>
      <c r="B38" s="657"/>
      <c r="C38" s="657"/>
      <c r="D38" s="657"/>
      <c r="E38" s="657"/>
      <c r="F38" s="657"/>
      <c r="G38" s="657"/>
      <c r="H38" s="657"/>
      <c r="I38" s="641"/>
      <c r="J38" s="641"/>
      <c r="K38" s="641"/>
      <c r="L38" s="641"/>
      <c r="M38" s="641"/>
      <c r="N38" s="666"/>
      <c r="O38" s="657"/>
      <c r="P38" s="657"/>
      <c r="Q38" s="657"/>
      <c r="R38" s="657"/>
      <c r="S38" s="657"/>
      <c r="T38" s="657"/>
      <c r="U38" s="657"/>
      <c r="V38" s="657"/>
      <c r="W38" s="657"/>
      <c r="X38" s="657"/>
      <c r="Y38" s="657"/>
      <c r="Z38" s="657"/>
      <c r="AA38" s="657"/>
      <c r="AB38" s="641"/>
      <c r="AC38" s="641"/>
      <c r="AD38" s="641"/>
      <c r="AE38" s="641"/>
      <c r="AF38" s="641"/>
      <c r="AG38" s="641"/>
      <c r="AH38" s="641"/>
      <c r="AI38" s="641"/>
      <c r="AJ38" s="641"/>
      <c r="AK38" s="641"/>
      <c r="AL38" s="665"/>
      <c r="AM38" s="657"/>
      <c r="AN38" s="657"/>
      <c r="AO38" s="657"/>
      <c r="AP38" s="657"/>
      <c r="AQ38" s="657"/>
      <c r="AR38" s="665"/>
      <c r="AS38" s="657"/>
      <c r="AT38" s="657"/>
      <c r="AU38" s="657"/>
      <c r="AV38" s="657"/>
      <c r="AW38" s="657"/>
      <c r="AX38" s="665"/>
      <c r="AY38" s="657"/>
      <c r="AZ38" s="641"/>
      <c r="BA38" s="641"/>
      <c r="BB38" s="641"/>
      <c r="BC38" s="641"/>
      <c r="BD38" s="641"/>
      <c r="BE38" s="1199"/>
      <c r="BF38" s="1199"/>
      <c r="BG38" s="1199"/>
      <c r="BH38" s="1199"/>
      <c r="BI38" s="1199"/>
      <c r="BJ38" s="1199"/>
      <c r="BK38" s="1199"/>
      <c r="BL38" s="1199"/>
      <c r="BM38" s="1199"/>
      <c r="BN38" s="1199"/>
      <c r="BO38" s="1199"/>
      <c r="BP38" s="1199"/>
      <c r="BQ38" s="1200"/>
      <c r="BR38" s="1200"/>
      <c r="BS38" s="1200"/>
      <c r="BT38" s="657"/>
      <c r="BU38" s="1201"/>
      <c r="BV38" s="1201"/>
      <c r="BW38" s="1201"/>
      <c r="BX38" s="657"/>
      <c r="BY38" s="1202"/>
      <c r="BZ38" s="1202"/>
      <c r="CA38" s="1202"/>
      <c r="CB38" s="1202"/>
      <c r="CC38" s="1202"/>
      <c r="CD38" s="1191"/>
      <c r="CE38" s="1204"/>
      <c r="CF38" s="1204"/>
      <c r="CG38" s="1204"/>
      <c r="CH38" s="1204"/>
      <c r="CI38" s="1204"/>
      <c r="CJ38" s="1191"/>
      <c r="CK38" s="1193"/>
      <c r="CL38" s="1193"/>
      <c r="CM38" s="1193"/>
      <c r="CN38" s="1193"/>
      <c r="CO38" s="1193"/>
      <c r="CP38" s="1191"/>
      <c r="CQ38" s="1195"/>
      <c r="CR38" s="1195"/>
      <c r="CS38" s="1195"/>
      <c r="CT38" s="1195"/>
      <c r="CU38" s="1195"/>
      <c r="CV38" s="657"/>
    </row>
    <row r="39" spans="1:100" ht="12" customHeight="1" x14ac:dyDescent="0.25">
      <c r="A39" s="657"/>
      <c r="B39" s="1073" t="s">
        <v>511</v>
      </c>
      <c r="C39" s="1073"/>
      <c r="D39" s="1073"/>
      <c r="E39" s="1073"/>
      <c r="F39" s="1073"/>
      <c r="G39" s="1073"/>
      <c r="H39" s="657"/>
      <c r="I39" s="1255" t="str">
        <f>IF(CharacterLevel="","",IF(U39="",CHA,U39))</f>
        <v/>
      </c>
      <c r="J39" s="1256"/>
      <c r="K39" s="1256"/>
      <c r="L39" s="1256"/>
      <c r="M39" s="1257"/>
      <c r="N39" s="666" t="str">
        <f>CHA</f>
        <v/>
      </c>
      <c r="O39" s="1264"/>
      <c r="P39" s="1265"/>
      <c r="Q39" s="1265"/>
      <c r="R39" s="1265"/>
      <c r="S39" s="1266"/>
      <c r="T39" s="657"/>
      <c r="U39" s="1273"/>
      <c r="V39" s="1273"/>
      <c r="W39" s="1273"/>
      <c r="X39" s="1273"/>
      <c r="Y39" s="1273"/>
      <c r="Z39" s="657"/>
      <c r="AA39" s="1274" t="str">
        <f>IF(U39=0,"",INT((U39-10)/2))</f>
        <v/>
      </c>
      <c r="AB39" s="1274"/>
      <c r="AC39" s="1274"/>
      <c r="AD39" s="1274"/>
      <c r="AE39" s="1274"/>
      <c r="AF39" s="641"/>
      <c r="AG39" s="1264"/>
      <c r="AH39" s="1256"/>
      <c r="AI39" s="1256"/>
      <c r="AJ39" s="1256"/>
      <c r="AK39" s="1257"/>
      <c r="AL39" s="665"/>
      <c r="AM39" s="1275"/>
      <c r="AN39" s="1276"/>
      <c r="AO39" s="1276"/>
      <c r="AP39" s="1276"/>
      <c r="AQ39" s="1277"/>
      <c r="AR39" s="665"/>
      <c r="AS39" s="1244"/>
      <c r="AT39" s="1245"/>
      <c r="AU39" s="1245"/>
      <c r="AV39" s="1245"/>
      <c r="AW39" s="1246"/>
      <c r="AX39" s="665"/>
      <c r="AY39" s="1253"/>
      <c r="AZ39" s="1253"/>
      <c r="BA39" s="1253"/>
      <c r="BB39" s="1253"/>
      <c r="BC39" s="1253"/>
      <c r="BD39" s="641"/>
      <c r="BE39" s="1199" t="s">
        <v>7218</v>
      </c>
      <c r="BF39" s="1199"/>
      <c r="BG39" s="1199"/>
      <c r="BH39" s="1199"/>
      <c r="BI39" s="1199"/>
      <c r="BJ39" s="1199"/>
      <c r="BK39" s="1199"/>
      <c r="BL39" s="1199"/>
      <c r="BM39" s="1199"/>
      <c r="BN39" s="1199"/>
      <c r="BO39" s="1199"/>
      <c r="BP39" s="1199"/>
      <c r="BQ39" s="1200" t="s">
        <v>509</v>
      </c>
      <c r="BR39" s="1200"/>
      <c r="BS39" s="1200"/>
      <c r="BT39" s="657"/>
      <c r="BU39" s="1201" t="s">
        <v>7203</v>
      </c>
      <c r="BV39" s="1201"/>
      <c r="BW39" s="1201"/>
      <c r="BX39" s="657"/>
      <c r="BY39" s="1188"/>
      <c r="BZ39" s="1188"/>
      <c r="CA39" s="1188"/>
      <c r="CB39" s="1188"/>
      <c r="CC39" s="1188"/>
      <c r="CD39" s="1190" t="s">
        <v>608</v>
      </c>
      <c r="CE39" s="1203"/>
      <c r="CF39" s="1203"/>
      <c r="CG39" s="1203"/>
      <c r="CH39" s="1203"/>
      <c r="CI39" s="1203"/>
      <c r="CJ39" s="1190" t="s">
        <v>606</v>
      </c>
      <c r="CK39" s="1192"/>
      <c r="CL39" s="1192"/>
      <c r="CM39" s="1192"/>
      <c r="CN39" s="1192"/>
      <c r="CO39" s="1192"/>
      <c r="CP39" s="1190" t="s">
        <v>606</v>
      </c>
      <c r="CQ39" s="1194"/>
      <c r="CR39" s="1194"/>
      <c r="CS39" s="1194"/>
      <c r="CT39" s="1194"/>
      <c r="CU39" s="1194"/>
      <c r="CV39" s="657"/>
    </row>
    <row r="40" spans="1:100" ht="12" customHeight="1" x14ac:dyDescent="0.2">
      <c r="A40" s="657"/>
      <c r="B40" s="1073"/>
      <c r="C40" s="1073"/>
      <c r="D40" s="1073"/>
      <c r="E40" s="1073"/>
      <c r="F40" s="1073"/>
      <c r="G40" s="1073"/>
      <c r="H40" s="657"/>
      <c r="I40" s="1258"/>
      <c r="J40" s="1259"/>
      <c r="K40" s="1259"/>
      <c r="L40" s="1259"/>
      <c r="M40" s="1260"/>
      <c r="N40" s="666"/>
      <c r="O40" s="1267"/>
      <c r="P40" s="1268"/>
      <c r="Q40" s="1268"/>
      <c r="R40" s="1268"/>
      <c r="S40" s="1269"/>
      <c r="T40" s="657"/>
      <c r="U40" s="1273"/>
      <c r="V40" s="1273"/>
      <c r="W40" s="1273"/>
      <c r="X40" s="1273"/>
      <c r="Y40" s="1273"/>
      <c r="Z40" s="657"/>
      <c r="AA40" s="1274"/>
      <c r="AB40" s="1274"/>
      <c r="AC40" s="1274"/>
      <c r="AD40" s="1274"/>
      <c r="AE40" s="1274"/>
      <c r="AF40" s="641"/>
      <c r="AG40" s="1258"/>
      <c r="AH40" s="1259"/>
      <c r="AI40" s="1259"/>
      <c r="AJ40" s="1259"/>
      <c r="AK40" s="1260"/>
      <c r="AL40" s="667" t="s">
        <v>608</v>
      </c>
      <c r="AM40" s="1278"/>
      <c r="AN40" s="1279"/>
      <c r="AO40" s="1279"/>
      <c r="AP40" s="1279"/>
      <c r="AQ40" s="1280"/>
      <c r="AR40" s="667" t="s">
        <v>606</v>
      </c>
      <c r="AS40" s="1247"/>
      <c r="AT40" s="1248"/>
      <c r="AU40" s="1248"/>
      <c r="AV40" s="1248"/>
      <c r="AW40" s="1249"/>
      <c r="AX40" s="667" t="s">
        <v>606</v>
      </c>
      <c r="AY40" s="1253"/>
      <c r="AZ40" s="1253"/>
      <c r="BA40" s="1253"/>
      <c r="BB40" s="1253"/>
      <c r="BC40" s="1253"/>
      <c r="BD40" s="641"/>
      <c r="BE40" s="1199"/>
      <c r="BF40" s="1199"/>
      <c r="BG40" s="1199"/>
      <c r="BH40" s="1199"/>
      <c r="BI40" s="1199"/>
      <c r="BJ40" s="1199"/>
      <c r="BK40" s="1199"/>
      <c r="BL40" s="1199"/>
      <c r="BM40" s="1199"/>
      <c r="BN40" s="1199"/>
      <c r="BO40" s="1199"/>
      <c r="BP40" s="1199"/>
      <c r="BQ40" s="1200"/>
      <c r="BR40" s="1200"/>
      <c r="BS40" s="1200"/>
      <c r="BT40" s="657"/>
      <c r="BU40" s="1201"/>
      <c r="BV40" s="1201"/>
      <c r="BW40" s="1201"/>
      <c r="BX40" s="657"/>
      <c r="BY40" s="1202"/>
      <c r="BZ40" s="1202"/>
      <c r="CA40" s="1202"/>
      <c r="CB40" s="1202"/>
      <c r="CC40" s="1202"/>
      <c r="CD40" s="1191"/>
      <c r="CE40" s="1204"/>
      <c r="CF40" s="1204"/>
      <c r="CG40" s="1204"/>
      <c r="CH40" s="1204"/>
      <c r="CI40" s="1204"/>
      <c r="CJ40" s="1191"/>
      <c r="CK40" s="1193"/>
      <c r="CL40" s="1193"/>
      <c r="CM40" s="1193"/>
      <c r="CN40" s="1193"/>
      <c r="CO40" s="1193"/>
      <c r="CP40" s="1191"/>
      <c r="CQ40" s="1195"/>
      <c r="CR40" s="1195"/>
      <c r="CS40" s="1195"/>
      <c r="CT40" s="1195"/>
      <c r="CU40" s="1195"/>
      <c r="CV40" s="657"/>
    </row>
    <row r="41" spans="1:100" ht="12" customHeight="1" thickBot="1" x14ac:dyDescent="0.3">
      <c r="A41" s="657"/>
      <c r="B41" s="1082" t="s">
        <v>7219</v>
      </c>
      <c r="C41" s="1082"/>
      <c r="D41" s="1082"/>
      <c r="E41" s="1082"/>
      <c r="F41" s="1082"/>
      <c r="G41" s="1082"/>
      <c r="H41" s="657"/>
      <c r="I41" s="1261"/>
      <c r="J41" s="1262"/>
      <c r="K41" s="1262"/>
      <c r="L41" s="1262"/>
      <c r="M41" s="1263"/>
      <c r="N41" s="666"/>
      <c r="O41" s="1270"/>
      <c r="P41" s="1271"/>
      <c r="Q41" s="1271"/>
      <c r="R41" s="1271"/>
      <c r="S41" s="1272"/>
      <c r="T41" s="657"/>
      <c r="U41" s="1273"/>
      <c r="V41" s="1273"/>
      <c r="W41" s="1273"/>
      <c r="X41" s="1273"/>
      <c r="Y41" s="1273"/>
      <c r="Z41" s="657"/>
      <c r="AA41" s="1274"/>
      <c r="AB41" s="1274"/>
      <c r="AC41" s="1274"/>
      <c r="AD41" s="1274"/>
      <c r="AE41" s="1274"/>
      <c r="AF41" s="641"/>
      <c r="AG41" s="1261"/>
      <c r="AH41" s="1262"/>
      <c r="AI41" s="1262"/>
      <c r="AJ41" s="1262"/>
      <c r="AK41" s="1263"/>
      <c r="AL41" s="665"/>
      <c r="AM41" s="1281"/>
      <c r="AN41" s="1282"/>
      <c r="AO41" s="1282"/>
      <c r="AP41" s="1282"/>
      <c r="AQ41" s="1283"/>
      <c r="AR41" s="665"/>
      <c r="AS41" s="1250"/>
      <c r="AT41" s="1251"/>
      <c r="AU41" s="1251"/>
      <c r="AV41" s="1251"/>
      <c r="AW41" s="1252"/>
      <c r="AX41" s="665"/>
      <c r="AY41" s="1253"/>
      <c r="AZ41" s="1253"/>
      <c r="BA41" s="1253"/>
      <c r="BB41" s="1253"/>
      <c r="BC41" s="1253"/>
      <c r="BD41" s="641"/>
      <c r="BE41" s="1199" t="s">
        <v>7220</v>
      </c>
      <c r="BF41" s="1199"/>
      <c r="BG41" s="1199"/>
      <c r="BH41" s="1199"/>
      <c r="BI41" s="1199"/>
      <c r="BJ41" s="1199"/>
      <c r="BK41" s="1199"/>
      <c r="BL41" s="1254"/>
      <c r="BM41" s="1254"/>
      <c r="BN41" s="1254"/>
      <c r="BO41" s="1254"/>
      <c r="BP41" s="1254"/>
      <c r="BQ41" s="1200" t="s">
        <v>510</v>
      </c>
      <c r="BR41" s="1200"/>
      <c r="BS41" s="1200"/>
      <c r="BT41" s="657"/>
      <c r="BU41" s="1201" t="s">
        <v>7203</v>
      </c>
      <c r="BV41" s="1201"/>
      <c r="BW41" s="1201"/>
      <c r="BX41" s="657"/>
      <c r="BY41" s="1188"/>
      <c r="BZ41" s="1188"/>
      <c r="CA41" s="1188"/>
      <c r="CB41" s="1188"/>
      <c r="CC41" s="1188"/>
      <c r="CD41" s="1190" t="s">
        <v>608</v>
      </c>
      <c r="CE41" s="1203"/>
      <c r="CF41" s="1203"/>
      <c r="CG41" s="1203"/>
      <c r="CH41" s="1203"/>
      <c r="CI41" s="1203"/>
      <c r="CJ41" s="1190" t="s">
        <v>606</v>
      </c>
      <c r="CK41" s="1192"/>
      <c r="CL41" s="1192"/>
      <c r="CM41" s="1192"/>
      <c r="CN41" s="1192"/>
      <c r="CO41" s="1192"/>
      <c r="CP41" s="1190" t="s">
        <v>606</v>
      </c>
      <c r="CQ41" s="1194"/>
      <c r="CR41" s="1194"/>
      <c r="CS41" s="1194"/>
      <c r="CT41" s="1194"/>
      <c r="CU41" s="1194"/>
      <c r="CV41" s="657"/>
    </row>
    <row r="42" spans="1:100" ht="12" customHeight="1" x14ac:dyDescent="0.2">
      <c r="A42" s="657"/>
      <c r="B42" s="641"/>
      <c r="C42" s="641"/>
      <c r="D42" s="641"/>
      <c r="E42" s="641"/>
      <c r="F42" s="641"/>
      <c r="G42" s="641"/>
      <c r="H42" s="641"/>
      <c r="I42" s="657"/>
      <c r="J42" s="657"/>
      <c r="K42" s="657"/>
      <c r="L42" s="657"/>
      <c r="M42" s="657"/>
      <c r="N42" s="657"/>
      <c r="O42" s="657"/>
      <c r="P42" s="657"/>
      <c r="Q42" s="657"/>
      <c r="R42" s="657"/>
      <c r="S42" s="657"/>
      <c r="T42" s="657"/>
      <c r="U42" s="657"/>
      <c r="V42" s="657"/>
      <c r="W42" s="657"/>
      <c r="X42" s="657"/>
      <c r="Y42" s="657"/>
      <c r="Z42" s="657"/>
      <c r="AA42" s="657"/>
      <c r="AB42" s="657"/>
      <c r="AC42" s="657"/>
      <c r="AD42" s="657"/>
      <c r="AE42" s="657"/>
      <c r="AF42" s="657"/>
      <c r="AG42" s="657"/>
      <c r="AH42" s="657"/>
      <c r="AI42" s="657"/>
      <c r="AJ42" s="657"/>
      <c r="AK42" s="657"/>
      <c r="AL42" s="657"/>
      <c r="AM42" s="657"/>
      <c r="AN42" s="657"/>
      <c r="AO42" s="657"/>
      <c r="AP42" s="657"/>
      <c r="AQ42" s="657"/>
      <c r="AR42" s="657"/>
      <c r="AS42" s="657"/>
      <c r="AT42" s="657"/>
      <c r="AU42" s="657"/>
      <c r="AV42" s="657"/>
      <c r="AW42" s="657"/>
      <c r="AX42" s="657"/>
      <c r="AY42" s="657"/>
      <c r="AZ42" s="670"/>
      <c r="BA42" s="670"/>
      <c r="BB42" s="670"/>
      <c r="BC42" s="670"/>
      <c r="BD42" s="641"/>
      <c r="BE42" s="1199"/>
      <c r="BF42" s="1199"/>
      <c r="BG42" s="1199"/>
      <c r="BH42" s="1199"/>
      <c r="BI42" s="1199"/>
      <c r="BJ42" s="1199"/>
      <c r="BK42" s="1199"/>
      <c r="BL42" s="1254"/>
      <c r="BM42" s="1254"/>
      <c r="BN42" s="1254"/>
      <c r="BO42" s="1254"/>
      <c r="BP42" s="1254"/>
      <c r="BQ42" s="1200"/>
      <c r="BR42" s="1200"/>
      <c r="BS42" s="1200"/>
      <c r="BT42" s="657"/>
      <c r="BU42" s="1201"/>
      <c r="BV42" s="1201"/>
      <c r="BW42" s="1201"/>
      <c r="BX42" s="657"/>
      <c r="BY42" s="1202"/>
      <c r="BZ42" s="1202"/>
      <c r="CA42" s="1202"/>
      <c r="CB42" s="1202"/>
      <c r="CC42" s="1202"/>
      <c r="CD42" s="1191"/>
      <c r="CE42" s="1204"/>
      <c r="CF42" s="1204"/>
      <c r="CG42" s="1204"/>
      <c r="CH42" s="1204"/>
      <c r="CI42" s="1204"/>
      <c r="CJ42" s="1191"/>
      <c r="CK42" s="1193"/>
      <c r="CL42" s="1193"/>
      <c r="CM42" s="1193"/>
      <c r="CN42" s="1193"/>
      <c r="CO42" s="1193"/>
      <c r="CP42" s="1191"/>
      <c r="CQ42" s="1195"/>
      <c r="CR42" s="1195"/>
      <c r="CS42" s="1195"/>
      <c r="CT42" s="1195"/>
      <c r="CU42" s="1195"/>
      <c r="CV42" s="657"/>
    </row>
    <row r="43" spans="1:100" ht="12" customHeight="1" x14ac:dyDescent="0.2">
      <c r="A43" s="657"/>
      <c r="B43" s="1073" t="s">
        <v>7221</v>
      </c>
      <c r="C43" s="1073"/>
      <c r="D43" s="1073"/>
      <c r="E43" s="1073"/>
      <c r="F43" s="1073"/>
      <c r="G43" s="1073"/>
      <c r="H43" s="1073"/>
      <c r="I43" s="1073"/>
      <c r="J43" s="1073"/>
      <c r="K43" s="1073"/>
      <c r="L43" s="1073"/>
      <c r="M43" s="1073"/>
      <c r="N43" s="1073"/>
      <c r="O43" s="1073"/>
      <c r="P43" s="1073"/>
      <c r="Q43" s="1073"/>
      <c r="R43" s="1073"/>
      <c r="S43" s="1073"/>
      <c r="T43" s="1073"/>
      <c r="U43" s="1073"/>
      <c r="V43" s="1073"/>
      <c r="W43" s="1073"/>
      <c r="X43" s="1073"/>
      <c r="Y43" s="1073"/>
      <c r="Z43" s="1073"/>
      <c r="AA43" s="1073"/>
      <c r="AB43" s="1073"/>
      <c r="AC43" s="1073"/>
      <c r="AD43" s="1073"/>
      <c r="AE43" s="1073"/>
      <c r="AF43" s="1073"/>
      <c r="AG43" s="1073"/>
      <c r="AH43" s="1073"/>
      <c r="AI43" s="1073"/>
      <c r="AJ43" s="1073"/>
      <c r="AK43" s="1073"/>
      <c r="AL43" s="1073"/>
      <c r="AM43" s="1073"/>
      <c r="AN43" s="1073"/>
      <c r="AO43" s="1073"/>
      <c r="AP43" s="1073"/>
      <c r="AQ43" s="1073"/>
      <c r="AR43" s="1073"/>
      <c r="AS43" s="1073"/>
      <c r="AT43" s="1073"/>
      <c r="AU43" s="1073"/>
      <c r="AV43" s="1073"/>
      <c r="AW43" s="1073"/>
      <c r="AX43" s="1073"/>
      <c r="AY43" s="1073"/>
      <c r="AZ43" s="1073"/>
      <c r="BA43" s="1073"/>
      <c r="BB43" s="1073"/>
      <c r="BC43" s="1073"/>
      <c r="BD43" s="641"/>
      <c r="BE43" s="1199" t="s">
        <v>7222</v>
      </c>
      <c r="BF43" s="1199"/>
      <c r="BG43" s="1199"/>
      <c r="BH43" s="1199"/>
      <c r="BI43" s="1199"/>
      <c r="BJ43" s="1199"/>
      <c r="BK43" s="1199"/>
      <c r="BL43" s="1199"/>
      <c r="BM43" s="1199"/>
      <c r="BN43" s="1199"/>
      <c r="BO43" s="1199"/>
      <c r="BP43" s="1199"/>
      <c r="BQ43" s="1200" t="s">
        <v>511</v>
      </c>
      <c r="BR43" s="1200"/>
      <c r="BS43" s="1200"/>
      <c r="BT43" s="657"/>
      <c r="BU43" s="1201" t="s">
        <v>7203</v>
      </c>
      <c r="BV43" s="1201"/>
      <c r="BW43" s="1201"/>
      <c r="BX43" s="657"/>
      <c r="BY43" s="1188"/>
      <c r="BZ43" s="1188"/>
      <c r="CA43" s="1188"/>
      <c r="CB43" s="1188"/>
      <c r="CC43" s="1188"/>
      <c r="CD43" s="1190" t="s">
        <v>608</v>
      </c>
      <c r="CE43" s="1203"/>
      <c r="CF43" s="1203"/>
      <c r="CG43" s="1203"/>
      <c r="CH43" s="1203"/>
      <c r="CI43" s="1203"/>
      <c r="CJ43" s="1190" t="s">
        <v>606</v>
      </c>
      <c r="CK43" s="1192"/>
      <c r="CL43" s="1192"/>
      <c r="CM43" s="1192"/>
      <c r="CN43" s="1192"/>
      <c r="CO43" s="1192"/>
      <c r="CP43" s="1190" t="s">
        <v>606</v>
      </c>
      <c r="CQ43" s="1194"/>
      <c r="CR43" s="1194"/>
      <c r="CS43" s="1194"/>
      <c r="CT43" s="1194"/>
      <c r="CU43" s="1194"/>
      <c r="CV43" s="657"/>
    </row>
    <row r="44" spans="1:100" ht="12" customHeight="1" x14ac:dyDescent="0.2">
      <c r="A44" s="657"/>
      <c r="B44" s="1073"/>
      <c r="C44" s="1073"/>
      <c r="D44" s="1073"/>
      <c r="E44" s="1073"/>
      <c r="F44" s="1073"/>
      <c r="G44" s="1073"/>
      <c r="H44" s="1073"/>
      <c r="I44" s="1073"/>
      <c r="J44" s="1073"/>
      <c r="K44" s="1073"/>
      <c r="L44" s="1073"/>
      <c r="M44" s="1073"/>
      <c r="N44" s="1073"/>
      <c r="O44" s="1073"/>
      <c r="P44" s="1073"/>
      <c r="Q44" s="1073"/>
      <c r="R44" s="1073"/>
      <c r="S44" s="1073"/>
      <c r="T44" s="1073"/>
      <c r="U44" s="1073"/>
      <c r="V44" s="1073"/>
      <c r="W44" s="1073"/>
      <c r="X44" s="1073"/>
      <c r="Y44" s="1073"/>
      <c r="Z44" s="1073"/>
      <c r="AA44" s="1073"/>
      <c r="AB44" s="1073"/>
      <c r="AC44" s="1073"/>
      <c r="AD44" s="1073"/>
      <c r="AE44" s="1073"/>
      <c r="AF44" s="1073"/>
      <c r="AG44" s="1073"/>
      <c r="AH44" s="1073"/>
      <c r="AI44" s="1073"/>
      <c r="AJ44" s="1073"/>
      <c r="AK44" s="1073"/>
      <c r="AL44" s="1073"/>
      <c r="AM44" s="1073"/>
      <c r="AN44" s="1073"/>
      <c r="AO44" s="1073"/>
      <c r="AP44" s="1073"/>
      <c r="AQ44" s="1073"/>
      <c r="AR44" s="1073"/>
      <c r="AS44" s="1073"/>
      <c r="AT44" s="1073"/>
      <c r="AU44" s="1073"/>
      <c r="AV44" s="1073"/>
      <c r="AW44" s="1073"/>
      <c r="AX44" s="1073"/>
      <c r="AY44" s="1073"/>
      <c r="AZ44" s="1073"/>
      <c r="BA44" s="1073"/>
      <c r="BB44" s="1073"/>
      <c r="BC44" s="1073"/>
      <c r="BD44" s="641"/>
      <c r="BE44" s="1199"/>
      <c r="BF44" s="1199"/>
      <c r="BG44" s="1199"/>
      <c r="BH44" s="1199"/>
      <c r="BI44" s="1199"/>
      <c r="BJ44" s="1199"/>
      <c r="BK44" s="1199"/>
      <c r="BL44" s="1199"/>
      <c r="BM44" s="1199"/>
      <c r="BN44" s="1199"/>
      <c r="BO44" s="1199"/>
      <c r="BP44" s="1199"/>
      <c r="BQ44" s="1200"/>
      <c r="BR44" s="1200"/>
      <c r="BS44" s="1200"/>
      <c r="BT44" s="657"/>
      <c r="BU44" s="1201"/>
      <c r="BV44" s="1201"/>
      <c r="BW44" s="1201"/>
      <c r="BX44" s="657"/>
      <c r="BY44" s="1202"/>
      <c r="BZ44" s="1202"/>
      <c r="CA44" s="1202"/>
      <c r="CB44" s="1202"/>
      <c r="CC44" s="1202"/>
      <c r="CD44" s="1191"/>
      <c r="CE44" s="1204"/>
      <c r="CF44" s="1204"/>
      <c r="CG44" s="1204"/>
      <c r="CH44" s="1204"/>
      <c r="CI44" s="1204"/>
      <c r="CJ44" s="1191"/>
      <c r="CK44" s="1193"/>
      <c r="CL44" s="1193"/>
      <c r="CM44" s="1193"/>
      <c r="CN44" s="1193"/>
      <c r="CO44" s="1193"/>
      <c r="CP44" s="1191"/>
      <c r="CQ44" s="1195"/>
      <c r="CR44" s="1195"/>
      <c r="CS44" s="1195"/>
      <c r="CT44" s="1195"/>
      <c r="CU44" s="1195"/>
      <c r="CV44" s="657"/>
    </row>
    <row r="45" spans="1:100" ht="12" customHeight="1" thickBot="1" x14ac:dyDescent="0.25">
      <c r="A45" s="657"/>
      <c r="B45" s="657"/>
      <c r="C45" s="657"/>
      <c r="D45" s="657"/>
      <c r="E45" s="657"/>
      <c r="F45" s="657"/>
      <c r="G45" s="657"/>
      <c r="H45" s="657"/>
      <c r="I45" s="657"/>
      <c r="J45" s="657"/>
      <c r="K45" s="657"/>
      <c r="L45" s="657"/>
      <c r="M45" s="657"/>
      <c r="N45" s="657"/>
      <c r="O45" s="657"/>
      <c r="P45" s="657"/>
      <c r="Q45" s="657"/>
      <c r="R45" s="657"/>
      <c r="S45" s="657"/>
      <c r="T45" s="657"/>
      <c r="U45" s="657"/>
      <c r="V45" s="657"/>
      <c r="W45" s="657"/>
      <c r="X45" s="657"/>
      <c r="Y45" s="657"/>
      <c r="Z45" s="657"/>
      <c r="AA45" s="657"/>
      <c r="AB45" s="657"/>
      <c r="AC45" s="657"/>
      <c r="AD45" s="657"/>
      <c r="AE45" s="657"/>
      <c r="AF45" s="657"/>
      <c r="AG45" s="657"/>
      <c r="AH45" s="657"/>
      <c r="AI45" s="657"/>
      <c r="AJ45" s="657"/>
      <c r="AK45" s="657"/>
      <c r="AL45" s="657"/>
      <c r="AM45" s="657"/>
      <c r="AN45" s="657"/>
      <c r="AO45" s="657"/>
      <c r="AP45" s="657"/>
      <c r="AQ45" s="657"/>
      <c r="AR45" s="657"/>
      <c r="AS45" s="657"/>
      <c r="AT45" s="657"/>
      <c r="AU45" s="657"/>
      <c r="AV45" s="657"/>
      <c r="AW45" s="657"/>
      <c r="AX45" s="657"/>
      <c r="AY45" s="657"/>
      <c r="AZ45" s="657"/>
      <c r="BA45" s="657"/>
      <c r="BB45" s="657"/>
      <c r="BC45" s="657"/>
      <c r="BD45" s="641"/>
      <c r="BE45" s="1199" t="s">
        <v>7223</v>
      </c>
      <c r="BF45" s="1199"/>
      <c r="BG45" s="1199"/>
      <c r="BH45" s="1199"/>
      <c r="BI45" s="1199"/>
      <c r="BJ45" s="1199"/>
      <c r="BK45" s="1199"/>
      <c r="BL45" s="1199"/>
      <c r="BM45" s="1199"/>
      <c r="BN45" s="1199"/>
      <c r="BO45" s="1199"/>
      <c r="BP45" s="1199"/>
      <c r="BQ45" s="1200" t="s">
        <v>511</v>
      </c>
      <c r="BR45" s="1200"/>
      <c r="BS45" s="1200"/>
      <c r="BT45" s="657"/>
      <c r="BU45" s="1201" t="s">
        <v>7203</v>
      </c>
      <c r="BV45" s="1201"/>
      <c r="BW45" s="1201"/>
      <c r="BX45" s="657"/>
      <c r="BY45" s="1188"/>
      <c r="BZ45" s="1188"/>
      <c r="CA45" s="1188"/>
      <c r="CB45" s="1188"/>
      <c r="CC45" s="1188"/>
      <c r="CD45" s="1190" t="s">
        <v>608</v>
      </c>
      <c r="CE45" s="1203"/>
      <c r="CF45" s="1203"/>
      <c r="CG45" s="1203"/>
      <c r="CH45" s="1203"/>
      <c r="CI45" s="1203"/>
      <c r="CJ45" s="1190" t="s">
        <v>606</v>
      </c>
      <c r="CK45" s="1192"/>
      <c r="CL45" s="1192"/>
      <c r="CM45" s="1192"/>
      <c r="CN45" s="1192"/>
      <c r="CO45" s="1192"/>
      <c r="CP45" s="1190" t="s">
        <v>606</v>
      </c>
      <c r="CQ45" s="1194"/>
      <c r="CR45" s="1194"/>
      <c r="CS45" s="1194"/>
      <c r="CT45" s="1194"/>
      <c r="CU45" s="1194"/>
      <c r="CV45" s="657"/>
    </row>
    <row r="46" spans="1:100" ht="12" customHeight="1" thickBot="1" x14ac:dyDescent="0.25">
      <c r="A46" s="657"/>
      <c r="B46" s="1073" t="s">
        <v>5885</v>
      </c>
      <c r="C46" s="1073"/>
      <c r="D46" s="1073"/>
      <c r="E46" s="1073"/>
      <c r="F46" s="1073"/>
      <c r="G46" s="1073"/>
      <c r="H46" s="657"/>
      <c r="I46" s="1235"/>
      <c r="J46" s="1236"/>
      <c r="K46" s="1236"/>
      <c r="L46" s="1237"/>
      <c r="M46" s="641"/>
      <c r="N46" s="1226"/>
      <c r="O46" s="1227"/>
      <c r="P46" s="1227"/>
      <c r="Q46" s="1227"/>
      <c r="R46" s="1227"/>
      <c r="S46" s="1227"/>
      <c r="T46" s="1227"/>
      <c r="U46" s="1227"/>
      <c r="V46" s="1227"/>
      <c r="W46" s="1228"/>
      <c r="X46" s="657"/>
      <c r="Y46" s="1073" t="s">
        <v>7224</v>
      </c>
      <c r="Z46" s="1073"/>
      <c r="AA46" s="1073"/>
      <c r="AB46" s="1073"/>
      <c r="AC46" s="1073"/>
      <c r="AD46" s="1073"/>
      <c r="AE46" s="657"/>
      <c r="AF46" s="1235"/>
      <c r="AG46" s="1236"/>
      <c r="AH46" s="1236"/>
      <c r="AI46" s="1237"/>
      <c r="AJ46" s="641"/>
      <c r="AK46" s="1226"/>
      <c r="AL46" s="1227"/>
      <c r="AM46" s="1227"/>
      <c r="AN46" s="1227"/>
      <c r="AO46" s="1227"/>
      <c r="AP46" s="1227"/>
      <c r="AQ46" s="1227"/>
      <c r="AR46" s="1227"/>
      <c r="AS46" s="1227"/>
      <c r="AT46" s="1228"/>
      <c r="AU46" s="671"/>
      <c r="AV46" s="657"/>
      <c r="AW46" s="672" t="s">
        <v>7225</v>
      </c>
      <c r="AX46" s="673"/>
      <c r="AY46" s="674"/>
      <c r="AZ46" s="673"/>
      <c r="BA46" s="674"/>
      <c r="BB46" s="673"/>
      <c r="BC46" s="675"/>
      <c r="BD46" s="641"/>
      <c r="BE46" s="1199"/>
      <c r="BF46" s="1199"/>
      <c r="BG46" s="1199"/>
      <c r="BH46" s="1199"/>
      <c r="BI46" s="1199"/>
      <c r="BJ46" s="1199"/>
      <c r="BK46" s="1199"/>
      <c r="BL46" s="1199"/>
      <c r="BM46" s="1199"/>
      <c r="BN46" s="1199"/>
      <c r="BO46" s="1199"/>
      <c r="BP46" s="1199"/>
      <c r="BQ46" s="1200"/>
      <c r="BR46" s="1200"/>
      <c r="BS46" s="1200"/>
      <c r="BT46" s="657"/>
      <c r="BU46" s="1201"/>
      <c r="BV46" s="1201"/>
      <c r="BW46" s="1201"/>
      <c r="BX46" s="657"/>
      <c r="BY46" s="1202"/>
      <c r="BZ46" s="1202"/>
      <c r="CA46" s="1202"/>
      <c r="CB46" s="1202"/>
      <c r="CC46" s="1202"/>
      <c r="CD46" s="1191"/>
      <c r="CE46" s="1204"/>
      <c r="CF46" s="1204"/>
      <c r="CG46" s="1204"/>
      <c r="CH46" s="1204"/>
      <c r="CI46" s="1204"/>
      <c r="CJ46" s="1191"/>
      <c r="CK46" s="1193"/>
      <c r="CL46" s="1193"/>
      <c r="CM46" s="1193"/>
      <c r="CN46" s="1193"/>
      <c r="CO46" s="1193"/>
      <c r="CP46" s="1191"/>
      <c r="CQ46" s="1195"/>
      <c r="CR46" s="1195"/>
      <c r="CS46" s="1195"/>
      <c r="CT46" s="1195"/>
      <c r="CU46" s="1195"/>
      <c r="CV46" s="657"/>
    </row>
    <row r="47" spans="1:100" ht="12" customHeight="1" thickBot="1" x14ac:dyDescent="0.25">
      <c r="A47" s="657"/>
      <c r="B47" s="1073"/>
      <c r="C47" s="1073"/>
      <c r="D47" s="1073"/>
      <c r="E47" s="1073"/>
      <c r="F47" s="1073"/>
      <c r="G47" s="1073"/>
      <c r="H47" s="657"/>
      <c r="I47" s="1238"/>
      <c r="J47" s="1239"/>
      <c r="K47" s="1239"/>
      <c r="L47" s="1240"/>
      <c r="M47" s="641"/>
      <c r="N47" s="1229"/>
      <c r="O47" s="1230"/>
      <c r="P47" s="1230"/>
      <c r="Q47" s="1230"/>
      <c r="R47" s="1230"/>
      <c r="S47" s="1230"/>
      <c r="T47" s="1230"/>
      <c r="U47" s="1230"/>
      <c r="V47" s="1230"/>
      <c r="W47" s="1231"/>
      <c r="X47" s="657"/>
      <c r="Y47" s="1073"/>
      <c r="Z47" s="1073"/>
      <c r="AA47" s="1073"/>
      <c r="AB47" s="1073"/>
      <c r="AC47" s="1073"/>
      <c r="AD47" s="1073"/>
      <c r="AE47" s="657"/>
      <c r="AF47" s="1238"/>
      <c r="AG47" s="1239"/>
      <c r="AH47" s="1239"/>
      <c r="AI47" s="1240"/>
      <c r="AJ47" s="641"/>
      <c r="AK47" s="1229"/>
      <c r="AL47" s="1230"/>
      <c r="AM47" s="1230"/>
      <c r="AN47" s="1230"/>
      <c r="AO47" s="1230"/>
      <c r="AP47" s="1230"/>
      <c r="AQ47" s="1230"/>
      <c r="AR47" s="1230"/>
      <c r="AS47" s="1230"/>
      <c r="AT47" s="1231"/>
      <c r="AU47" s="671"/>
      <c r="AV47" s="657"/>
      <c r="AW47" s="676"/>
      <c r="AX47" s="674"/>
      <c r="AY47" s="674"/>
      <c r="AZ47" s="674"/>
      <c r="BA47" s="674"/>
      <c r="BB47" s="674"/>
      <c r="BC47" s="675"/>
      <c r="BD47" s="641"/>
      <c r="BE47" s="1199" t="s">
        <v>7226</v>
      </c>
      <c r="BF47" s="1199"/>
      <c r="BG47" s="1199"/>
      <c r="BH47" s="1199"/>
      <c r="BI47" s="1199"/>
      <c r="BJ47" s="1199"/>
      <c r="BK47" s="1199"/>
      <c r="BL47" s="1199"/>
      <c r="BM47" s="1199"/>
      <c r="BN47" s="1199"/>
      <c r="BO47" s="1199"/>
      <c r="BP47" s="1199"/>
      <c r="BQ47" s="1200" t="s">
        <v>509</v>
      </c>
      <c r="BR47" s="1200"/>
      <c r="BS47" s="1200"/>
      <c r="BT47" s="657"/>
      <c r="BU47" s="1201" t="s">
        <v>7203</v>
      </c>
      <c r="BV47" s="1201"/>
      <c r="BW47" s="1201"/>
      <c r="BX47" s="657"/>
      <c r="BY47" s="1188"/>
      <c r="BZ47" s="1188"/>
      <c r="CA47" s="1188"/>
      <c r="CB47" s="1188"/>
      <c r="CC47" s="1188"/>
      <c r="CD47" s="1190" t="s">
        <v>608</v>
      </c>
      <c r="CE47" s="1203"/>
      <c r="CF47" s="1203"/>
      <c r="CG47" s="1203"/>
      <c r="CH47" s="1203"/>
      <c r="CI47" s="1203"/>
      <c r="CJ47" s="1190" t="s">
        <v>606</v>
      </c>
      <c r="CK47" s="1192"/>
      <c r="CL47" s="1192"/>
      <c r="CM47" s="1192"/>
      <c r="CN47" s="1192"/>
      <c r="CO47" s="1192"/>
      <c r="CP47" s="1190" t="s">
        <v>606</v>
      </c>
      <c r="CQ47" s="1194"/>
      <c r="CR47" s="1194"/>
      <c r="CS47" s="1194"/>
      <c r="CT47" s="1194"/>
      <c r="CU47" s="1194"/>
      <c r="CV47" s="657"/>
    </row>
    <row r="48" spans="1:100" ht="12" customHeight="1" thickBot="1" x14ac:dyDescent="0.25">
      <c r="A48" s="657"/>
      <c r="B48" s="1082" t="s">
        <v>7227</v>
      </c>
      <c r="C48" s="1082"/>
      <c r="D48" s="1082"/>
      <c r="E48" s="1082"/>
      <c r="F48" s="1082"/>
      <c r="G48" s="1082"/>
      <c r="H48" s="657"/>
      <c r="I48" s="1241"/>
      <c r="J48" s="1242"/>
      <c r="K48" s="1242"/>
      <c r="L48" s="1243"/>
      <c r="M48" s="641"/>
      <c r="N48" s="1232"/>
      <c r="O48" s="1233"/>
      <c r="P48" s="1233"/>
      <c r="Q48" s="1233"/>
      <c r="R48" s="1233"/>
      <c r="S48" s="1233"/>
      <c r="T48" s="1233"/>
      <c r="U48" s="1233"/>
      <c r="V48" s="1233"/>
      <c r="W48" s="1234"/>
      <c r="X48" s="657"/>
      <c r="Y48" s="1082" t="s">
        <v>7228</v>
      </c>
      <c r="Z48" s="1082"/>
      <c r="AA48" s="1082"/>
      <c r="AB48" s="1082"/>
      <c r="AC48" s="1082"/>
      <c r="AD48" s="1082"/>
      <c r="AE48" s="657"/>
      <c r="AF48" s="1241"/>
      <c r="AG48" s="1242"/>
      <c r="AH48" s="1242"/>
      <c r="AI48" s="1243"/>
      <c r="AJ48" s="641"/>
      <c r="AK48" s="1232"/>
      <c r="AL48" s="1233"/>
      <c r="AM48" s="1233"/>
      <c r="AN48" s="1233"/>
      <c r="AO48" s="1233"/>
      <c r="AP48" s="1233"/>
      <c r="AQ48" s="1233"/>
      <c r="AR48" s="1233"/>
      <c r="AS48" s="1233"/>
      <c r="AT48" s="1234"/>
      <c r="AU48" s="677"/>
      <c r="AV48" s="657"/>
      <c r="AW48" s="672" t="s">
        <v>7229</v>
      </c>
      <c r="AX48" s="673"/>
      <c r="AY48" s="674"/>
      <c r="AZ48" s="673"/>
      <c r="BA48" s="674"/>
      <c r="BB48" s="673"/>
      <c r="BC48" s="675"/>
      <c r="BD48" s="641"/>
      <c r="BE48" s="1199"/>
      <c r="BF48" s="1199"/>
      <c r="BG48" s="1199"/>
      <c r="BH48" s="1199"/>
      <c r="BI48" s="1199"/>
      <c r="BJ48" s="1199"/>
      <c r="BK48" s="1199"/>
      <c r="BL48" s="1199"/>
      <c r="BM48" s="1199"/>
      <c r="BN48" s="1199"/>
      <c r="BO48" s="1199"/>
      <c r="BP48" s="1199"/>
      <c r="BQ48" s="1200"/>
      <c r="BR48" s="1200"/>
      <c r="BS48" s="1200"/>
      <c r="BT48" s="657"/>
      <c r="BU48" s="1201"/>
      <c r="BV48" s="1201"/>
      <c r="BW48" s="1201"/>
      <c r="BX48" s="657"/>
      <c r="BY48" s="1202"/>
      <c r="BZ48" s="1202"/>
      <c r="CA48" s="1202"/>
      <c r="CB48" s="1202"/>
      <c r="CC48" s="1202"/>
      <c r="CD48" s="1191"/>
      <c r="CE48" s="1204"/>
      <c r="CF48" s="1204"/>
      <c r="CG48" s="1204"/>
      <c r="CH48" s="1204"/>
      <c r="CI48" s="1204"/>
      <c r="CJ48" s="1191"/>
      <c r="CK48" s="1193"/>
      <c r="CL48" s="1193"/>
      <c r="CM48" s="1193"/>
      <c r="CN48" s="1193"/>
      <c r="CO48" s="1193"/>
      <c r="CP48" s="1191"/>
      <c r="CQ48" s="1195"/>
      <c r="CR48" s="1195"/>
      <c r="CS48" s="1195"/>
      <c r="CT48" s="1195"/>
      <c r="CU48" s="1195"/>
      <c r="CV48" s="657"/>
    </row>
    <row r="49" spans="1:100" ht="12" customHeight="1" x14ac:dyDescent="0.2">
      <c r="A49" s="657"/>
      <c r="B49" s="657"/>
      <c r="C49" s="657"/>
      <c r="D49" s="657"/>
      <c r="E49" s="657"/>
      <c r="F49" s="657"/>
      <c r="G49" s="657"/>
      <c r="H49" s="657"/>
      <c r="I49" s="1224" t="s">
        <v>7230</v>
      </c>
      <c r="J49" s="1224"/>
      <c r="K49" s="1224"/>
      <c r="L49" s="1224"/>
      <c r="M49" s="662"/>
      <c r="N49" s="1198" t="s">
        <v>7231</v>
      </c>
      <c r="O49" s="1198"/>
      <c r="P49" s="1198"/>
      <c r="Q49" s="1198"/>
      <c r="R49" s="1198"/>
      <c r="S49" s="1198"/>
      <c r="T49" s="1198"/>
      <c r="U49" s="1198"/>
      <c r="V49" s="1198"/>
      <c r="W49" s="1198"/>
      <c r="X49" s="657"/>
      <c r="Y49" s="641"/>
      <c r="Z49" s="641"/>
      <c r="AA49" s="641"/>
      <c r="AB49" s="641"/>
      <c r="AC49" s="641"/>
      <c r="AD49" s="641"/>
      <c r="AE49" s="641"/>
      <c r="AF49" s="1224" t="s">
        <v>7230</v>
      </c>
      <c r="AG49" s="1224"/>
      <c r="AH49" s="1224"/>
      <c r="AI49" s="1224"/>
      <c r="AJ49" s="662"/>
      <c r="AK49" s="1198" t="s">
        <v>7231</v>
      </c>
      <c r="AL49" s="1198"/>
      <c r="AM49" s="1198"/>
      <c r="AN49" s="1198"/>
      <c r="AO49" s="1198"/>
      <c r="AP49" s="1198"/>
      <c r="AQ49" s="1198"/>
      <c r="AR49" s="1198"/>
      <c r="AS49" s="1198"/>
      <c r="AT49" s="1198"/>
      <c r="AU49" s="678"/>
      <c r="AV49" s="678"/>
      <c r="AW49" s="1225" t="s">
        <v>7232</v>
      </c>
      <c r="AX49" s="1225"/>
      <c r="AY49" s="1225"/>
      <c r="AZ49" s="1225"/>
      <c r="BA49" s="1225"/>
      <c r="BB49" s="1225"/>
      <c r="BC49" s="1225"/>
      <c r="BD49" s="641"/>
      <c r="BE49" s="1199" t="s">
        <v>7233</v>
      </c>
      <c r="BF49" s="1199"/>
      <c r="BG49" s="1199"/>
      <c r="BH49" s="1199"/>
      <c r="BI49" s="1199"/>
      <c r="BJ49" s="1199"/>
      <c r="BK49" s="1199"/>
      <c r="BL49" s="1199"/>
      <c r="BM49" s="1199"/>
      <c r="BN49" s="1199"/>
      <c r="BO49" s="1199"/>
      <c r="BP49" s="1199"/>
      <c r="BQ49" s="1200" t="s">
        <v>117</v>
      </c>
      <c r="BR49" s="1200"/>
      <c r="BS49" s="1200"/>
      <c r="BT49" s="657"/>
      <c r="BU49" s="1201" t="s">
        <v>7203</v>
      </c>
      <c r="BV49" s="1201"/>
      <c r="BW49" s="1201"/>
      <c r="BX49" s="657"/>
      <c r="BY49" s="1188"/>
      <c r="BZ49" s="1188"/>
      <c r="CA49" s="1188"/>
      <c r="CB49" s="1188"/>
      <c r="CC49" s="1188"/>
      <c r="CD49" s="1190" t="s">
        <v>608</v>
      </c>
      <c r="CE49" s="1203"/>
      <c r="CF49" s="1203"/>
      <c r="CG49" s="1203"/>
      <c r="CH49" s="1203"/>
      <c r="CI49" s="1203"/>
      <c r="CJ49" s="1190" t="s">
        <v>606</v>
      </c>
      <c r="CK49" s="1192"/>
      <c r="CL49" s="1192"/>
      <c r="CM49" s="1192"/>
      <c r="CN49" s="1192"/>
      <c r="CO49" s="1192"/>
      <c r="CP49" s="1190" t="s">
        <v>606</v>
      </c>
      <c r="CQ49" s="1194"/>
      <c r="CR49" s="1194"/>
      <c r="CS49" s="1194"/>
      <c r="CT49" s="1194"/>
      <c r="CU49" s="1194"/>
      <c r="CV49" s="657"/>
    </row>
    <row r="50" spans="1:100" ht="12" customHeight="1" thickBot="1" x14ac:dyDescent="0.25">
      <c r="A50" s="657"/>
      <c r="B50" s="657"/>
      <c r="C50" s="657"/>
      <c r="D50" s="657"/>
      <c r="E50" s="657"/>
      <c r="F50" s="657"/>
      <c r="G50" s="657"/>
      <c r="H50" s="657"/>
      <c r="I50" s="679"/>
      <c r="J50" s="679"/>
      <c r="K50" s="679"/>
      <c r="L50" s="679"/>
      <c r="M50" s="662"/>
      <c r="N50" s="680"/>
      <c r="O50" s="680"/>
      <c r="P50" s="680"/>
      <c r="Q50" s="680"/>
      <c r="R50" s="680"/>
      <c r="S50" s="680"/>
      <c r="T50" s="680"/>
      <c r="U50" s="680"/>
      <c r="V50" s="680"/>
      <c r="W50" s="680"/>
      <c r="X50" s="657"/>
      <c r="Y50" s="641"/>
      <c r="Z50" s="641"/>
      <c r="AA50" s="641"/>
      <c r="AB50" s="641"/>
      <c r="AC50" s="641"/>
      <c r="AD50" s="641"/>
      <c r="AE50" s="641"/>
      <c r="AF50" s="681"/>
      <c r="AG50" s="681"/>
      <c r="AH50" s="681"/>
      <c r="AI50" s="681"/>
      <c r="AJ50" s="662"/>
      <c r="AK50" s="680"/>
      <c r="AL50" s="680"/>
      <c r="AM50" s="680"/>
      <c r="AN50" s="680"/>
      <c r="AO50" s="680"/>
      <c r="AP50" s="680"/>
      <c r="AQ50" s="680"/>
      <c r="AR50" s="680"/>
      <c r="AS50" s="680"/>
      <c r="AT50" s="680"/>
      <c r="AU50" s="670"/>
      <c r="AV50" s="670"/>
      <c r="AW50" s="1225"/>
      <c r="AX50" s="1225"/>
      <c r="AY50" s="1225"/>
      <c r="AZ50" s="1225"/>
      <c r="BA50" s="1225"/>
      <c r="BB50" s="1225"/>
      <c r="BC50" s="1225"/>
      <c r="BD50" s="641"/>
      <c r="BE50" s="1199"/>
      <c r="BF50" s="1199"/>
      <c r="BG50" s="1199"/>
      <c r="BH50" s="1199"/>
      <c r="BI50" s="1199"/>
      <c r="BJ50" s="1199"/>
      <c r="BK50" s="1199"/>
      <c r="BL50" s="1199"/>
      <c r="BM50" s="1199"/>
      <c r="BN50" s="1199"/>
      <c r="BO50" s="1199"/>
      <c r="BP50" s="1199"/>
      <c r="BQ50" s="1200"/>
      <c r="BR50" s="1200"/>
      <c r="BS50" s="1200"/>
      <c r="BT50" s="657"/>
      <c r="BU50" s="1201"/>
      <c r="BV50" s="1201"/>
      <c r="BW50" s="1201"/>
      <c r="BX50" s="657"/>
      <c r="BY50" s="1202"/>
      <c r="BZ50" s="1202"/>
      <c r="CA50" s="1202"/>
      <c r="CB50" s="1202"/>
      <c r="CC50" s="1202"/>
      <c r="CD50" s="1191"/>
      <c r="CE50" s="1204"/>
      <c r="CF50" s="1204"/>
      <c r="CG50" s="1204"/>
      <c r="CH50" s="1204"/>
      <c r="CI50" s="1204"/>
      <c r="CJ50" s="1191"/>
      <c r="CK50" s="1193"/>
      <c r="CL50" s="1193"/>
      <c r="CM50" s="1193"/>
      <c r="CN50" s="1193"/>
      <c r="CO50" s="1193"/>
      <c r="CP50" s="1191"/>
      <c r="CQ50" s="1195"/>
      <c r="CR50" s="1195"/>
      <c r="CS50" s="1195"/>
      <c r="CT50" s="1195"/>
      <c r="CU50" s="1195"/>
      <c r="CV50" s="657"/>
    </row>
    <row r="51" spans="1:100" ht="12" customHeight="1" x14ac:dyDescent="0.2">
      <c r="A51" s="657"/>
      <c r="B51" s="1073" t="s">
        <v>12</v>
      </c>
      <c r="C51" s="1073"/>
      <c r="D51" s="1073"/>
      <c r="E51" s="1073"/>
      <c r="F51" s="1073"/>
      <c r="G51" s="1073"/>
      <c r="H51" s="657"/>
      <c r="I51" s="1083"/>
      <c r="J51" s="1084"/>
      <c r="K51" s="1084"/>
      <c r="L51" s="1085"/>
      <c r="M51" s="1223" t="s">
        <v>608</v>
      </c>
      <c r="N51" s="1093"/>
      <c r="O51" s="1094"/>
      <c r="P51" s="1094"/>
      <c r="Q51" s="1095"/>
      <c r="R51" s="1092" t="s">
        <v>606</v>
      </c>
      <c r="S51" s="1093"/>
      <c r="T51" s="1094"/>
      <c r="U51" s="1094"/>
      <c r="V51" s="1095"/>
      <c r="W51" s="1092" t="s">
        <v>606</v>
      </c>
      <c r="X51" s="1111"/>
      <c r="Y51" s="1112"/>
      <c r="Z51" s="1112"/>
      <c r="AA51" s="1113"/>
      <c r="AB51" s="1092" t="s">
        <v>606</v>
      </c>
      <c r="AC51" s="1093"/>
      <c r="AD51" s="1094"/>
      <c r="AE51" s="1094"/>
      <c r="AF51" s="1095"/>
      <c r="AG51" s="657"/>
      <c r="AH51" s="657"/>
      <c r="AI51" s="1205"/>
      <c r="AJ51" s="1206"/>
      <c r="AK51" s="1206"/>
      <c r="AL51" s="1206"/>
      <c r="AM51" s="1206"/>
      <c r="AN51" s="1206"/>
      <c r="AO51" s="1206"/>
      <c r="AP51" s="1206"/>
      <c r="AQ51" s="1206"/>
      <c r="AR51" s="1207"/>
      <c r="AS51" s="682"/>
      <c r="AT51" s="1214"/>
      <c r="AU51" s="1215"/>
      <c r="AV51" s="1215"/>
      <c r="AW51" s="1215"/>
      <c r="AX51" s="1215"/>
      <c r="AY51" s="1215"/>
      <c r="AZ51" s="1215"/>
      <c r="BA51" s="1215"/>
      <c r="BB51" s="1215"/>
      <c r="BC51" s="1216"/>
      <c r="BD51" s="641"/>
      <c r="BE51" s="1199" t="s">
        <v>7234</v>
      </c>
      <c r="BF51" s="1199"/>
      <c r="BG51" s="1199"/>
      <c r="BH51" s="1199"/>
      <c r="BI51" s="1199"/>
      <c r="BJ51" s="1199"/>
      <c r="BK51" s="1199"/>
      <c r="BL51" s="1199"/>
      <c r="BM51" s="1199"/>
      <c r="BN51" s="1199"/>
      <c r="BO51" s="1199"/>
      <c r="BP51" s="1199"/>
      <c r="BQ51" s="1200" t="s">
        <v>117</v>
      </c>
      <c r="BR51" s="1200"/>
      <c r="BS51" s="1200"/>
      <c r="BT51" s="657"/>
      <c r="BU51" s="1201" t="s">
        <v>7203</v>
      </c>
      <c r="BV51" s="1201"/>
      <c r="BW51" s="1201"/>
      <c r="BX51" s="657"/>
      <c r="BY51" s="1188"/>
      <c r="BZ51" s="1188"/>
      <c r="CA51" s="1188"/>
      <c r="CB51" s="1188"/>
      <c r="CC51" s="1188"/>
      <c r="CD51" s="1190" t="s">
        <v>608</v>
      </c>
      <c r="CE51" s="1203"/>
      <c r="CF51" s="1203"/>
      <c r="CG51" s="1203"/>
      <c r="CH51" s="1203"/>
      <c r="CI51" s="1203"/>
      <c r="CJ51" s="1190" t="s">
        <v>606</v>
      </c>
      <c r="CK51" s="1192"/>
      <c r="CL51" s="1192"/>
      <c r="CM51" s="1192"/>
      <c r="CN51" s="1192"/>
      <c r="CO51" s="1192"/>
      <c r="CP51" s="1190" t="s">
        <v>606</v>
      </c>
      <c r="CQ51" s="1194"/>
      <c r="CR51" s="1194"/>
      <c r="CS51" s="1194"/>
      <c r="CT51" s="1194"/>
      <c r="CU51" s="1194"/>
      <c r="CV51" s="657"/>
    </row>
    <row r="52" spans="1:100" ht="12" customHeight="1" x14ac:dyDescent="0.2">
      <c r="A52" s="657"/>
      <c r="B52" s="1073"/>
      <c r="C52" s="1073"/>
      <c r="D52" s="1073"/>
      <c r="E52" s="1073"/>
      <c r="F52" s="1073"/>
      <c r="G52" s="1073"/>
      <c r="H52" s="657"/>
      <c r="I52" s="1086"/>
      <c r="J52" s="1087"/>
      <c r="K52" s="1087"/>
      <c r="L52" s="1088"/>
      <c r="M52" s="1223"/>
      <c r="N52" s="1096"/>
      <c r="O52" s="1097"/>
      <c r="P52" s="1097"/>
      <c r="Q52" s="1098"/>
      <c r="R52" s="1092"/>
      <c r="S52" s="1096"/>
      <c r="T52" s="1097"/>
      <c r="U52" s="1097"/>
      <c r="V52" s="1098"/>
      <c r="W52" s="1092"/>
      <c r="X52" s="1114"/>
      <c r="Y52" s="1115"/>
      <c r="Z52" s="1115"/>
      <c r="AA52" s="1116"/>
      <c r="AB52" s="1092"/>
      <c r="AC52" s="1096"/>
      <c r="AD52" s="1097"/>
      <c r="AE52" s="1097"/>
      <c r="AF52" s="1098"/>
      <c r="AG52" s="657"/>
      <c r="AH52" s="657"/>
      <c r="AI52" s="1208"/>
      <c r="AJ52" s="1209"/>
      <c r="AK52" s="1209"/>
      <c r="AL52" s="1209"/>
      <c r="AM52" s="1209"/>
      <c r="AN52" s="1209"/>
      <c r="AO52" s="1209"/>
      <c r="AP52" s="1209"/>
      <c r="AQ52" s="1209"/>
      <c r="AR52" s="1210"/>
      <c r="AS52" s="682"/>
      <c r="AT52" s="1217"/>
      <c r="AU52" s="1218"/>
      <c r="AV52" s="1218"/>
      <c r="AW52" s="1218"/>
      <c r="AX52" s="1218"/>
      <c r="AY52" s="1218"/>
      <c r="AZ52" s="1218"/>
      <c r="BA52" s="1218"/>
      <c r="BB52" s="1218"/>
      <c r="BC52" s="1219"/>
      <c r="BD52" s="641"/>
      <c r="BE52" s="1199"/>
      <c r="BF52" s="1199"/>
      <c r="BG52" s="1199"/>
      <c r="BH52" s="1199"/>
      <c r="BI52" s="1199"/>
      <c r="BJ52" s="1199"/>
      <c r="BK52" s="1199"/>
      <c r="BL52" s="1199"/>
      <c r="BM52" s="1199"/>
      <c r="BN52" s="1199"/>
      <c r="BO52" s="1199"/>
      <c r="BP52" s="1199"/>
      <c r="BQ52" s="1200"/>
      <c r="BR52" s="1200"/>
      <c r="BS52" s="1200"/>
      <c r="BT52" s="657"/>
      <c r="BU52" s="1201"/>
      <c r="BV52" s="1201"/>
      <c r="BW52" s="1201"/>
      <c r="BX52" s="657"/>
      <c r="BY52" s="1202"/>
      <c r="BZ52" s="1202"/>
      <c r="CA52" s="1202"/>
      <c r="CB52" s="1202"/>
      <c r="CC52" s="1202"/>
      <c r="CD52" s="1191"/>
      <c r="CE52" s="1204"/>
      <c r="CF52" s="1204"/>
      <c r="CG52" s="1204"/>
      <c r="CH52" s="1204"/>
      <c r="CI52" s="1204"/>
      <c r="CJ52" s="1191"/>
      <c r="CK52" s="1193"/>
      <c r="CL52" s="1193"/>
      <c r="CM52" s="1193"/>
      <c r="CN52" s="1193"/>
      <c r="CO52" s="1193"/>
      <c r="CP52" s="1191"/>
      <c r="CQ52" s="1195"/>
      <c r="CR52" s="1195"/>
      <c r="CS52" s="1195"/>
      <c r="CT52" s="1195"/>
      <c r="CU52" s="1195"/>
      <c r="CV52" s="657"/>
    </row>
    <row r="53" spans="1:100" ht="12" customHeight="1" thickBot="1" x14ac:dyDescent="0.25">
      <c r="A53" s="657"/>
      <c r="B53" s="1082" t="s">
        <v>7235</v>
      </c>
      <c r="C53" s="1082"/>
      <c r="D53" s="1082"/>
      <c r="E53" s="1082"/>
      <c r="F53" s="1082"/>
      <c r="G53" s="1082"/>
      <c r="H53" s="657"/>
      <c r="I53" s="1089"/>
      <c r="J53" s="1090"/>
      <c r="K53" s="1090"/>
      <c r="L53" s="1091"/>
      <c r="M53" s="1223"/>
      <c r="N53" s="1099"/>
      <c r="O53" s="1100"/>
      <c r="P53" s="1100"/>
      <c r="Q53" s="1101"/>
      <c r="R53" s="1092"/>
      <c r="S53" s="1099"/>
      <c r="T53" s="1100"/>
      <c r="U53" s="1100"/>
      <c r="V53" s="1101"/>
      <c r="W53" s="1092"/>
      <c r="X53" s="1117"/>
      <c r="Y53" s="1118"/>
      <c r="Z53" s="1118"/>
      <c r="AA53" s="1119"/>
      <c r="AB53" s="1092"/>
      <c r="AC53" s="1099"/>
      <c r="AD53" s="1100"/>
      <c r="AE53" s="1100"/>
      <c r="AF53" s="1101"/>
      <c r="AG53" s="657"/>
      <c r="AH53" s="657"/>
      <c r="AI53" s="1211"/>
      <c r="AJ53" s="1212"/>
      <c r="AK53" s="1212"/>
      <c r="AL53" s="1212"/>
      <c r="AM53" s="1212"/>
      <c r="AN53" s="1212"/>
      <c r="AO53" s="1212"/>
      <c r="AP53" s="1212"/>
      <c r="AQ53" s="1212"/>
      <c r="AR53" s="1213"/>
      <c r="AS53" s="682"/>
      <c r="AT53" s="1220"/>
      <c r="AU53" s="1221"/>
      <c r="AV53" s="1221"/>
      <c r="AW53" s="1221"/>
      <c r="AX53" s="1221"/>
      <c r="AY53" s="1221"/>
      <c r="AZ53" s="1221"/>
      <c r="BA53" s="1221"/>
      <c r="BB53" s="1221"/>
      <c r="BC53" s="1222"/>
      <c r="BD53" s="641"/>
      <c r="BE53" s="1199" t="s">
        <v>7236</v>
      </c>
      <c r="BF53" s="1199"/>
      <c r="BG53" s="1199"/>
      <c r="BH53" s="1199"/>
      <c r="BI53" s="1199"/>
      <c r="BJ53" s="1199"/>
      <c r="BK53" s="1199"/>
      <c r="BL53" s="1199"/>
      <c r="BM53" s="1199"/>
      <c r="BN53" s="1199"/>
      <c r="BO53" s="1199"/>
      <c r="BP53" s="1199"/>
      <c r="BQ53" s="1200" t="s">
        <v>510</v>
      </c>
      <c r="BR53" s="1200"/>
      <c r="BS53" s="1200"/>
      <c r="BT53" s="657"/>
      <c r="BU53" s="1201" t="s">
        <v>7203</v>
      </c>
      <c r="BV53" s="1201"/>
      <c r="BW53" s="1201"/>
      <c r="BX53" s="657"/>
      <c r="BY53" s="1188"/>
      <c r="BZ53" s="1188"/>
      <c r="CA53" s="1188"/>
      <c r="CB53" s="1188"/>
      <c r="CC53" s="1188"/>
      <c r="CD53" s="1190" t="s">
        <v>608</v>
      </c>
      <c r="CE53" s="1203"/>
      <c r="CF53" s="1203"/>
      <c r="CG53" s="1203"/>
      <c r="CH53" s="1203"/>
      <c r="CI53" s="1203"/>
      <c r="CJ53" s="1190" t="s">
        <v>606</v>
      </c>
      <c r="CK53" s="1192"/>
      <c r="CL53" s="1192"/>
      <c r="CM53" s="1192"/>
      <c r="CN53" s="1192"/>
      <c r="CO53" s="1192"/>
      <c r="CP53" s="1190" t="s">
        <v>606</v>
      </c>
      <c r="CQ53" s="1194"/>
      <c r="CR53" s="1194"/>
      <c r="CS53" s="1194"/>
      <c r="CT53" s="1194"/>
      <c r="CU53" s="1194"/>
      <c r="CV53" s="657"/>
    </row>
    <row r="54" spans="1:100" ht="12" customHeight="1" x14ac:dyDescent="0.2">
      <c r="A54" s="657"/>
      <c r="B54" s="657"/>
      <c r="C54" s="657"/>
      <c r="D54" s="657"/>
      <c r="E54" s="657"/>
      <c r="F54" s="657"/>
      <c r="G54" s="657"/>
      <c r="H54" s="657"/>
      <c r="I54" s="1196" t="s">
        <v>7230</v>
      </c>
      <c r="J54" s="1196"/>
      <c r="K54" s="1196"/>
      <c r="L54" s="1196"/>
      <c r="M54" s="641"/>
      <c r="N54" s="1197" t="s">
        <v>7237</v>
      </c>
      <c r="O54" s="1197"/>
      <c r="P54" s="1197"/>
      <c r="Q54" s="1197"/>
      <c r="R54" s="683"/>
      <c r="S54" s="1197" t="s">
        <v>7238</v>
      </c>
      <c r="T54" s="1197"/>
      <c r="U54" s="1197"/>
      <c r="V54" s="1197"/>
      <c r="W54" s="1197" t="s">
        <v>7239</v>
      </c>
      <c r="X54" s="1197"/>
      <c r="Y54" s="1197"/>
      <c r="Z54" s="1197"/>
      <c r="AA54" s="1197"/>
      <c r="AB54" s="1197"/>
      <c r="AC54" s="1197" t="s">
        <v>7240</v>
      </c>
      <c r="AD54" s="1197"/>
      <c r="AE54" s="1197"/>
      <c r="AF54" s="1197"/>
      <c r="AG54" s="657"/>
      <c r="AH54" s="657"/>
      <c r="AI54" s="1198" t="s">
        <v>7241</v>
      </c>
      <c r="AJ54" s="1198"/>
      <c r="AK54" s="1198"/>
      <c r="AL54" s="1198"/>
      <c r="AM54" s="1198"/>
      <c r="AN54" s="1198"/>
      <c r="AO54" s="1198"/>
      <c r="AP54" s="1198"/>
      <c r="AQ54" s="1198"/>
      <c r="AR54" s="1198"/>
      <c r="AS54" s="661"/>
      <c r="AT54" s="1198" t="s">
        <v>7242</v>
      </c>
      <c r="AU54" s="1198"/>
      <c r="AV54" s="1198"/>
      <c r="AW54" s="1198"/>
      <c r="AX54" s="1198"/>
      <c r="AY54" s="1198"/>
      <c r="AZ54" s="1198"/>
      <c r="BA54" s="1198"/>
      <c r="BB54" s="1198"/>
      <c r="BC54" s="1198"/>
      <c r="BD54" s="641"/>
      <c r="BE54" s="1199"/>
      <c r="BF54" s="1199"/>
      <c r="BG54" s="1199"/>
      <c r="BH54" s="1199"/>
      <c r="BI54" s="1199"/>
      <c r="BJ54" s="1199"/>
      <c r="BK54" s="1199"/>
      <c r="BL54" s="1199"/>
      <c r="BM54" s="1199"/>
      <c r="BN54" s="1199"/>
      <c r="BO54" s="1199"/>
      <c r="BP54" s="1199"/>
      <c r="BQ54" s="1200"/>
      <c r="BR54" s="1200"/>
      <c r="BS54" s="1200"/>
      <c r="BT54" s="657"/>
      <c r="BU54" s="1201"/>
      <c r="BV54" s="1201"/>
      <c r="BW54" s="1201"/>
      <c r="BX54" s="657"/>
      <c r="BY54" s="1202"/>
      <c r="BZ54" s="1202"/>
      <c r="CA54" s="1202"/>
      <c r="CB54" s="1202"/>
      <c r="CC54" s="1202"/>
      <c r="CD54" s="1191"/>
      <c r="CE54" s="1204"/>
      <c r="CF54" s="1204"/>
      <c r="CG54" s="1204"/>
      <c r="CH54" s="1204"/>
      <c r="CI54" s="1204"/>
      <c r="CJ54" s="1191"/>
      <c r="CK54" s="1193"/>
      <c r="CL54" s="1193"/>
      <c r="CM54" s="1193"/>
      <c r="CN54" s="1193"/>
      <c r="CO54" s="1193"/>
      <c r="CP54" s="1191"/>
      <c r="CQ54" s="1195"/>
      <c r="CR54" s="1195"/>
      <c r="CS54" s="1195"/>
      <c r="CT54" s="1195"/>
      <c r="CU54" s="1195"/>
      <c r="CV54" s="657"/>
    </row>
    <row r="55" spans="1:100" ht="12" customHeight="1" x14ac:dyDescent="0.2">
      <c r="A55" s="657"/>
      <c r="B55" s="657"/>
      <c r="C55" s="657"/>
      <c r="D55" s="657"/>
      <c r="E55" s="657"/>
      <c r="F55" s="657"/>
      <c r="G55" s="657"/>
      <c r="H55" s="657"/>
      <c r="I55" s="1196"/>
      <c r="J55" s="1196"/>
      <c r="K55" s="1196"/>
      <c r="L55" s="1196"/>
      <c r="M55" s="641"/>
      <c r="N55" s="1197"/>
      <c r="O55" s="1197"/>
      <c r="P55" s="1197"/>
      <c r="Q55" s="1197"/>
      <c r="R55" s="683"/>
      <c r="S55" s="1197"/>
      <c r="T55" s="1197"/>
      <c r="U55" s="1197"/>
      <c r="V55" s="1197"/>
      <c r="W55" s="1197"/>
      <c r="X55" s="1197"/>
      <c r="Y55" s="1197"/>
      <c r="Z55" s="1197"/>
      <c r="AA55" s="1197"/>
      <c r="AB55" s="1197"/>
      <c r="AC55" s="1197"/>
      <c r="AD55" s="1197"/>
      <c r="AE55" s="1197"/>
      <c r="AF55" s="1197"/>
      <c r="AG55" s="657"/>
      <c r="AH55" s="657"/>
      <c r="AI55" s="1197"/>
      <c r="AJ55" s="1197"/>
      <c r="AK55" s="1197"/>
      <c r="AL55" s="1197"/>
      <c r="AM55" s="1197"/>
      <c r="AN55" s="1197"/>
      <c r="AO55" s="1197"/>
      <c r="AP55" s="1197"/>
      <c r="AQ55" s="1197"/>
      <c r="AR55" s="1197"/>
      <c r="AS55" s="661"/>
      <c r="AT55" s="1197"/>
      <c r="AU55" s="1197"/>
      <c r="AV55" s="1197"/>
      <c r="AW55" s="1197"/>
      <c r="AX55" s="1197"/>
      <c r="AY55" s="1197"/>
      <c r="AZ55" s="1197"/>
      <c r="BA55" s="1197"/>
      <c r="BB55" s="1197"/>
      <c r="BC55" s="1197"/>
      <c r="BD55" s="641"/>
      <c r="BE55" s="641"/>
      <c r="BF55" s="641"/>
      <c r="BG55" s="641"/>
      <c r="BH55" s="641"/>
      <c r="BI55" s="641"/>
      <c r="BJ55" s="641"/>
      <c r="BK55" s="641"/>
      <c r="BL55" s="641"/>
      <c r="BM55" s="641"/>
      <c r="BN55" s="641"/>
      <c r="BO55" s="655"/>
      <c r="BP55" s="655"/>
      <c r="BQ55" s="655"/>
      <c r="BR55" s="655"/>
      <c r="BS55" s="655"/>
      <c r="BT55" s="655"/>
      <c r="BU55" s="641"/>
      <c r="BV55" s="641"/>
      <c r="BW55" s="641"/>
      <c r="BX55" s="641"/>
      <c r="BY55" s="641"/>
      <c r="BZ55" s="641"/>
      <c r="CA55" s="641"/>
      <c r="CB55" s="641"/>
      <c r="CC55" s="641"/>
      <c r="CD55" s="641"/>
      <c r="CE55" s="641"/>
      <c r="CF55" s="641"/>
      <c r="CG55" s="641"/>
      <c r="CH55" s="641"/>
      <c r="CI55" s="641"/>
      <c r="CJ55" s="641"/>
      <c r="CK55" s="641"/>
      <c r="CL55" s="641"/>
      <c r="CM55" s="641"/>
      <c r="CN55" s="641"/>
      <c r="CO55" s="641"/>
      <c r="CP55" s="641"/>
      <c r="CQ55" s="641"/>
      <c r="CR55" s="641"/>
      <c r="CS55" s="641"/>
      <c r="CT55" s="641"/>
      <c r="CU55" s="641"/>
      <c r="CV55" s="657"/>
    </row>
    <row r="56" spans="1:100" ht="12" customHeight="1" thickBot="1" x14ac:dyDescent="0.25">
      <c r="A56" s="657"/>
      <c r="B56" s="657"/>
      <c r="C56" s="657"/>
      <c r="D56" s="657"/>
      <c r="E56" s="657"/>
      <c r="F56" s="657"/>
      <c r="G56" s="657"/>
      <c r="H56" s="657"/>
      <c r="I56" s="657"/>
      <c r="J56" s="657"/>
      <c r="K56" s="657"/>
      <c r="L56" s="657"/>
      <c r="M56" s="657"/>
      <c r="N56" s="657"/>
      <c r="O56" s="657"/>
      <c r="P56" s="657"/>
      <c r="Q56" s="657"/>
      <c r="R56" s="657"/>
      <c r="S56" s="657"/>
      <c r="T56" s="657"/>
      <c r="U56" s="657"/>
      <c r="V56" s="657"/>
      <c r="W56" s="657"/>
      <c r="X56" s="657"/>
      <c r="Y56" s="657"/>
      <c r="Z56" s="657"/>
      <c r="AA56" s="657"/>
      <c r="AB56" s="657"/>
      <c r="AC56" s="641"/>
      <c r="AD56" s="641"/>
      <c r="AE56" s="641"/>
      <c r="AF56" s="641"/>
      <c r="AG56" s="641"/>
      <c r="AH56" s="641"/>
      <c r="AI56" s="641"/>
      <c r="AJ56" s="641"/>
      <c r="AK56" s="641"/>
      <c r="AL56" s="641"/>
      <c r="AM56" s="641"/>
      <c r="AN56" s="641"/>
      <c r="AO56" s="641"/>
      <c r="AP56" s="641"/>
      <c r="AQ56" s="641"/>
      <c r="AR56" s="641"/>
      <c r="AS56" s="641"/>
      <c r="AT56" s="641"/>
      <c r="AU56" s="641"/>
      <c r="AV56" s="641"/>
      <c r="AW56" s="684"/>
      <c r="AX56" s="684"/>
      <c r="AY56" s="684"/>
      <c r="AZ56" s="684"/>
      <c r="BA56" s="641"/>
      <c r="BB56" s="641"/>
      <c r="BC56" s="641"/>
      <c r="BD56" s="641"/>
      <c r="BE56" s="1073" t="s">
        <v>7243</v>
      </c>
      <c r="BF56" s="1073"/>
      <c r="BG56" s="1073"/>
      <c r="BH56" s="1073"/>
      <c r="BI56" s="1073"/>
      <c r="BJ56" s="1073"/>
      <c r="BK56" s="1073"/>
      <c r="BL56" s="1073"/>
      <c r="BM56" s="1073"/>
      <c r="BN56" s="1073"/>
      <c r="BO56" s="1073"/>
      <c r="BP56" s="1073"/>
      <c r="BQ56" s="1073"/>
      <c r="BR56" s="1073"/>
      <c r="BS56" s="1073"/>
      <c r="BT56" s="1073"/>
      <c r="BU56" s="1073"/>
      <c r="BV56" s="1073"/>
      <c r="BW56" s="1073"/>
      <c r="BX56" s="1073"/>
      <c r="BY56" s="1073"/>
      <c r="BZ56" s="1073"/>
      <c r="CA56" s="1073"/>
      <c r="CB56" s="1073"/>
      <c r="CC56" s="1073"/>
      <c r="CD56" s="1073"/>
      <c r="CE56" s="1073"/>
      <c r="CF56" s="1073"/>
      <c r="CG56" s="1073"/>
      <c r="CH56" s="1073"/>
      <c r="CI56" s="1073"/>
      <c r="CJ56" s="1073"/>
      <c r="CK56" s="1073"/>
      <c r="CL56" s="1073"/>
      <c r="CM56" s="1073"/>
      <c r="CN56" s="1073"/>
      <c r="CO56" s="1073"/>
      <c r="CP56" s="1073"/>
      <c r="CQ56" s="1073"/>
      <c r="CR56" s="1073"/>
      <c r="CS56" s="1073"/>
      <c r="CT56" s="1073"/>
      <c r="CU56" s="1073"/>
      <c r="CV56" s="657"/>
    </row>
    <row r="57" spans="1:100" ht="12" customHeight="1" x14ac:dyDescent="0.2">
      <c r="A57" s="657"/>
      <c r="B57" s="1049" t="s">
        <v>7237</v>
      </c>
      <c r="C57" s="1050"/>
      <c r="D57" s="1050"/>
      <c r="E57" s="1050"/>
      <c r="F57" s="1050"/>
      <c r="G57" s="1050"/>
      <c r="H57" s="1050"/>
      <c r="I57" s="1050"/>
      <c r="J57" s="1050"/>
      <c r="K57" s="1050"/>
      <c r="L57" s="1050"/>
      <c r="M57" s="1050"/>
      <c r="N57" s="1050"/>
      <c r="O57" s="1050"/>
      <c r="P57" s="1050"/>
      <c r="Q57" s="1050"/>
      <c r="R57" s="1050"/>
      <c r="S57" s="1050"/>
      <c r="T57" s="1050"/>
      <c r="U57" s="1051"/>
      <c r="V57" s="657"/>
      <c r="W57" s="657"/>
      <c r="X57" s="657"/>
      <c r="Y57" s="657"/>
      <c r="Z57" s="657"/>
      <c r="AA57" s="657"/>
      <c r="AB57" s="657"/>
      <c r="AC57" s="657"/>
      <c r="AD57" s="657"/>
      <c r="AE57" s="657"/>
      <c r="AF57" s="657"/>
      <c r="AG57" s="657"/>
      <c r="AH57" s="657"/>
      <c r="AI57" s="657"/>
      <c r="AJ57" s="657"/>
      <c r="AK57" s="657"/>
      <c r="AL57" s="657"/>
      <c r="AM57" s="657"/>
      <c r="AN57" s="657"/>
      <c r="AO57" s="657"/>
      <c r="AP57" s="657"/>
      <c r="AQ57" s="657"/>
      <c r="AR57" s="657"/>
      <c r="AS57" s="657"/>
      <c r="AT57" s="657"/>
      <c r="AU57" s="657"/>
      <c r="AV57" s="657"/>
      <c r="AW57" s="657"/>
      <c r="AX57" s="657"/>
      <c r="AY57" s="657"/>
      <c r="AZ57" s="657"/>
      <c r="BA57" s="657"/>
      <c r="BB57" s="657"/>
      <c r="BC57" s="657"/>
      <c r="BD57" s="641"/>
      <c r="BE57" s="1073"/>
      <c r="BF57" s="1073"/>
      <c r="BG57" s="1073"/>
      <c r="BH57" s="1073"/>
      <c r="BI57" s="1073"/>
      <c r="BJ57" s="1073"/>
      <c r="BK57" s="1073"/>
      <c r="BL57" s="1073"/>
      <c r="BM57" s="1073"/>
      <c r="BN57" s="1073"/>
      <c r="BO57" s="1073"/>
      <c r="BP57" s="1073"/>
      <c r="BQ57" s="1073"/>
      <c r="BR57" s="1073"/>
      <c r="BS57" s="1073"/>
      <c r="BT57" s="1073"/>
      <c r="BU57" s="1073"/>
      <c r="BV57" s="1073"/>
      <c r="BW57" s="1073"/>
      <c r="BX57" s="1073"/>
      <c r="BY57" s="1073"/>
      <c r="BZ57" s="1073"/>
      <c r="CA57" s="1073"/>
      <c r="CB57" s="1073"/>
      <c r="CC57" s="1073"/>
      <c r="CD57" s="1073"/>
      <c r="CE57" s="1073"/>
      <c r="CF57" s="1073"/>
      <c r="CG57" s="1073"/>
      <c r="CH57" s="1073"/>
      <c r="CI57" s="1073"/>
      <c r="CJ57" s="1073"/>
      <c r="CK57" s="1073"/>
      <c r="CL57" s="1073"/>
      <c r="CM57" s="1073"/>
      <c r="CN57" s="1073"/>
      <c r="CO57" s="1073"/>
      <c r="CP57" s="1073"/>
      <c r="CQ57" s="1073"/>
      <c r="CR57" s="1073"/>
      <c r="CS57" s="1073"/>
      <c r="CT57" s="1073"/>
      <c r="CU57" s="1073"/>
      <c r="CV57" s="657"/>
    </row>
    <row r="58" spans="1:100" ht="12" customHeight="1" thickBot="1" x14ac:dyDescent="0.25">
      <c r="A58" s="657"/>
      <c r="B58" s="1052"/>
      <c r="C58" s="1053"/>
      <c r="D58" s="1053"/>
      <c r="E58" s="1053"/>
      <c r="F58" s="1053"/>
      <c r="G58" s="1053"/>
      <c r="H58" s="1053"/>
      <c r="I58" s="1053"/>
      <c r="J58" s="1053"/>
      <c r="K58" s="1053"/>
      <c r="L58" s="1053"/>
      <c r="M58" s="1053"/>
      <c r="N58" s="1053"/>
      <c r="O58" s="1053"/>
      <c r="P58" s="1053"/>
      <c r="Q58" s="1053"/>
      <c r="R58" s="1053"/>
      <c r="S58" s="1053"/>
      <c r="T58" s="1053"/>
      <c r="U58" s="1054"/>
      <c r="V58" s="1056" t="s">
        <v>7237</v>
      </c>
      <c r="W58" s="1056"/>
      <c r="X58" s="1056"/>
      <c r="Y58" s="1056"/>
      <c r="Z58" s="1056"/>
      <c r="AA58" s="1056"/>
      <c r="AB58" s="1056" t="s">
        <v>7184</v>
      </c>
      <c r="AC58" s="1056"/>
      <c r="AD58" s="1056"/>
      <c r="AE58" s="1056"/>
      <c r="AF58" s="1056"/>
      <c r="AG58" s="1154" t="s">
        <v>7244</v>
      </c>
      <c r="AH58" s="1154"/>
      <c r="AI58" s="1154"/>
      <c r="AJ58" s="1154"/>
      <c r="AK58" s="1154"/>
      <c r="AL58" s="1056" t="s">
        <v>7204</v>
      </c>
      <c r="AM58" s="1056"/>
      <c r="AN58" s="1056"/>
      <c r="AO58" s="1056"/>
      <c r="AP58" s="1056"/>
      <c r="AQ58" s="1154" t="s">
        <v>7234</v>
      </c>
      <c r="AR58" s="1154"/>
      <c r="AS58" s="1154"/>
      <c r="AT58" s="1154"/>
      <c r="AU58" s="1154"/>
      <c r="AV58" s="1154"/>
      <c r="AW58" s="1154"/>
      <c r="AX58" s="1154"/>
      <c r="AY58" s="1154"/>
      <c r="AZ58" s="1154"/>
      <c r="BA58" s="1154"/>
      <c r="BB58" s="1154"/>
      <c r="BC58" s="1154"/>
      <c r="BD58" s="641"/>
      <c r="BE58" s="641"/>
      <c r="BF58" s="641"/>
      <c r="BG58" s="641"/>
      <c r="BH58" s="641"/>
      <c r="BI58" s="641"/>
      <c r="BJ58" s="641"/>
      <c r="BK58" s="641"/>
      <c r="BL58" s="641"/>
      <c r="BM58" s="641"/>
      <c r="BN58" s="641"/>
      <c r="BO58" s="655"/>
      <c r="BP58" s="655"/>
      <c r="BQ58" s="655"/>
      <c r="BR58" s="655"/>
      <c r="BS58" s="655"/>
      <c r="BT58" s="655"/>
      <c r="BU58" s="641"/>
      <c r="BV58" s="641"/>
      <c r="BW58" s="641"/>
      <c r="BX58" s="641"/>
      <c r="BY58" s="641"/>
      <c r="BZ58" s="641"/>
      <c r="CA58" s="641"/>
      <c r="CB58" s="641"/>
      <c r="CC58" s="641"/>
      <c r="CD58" s="641"/>
      <c r="CE58" s="641"/>
      <c r="CF58" s="641"/>
      <c r="CG58" s="641"/>
      <c r="CH58" s="641"/>
      <c r="CI58" s="641"/>
      <c r="CJ58" s="641"/>
      <c r="CK58" s="641"/>
      <c r="CL58" s="641"/>
      <c r="CM58" s="641"/>
      <c r="CN58" s="641"/>
      <c r="CO58" s="641"/>
      <c r="CP58" s="641"/>
      <c r="CQ58" s="641"/>
      <c r="CR58" s="641"/>
      <c r="CS58" s="641"/>
      <c r="CT58" s="641"/>
      <c r="CU58" s="641"/>
      <c r="CV58" s="657"/>
    </row>
    <row r="59" spans="1:100" ht="12" customHeight="1" thickBot="1" x14ac:dyDescent="0.25">
      <c r="A59" s="657"/>
      <c r="B59" s="1059"/>
      <c r="C59" s="1060"/>
      <c r="D59" s="1060"/>
      <c r="E59" s="1060"/>
      <c r="F59" s="1060"/>
      <c r="G59" s="1060"/>
      <c r="H59" s="1060"/>
      <c r="I59" s="1060"/>
      <c r="J59" s="1060"/>
      <c r="K59" s="1060"/>
      <c r="L59" s="1060"/>
      <c r="M59" s="1060"/>
      <c r="N59" s="1060"/>
      <c r="O59" s="1060"/>
      <c r="P59" s="1060"/>
      <c r="Q59" s="1060"/>
      <c r="R59" s="1060"/>
      <c r="S59" s="1060"/>
      <c r="T59" s="1060"/>
      <c r="U59" s="1061"/>
      <c r="V59" s="1031"/>
      <c r="W59" s="1031"/>
      <c r="X59" s="1031"/>
      <c r="Y59" s="1031"/>
      <c r="Z59" s="1031"/>
      <c r="AA59" s="1031"/>
      <c r="AB59" s="1157"/>
      <c r="AC59" s="1157"/>
      <c r="AD59" s="1157"/>
      <c r="AE59" s="1157"/>
      <c r="AF59" s="1158"/>
      <c r="AG59" s="1184"/>
      <c r="AH59" s="1185"/>
      <c r="AI59" s="1185"/>
      <c r="AJ59" s="1185"/>
      <c r="AK59" s="1186"/>
      <c r="AL59" s="1111"/>
      <c r="AM59" s="1112"/>
      <c r="AN59" s="1112"/>
      <c r="AO59" s="1112"/>
      <c r="AP59" s="1113"/>
      <c r="AQ59" s="1111"/>
      <c r="AR59" s="1112"/>
      <c r="AS59" s="1112"/>
      <c r="AT59" s="1112"/>
      <c r="AU59" s="1112"/>
      <c r="AV59" s="1112"/>
      <c r="AW59" s="1112"/>
      <c r="AX59" s="1112"/>
      <c r="AY59" s="1112"/>
      <c r="AZ59" s="1112"/>
      <c r="BA59" s="1112"/>
      <c r="BB59" s="1112"/>
      <c r="BC59" s="1113"/>
      <c r="BD59" s="641"/>
      <c r="BE59" s="1174" t="s">
        <v>7196</v>
      </c>
      <c r="BF59" s="1174"/>
      <c r="BG59" s="1174"/>
      <c r="BH59" s="1174"/>
      <c r="BI59" s="1174"/>
      <c r="BJ59" s="1174"/>
      <c r="BK59" s="1174"/>
      <c r="BL59" s="1174"/>
      <c r="BM59" s="657"/>
      <c r="BN59" s="1059"/>
      <c r="BO59" s="1060"/>
      <c r="BP59" s="1060"/>
      <c r="BQ59" s="1061"/>
      <c r="BR59" s="641"/>
      <c r="BS59" s="1174" t="s">
        <v>7189</v>
      </c>
      <c r="BT59" s="1174"/>
      <c r="BU59" s="1174"/>
      <c r="BV59" s="1174"/>
      <c r="BW59" s="1174"/>
      <c r="BX59" s="1174"/>
      <c r="BY59" s="1174"/>
      <c r="BZ59" s="1174"/>
      <c r="CA59" s="657"/>
      <c r="CB59" s="1175"/>
      <c r="CC59" s="1176"/>
      <c r="CD59" s="1176"/>
      <c r="CE59" s="1176"/>
      <c r="CF59" s="1176"/>
      <c r="CG59" s="1176"/>
      <c r="CH59" s="1176"/>
      <c r="CI59" s="1176"/>
      <c r="CJ59" s="1176"/>
      <c r="CK59" s="1176"/>
      <c r="CL59" s="1176"/>
      <c r="CM59" s="1176"/>
      <c r="CN59" s="1176"/>
      <c r="CO59" s="1176"/>
      <c r="CP59" s="1176"/>
      <c r="CQ59" s="1176"/>
      <c r="CR59" s="1176"/>
      <c r="CS59" s="1176"/>
      <c r="CT59" s="1176"/>
      <c r="CU59" s="1177"/>
      <c r="CV59" s="657"/>
    </row>
    <row r="60" spans="1:100" ht="12" customHeight="1" thickBot="1" x14ac:dyDescent="0.25">
      <c r="A60" s="657"/>
      <c r="B60" s="1062"/>
      <c r="C60" s="1063"/>
      <c r="D60" s="1063"/>
      <c r="E60" s="1063"/>
      <c r="F60" s="1063"/>
      <c r="G60" s="1063"/>
      <c r="H60" s="1063"/>
      <c r="I60" s="1063"/>
      <c r="J60" s="1063"/>
      <c r="K60" s="1063"/>
      <c r="L60" s="1063"/>
      <c r="M60" s="1063"/>
      <c r="N60" s="1063"/>
      <c r="O60" s="1063"/>
      <c r="P60" s="1063"/>
      <c r="Q60" s="1063"/>
      <c r="R60" s="1063"/>
      <c r="S60" s="1063"/>
      <c r="T60" s="1063"/>
      <c r="U60" s="1064"/>
      <c r="V60" s="1031"/>
      <c r="W60" s="1031"/>
      <c r="X60" s="1031"/>
      <c r="Y60" s="1031"/>
      <c r="Z60" s="1031"/>
      <c r="AA60" s="1031"/>
      <c r="AB60" s="1160"/>
      <c r="AC60" s="1160"/>
      <c r="AD60" s="1160"/>
      <c r="AE60" s="1160"/>
      <c r="AF60" s="1161"/>
      <c r="AG60" s="1187"/>
      <c r="AH60" s="1188"/>
      <c r="AI60" s="1188"/>
      <c r="AJ60" s="1188"/>
      <c r="AK60" s="1189"/>
      <c r="AL60" s="1114"/>
      <c r="AM60" s="1115"/>
      <c r="AN60" s="1115"/>
      <c r="AO60" s="1115"/>
      <c r="AP60" s="1116"/>
      <c r="AQ60" s="1114"/>
      <c r="AR60" s="1115"/>
      <c r="AS60" s="1115"/>
      <c r="AT60" s="1115"/>
      <c r="AU60" s="1115"/>
      <c r="AV60" s="1115"/>
      <c r="AW60" s="1115"/>
      <c r="AX60" s="1115"/>
      <c r="AY60" s="1115"/>
      <c r="AZ60" s="1115"/>
      <c r="BA60" s="1115"/>
      <c r="BB60" s="1115"/>
      <c r="BC60" s="1116"/>
      <c r="BD60" s="641"/>
      <c r="BE60" s="1174"/>
      <c r="BF60" s="1174"/>
      <c r="BG60" s="1174"/>
      <c r="BH60" s="1174"/>
      <c r="BI60" s="1174"/>
      <c r="BJ60" s="1174"/>
      <c r="BK60" s="1174"/>
      <c r="BL60" s="1174"/>
      <c r="BM60" s="657"/>
      <c r="BN60" s="1062"/>
      <c r="BO60" s="1063"/>
      <c r="BP60" s="1063"/>
      <c r="BQ60" s="1064"/>
      <c r="BR60" s="641"/>
      <c r="BS60" s="1174"/>
      <c r="BT60" s="1174"/>
      <c r="BU60" s="1174"/>
      <c r="BV60" s="1174"/>
      <c r="BW60" s="1174"/>
      <c r="BX60" s="1174"/>
      <c r="BY60" s="1174"/>
      <c r="BZ60" s="1174"/>
      <c r="CA60" s="657"/>
      <c r="CB60" s="1178"/>
      <c r="CC60" s="1179"/>
      <c r="CD60" s="1179"/>
      <c r="CE60" s="1179"/>
      <c r="CF60" s="1179"/>
      <c r="CG60" s="1179"/>
      <c r="CH60" s="1179"/>
      <c r="CI60" s="1179"/>
      <c r="CJ60" s="1179"/>
      <c r="CK60" s="1179"/>
      <c r="CL60" s="1179"/>
      <c r="CM60" s="1179"/>
      <c r="CN60" s="1179"/>
      <c r="CO60" s="1179"/>
      <c r="CP60" s="1179"/>
      <c r="CQ60" s="1179"/>
      <c r="CR60" s="1179"/>
      <c r="CS60" s="1179"/>
      <c r="CT60" s="1179"/>
      <c r="CU60" s="1180"/>
      <c r="CV60" s="657"/>
    </row>
    <row r="61" spans="1:100" ht="12" customHeight="1" thickBot="1" x14ac:dyDescent="0.25">
      <c r="A61" s="657"/>
      <c r="B61" s="1065"/>
      <c r="C61" s="1066"/>
      <c r="D61" s="1066"/>
      <c r="E61" s="1066"/>
      <c r="F61" s="1066"/>
      <c r="G61" s="1066"/>
      <c r="H61" s="1066"/>
      <c r="I61" s="1066"/>
      <c r="J61" s="1066"/>
      <c r="K61" s="1066"/>
      <c r="L61" s="1066"/>
      <c r="M61" s="1066"/>
      <c r="N61" s="1066"/>
      <c r="O61" s="1066"/>
      <c r="P61" s="1066"/>
      <c r="Q61" s="1066"/>
      <c r="R61" s="1066"/>
      <c r="S61" s="1066"/>
      <c r="T61" s="1066"/>
      <c r="U61" s="1067"/>
      <c r="V61" s="1070"/>
      <c r="W61" s="1070"/>
      <c r="X61" s="1070"/>
      <c r="Y61" s="1070"/>
      <c r="Z61" s="1070"/>
      <c r="AA61" s="1070"/>
      <c r="AB61" s="1160"/>
      <c r="AC61" s="1160"/>
      <c r="AD61" s="1160"/>
      <c r="AE61" s="1160"/>
      <c r="AF61" s="1161"/>
      <c r="AG61" s="1187"/>
      <c r="AH61" s="1188"/>
      <c r="AI61" s="1188"/>
      <c r="AJ61" s="1188"/>
      <c r="AK61" s="1189"/>
      <c r="AL61" s="1114"/>
      <c r="AM61" s="1115"/>
      <c r="AN61" s="1115"/>
      <c r="AO61" s="1115"/>
      <c r="AP61" s="1116"/>
      <c r="AQ61" s="1117"/>
      <c r="AR61" s="1118"/>
      <c r="AS61" s="1118"/>
      <c r="AT61" s="1118"/>
      <c r="AU61" s="1118"/>
      <c r="AV61" s="1118"/>
      <c r="AW61" s="1118"/>
      <c r="AX61" s="1118"/>
      <c r="AY61" s="1118"/>
      <c r="AZ61" s="1118"/>
      <c r="BA61" s="1118"/>
      <c r="BB61" s="1118"/>
      <c r="BC61" s="1119"/>
      <c r="BD61" s="641"/>
      <c r="BE61" s="1174"/>
      <c r="BF61" s="1174"/>
      <c r="BG61" s="1174"/>
      <c r="BH61" s="1174"/>
      <c r="BI61" s="1174"/>
      <c r="BJ61" s="1174"/>
      <c r="BK61" s="1174"/>
      <c r="BL61" s="1174"/>
      <c r="BM61" s="657"/>
      <c r="BN61" s="1065"/>
      <c r="BO61" s="1066"/>
      <c r="BP61" s="1066"/>
      <c r="BQ61" s="1067"/>
      <c r="BR61" s="641"/>
      <c r="BS61" s="1174"/>
      <c r="BT61" s="1174"/>
      <c r="BU61" s="1174"/>
      <c r="BV61" s="1174"/>
      <c r="BW61" s="1174"/>
      <c r="BX61" s="1174"/>
      <c r="BY61" s="1174"/>
      <c r="BZ61" s="1174"/>
      <c r="CA61" s="657"/>
      <c r="CB61" s="1181"/>
      <c r="CC61" s="1182"/>
      <c r="CD61" s="1182"/>
      <c r="CE61" s="1182"/>
      <c r="CF61" s="1182"/>
      <c r="CG61" s="1182"/>
      <c r="CH61" s="1182"/>
      <c r="CI61" s="1182"/>
      <c r="CJ61" s="1182"/>
      <c r="CK61" s="1182"/>
      <c r="CL61" s="1182"/>
      <c r="CM61" s="1182"/>
      <c r="CN61" s="1182"/>
      <c r="CO61" s="1182"/>
      <c r="CP61" s="1182"/>
      <c r="CQ61" s="1182"/>
      <c r="CR61" s="1182"/>
      <c r="CS61" s="1182"/>
      <c r="CT61" s="1182"/>
      <c r="CU61" s="1183"/>
      <c r="CV61" s="657"/>
    </row>
    <row r="62" spans="1:100" ht="12" customHeight="1" thickBot="1" x14ac:dyDescent="0.25">
      <c r="A62" s="657"/>
      <c r="B62" s="1028" t="s">
        <v>7245</v>
      </c>
      <c r="C62" s="1029"/>
      <c r="D62" s="1029"/>
      <c r="E62" s="1029"/>
      <c r="F62" s="1029"/>
      <c r="G62" s="1029"/>
      <c r="H62" s="1029"/>
      <c r="I62" s="1029"/>
      <c r="J62" s="1029" t="s">
        <v>7246</v>
      </c>
      <c r="K62" s="1029"/>
      <c r="L62" s="1029"/>
      <c r="M62" s="1029"/>
      <c r="N62" s="1029"/>
      <c r="O62" s="1029"/>
      <c r="P62" s="1029"/>
      <c r="Q62" s="1029"/>
      <c r="R62" s="1029"/>
      <c r="S62" s="1029"/>
      <c r="T62" s="1029"/>
      <c r="U62" s="1029"/>
      <c r="V62" s="1029"/>
      <c r="W62" s="1029"/>
      <c r="X62" s="1029"/>
      <c r="Y62" s="1029"/>
      <c r="Z62" s="1029"/>
      <c r="AA62" s="1029"/>
      <c r="AB62" s="1029"/>
      <c r="AC62" s="1029"/>
      <c r="AD62" s="1029"/>
      <c r="AE62" s="1029"/>
      <c r="AF62" s="1029"/>
      <c r="AG62" s="1029"/>
      <c r="AH62" s="1029"/>
      <c r="AI62" s="1029"/>
      <c r="AJ62" s="1029"/>
      <c r="AK62" s="1029"/>
      <c r="AL62" s="1029"/>
      <c r="AM62" s="1029"/>
      <c r="AN62" s="1029"/>
      <c r="AO62" s="1029"/>
      <c r="AP62" s="1029"/>
      <c r="AQ62" s="1029"/>
      <c r="AR62" s="1029"/>
      <c r="AS62" s="1029"/>
      <c r="AT62" s="1029"/>
      <c r="AU62" s="1029"/>
      <c r="AV62" s="1029"/>
      <c r="AW62" s="1029"/>
      <c r="AX62" s="1029"/>
      <c r="AY62" s="1029"/>
      <c r="AZ62" s="1029"/>
      <c r="BA62" s="1029"/>
      <c r="BB62" s="1029"/>
      <c r="BC62" s="1030"/>
      <c r="BD62" s="641"/>
      <c r="BE62" s="657"/>
      <c r="BF62" s="657"/>
      <c r="BG62" s="657"/>
      <c r="BH62" s="657"/>
      <c r="BI62" s="657"/>
      <c r="BJ62" s="657"/>
      <c r="BK62" s="657"/>
      <c r="BL62" s="657"/>
      <c r="BM62" s="657"/>
      <c r="BN62" s="657"/>
      <c r="BO62" s="657"/>
      <c r="BP62" s="657"/>
      <c r="BQ62" s="657"/>
      <c r="BR62" s="657"/>
      <c r="BS62" s="657"/>
      <c r="BT62" s="657"/>
      <c r="BU62" s="657"/>
      <c r="BV62" s="657"/>
      <c r="BW62" s="657"/>
      <c r="BX62" s="657"/>
      <c r="BY62" s="657"/>
      <c r="BZ62" s="657"/>
      <c r="CA62" s="657"/>
      <c r="CB62" s="657"/>
      <c r="CC62" s="657"/>
      <c r="CD62" s="657"/>
      <c r="CE62" s="641"/>
      <c r="CF62" s="641"/>
      <c r="CG62" s="641"/>
      <c r="CH62" s="641"/>
      <c r="CI62" s="641"/>
      <c r="CJ62" s="641"/>
      <c r="CK62" s="641"/>
      <c r="CL62" s="641"/>
      <c r="CM62" s="641"/>
      <c r="CN62" s="641"/>
      <c r="CO62" s="641"/>
      <c r="CP62" s="641"/>
      <c r="CQ62" s="641"/>
      <c r="CR62" s="641"/>
      <c r="CS62" s="641"/>
      <c r="CT62" s="641"/>
      <c r="CU62" s="641"/>
      <c r="CV62" s="657"/>
    </row>
    <row r="63" spans="1:100" ht="12" customHeight="1" x14ac:dyDescent="0.2">
      <c r="A63" s="657"/>
      <c r="B63" s="1111"/>
      <c r="C63" s="1112"/>
      <c r="D63" s="1112"/>
      <c r="E63" s="1112"/>
      <c r="F63" s="1112"/>
      <c r="G63" s="1112"/>
      <c r="H63" s="1112"/>
      <c r="I63" s="1113"/>
      <c r="J63" s="1032"/>
      <c r="K63" s="1033"/>
      <c r="L63" s="1033"/>
      <c r="M63" s="1033"/>
      <c r="N63" s="1033"/>
      <c r="O63" s="1033"/>
      <c r="P63" s="1033"/>
      <c r="Q63" s="1033"/>
      <c r="R63" s="1033"/>
      <c r="S63" s="1033"/>
      <c r="T63" s="1033"/>
      <c r="U63" s="1033"/>
      <c r="V63" s="1033"/>
      <c r="W63" s="1033"/>
      <c r="X63" s="1033"/>
      <c r="Y63" s="1033"/>
      <c r="Z63" s="1033"/>
      <c r="AA63" s="1033"/>
      <c r="AB63" s="1033"/>
      <c r="AC63" s="1033"/>
      <c r="AD63" s="1033"/>
      <c r="AE63" s="1033"/>
      <c r="AF63" s="1033"/>
      <c r="AG63" s="1033"/>
      <c r="AH63" s="1033"/>
      <c r="AI63" s="1033"/>
      <c r="AJ63" s="1033"/>
      <c r="AK63" s="1033"/>
      <c r="AL63" s="1033"/>
      <c r="AM63" s="1033"/>
      <c r="AN63" s="1033"/>
      <c r="AO63" s="1033"/>
      <c r="AP63" s="1033"/>
      <c r="AQ63" s="1033"/>
      <c r="AR63" s="1033"/>
      <c r="AS63" s="1033"/>
      <c r="AT63" s="1033"/>
      <c r="AU63" s="1033"/>
      <c r="AV63" s="1033"/>
      <c r="AW63" s="1033"/>
      <c r="AX63" s="1033"/>
      <c r="AY63" s="1033"/>
      <c r="AZ63" s="1033"/>
      <c r="BA63" s="1033"/>
      <c r="BB63" s="1033"/>
      <c r="BC63" s="1034"/>
      <c r="BD63" s="641"/>
      <c r="BE63" s="1074" t="s">
        <v>7247</v>
      </c>
      <c r="BF63" s="1074"/>
      <c r="BG63" s="1074"/>
      <c r="BH63" s="1074"/>
      <c r="BI63" s="1074"/>
      <c r="BJ63" s="1074"/>
      <c r="BK63" s="1152"/>
      <c r="BL63" s="1152"/>
      <c r="BM63" s="1152"/>
      <c r="BN63" s="1152"/>
      <c r="BO63" s="1152"/>
      <c r="BP63" s="1152"/>
      <c r="BQ63" s="1152"/>
      <c r="BR63" s="1152"/>
      <c r="BS63" s="1152"/>
      <c r="BT63" s="1152"/>
      <c r="BU63" s="1152"/>
      <c r="BV63" s="1152"/>
      <c r="BW63" s="1152"/>
      <c r="BX63" s="1152"/>
      <c r="BY63" s="1152"/>
      <c r="BZ63" s="1152"/>
      <c r="CA63" s="1152"/>
      <c r="CB63" s="1152"/>
      <c r="CC63" s="1152"/>
      <c r="CD63" s="1152"/>
      <c r="CE63" s="1152"/>
      <c r="CF63" s="1152"/>
      <c r="CG63" s="1152"/>
      <c r="CH63" s="1152"/>
      <c r="CI63" s="1152"/>
      <c r="CJ63" s="1152"/>
      <c r="CK63" s="1152"/>
      <c r="CL63" s="1152"/>
      <c r="CM63" s="1152"/>
      <c r="CN63" s="1152"/>
      <c r="CO63" s="1152"/>
      <c r="CP63" s="1152"/>
      <c r="CQ63" s="1152"/>
      <c r="CR63" s="1152"/>
      <c r="CS63" s="1152"/>
      <c r="CT63" s="1152"/>
      <c r="CU63" s="1152"/>
      <c r="CV63" s="657"/>
    </row>
    <row r="64" spans="1:100" ht="12" customHeight="1" x14ac:dyDescent="0.2">
      <c r="A64" s="657"/>
      <c r="B64" s="1114"/>
      <c r="C64" s="1115"/>
      <c r="D64" s="1115"/>
      <c r="E64" s="1115"/>
      <c r="F64" s="1115"/>
      <c r="G64" s="1115"/>
      <c r="H64" s="1115"/>
      <c r="I64" s="1116"/>
      <c r="J64" s="1035"/>
      <c r="K64" s="1036"/>
      <c r="L64" s="1036"/>
      <c r="M64" s="1036"/>
      <c r="N64" s="1036"/>
      <c r="O64" s="1036"/>
      <c r="P64" s="1036"/>
      <c r="Q64" s="1036"/>
      <c r="R64" s="1036"/>
      <c r="S64" s="1036"/>
      <c r="T64" s="1036"/>
      <c r="U64" s="1036"/>
      <c r="V64" s="1036"/>
      <c r="W64" s="1036"/>
      <c r="X64" s="1036"/>
      <c r="Y64" s="1036"/>
      <c r="Z64" s="1036"/>
      <c r="AA64" s="1036"/>
      <c r="AB64" s="1036"/>
      <c r="AC64" s="1036"/>
      <c r="AD64" s="1036"/>
      <c r="AE64" s="1036"/>
      <c r="AF64" s="1036"/>
      <c r="AG64" s="1036"/>
      <c r="AH64" s="1036"/>
      <c r="AI64" s="1036"/>
      <c r="AJ64" s="1036"/>
      <c r="AK64" s="1036"/>
      <c r="AL64" s="1036"/>
      <c r="AM64" s="1036"/>
      <c r="AN64" s="1036"/>
      <c r="AO64" s="1036"/>
      <c r="AP64" s="1036"/>
      <c r="AQ64" s="1036"/>
      <c r="AR64" s="1036"/>
      <c r="AS64" s="1036"/>
      <c r="AT64" s="1036"/>
      <c r="AU64" s="1036"/>
      <c r="AV64" s="1036"/>
      <c r="AW64" s="1036"/>
      <c r="AX64" s="1036"/>
      <c r="AY64" s="1036"/>
      <c r="AZ64" s="1036"/>
      <c r="BA64" s="1036"/>
      <c r="BB64" s="1036"/>
      <c r="BC64" s="1037"/>
      <c r="BD64" s="641"/>
      <c r="BE64" s="1074"/>
      <c r="BF64" s="1074"/>
      <c r="BG64" s="1074"/>
      <c r="BH64" s="1074"/>
      <c r="BI64" s="1074"/>
      <c r="BJ64" s="1074"/>
      <c r="BK64" s="1152"/>
      <c r="BL64" s="1152"/>
      <c r="BM64" s="1152"/>
      <c r="BN64" s="1152"/>
      <c r="BO64" s="1152"/>
      <c r="BP64" s="1152"/>
      <c r="BQ64" s="1152"/>
      <c r="BR64" s="1152"/>
      <c r="BS64" s="1152"/>
      <c r="BT64" s="1152"/>
      <c r="BU64" s="1152"/>
      <c r="BV64" s="1152"/>
      <c r="BW64" s="1152"/>
      <c r="BX64" s="1152"/>
      <c r="BY64" s="1152"/>
      <c r="BZ64" s="1152"/>
      <c r="CA64" s="1152"/>
      <c r="CB64" s="1152"/>
      <c r="CC64" s="1152"/>
      <c r="CD64" s="1152"/>
      <c r="CE64" s="1152"/>
      <c r="CF64" s="1152"/>
      <c r="CG64" s="1152"/>
      <c r="CH64" s="1152"/>
      <c r="CI64" s="1152"/>
      <c r="CJ64" s="1152"/>
      <c r="CK64" s="1152"/>
      <c r="CL64" s="1152"/>
      <c r="CM64" s="1152"/>
      <c r="CN64" s="1152"/>
      <c r="CO64" s="1152"/>
      <c r="CP64" s="1152"/>
      <c r="CQ64" s="1152"/>
      <c r="CR64" s="1152"/>
      <c r="CS64" s="1152"/>
      <c r="CT64" s="1152"/>
      <c r="CU64" s="1152"/>
      <c r="CV64" s="657"/>
    </row>
    <row r="65" spans="1:100" ht="12" customHeight="1" thickBot="1" x14ac:dyDescent="0.25">
      <c r="A65" s="657"/>
      <c r="B65" s="1117"/>
      <c r="C65" s="1118"/>
      <c r="D65" s="1118"/>
      <c r="E65" s="1118"/>
      <c r="F65" s="1118"/>
      <c r="G65" s="1118"/>
      <c r="H65" s="1118"/>
      <c r="I65" s="1119"/>
      <c r="J65" s="1038"/>
      <c r="K65" s="1039"/>
      <c r="L65" s="1039"/>
      <c r="M65" s="1039"/>
      <c r="N65" s="1039"/>
      <c r="O65" s="1039"/>
      <c r="P65" s="1039"/>
      <c r="Q65" s="1039"/>
      <c r="R65" s="1039"/>
      <c r="S65" s="1039"/>
      <c r="T65" s="1039"/>
      <c r="U65" s="1039"/>
      <c r="V65" s="1039"/>
      <c r="W65" s="1039"/>
      <c r="X65" s="1039"/>
      <c r="Y65" s="1039"/>
      <c r="Z65" s="1039"/>
      <c r="AA65" s="1039"/>
      <c r="AB65" s="1039"/>
      <c r="AC65" s="1039"/>
      <c r="AD65" s="1039"/>
      <c r="AE65" s="1039"/>
      <c r="AF65" s="1039"/>
      <c r="AG65" s="1039"/>
      <c r="AH65" s="1039"/>
      <c r="AI65" s="1039"/>
      <c r="AJ65" s="1039"/>
      <c r="AK65" s="1039"/>
      <c r="AL65" s="1039"/>
      <c r="AM65" s="1039"/>
      <c r="AN65" s="1039"/>
      <c r="AO65" s="1039"/>
      <c r="AP65" s="1039"/>
      <c r="AQ65" s="1039"/>
      <c r="AR65" s="1039"/>
      <c r="AS65" s="1039"/>
      <c r="AT65" s="1039"/>
      <c r="AU65" s="1039"/>
      <c r="AV65" s="1039"/>
      <c r="AW65" s="1039"/>
      <c r="AX65" s="1039"/>
      <c r="AY65" s="1039"/>
      <c r="AZ65" s="1039"/>
      <c r="BA65" s="1039"/>
      <c r="BB65" s="1039"/>
      <c r="BC65" s="1040"/>
      <c r="BD65" s="641"/>
      <c r="BE65" s="1074"/>
      <c r="BF65" s="1074"/>
      <c r="BG65" s="1074"/>
      <c r="BH65" s="1074"/>
      <c r="BI65" s="1074"/>
      <c r="BJ65" s="1074"/>
      <c r="BK65" s="1152"/>
      <c r="BL65" s="1152"/>
      <c r="BM65" s="1152"/>
      <c r="BN65" s="1152"/>
      <c r="BO65" s="1152"/>
      <c r="BP65" s="1152"/>
      <c r="BQ65" s="1152"/>
      <c r="BR65" s="1152"/>
      <c r="BS65" s="1152"/>
      <c r="BT65" s="1152"/>
      <c r="BU65" s="1152"/>
      <c r="BV65" s="1152"/>
      <c r="BW65" s="1152"/>
      <c r="BX65" s="1152"/>
      <c r="BY65" s="1152"/>
      <c r="BZ65" s="1152"/>
      <c r="CA65" s="1152"/>
      <c r="CB65" s="1152"/>
      <c r="CC65" s="1152"/>
      <c r="CD65" s="1152"/>
      <c r="CE65" s="1152"/>
      <c r="CF65" s="1152"/>
      <c r="CG65" s="1152"/>
      <c r="CH65" s="1152"/>
      <c r="CI65" s="1152"/>
      <c r="CJ65" s="1152"/>
      <c r="CK65" s="1152"/>
      <c r="CL65" s="1152"/>
      <c r="CM65" s="1152"/>
      <c r="CN65" s="1152"/>
      <c r="CO65" s="1152"/>
      <c r="CP65" s="1152"/>
      <c r="CQ65" s="1152"/>
      <c r="CR65" s="1152"/>
      <c r="CS65" s="1152"/>
      <c r="CT65" s="1152"/>
      <c r="CU65" s="1152"/>
      <c r="CV65" s="657"/>
    </row>
    <row r="66" spans="1:100" ht="12" customHeight="1" thickBot="1" x14ac:dyDescent="0.25">
      <c r="A66" s="657"/>
      <c r="B66" s="657"/>
      <c r="C66" s="657"/>
      <c r="D66" s="657"/>
      <c r="E66" s="657"/>
      <c r="F66" s="657"/>
      <c r="G66" s="657"/>
      <c r="H66" s="657"/>
      <c r="I66" s="657"/>
      <c r="J66" s="657"/>
      <c r="K66" s="657"/>
      <c r="L66" s="657"/>
      <c r="M66" s="657"/>
      <c r="N66" s="657"/>
      <c r="O66" s="657"/>
      <c r="P66" s="657"/>
      <c r="Q66" s="657"/>
      <c r="R66" s="657"/>
      <c r="S66" s="657"/>
      <c r="T66" s="657"/>
      <c r="U66" s="657"/>
      <c r="V66" s="657"/>
      <c r="W66" s="657"/>
      <c r="X66" s="657"/>
      <c r="Y66" s="657"/>
      <c r="Z66" s="657"/>
      <c r="AA66" s="657"/>
      <c r="AB66" s="657"/>
      <c r="AC66" s="641"/>
      <c r="AD66" s="657"/>
      <c r="AE66" s="657"/>
      <c r="AF66" s="657"/>
      <c r="AG66" s="657"/>
      <c r="AH66" s="657"/>
      <c r="AI66" s="657"/>
      <c r="AJ66" s="657"/>
      <c r="AK66" s="657"/>
      <c r="AL66" s="657"/>
      <c r="AM66" s="657"/>
      <c r="AN66" s="657"/>
      <c r="AO66" s="657"/>
      <c r="AP66" s="685"/>
      <c r="AQ66" s="685"/>
      <c r="AR66" s="685"/>
      <c r="AS66" s="685"/>
      <c r="AT66" s="657"/>
      <c r="AU66" s="686"/>
      <c r="AV66" s="686"/>
      <c r="AW66" s="686"/>
      <c r="AX66" s="686"/>
      <c r="AY66" s="657"/>
      <c r="AZ66" s="686"/>
      <c r="BA66" s="686"/>
      <c r="BB66" s="686"/>
      <c r="BC66" s="686"/>
      <c r="BD66" s="641"/>
      <c r="BE66" s="1074"/>
      <c r="BF66" s="1074"/>
      <c r="BG66" s="1074"/>
      <c r="BH66" s="1074"/>
      <c r="BI66" s="1074"/>
      <c r="BJ66" s="1074"/>
      <c r="BK66" s="1153"/>
      <c r="BL66" s="1153"/>
      <c r="BM66" s="1153"/>
      <c r="BN66" s="1153"/>
      <c r="BO66" s="1153"/>
      <c r="BP66" s="1153"/>
      <c r="BQ66" s="1153"/>
      <c r="BR66" s="1153"/>
      <c r="BS66" s="1153"/>
      <c r="BT66" s="1153"/>
      <c r="BU66" s="1153"/>
      <c r="BV66" s="1153"/>
      <c r="BW66" s="1153"/>
      <c r="BX66" s="1153"/>
      <c r="BY66" s="1153"/>
      <c r="BZ66" s="1153"/>
      <c r="CA66" s="1153"/>
      <c r="CB66" s="1153"/>
      <c r="CC66" s="1153"/>
      <c r="CD66" s="1153"/>
      <c r="CE66" s="1153"/>
      <c r="CF66" s="1153"/>
      <c r="CG66" s="1153"/>
      <c r="CH66" s="1153"/>
      <c r="CI66" s="1153"/>
      <c r="CJ66" s="1153"/>
      <c r="CK66" s="1153"/>
      <c r="CL66" s="1153"/>
      <c r="CM66" s="1153"/>
      <c r="CN66" s="1153"/>
      <c r="CO66" s="1153"/>
      <c r="CP66" s="1153"/>
      <c r="CQ66" s="1153"/>
      <c r="CR66" s="1153"/>
      <c r="CS66" s="1153"/>
      <c r="CT66" s="1153"/>
      <c r="CU66" s="1153"/>
      <c r="CV66" s="657"/>
    </row>
    <row r="67" spans="1:100" ht="12" customHeight="1" x14ac:dyDescent="0.3">
      <c r="A67" s="657"/>
      <c r="B67" s="1049" t="s">
        <v>7238</v>
      </c>
      <c r="C67" s="1050"/>
      <c r="D67" s="1050"/>
      <c r="E67" s="1050"/>
      <c r="F67" s="1050"/>
      <c r="G67" s="1050"/>
      <c r="H67" s="1050"/>
      <c r="I67" s="1050"/>
      <c r="J67" s="1050"/>
      <c r="K67" s="1050"/>
      <c r="L67" s="1050"/>
      <c r="M67" s="1050"/>
      <c r="N67" s="1050"/>
      <c r="O67" s="1050"/>
      <c r="P67" s="1050"/>
      <c r="Q67" s="1050"/>
      <c r="R67" s="1050"/>
      <c r="S67" s="1050"/>
      <c r="T67" s="1050"/>
      <c r="U67" s="1051"/>
      <c r="V67" s="657"/>
      <c r="W67" s="657"/>
      <c r="X67" s="657"/>
      <c r="Y67" s="657"/>
      <c r="Z67" s="657"/>
      <c r="AA67" s="657"/>
      <c r="AB67" s="657"/>
      <c r="AC67" s="657"/>
      <c r="AD67" s="657"/>
      <c r="AE67" s="657"/>
      <c r="AF67" s="657"/>
      <c r="AG67" s="657"/>
      <c r="AH67" s="657"/>
      <c r="AI67" s="657"/>
      <c r="AJ67" s="657"/>
      <c r="AK67" s="657"/>
      <c r="AL67" s="657"/>
      <c r="AM67" s="657"/>
      <c r="AN67" s="657"/>
      <c r="AO67" s="657"/>
      <c r="AP67" s="657"/>
      <c r="AQ67" s="657"/>
      <c r="AR67" s="657"/>
      <c r="AS67" s="657"/>
      <c r="AT67" s="657"/>
      <c r="AU67" s="657"/>
      <c r="AV67" s="657"/>
      <c r="AW67" s="657"/>
      <c r="AX67" s="657"/>
      <c r="AY67" s="657"/>
      <c r="AZ67" s="657"/>
      <c r="BA67" s="657"/>
      <c r="BB67" s="657"/>
      <c r="BC67" s="657"/>
      <c r="BD67" s="641"/>
      <c r="BE67" s="687"/>
      <c r="BF67" s="687"/>
      <c r="BG67" s="687"/>
      <c r="BH67" s="687"/>
      <c r="BI67" s="687"/>
      <c r="BJ67" s="687"/>
      <c r="BK67" s="688"/>
      <c r="BL67" s="688"/>
      <c r="BM67" s="688"/>
      <c r="BN67" s="688"/>
      <c r="BO67" s="688"/>
      <c r="BP67" s="688"/>
      <c r="BQ67" s="688"/>
      <c r="BR67" s="688"/>
      <c r="BS67" s="688"/>
      <c r="BT67" s="688"/>
      <c r="BU67" s="688"/>
      <c r="BV67" s="688"/>
      <c r="BW67" s="688"/>
      <c r="BX67" s="689"/>
      <c r="BY67" s="689"/>
      <c r="BZ67" s="689"/>
      <c r="CA67" s="689"/>
      <c r="CB67" s="689"/>
      <c r="CC67" s="689"/>
      <c r="CD67" s="689"/>
      <c r="CE67" s="689"/>
      <c r="CF67" s="689"/>
      <c r="CG67" s="689"/>
      <c r="CH67" s="689"/>
      <c r="CI67" s="689"/>
      <c r="CJ67" s="689"/>
      <c r="CK67" s="689"/>
      <c r="CL67" s="689"/>
      <c r="CM67" s="689"/>
      <c r="CN67" s="689"/>
      <c r="CO67" s="689"/>
      <c r="CP67" s="689"/>
      <c r="CQ67" s="689"/>
      <c r="CR67" s="689"/>
      <c r="CS67" s="689"/>
      <c r="CT67" s="689"/>
      <c r="CU67" s="689"/>
      <c r="CV67" s="657"/>
    </row>
    <row r="68" spans="1:100" ht="12" customHeight="1" thickBot="1" x14ac:dyDescent="0.25">
      <c r="A68" s="657"/>
      <c r="B68" s="1052"/>
      <c r="C68" s="1053"/>
      <c r="D68" s="1053"/>
      <c r="E68" s="1053"/>
      <c r="F68" s="1053"/>
      <c r="G68" s="1053"/>
      <c r="H68" s="1053"/>
      <c r="I68" s="1053"/>
      <c r="J68" s="1053"/>
      <c r="K68" s="1053"/>
      <c r="L68" s="1053"/>
      <c r="M68" s="1053"/>
      <c r="N68" s="1053"/>
      <c r="O68" s="1053"/>
      <c r="P68" s="1053"/>
      <c r="Q68" s="1053"/>
      <c r="R68" s="1053"/>
      <c r="S68" s="1053"/>
      <c r="T68" s="1053"/>
      <c r="U68" s="1054"/>
      <c r="V68" s="1154" t="s">
        <v>7237</v>
      </c>
      <c r="W68" s="1154"/>
      <c r="X68" s="1154"/>
      <c r="Y68" s="1154"/>
      <c r="Z68" s="1154"/>
      <c r="AA68" s="1154"/>
      <c r="AB68" s="1154" t="s">
        <v>7184</v>
      </c>
      <c r="AC68" s="1154"/>
      <c r="AD68" s="1154"/>
      <c r="AE68" s="1154"/>
      <c r="AF68" s="1154"/>
      <c r="AG68" s="1154" t="s">
        <v>7246</v>
      </c>
      <c r="AH68" s="1154"/>
      <c r="AI68" s="1154"/>
      <c r="AJ68" s="1154"/>
      <c r="AK68" s="1154"/>
      <c r="AL68" s="1154"/>
      <c r="AM68" s="1154"/>
      <c r="AN68" s="1154"/>
      <c r="AO68" s="1154"/>
      <c r="AP68" s="1154"/>
      <c r="AQ68" s="1154"/>
      <c r="AR68" s="1154"/>
      <c r="AS68" s="1154"/>
      <c r="AT68" s="1154"/>
      <c r="AU68" s="1154"/>
      <c r="AV68" s="1154"/>
      <c r="AW68" s="1154"/>
      <c r="AX68" s="1154"/>
      <c r="AY68" s="1154"/>
      <c r="AZ68" s="1154"/>
      <c r="BA68" s="1154"/>
      <c r="BB68" s="1154"/>
      <c r="BC68" s="1155"/>
      <c r="BD68" s="641"/>
      <c r="BE68" s="1074" t="s">
        <v>7237</v>
      </c>
      <c r="BF68" s="1074"/>
      <c r="BG68" s="1074"/>
      <c r="BH68" s="1074"/>
      <c r="BI68" s="1074"/>
      <c r="BJ68" s="1074"/>
      <c r="BK68" s="1132"/>
      <c r="BL68" s="1132"/>
      <c r="BM68" s="1132"/>
      <c r="BN68" s="1132"/>
      <c r="BO68" s="1132"/>
      <c r="BP68" s="1132"/>
      <c r="BQ68" s="1132"/>
      <c r="BR68" s="1132"/>
      <c r="BS68" s="1132"/>
      <c r="BT68" s="1132"/>
      <c r="BU68" s="1132"/>
      <c r="BV68" s="1132"/>
      <c r="BW68" s="1132"/>
      <c r="BX68" s="1132"/>
      <c r="BY68" s="1132"/>
      <c r="BZ68" s="1132"/>
      <c r="CA68" s="1132"/>
      <c r="CB68" s="1132"/>
      <c r="CC68" s="1132"/>
      <c r="CD68" s="1132"/>
      <c r="CE68" s="1132"/>
      <c r="CF68" s="1132"/>
      <c r="CG68" s="1132"/>
      <c r="CH68" s="1132"/>
      <c r="CI68" s="1132"/>
      <c r="CJ68" s="1132"/>
      <c r="CK68" s="1132"/>
      <c r="CL68" s="1132"/>
      <c r="CM68" s="1132"/>
      <c r="CN68" s="1132"/>
      <c r="CO68" s="1132"/>
      <c r="CP68" s="1132"/>
      <c r="CQ68" s="1132"/>
      <c r="CR68" s="1132"/>
      <c r="CS68" s="1132"/>
      <c r="CT68" s="1132"/>
      <c r="CU68" s="1132"/>
      <c r="CV68" s="657"/>
    </row>
    <row r="69" spans="1:100" ht="12" customHeight="1" thickBot="1" x14ac:dyDescent="0.25">
      <c r="A69" s="657"/>
      <c r="B69" s="1059"/>
      <c r="C69" s="1060"/>
      <c r="D69" s="1060"/>
      <c r="E69" s="1060"/>
      <c r="F69" s="1060"/>
      <c r="G69" s="1060"/>
      <c r="H69" s="1060"/>
      <c r="I69" s="1060"/>
      <c r="J69" s="1060"/>
      <c r="K69" s="1060"/>
      <c r="L69" s="1060"/>
      <c r="M69" s="1060"/>
      <c r="N69" s="1060"/>
      <c r="O69" s="1060"/>
      <c r="P69" s="1060"/>
      <c r="Q69" s="1060"/>
      <c r="R69" s="1060"/>
      <c r="S69" s="1060"/>
      <c r="T69" s="1060"/>
      <c r="U69" s="1061"/>
      <c r="V69" s="1069"/>
      <c r="W69" s="1069"/>
      <c r="X69" s="1069"/>
      <c r="Y69" s="1069"/>
      <c r="Z69" s="1069"/>
      <c r="AA69" s="1069"/>
      <c r="AB69" s="1156"/>
      <c r="AC69" s="1157"/>
      <c r="AD69" s="1157"/>
      <c r="AE69" s="1157"/>
      <c r="AF69" s="1158"/>
      <c r="AG69" s="1165"/>
      <c r="AH69" s="1166"/>
      <c r="AI69" s="1166"/>
      <c r="AJ69" s="1166"/>
      <c r="AK69" s="1166"/>
      <c r="AL69" s="1166"/>
      <c r="AM69" s="1166"/>
      <c r="AN69" s="1166"/>
      <c r="AO69" s="1166"/>
      <c r="AP69" s="1166"/>
      <c r="AQ69" s="1166"/>
      <c r="AR69" s="1166"/>
      <c r="AS69" s="1166"/>
      <c r="AT69" s="1166"/>
      <c r="AU69" s="1166"/>
      <c r="AV69" s="1166"/>
      <c r="AW69" s="1166"/>
      <c r="AX69" s="1166"/>
      <c r="AY69" s="1166"/>
      <c r="AZ69" s="1166"/>
      <c r="BA69" s="1166"/>
      <c r="BB69" s="1166"/>
      <c r="BC69" s="1167"/>
      <c r="BD69" s="641"/>
      <c r="BE69" s="1074"/>
      <c r="BF69" s="1074"/>
      <c r="BG69" s="1074"/>
      <c r="BH69" s="1074"/>
      <c r="BI69" s="1074"/>
      <c r="BJ69" s="1074"/>
      <c r="BK69" s="1132"/>
      <c r="BL69" s="1132"/>
      <c r="BM69" s="1132"/>
      <c r="BN69" s="1132"/>
      <c r="BO69" s="1132"/>
      <c r="BP69" s="1132"/>
      <c r="BQ69" s="1132"/>
      <c r="BR69" s="1132"/>
      <c r="BS69" s="1132"/>
      <c r="BT69" s="1132"/>
      <c r="BU69" s="1132"/>
      <c r="BV69" s="1132"/>
      <c r="BW69" s="1132"/>
      <c r="BX69" s="1132"/>
      <c r="BY69" s="1132"/>
      <c r="BZ69" s="1132"/>
      <c r="CA69" s="1132"/>
      <c r="CB69" s="1132"/>
      <c r="CC69" s="1132"/>
      <c r="CD69" s="1132"/>
      <c r="CE69" s="1132"/>
      <c r="CF69" s="1132"/>
      <c r="CG69" s="1132"/>
      <c r="CH69" s="1132"/>
      <c r="CI69" s="1132"/>
      <c r="CJ69" s="1132"/>
      <c r="CK69" s="1132"/>
      <c r="CL69" s="1132"/>
      <c r="CM69" s="1132"/>
      <c r="CN69" s="1132"/>
      <c r="CO69" s="1132"/>
      <c r="CP69" s="1132"/>
      <c r="CQ69" s="1132"/>
      <c r="CR69" s="1132"/>
      <c r="CS69" s="1132"/>
      <c r="CT69" s="1132"/>
      <c r="CU69" s="1132"/>
      <c r="CV69" s="657"/>
    </row>
    <row r="70" spans="1:100" ht="12" customHeight="1" thickBot="1" x14ac:dyDescent="0.25">
      <c r="A70" s="657"/>
      <c r="B70" s="1062"/>
      <c r="C70" s="1063"/>
      <c r="D70" s="1063"/>
      <c r="E70" s="1063"/>
      <c r="F70" s="1063"/>
      <c r="G70" s="1063"/>
      <c r="H70" s="1063"/>
      <c r="I70" s="1063"/>
      <c r="J70" s="1063"/>
      <c r="K70" s="1063"/>
      <c r="L70" s="1063"/>
      <c r="M70" s="1063"/>
      <c r="N70" s="1063"/>
      <c r="O70" s="1063"/>
      <c r="P70" s="1063"/>
      <c r="Q70" s="1063"/>
      <c r="R70" s="1063"/>
      <c r="S70" s="1063"/>
      <c r="T70" s="1063"/>
      <c r="U70" s="1064"/>
      <c r="V70" s="1069"/>
      <c r="W70" s="1069"/>
      <c r="X70" s="1069"/>
      <c r="Y70" s="1069"/>
      <c r="Z70" s="1069"/>
      <c r="AA70" s="1069"/>
      <c r="AB70" s="1159"/>
      <c r="AC70" s="1160"/>
      <c r="AD70" s="1160"/>
      <c r="AE70" s="1160"/>
      <c r="AF70" s="1161"/>
      <c r="AG70" s="1168"/>
      <c r="AH70" s="1169"/>
      <c r="AI70" s="1169"/>
      <c r="AJ70" s="1169"/>
      <c r="AK70" s="1169"/>
      <c r="AL70" s="1169"/>
      <c r="AM70" s="1169"/>
      <c r="AN70" s="1169"/>
      <c r="AO70" s="1169"/>
      <c r="AP70" s="1169"/>
      <c r="AQ70" s="1169"/>
      <c r="AR70" s="1169"/>
      <c r="AS70" s="1169"/>
      <c r="AT70" s="1169"/>
      <c r="AU70" s="1169"/>
      <c r="AV70" s="1169"/>
      <c r="AW70" s="1169"/>
      <c r="AX70" s="1169"/>
      <c r="AY70" s="1169"/>
      <c r="AZ70" s="1169"/>
      <c r="BA70" s="1169"/>
      <c r="BB70" s="1169"/>
      <c r="BC70" s="1170"/>
      <c r="BD70" s="641"/>
      <c r="BE70" s="1074"/>
      <c r="BF70" s="1074"/>
      <c r="BG70" s="1074"/>
      <c r="BH70" s="1074"/>
      <c r="BI70" s="1074"/>
      <c r="BJ70" s="1074"/>
      <c r="BK70" s="1132"/>
      <c r="BL70" s="1132"/>
      <c r="BM70" s="1132"/>
      <c r="BN70" s="1132"/>
      <c r="BO70" s="1132"/>
      <c r="BP70" s="1132"/>
      <c r="BQ70" s="1132"/>
      <c r="BR70" s="1132"/>
      <c r="BS70" s="1132"/>
      <c r="BT70" s="1132"/>
      <c r="BU70" s="1132"/>
      <c r="BV70" s="1132"/>
      <c r="BW70" s="1132"/>
      <c r="BX70" s="1132"/>
      <c r="BY70" s="1132"/>
      <c r="BZ70" s="1132"/>
      <c r="CA70" s="1132"/>
      <c r="CB70" s="1132"/>
      <c r="CC70" s="1132"/>
      <c r="CD70" s="1132"/>
      <c r="CE70" s="1132"/>
      <c r="CF70" s="1132"/>
      <c r="CG70" s="1132"/>
      <c r="CH70" s="1132"/>
      <c r="CI70" s="1132"/>
      <c r="CJ70" s="1132"/>
      <c r="CK70" s="1132"/>
      <c r="CL70" s="1132"/>
      <c r="CM70" s="1132"/>
      <c r="CN70" s="1132"/>
      <c r="CO70" s="1132"/>
      <c r="CP70" s="1132"/>
      <c r="CQ70" s="1132"/>
      <c r="CR70" s="1132"/>
      <c r="CS70" s="1132"/>
      <c r="CT70" s="1132"/>
      <c r="CU70" s="1132"/>
      <c r="CV70" s="657"/>
    </row>
    <row r="71" spans="1:100" ht="12" customHeight="1" thickBot="1" x14ac:dyDescent="0.25">
      <c r="A71" s="657"/>
      <c r="B71" s="1065"/>
      <c r="C71" s="1066"/>
      <c r="D71" s="1066"/>
      <c r="E71" s="1066"/>
      <c r="F71" s="1066"/>
      <c r="G71" s="1066"/>
      <c r="H71" s="1066"/>
      <c r="I71" s="1066"/>
      <c r="J71" s="1066"/>
      <c r="K71" s="1066"/>
      <c r="L71" s="1066"/>
      <c r="M71" s="1066"/>
      <c r="N71" s="1066"/>
      <c r="O71" s="1066"/>
      <c r="P71" s="1066"/>
      <c r="Q71" s="1066"/>
      <c r="R71" s="1066"/>
      <c r="S71" s="1066"/>
      <c r="T71" s="1066"/>
      <c r="U71" s="1067"/>
      <c r="V71" s="1069"/>
      <c r="W71" s="1069"/>
      <c r="X71" s="1069"/>
      <c r="Y71" s="1069"/>
      <c r="Z71" s="1069"/>
      <c r="AA71" s="1069"/>
      <c r="AB71" s="1162"/>
      <c r="AC71" s="1163"/>
      <c r="AD71" s="1163"/>
      <c r="AE71" s="1163"/>
      <c r="AF71" s="1164"/>
      <c r="AG71" s="1171"/>
      <c r="AH71" s="1172"/>
      <c r="AI71" s="1172"/>
      <c r="AJ71" s="1172"/>
      <c r="AK71" s="1172"/>
      <c r="AL71" s="1172"/>
      <c r="AM71" s="1172"/>
      <c r="AN71" s="1172"/>
      <c r="AO71" s="1172"/>
      <c r="AP71" s="1172"/>
      <c r="AQ71" s="1172"/>
      <c r="AR71" s="1172"/>
      <c r="AS71" s="1172"/>
      <c r="AT71" s="1172"/>
      <c r="AU71" s="1172"/>
      <c r="AV71" s="1172"/>
      <c r="AW71" s="1172"/>
      <c r="AX71" s="1172"/>
      <c r="AY71" s="1172"/>
      <c r="AZ71" s="1172"/>
      <c r="BA71" s="1172"/>
      <c r="BB71" s="1172"/>
      <c r="BC71" s="1173"/>
      <c r="BD71" s="657"/>
      <c r="BE71" s="1074"/>
      <c r="BF71" s="1074"/>
      <c r="BG71" s="1074"/>
      <c r="BH71" s="1074"/>
      <c r="BI71" s="1074"/>
      <c r="BJ71" s="1074"/>
      <c r="BK71" s="1133"/>
      <c r="BL71" s="1133"/>
      <c r="BM71" s="1133"/>
      <c r="BN71" s="1133"/>
      <c r="BO71" s="1133"/>
      <c r="BP71" s="1133"/>
      <c r="BQ71" s="1133"/>
      <c r="BR71" s="1133"/>
      <c r="BS71" s="1133"/>
      <c r="BT71" s="1133"/>
      <c r="BU71" s="1133"/>
      <c r="BV71" s="1133"/>
      <c r="BW71" s="1133"/>
      <c r="BX71" s="1133"/>
      <c r="BY71" s="1133"/>
      <c r="BZ71" s="1133"/>
      <c r="CA71" s="1133"/>
      <c r="CB71" s="1133"/>
      <c r="CC71" s="1133"/>
      <c r="CD71" s="1133"/>
      <c r="CE71" s="1133"/>
      <c r="CF71" s="1133"/>
      <c r="CG71" s="1133"/>
      <c r="CH71" s="1133"/>
      <c r="CI71" s="1133"/>
      <c r="CJ71" s="1133"/>
      <c r="CK71" s="1133"/>
      <c r="CL71" s="1133"/>
      <c r="CM71" s="1133"/>
      <c r="CN71" s="1133"/>
      <c r="CO71" s="1133"/>
      <c r="CP71" s="1133"/>
      <c r="CQ71" s="1133"/>
      <c r="CR71" s="1133"/>
      <c r="CS71" s="1133"/>
      <c r="CT71" s="1133"/>
      <c r="CU71" s="1133"/>
      <c r="CV71" s="657"/>
    </row>
    <row r="72" spans="1:100" ht="12" customHeight="1" x14ac:dyDescent="0.2">
      <c r="A72" s="657"/>
      <c r="B72" s="657"/>
      <c r="C72" s="657"/>
      <c r="D72" s="657"/>
      <c r="E72" s="657"/>
      <c r="F72" s="657"/>
      <c r="G72" s="657"/>
      <c r="H72" s="657"/>
      <c r="I72" s="657"/>
      <c r="J72" s="657"/>
      <c r="K72" s="657"/>
      <c r="L72" s="657"/>
      <c r="M72" s="657"/>
      <c r="N72" s="657"/>
      <c r="O72" s="657"/>
      <c r="P72" s="657"/>
      <c r="Q72" s="657"/>
      <c r="R72" s="657"/>
      <c r="S72" s="657"/>
      <c r="T72" s="657"/>
      <c r="U72" s="657"/>
      <c r="V72" s="657"/>
      <c r="W72" s="657"/>
      <c r="X72" s="657"/>
      <c r="Y72" s="657"/>
      <c r="Z72" s="657"/>
      <c r="AA72" s="657"/>
      <c r="AB72" s="657"/>
      <c r="AC72" s="641"/>
      <c r="AD72" s="657"/>
      <c r="AE72" s="657"/>
      <c r="AF72" s="657"/>
      <c r="AG72" s="657"/>
      <c r="AH72" s="657"/>
      <c r="AI72" s="657"/>
      <c r="AJ72" s="657"/>
      <c r="AK72" s="657"/>
      <c r="AL72" s="657"/>
      <c r="AM72" s="657"/>
      <c r="AN72" s="657"/>
      <c r="AO72" s="657"/>
      <c r="AP72" s="685"/>
      <c r="AQ72" s="685"/>
      <c r="AR72" s="685"/>
      <c r="AS72" s="685"/>
      <c r="AT72" s="657"/>
      <c r="AU72" s="686"/>
      <c r="AV72" s="686"/>
      <c r="AW72" s="686"/>
      <c r="AX72" s="686"/>
      <c r="AY72" s="657"/>
      <c r="AZ72" s="686"/>
      <c r="BA72" s="686"/>
      <c r="BB72" s="686"/>
      <c r="BC72" s="686"/>
      <c r="BD72" s="657"/>
      <c r="BE72" s="657"/>
      <c r="BF72" s="657"/>
      <c r="BG72" s="657"/>
      <c r="BH72" s="657"/>
      <c r="BI72" s="657"/>
      <c r="BJ72" s="657"/>
      <c r="BK72" s="690"/>
      <c r="BL72" s="690"/>
      <c r="BM72" s="690"/>
      <c r="BN72" s="690"/>
      <c r="BO72" s="690"/>
      <c r="BP72" s="690"/>
      <c r="BQ72" s="690"/>
      <c r="BR72" s="690"/>
      <c r="BS72" s="690"/>
      <c r="BT72" s="690"/>
      <c r="BU72" s="690"/>
      <c r="BV72" s="690"/>
      <c r="BW72" s="690"/>
      <c r="BX72" s="690"/>
      <c r="BY72" s="690"/>
      <c r="BZ72" s="690"/>
      <c r="CA72" s="690"/>
      <c r="CB72" s="690"/>
      <c r="CC72" s="690"/>
      <c r="CD72" s="690"/>
      <c r="CE72" s="690"/>
      <c r="CF72" s="690"/>
      <c r="CG72" s="690"/>
      <c r="CH72" s="690"/>
      <c r="CI72" s="690"/>
      <c r="CJ72" s="690"/>
      <c r="CK72" s="690"/>
      <c r="CL72" s="690"/>
      <c r="CM72" s="690"/>
      <c r="CN72" s="690"/>
      <c r="CO72" s="690"/>
      <c r="CP72" s="690"/>
      <c r="CQ72" s="690"/>
      <c r="CR72" s="690"/>
      <c r="CS72" s="690"/>
      <c r="CT72" s="690"/>
      <c r="CU72" s="690"/>
      <c r="CV72" s="657"/>
    </row>
    <row r="73" spans="1:100" ht="12" customHeight="1" x14ac:dyDescent="0.2">
      <c r="A73" s="657"/>
      <c r="B73" s="1076" t="s">
        <v>7248</v>
      </c>
      <c r="C73" s="1076"/>
      <c r="D73" s="1076"/>
      <c r="E73" s="1076"/>
      <c r="F73" s="1076"/>
      <c r="G73" s="1076"/>
      <c r="H73" s="1076"/>
      <c r="I73" s="1076"/>
      <c r="J73" s="1076"/>
      <c r="K73" s="1076"/>
      <c r="L73" s="1076"/>
      <c r="M73" s="1076"/>
      <c r="N73" s="1076"/>
      <c r="O73" s="1076"/>
      <c r="P73" s="1076"/>
      <c r="Q73" s="1076"/>
      <c r="R73" s="1076"/>
      <c r="S73" s="1076"/>
      <c r="T73" s="1076"/>
      <c r="U73" s="1076"/>
      <c r="V73" s="1076"/>
      <c r="W73" s="1076"/>
      <c r="X73" s="1076"/>
      <c r="Y73" s="1076"/>
      <c r="Z73" s="1076"/>
      <c r="AA73" s="1076"/>
      <c r="AB73" s="1076"/>
      <c r="AC73" s="1076"/>
      <c r="AD73" s="1076"/>
      <c r="AE73" s="1076"/>
      <c r="AF73" s="1076"/>
      <c r="AG73" s="1076"/>
      <c r="AH73" s="1076"/>
      <c r="AI73" s="1076"/>
      <c r="AJ73" s="1076"/>
      <c r="AK73" s="1076"/>
      <c r="AL73" s="1076"/>
      <c r="AM73" s="1076"/>
      <c r="AN73" s="1076"/>
      <c r="AO73" s="1076"/>
      <c r="AP73" s="1076"/>
      <c r="AQ73" s="1076"/>
      <c r="AR73" s="1076"/>
      <c r="AS73" s="1076"/>
      <c r="AT73" s="1076"/>
      <c r="AU73" s="1076"/>
      <c r="AV73" s="1076"/>
      <c r="AW73" s="1076"/>
      <c r="AX73" s="1076"/>
      <c r="AY73" s="1076"/>
      <c r="AZ73" s="1076"/>
      <c r="BA73" s="1076"/>
      <c r="BB73" s="1076"/>
      <c r="BC73" s="1076"/>
      <c r="BD73" s="657"/>
      <c r="BE73" s="1074" t="s">
        <v>4425</v>
      </c>
      <c r="BF73" s="1074"/>
      <c r="BG73" s="1074"/>
      <c r="BH73" s="1074"/>
      <c r="BI73" s="1074"/>
      <c r="BJ73" s="1074"/>
      <c r="BK73" s="1132"/>
      <c r="BL73" s="1132"/>
      <c r="BM73" s="1132"/>
      <c r="BN73" s="1132"/>
      <c r="BO73" s="1132"/>
      <c r="BP73" s="1132"/>
      <c r="BQ73" s="1132"/>
      <c r="BR73" s="1132"/>
      <c r="BS73" s="1132"/>
      <c r="BT73" s="1132"/>
      <c r="BU73" s="1132"/>
      <c r="BV73" s="1132"/>
      <c r="BW73" s="1132"/>
      <c r="BX73" s="1132"/>
      <c r="BY73" s="1132"/>
      <c r="BZ73" s="1132"/>
      <c r="CA73" s="1132"/>
      <c r="CB73" s="1132"/>
      <c r="CC73" s="1132"/>
      <c r="CD73" s="1132"/>
      <c r="CE73" s="1132"/>
      <c r="CF73" s="1132"/>
      <c r="CG73" s="1132"/>
      <c r="CH73" s="1132"/>
      <c r="CI73" s="1132"/>
      <c r="CJ73" s="1132"/>
      <c r="CK73" s="1132"/>
      <c r="CL73" s="1132"/>
      <c r="CM73" s="1132"/>
      <c r="CN73" s="1132"/>
      <c r="CO73" s="1132"/>
      <c r="CP73" s="1132"/>
      <c r="CQ73" s="1132"/>
      <c r="CR73" s="1132"/>
      <c r="CS73" s="1132"/>
      <c r="CT73" s="1132"/>
      <c r="CU73" s="1132"/>
      <c r="CV73" s="657"/>
    </row>
    <row r="74" spans="1:100" ht="12" customHeight="1" x14ac:dyDescent="0.2">
      <c r="A74" s="657"/>
      <c r="B74" s="1076"/>
      <c r="C74" s="1076"/>
      <c r="D74" s="1076"/>
      <c r="E74" s="1076"/>
      <c r="F74" s="1076"/>
      <c r="G74" s="1076"/>
      <c r="H74" s="1076"/>
      <c r="I74" s="1076"/>
      <c r="J74" s="1076"/>
      <c r="K74" s="1076"/>
      <c r="L74" s="1076"/>
      <c r="M74" s="1076"/>
      <c r="N74" s="1076"/>
      <c r="O74" s="1076"/>
      <c r="P74" s="1076"/>
      <c r="Q74" s="1076"/>
      <c r="R74" s="1076"/>
      <c r="S74" s="1076"/>
      <c r="T74" s="1076"/>
      <c r="U74" s="1076"/>
      <c r="V74" s="1076"/>
      <c r="W74" s="1076"/>
      <c r="X74" s="1076"/>
      <c r="Y74" s="1076"/>
      <c r="Z74" s="1076"/>
      <c r="AA74" s="1076"/>
      <c r="AB74" s="1076"/>
      <c r="AC74" s="1076"/>
      <c r="AD74" s="1076"/>
      <c r="AE74" s="1076"/>
      <c r="AF74" s="1076"/>
      <c r="AG74" s="1076"/>
      <c r="AH74" s="1076"/>
      <c r="AI74" s="1076"/>
      <c r="AJ74" s="1076"/>
      <c r="AK74" s="1076"/>
      <c r="AL74" s="1076"/>
      <c r="AM74" s="1076"/>
      <c r="AN74" s="1076"/>
      <c r="AO74" s="1076"/>
      <c r="AP74" s="1076"/>
      <c r="AQ74" s="1076"/>
      <c r="AR74" s="1076"/>
      <c r="AS74" s="1076"/>
      <c r="AT74" s="1076"/>
      <c r="AU74" s="1076"/>
      <c r="AV74" s="1076"/>
      <c r="AW74" s="1076"/>
      <c r="AX74" s="1076"/>
      <c r="AY74" s="1076"/>
      <c r="AZ74" s="1076"/>
      <c r="BA74" s="1076"/>
      <c r="BB74" s="1076"/>
      <c r="BC74" s="1076"/>
      <c r="BD74" s="657"/>
      <c r="BE74" s="1074"/>
      <c r="BF74" s="1074"/>
      <c r="BG74" s="1074"/>
      <c r="BH74" s="1074"/>
      <c r="BI74" s="1074"/>
      <c r="BJ74" s="1074"/>
      <c r="BK74" s="1132"/>
      <c r="BL74" s="1132"/>
      <c r="BM74" s="1132"/>
      <c r="BN74" s="1132"/>
      <c r="BO74" s="1132"/>
      <c r="BP74" s="1132"/>
      <c r="BQ74" s="1132"/>
      <c r="BR74" s="1132"/>
      <c r="BS74" s="1132"/>
      <c r="BT74" s="1132"/>
      <c r="BU74" s="1132"/>
      <c r="BV74" s="1132"/>
      <c r="BW74" s="1132"/>
      <c r="BX74" s="1132"/>
      <c r="BY74" s="1132"/>
      <c r="BZ74" s="1132"/>
      <c r="CA74" s="1132"/>
      <c r="CB74" s="1132"/>
      <c r="CC74" s="1132"/>
      <c r="CD74" s="1132"/>
      <c r="CE74" s="1132"/>
      <c r="CF74" s="1132"/>
      <c r="CG74" s="1132"/>
      <c r="CH74" s="1132"/>
      <c r="CI74" s="1132"/>
      <c r="CJ74" s="1132"/>
      <c r="CK74" s="1132"/>
      <c r="CL74" s="1132"/>
      <c r="CM74" s="1132"/>
      <c r="CN74" s="1132"/>
      <c r="CO74" s="1132"/>
      <c r="CP74" s="1132"/>
      <c r="CQ74" s="1132"/>
      <c r="CR74" s="1132"/>
      <c r="CS74" s="1132"/>
      <c r="CT74" s="1132"/>
      <c r="CU74" s="1132"/>
      <c r="CV74" s="657"/>
    </row>
    <row r="75" spans="1:100" ht="12" customHeight="1" thickBot="1" x14ac:dyDescent="0.25">
      <c r="A75" s="657"/>
      <c r="B75" s="657"/>
      <c r="C75" s="657"/>
      <c r="D75" s="657"/>
      <c r="E75" s="657"/>
      <c r="F75" s="657"/>
      <c r="G75" s="657"/>
      <c r="H75" s="657"/>
      <c r="I75" s="657"/>
      <c r="J75" s="657"/>
      <c r="K75" s="657"/>
      <c r="L75" s="657"/>
      <c r="M75" s="657"/>
      <c r="N75" s="657"/>
      <c r="O75" s="657"/>
      <c r="P75" s="657"/>
      <c r="Q75" s="657"/>
      <c r="R75" s="657"/>
      <c r="S75" s="657"/>
      <c r="T75" s="657"/>
      <c r="U75" s="657"/>
      <c r="V75" s="657"/>
      <c r="W75" s="657"/>
      <c r="X75" s="657"/>
      <c r="Y75" s="657"/>
      <c r="Z75" s="657"/>
      <c r="AA75" s="657"/>
      <c r="AB75" s="657"/>
      <c r="AC75" s="641"/>
      <c r="AD75" s="657"/>
      <c r="AE75" s="657"/>
      <c r="AF75" s="657"/>
      <c r="AG75" s="657"/>
      <c r="AH75" s="657"/>
      <c r="AI75" s="657"/>
      <c r="AJ75" s="657"/>
      <c r="AK75" s="657"/>
      <c r="AL75" s="657"/>
      <c r="AM75" s="657"/>
      <c r="AN75" s="657"/>
      <c r="AO75" s="657"/>
      <c r="AP75" s="685"/>
      <c r="AQ75" s="685"/>
      <c r="AR75" s="685"/>
      <c r="AS75" s="685"/>
      <c r="AT75" s="657"/>
      <c r="AU75" s="686"/>
      <c r="AV75" s="686"/>
      <c r="AW75" s="686"/>
      <c r="AX75" s="686"/>
      <c r="AY75" s="657"/>
      <c r="AZ75" s="686"/>
      <c r="BA75" s="686"/>
      <c r="BB75" s="686"/>
      <c r="BC75" s="686"/>
      <c r="BD75" s="657"/>
      <c r="BE75" s="1074"/>
      <c r="BF75" s="1074"/>
      <c r="BG75" s="1074"/>
      <c r="BH75" s="1074"/>
      <c r="BI75" s="1074"/>
      <c r="BJ75" s="1074"/>
      <c r="BK75" s="1132"/>
      <c r="BL75" s="1132"/>
      <c r="BM75" s="1132"/>
      <c r="BN75" s="1132"/>
      <c r="BO75" s="1132"/>
      <c r="BP75" s="1132"/>
      <c r="BQ75" s="1132"/>
      <c r="BR75" s="1132"/>
      <c r="BS75" s="1132"/>
      <c r="BT75" s="1132"/>
      <c r="BU75" s="1132"/>
      <c r="BV75" s="1132"/>
      <c r="BW75" s="1132"/>
      <c r="BX75" s="1132"/>
      <c r="BY75" s="1132"/>
      <c r="BZ75" s="1132"/>
      <c r="CA75" s="1132"/>
      <c r="CB75" s="1132"/>
      <c r="CC75" s="1132"/>
      <c r="CD75" s="1132"/>
      <c r="CE75" s="1132"/>
      <c r="CF75" s="1132"/>
      <c r="CG75" s="1132"/>
      <c r="CH75" s="1132"/>
      <c r="CI75" s="1132"/>
      <c r="CJ75" s="1132"/>
      <c r="CK75" s="1132"/>
      <c r="CL75" s="1132"/>
      <c r="CM75" s="1132"/>
      <c r="CN75" s="1132"/>
      <c r="CO75" s="1132"/>
      <c r="CP75" s="1132"/>
      <c r="CQ75" s="1132"/>
      <c r="CR75" s="1132"/>
      <c r="CS75" s="1132"/>
      <c r="CT75" s="1132"/>
      <c r="CU75" s="1132"/>
      <c r="CV75" s="657"/>
    </row>
    <row r="76" spans="1:100" ht="12" customHeight="1" x14ac:dyDescent="0.2">
      <c r="A76" s="657"/>
      <c r="B76" s="1073" t="s">
        <v>7220</v>
      </c>
      <c r="C76" s="1073"/>
      <c r="D76" s="1073"/>
      <c r="E76" s="1073"/>
      <c r="F76" s="1073"/>
      <c r="G76" s="1073"/>
      <c r="H76" s="1073"/>
      <c r="I76" s="1073"/>
      <c r="J76" s="1073"/>
      <c r="K76" s="657"/>
      <c r="L76" s="1134"/>
      <c r="M76" s="1135"/>
      <c r="N76" s="1135"/>
      <c r="O76" s="1136"/>
      <c r="P76" s="1092" t="s">
        <v>608</v>
      </c>
      <c r="Q76" s="1093"/>
      <c r="R76" s="1094"/>
      <c r="S76" s="1094"/>
      <c r="T76" s="1095"/>
      <c r="U76" s="1092" t="s">
        <v>606</v>
      </c>
      <c r="V76" s="1093"/>
      <c r="W76" s="1094"/>
      <c r="X76" s="1094"/>
      <c r="Y76" s="1095"/>
      <c r="Z76" s="657"/>
      <c r="AA76" s="1073" t="s">
        <v>5886</v>
      </c>
      <c r="AB76" s="1073"/>
      <c r="AC76" s="1073"/>
      <c r="AD76" s="1073"/>
      <c r="AE76" s="1073"/>
      <c r="AF76" s="1073"/>
      <c r="AG76" s="1073"/>
      <c r="AH76" s="1073"/>
      <c r="AI76" s="657"/>
      <c r="AJ76" s="1143"/>
      <c r="AK76" s="1144"/>
      <c r="AL76" s="1144"/>
      <c r="AM76" s="1144"/>
      <c r="AN76" s="1145"/>
      <c r="AO76" s="657"/>
      <c r="AP76" s="1073" t="s">
        <v>7249</v>
      </c>
      <c r="AQ76" s="1073"/>
      <c r="AR76" s="1073"/>
      <c r="AS76" s="1073"/>
      <c r="AT76" s="1073"/>
      <c r="AU76" s="1073"/>
      <c r="AV76" s="1073"/>
      <c r="AW76" s="1073"/>
      <c r="AX76" s="1073"/>
      <c r="AY76" s="691"/>
      <c r="AZ76" s="1120"/>
      <c r="BA76" s="1121"/>
      <c r="BB76" s="1121"/>
      <c r="BC76" s="1122"/>
      <c r="BD76" s="657"/>
      <c r="BE76" s="1074"/>
      <c r="BF76" s="1074"/>
      <c r="BG76" s="1074"/>
      <c r="BH76" s="1074"/>
      <c r="BI76" s="1074"/>
      <c r="BJ76" s="1074"/>
      <c r="BK76" s="1133"/>
      <c r="BL76" s="1133"/>
      <c r="BM76" s="1133"/>
      <c r="BN76" s="1133"/>
      <c r="BO76" s="1133"/>
      <c r="BP76" s="1133"/>
      <c r="BQ76" s="1133"/>
      <c r="BR76" s="1133"/>
      <c r="BS76" s="1133"/>
      <c r="BT76" s="1133"/>
      <c r="BU76" s="1133"/>
      <c r="BV76" s="1133"/>
      <c r="BW76" s="1133"/>
      <c r="BX76" s="1133"/>
      <c r="BY76" s="1133"/>
      <c r="BZ76" s="1133"/>
      <c r="CA76" s="1133"/>
      <c r="CB76" s="1133"/>
      <c r="CC76" s="1133"/>
      <c r="CD76" s="1133"/>
      <c r="CE76" s="1133"/>
      <c r="CF76" s="1133"/>
      <c r="CG76" s="1133"/>
      <c r="CH76" s="1133"/>
      <c r="CI76" s="1133"/>
      <c r="CJ76" s="1133"/>
      <c r="CK76" s="1133"/>
      <c r="CL76" s="1133"/>
      <c r="CM76" s="1133"/>
      <c r="CN76" s="1133"/>
      <c r="CO76" s="1133"/>
      <c r="CP76" s="1133"/>
      <c r="CQ76" s="1133"/>
      <c r="CR76" s="1133"/>
      <c r="CS76" s="1133"/>
      <c r="CT76" s="1133"/>
      <c r="CU76" s="1133"/>
      <c r="CV76" s="657"/>
    </row>
    <row r="77" spans="1:100" ht="12" customHeight="1" x14ac:dyDescent="0.2">
      <c r="A77" s="657"/>
      <c r="B77" s="1073"/>
      <c r="C77" s="1073"/>
      <c r="D77" s="1073"/>
      <c r="E77" s="1073"/>
      <c r="F77" s="1073"/>
      <c r="G77" s="1073"/>
      <c r="H77" s="1073"/>
      <c r="I77" s="1073"/>
      <c r="J77" s="1073"/>
      <c r="K77" s="657"/>
      <c r="L77" s="1137"/>
      <c r="M77" s="1138"/>
      <c r="N77" s="1138"/>
      <c r="O77" s="1139"/>
      <c r="P77" s="1092"/>
      <c r="Q77" s="1096"/>
      <c r="R77" s="1097"/>
      <c r="S77" s="1097"/>
      <c r="T77" s="1098"/>
      <c r="U77" s="1092"/>
      <c r="V77" s="1096"/>
      <c r="W77" s="1097"/>
      <c r="X77" s="1097"/>
      <c r="Y77" s="1098"/>
      <c r="Z77" s="657"/>
      <c r="AA77" s="1073"/>
      <c r="AB77" s="1073"/>
      <c r="AC77" s="1073"/>
      <c r="AD77" s="1073"/>
      <c r="AE77" s="1073"/>
      <c r="AF77" s="1073"/>
      <c r="AG77" s="1073"/>
      <c r="AH77" s="1073"/>
      <c r="AI77" s="657"/>
      <c r="AJ77" s="1146"/>
      <c r="AK77" s="1147"/>
      <c r="AL77" s="1147"/>
      <c r="AM77" s="1147"/>
      <c r="AN77" s="1148"/>
      <c r="AO77" s="657"/>
      <c r="AP77" s="1073"/>
      <c r="AQ77" s="1073"/>
      <c r="AR77" s="1073"/>
      <c r="AS77" s="1073"/>
      <c r="AT77" s="1073"/>
      <c r="AU77" s="1073"/>
      <c r="AV77" s="1073"/>
      <c r="AW77" s="1073"/>
      <c r="AX77" s="1073"/>
      <c r="AY77" s="691"/>
      <c r="AZ77" s="1123"/>
      <c r="BA77" s="1124"/>
      <c r="BB77" s="1124"/>
      <c r="BC77" s="1125"/>
      <c r="BD77" s="657"/>
      <c r="BE77" s="657"/>
      <c r="BF77" s="657"/>
      <c r="BG77" s="657"/>
      <c r="BH77" s="657"/>
      <c r="BI77" s="657"/>
      <c r="BJ77" s="657"/>
      <c r="BK77" s="657"/>
      <c r="BL77" s="657"/>
      <c r="BM77" s="657"/>
      <c r="BN77" s="657"/>
      <c r="BO77" s="657"/>
      <c r="BP77" s="657"/>
      <c r="BQ77" s="657"/>
      <c r="BR77" s="657"/>
      <c r="BS77" s="657"/>
      <c r="BT77" s="657"/>
      <c r="BU77" s="657"/>
      <c r="BV77" s="657"/>
      <c r="BW77" s="657"/>
      <c r="BX77" s="657"/>
      <c r="BY77" s="657"/>
      <c r="BZ77" s="657"/>
      <c r="CA77" s="657"/>
      <c r="CB77" s="657"/>
      <c r="CC77" s="657"/>
      <c r="CD77" s="657"/>
      <c r="CE77" s="657"/>
      <c r="CF77" s="657"/>
      <c r="CG77" s="657"/>
      <c r="CH77" s="657"/>
      <c r="CI77" s="657"/>
      <c r="CJ77" s="657"/>
      <c r="CK77" s="657"/>
      <c r="CL77" s="657"/>
      <c r="CM77" s="657"/>
      <c r="CN77" s="657"/>
      <c r="CO77" s="657"/>
      <c r="CP77" s="657"/>
      <c r="CQ77" s="657"/>
      <c r="CR77" s="657"/>
      <c r="CS77" s="657"/>
      <c r="CT77" s="657"/>
      <c r="CU77" s="657"/>
      <c r="CV77" s="657"/>
    </row>
    <row r="78" spans="1:100" ht="12" customHeight="1" thickBot="1" x14ac:dyDescent="0.25">
      <c r="A78" s="657"/>
      <c r="B78" s="1082" t="s">
        <v>7250</v>
      </c>
      <c r="C78" s="1082"/>
      <c r="D78" s="1082"/>
      <c r="E78" s="1082"/>
      <c r="F78" s="1082"/>
      <c r="G78" s="1082"/>
      <c r="H78" s="1082"/>
      <c r="I78" s="1082"/>
      <c r="J78" s="1082"/>
      <c r="K78" s="657"/>
      <c r="L78" s="1140"/>
      <c r="M78" s="1141"/>
      <c r="N78" s="1141"/>
      <c r="O78" s="1142"/>
      <c r="P78" s="1092"/>
      <c r="Q78" s="1099"/>
      <c r="R78" s="1100"/>
      <c r="S78" s="1100"/>
      <c r="T78" s="1101"/>
      <c r="U78" s="1092"/>
      <c r="V78" s="1099"/>
      <c r="W78" s="1100"/>
      <c r="X78" s="1100"/>
      <c r="Y78" s="1101"/>
      <c r="Z78" s="657"/>
      <c r="AA78" s="1082" t="s">
        <v>7251</v>
      </c>
      <c r="AB78" s="1082"/>
      <c r="AC78" s="1082"/>
      <c r="AD78" s="1082"/>
      <c r="AE78" s="1082"/>
      <c r="AF78" s="1082"/>
      <c r="AG78" s="1082"/>
      <c r="AH78" s="1082"/>
      <c r="AI78" s="657"/>
      <c r="AJ78" s="1149"/>
      <c r="AK78" s="1150"/>
      <c r="AL78" s="1150"/>
      <c r="AM78" s="1150"/>
      <c r="AN78" s="1151"/>
      <c r="AO78" s="657"/>
      <c r="AP78" s="1073"/>
      <c r="AQ78" s="1073"/>
      <c r="AR78" s="1073"/>
      <c r="AS78" s="1073"/>
      <c r="AT78" s="1073"/>
      <c r="AU78" s="1073"/>
      <c r="AV78" s="1073"/>
      <c r="AW78" s="1073"/>
      <c r="AX78" s="1073"/>
      <c r="AY78" s="691"/>
      <c r="AZ78" s="1126"/>
      <c r="BA78" s="1127"/>
      <c r="BB78" s="1127"/>
      <c r="BC78" s="1128"/>
      <c r="BD78" s="657"/>
      <c r="BE78" s="1073" t="s">
        <v>7252</v>
      </c>
      <c r="BF78" s="1073"/>
      <c r="BG78" s="1073"/>
      <c r="BH78" s="1073"/>
      <c r="BI78" s="1073"/>
      <c r="BJ78" s="1073"/>
      <c r="BK78" s="1073"/>
      <c r="BL78" s="1073"/>
      <c r="BM78" s="1073"/>
      <c r="BN78" s="1073"/>
      <c r="BO78" s="1073"/>
      <c r="BP78" s="1073"/>
      <c r="BQ78" s="1073"/>
      <c r="BR78" s="1073"/>
      <c r="BS78" s="1073"/>
      <c r="BT78" s="1073"/>
      <c r="BU78" s="1073"/>
      <c r="BV78" s="1073"/>
      <c r="BW78" s="1073"/>
      <c r="BX78" s="1073"/>
      <c r="BY78" s="1073"/>
      <c r="BZ78" s="1073"/>
      <c r="CA78" s="1073"/>
      <c r="CB78" s="1073"/>
      <c r="CC78" s="1073"/>
      <c r="CD78" s="1073"/>
      <c r="CE78" s="1073"/>
      <c r="CF78" s="1073"/>
      <c r="CG78" s="1073"/>
      <c r="CH78" s="1073"/>
      <c r="CI78" s="1073"/>
      <c r="CJ78" s="1073"/>
      <c r="CK78" s="1073"/>
      <c r="CL78" s="1073"/>
      <c r="CM78" s="1073"/>
      <c r="CN78" s="1073"/>
      <c r="CO78" s="1073"/>
      <c r="CP78" s="1073"/>
      <c r="CQ78" s="1073"/>
      <c r="CR78" s="1073"/>
      <c r="CS78" s="1073"/>
      <c r="CT78" s="1073"/>
      <c r="CU78" s="1073"/>
      <c r="CV78" s="657"/>
    </row>
    <row r="79" spans="1:100" ht="12" customHeight="1" x14ac:dyDescent="0.2">
      <c r="A79" s="657"/>
      <c r="B79" s="1129"/>
      <c r="C79" s="1129"/>
      <c r="D79" s="1129"/>
      <c r="E79" s="1129"/>
      <c r="F79" s="1129"/>
      <c r="G79" s="1129"/>
      <c r="H79" s="1129"/>
      <c r="I79" s="1129"/>
      <c r="J79" s="1129"/>
      <c r="K79" s="1129"/>
      <c r="L79" s="1081" t="s">
        <v>7230</v>
      </c>
      <c r="M79" s="1081"/>
      <c r="N79" s="1081"/>
      <c r="O79" s="1081"/>
      <c r="P79" s="657"/>
      <c r="Q79" s="1130" t="s">
        <v>7253</v>
      </c>
      <c r="R79" s="1130"/>
      <c r="S79" s="1130"/>
      <c r="T79" s="1130"/>
      <c r="U79" s="1077" t="s">
        <v>7254</v>
      </c>
      <c r="V79" s="1077"/>
      <c r="W79" s="1077"/>
      <c r="X79" s="1077"/>
      <c r="Y79" s="1077"/>
      <c r="Z79" s="1077"/>
      <c r="AA79" s="1129"/>
      <c r="AB79" s="1129"/>
      <c r="AC79" s="1129"/>
      <c r="AD79" s="1129"/>
      <c r="AE79" s="1129"/>
      <c r="AF79" s="1129"/>
      <c r="AG79" s="1129"/>
      <c r="AH79" s="1129"/>
      <c r="AI79" s="657"/>
      <c r="AJ79" s="1131"/>
      <c r="AK79" s="1131"/>
      <c r="AL79" s="1131"/>
      <c r="AM79" s="1131"/>
      <c r="AN79" s="1131"/>
      <c r="AO79" s="1131"/>
      <c r="AP79" s="692"/>
      <c r="AQ79" s="692"/>
      <c r="AR79" s="657"/>
      <c r="AS79" s="692"/>
      <c r="AT79" s="692"/>
      <c r="AU79" s="692"/>
      <c r="AV79" s="692"/>
      <c r="AW79" s="657"/>
      <c r="AX79" s="657"/>
      <c r="AY79" s="657"/>
      <c r="AZ79" s="657"/>
      <c r="BA79" s="657"/>
      <c r="BB79" s="657"/>
      <c r="BC79" s="657"/>
      <c r="BD79" s="657"/>
      <c r="BE79" s="1073"/>
      <c r="BF79" s="1073"/>
      <c r="BG79" s="1073"/>
      <c r="BH79" s="1073"/>
      <c r="BI79" s="1073"/>
      <c r="BJ79" s="1073"/>
      <c r="BK79" s="1073"/>
      <c r="BL79" s="1073"/>
      <c r="BM79" s="1073"/>
      <c r="BN79" s="1073"/>
      <c r="BO79" s="1073"/>
      <c r="BP79" s="1073"/>
      <c r="BQ79" s="1073"/>
      <c r="BR79" s="1073"/>
      <c r="BS79" s="1073"/>
      <c r="BT79" s="1073"/>
      <c r="BU79" s="1073"/>
      <c r="BV79" s="1073"/>
      <c r="BW79" s="1073"/>
      <c r="BX79" s="1073"/>
      <c r="BY79" s="1073"/>
      <c r="BZ79" s="1073"/>
      <c r="CA79" s="1073"/>
      <c r="CB79" s="1073"/>
      <c r="CC79" s="1073"/>
      <c r="CD79" s="1073"/>
      <c r="CE79" s="1073"/>
      <c r="CF79" s="1073"/>
      <c r="CG79" s="1073"/>
      <c r="CH79" s="1073"/>
      <c r="CI79" s="1073"/>
      <c r="CJ79" s="1073"/>
      <c r="CK79" s="1073"/>
      <c r="CL79" s="1073"/>
      <c r="CM79" s="1073"/>
      <c r="CN79" s="1073"/>
      <c r="CO79" s="1073"/>
      <c r="CP79" s="1073"/>
      <c r="CQ79" s="1073"/>
      <c r="CR79" s="1073"/>
      <c r="CS79" s="1073"/>
      <c r="CT79" s="1073"/>
      <c r="CU79" s="1073"/>
      <c r="CV79" s="657"/>
    </row>
    <row r="80" spans="1:100" ht="12" customHeight="1" x14ac:dyDescent="0.2">
      <c r="A80" s="657"/>
      <c r="B80" s="1129"/>
      <c r="C80" s="1129"/>
      <c r="D80" s="1129"/>
      <c r="E80" s="1129"/>
      <c r="F80" s="1129"/>
      <c r="G80" s="1129"/>
      <c r="H80" s="1129"/>
      <c r="I80" s="1129"/>
      <c r="J80" s="1129"/>
      <c r="K80" s="1129"/>
      <c r="L80" s="1081"/>
      <c r="M80" s="1081"/>
      <c r="N80" s="1081"/>
      <c r="O80" s="1081"/>
      <c r="P80" s="657"/>
      <c r="Q80" s="1077"/>
      <c r="R80" s="1077"/>
      <c r="S80" s="1077"/>
      <c r="T80" s="1077"/>
      <c r="U80" s="1077"/>
      <c r="V80" s="1077"/>
      <c r="W80" s="1077"/>
      <c r="X80" s="1077"/>
      <c r="Y80" s="1077"/>
      <c r="Z80" s="1077"/>
      <c r="AA80" s="1129"/>
      <c r="AB80" s="1129"/>
      <c r="AC80" s="1129"/>
      <c r="AD80" s="1129"/>
      <c r="AE80" s="1129"/>
      <c r="AF80" s="1129"/>
      <c r="AG80" s="1129"/>
      <c r="AH80" s="1129"/>
      <c r="AI80" s="657"/>
      <c r="AJ80" s="1131"/>
      <c r="AK80" s="1131"/>
      <c r="AL80" s="1131"/>
      <c r="AM80" s="1131"/>
      <c r="AN80" s="1131"/>
      <c r="AO80" s="1131"/>
      <c r="AP80" s="692"/>
      <c r="AQ80" s="692"/>
      <c r="AR80" s="657"/>
      <c r="AS80" s="692"/>
      <c r="AT80" s="692"/>
      <c r="AU80" s="692"/>
      <c r="AV80" s="692"/>
      <c r="AW80" s="657"/>
      <c r="AX80" s="657"/>
      <c r="AY80" s="657"/>
      <c r="AZ80" s="657"/>
      <c r="BA80" s="657"/>
      <c r="BB80" s="657"/>
      <c r="BC80" s="657"/>
      <c r="BD80" s="657"/>
      <c r="BE80" s="675"/>
      <c r="BF80" s="675"/>
      <c r="BG80" s="675"/>
      <c r="BH80" s="675"/>
      <c r="BI80" s="675"/>
      <c r="BJ80" s="675"/>
      <c r="BK80" s="675"/>
      <c r="BL80" s="675"/>
      <c r="BM80" s="675"/>
      <c r="BN80" s="675"/>
      <c r="BO80" s="657"/>
      <c r="BP80" s="675"/>
      <c r="BQ80" s="675"/>
      <c r="BR80" s="675"/>
      <c r="BS80" s="675"/>
      <c r="BT80" s="675"/>
      <c r="BU80" s="675"/>
      <c r="BV80" s="675"/>
      <c r="BW80" s="675"/>
      <c r="BX80" s="675"/>
      <c r="BY80" s="675"/>
      <c r="BZ80" s="657"/>
      <c r="CA80" s="657"/>
      <c r="CB80" s="657"/>
      <c r="CC80" s="657"/>
      <c r="CD80" s="657"/>
      <c r="CE80" s="657"/>
      <c r="CF80" s="657"/>
      <c r="CG80" s="657"/>
      <c r="CH80" s="657"/>
      <c r="CI80" s="657"/>
      <c r="CJ80" s="657"/>
      <c r="CK80" s="657"/>
      <c r="CL80" s="657"/>
      <c r="CM80" s="657"/>
      <c r="CN80" s="657"/>
      <c r="CO80" s="657"/>
      <c r="CP80" s="657"/>
      <c r="CQ80" s="657"/>
      <c r="CR80" s="657"/>
      <c r="CS80" s="657"/>
      <c r="CT80" s="657"/>
      <c r="CU80" s="657"/>
      <c r="CV80" s="657"/>
    </row>
    <row r="81" spans="1:100" ht="12" customHeight="1" thickBot="1" x14ac:dyDescent="0.35">
      <c r="A81" s="657"/>
      <c r="B81" s="657"/>
      <c r="C81" s="657"/>
      <c r="D81" s="657"/>
      <c r="E81" s="657"/>
      <c r="F81" s="657"/>
      <c r="G81" s="657"/>
      <c r="H81" s="657"/>
      <c r="I81" s="657"/>
      <c r="J81" s="657"/>
      <c r="K81" s="657"/>
      <c r="L81" s="657"/>
      <c r="M81" s="657"/>
      <c r="N81" s="657"/>
      <c r="O81" s="657"/>
      <c r="P81" s="657"/>
      <c r="Q81" s="657"/>
      <c r="R81" s="657"/>
      <c r="S81" s="657"/>
      <c r="T81" s="657"/>
      <c r="U81" s="657"/>
      <c r="V81" s="657"/>
      <c r="W81" s="657"/>
      <c r="X81" s="657"/>
      <c r="Y81" s="657"/>
      <c r="Z81" s="657"/>
      <c r="AA81" s="657"/>
      <c r="AB81" s="657"/>
      <c r="AC81" s="657"/>
      <c r="AD81" s="657"/>
      <c r="AE81" s="657"/>
      <c r="AF81" s="693"/>
      <c r="AG81" s="693"/>
      <c r="AH81" s="693"/>
      <c r="AI81" s="693"/>
      <c r="AJ81" s="694"/>
      <c r="AK81" s="693"/>
      <c r="AL81" s="693"/>
      <c r="AM81" s="693"/>
      <c r="AN81" s="693"/>
      <c r="AO81" s="692"/>
      <c r="AP81" s="692"/>
      <c r="AQ81" s="692"/>
      <c r="AR81" s="657"/>
      <c r="AS81" s="692"/>
      <c r="AT81" s="692"/>
      <c r="AU81" s="692"/>
      <c r="AV81" s="692"/>
      <c r="AW81" s="657"/>
      <c r="AX81" s="657"/>
      <c r="AY81" s="657"/>
      <c r="AZ81" s="657"/>
      <c r="BA81" s="657"/>
      <c r="BB81" s="657"/>
      <c r="BC81" s="657"/>
      <c r="BD81" s="666"/>
      <c r="BE81" s="1058"/>
      <c r="BF81" s="1058"/>
      <c r="BG81" s="1058"/>
      <c r="BH81" s="1058"/>
      <c r="BI81" s="1058"/>
      <c r="BJ81" s="1058"/>
      <c r="BK81" s="1058"/>
      <c r="BL81" s="1058"/>
      <c r="BM81" s="1058"/>
      <c r="BN81" s="1058"/>
      <c r="BO81" s="687"/>
      <c r="BP81" s="1058"/>
      <c r="BQ81" s="1058"/>
      <c r="BR81" s="1058"/>
      <c r="BS81" s="1058"/>
      <c r="BT81" s="1058"/>
      <c r="BU81" s="1058"/>
      <c r="BV81" s="1058"/>
      <c r="BW81" s="1058"/>
      <c r="BX81" s="1058"/>
      <c r="BY81" s="1058"/>
      <c r="BZ81" s="657"/>
      <c r="CA81" s="1058"/>
      <c r="CB81" s="1058"/>
      <c r="CC81" s="1058"/>
      <c r="CD81" s="1058"/>
      <c r="CE81" s="1058"/>
      <c r="CF81" s="1058"/>
      <c r="CG81" s="1058"/>
      <c r="CH81" s="1058"/>
      <c r="CI81" s="1058"/>
      <c r="CJ81" s="1058"/>
      <c r="CK81" s="657"/>
      <c r="CL81" s="1058"/>
      <c r="CM81" s="1058"/>
      <c r="CN81" s="1058"/>
      <c r="CO81" s="1058"/>
      <c r="CP81" s="1058"/>
      <c r="CQ81" s="1058"/>
      <c r="CR81" s="1058"/>
      <c r="CS81" s="1058"/>
      <c r="CT81" s="1058"/>
      <c r="CU81" s="1058"/>
      <c r="CV81" s="657"/>
    </row>
    <row r="82" spans="1:100" ht="12" customHeight="1" x14ac:dyDescent="0.3">
      <c r="A82" s="657"/>
      <c r="B82" s="1073" t="s">
        <v>7255</v>
      </c>
      <c r="C82" s="1073"/>
      <c r="D82" s="1073"/>
      <c r="E82" s="1073"/>
      <c r="F82" s="1073"/>
      <c r="G82" s="1073"/>
      <c r="H82" s="1073"/>
      <c r="I82" s="1073"/>
      <c r="J82" s="1073"/>
      <c r="K82" s="657"/>
      <c r="L82" s="1102"/>
      <c r="M82" s="1103"/>
      <c r="N82" s="1103"/>
      <c r="O82" s="1104"/>
      <c r="P82" s="1092" t="s">
        <v>608</v>
      </c>
      <c r="Q82" s="1111"/>
      <c r="R82" s="1112"/>
      <c r="S82" s="1112"/>
      <c r="T82" s="1113"/>
      <c r="U82" s="1092" t="s">
        <v>606</v>
      </c>
      <c r="V82" s="1093"/>
      <c r="W82" s="1094"/>
      <c r="X82" s="1094"/>
      <c r="Y82" s="1095"/>
      <c r="Z82" s="657"/>
      <c r="AA82" s="1073" t="s">
        <v>5888</v>
      </c>
      <c r="AB82" s="1073"/>
      <c r="AC82" s="1073"/>
      <c r="AD82" s="1073"/>
      <c r="AE82" s="1073"/>
      <c r="AF82" s="1073"/>
      <c r="AG82" s="1073"/>
      <c r="AH82" s="1073"/>
      <c r="AI82" s="1073"/>
      <c r="AJ82" s="1073"/>
      <c r="AK82" s="1073"/>
      <c r="AL82" s="1073"/>
      <c r="AM82" s="1073"/>
      <c r="AN82" s="1073"/>
      <c r="AO82" s="657"/>
      <c r="AP82" s="1083"/>
      <c r="AQ82" s="1084"/>
      <c r="AR82" s="1084"/>
      <c r="AS82" s="1085"/>
      <c r="AT82" s="1092" t="s">
        <v>608</v>
      </c>
      <c r="AU82" s="1093"/>
      <c r="AV82" s="1094"/>
      <c r="AW82" s="1094"/>
      <c r="AX82" s="1095"/>
      <c r="AY82" s="1092" t="s">
        <v>606</v>
      </c>
      <c r="AZ82" s="1093"/>
      <c r="BA82" s="1094"/>
      <c r="BB82" s="1094"/>
      <c r="BC82" s="1095"/>
      <c r="BD82" s="657"/>
      <c r="BE82" s="1048"/>
      <c r="BF82" s="1048"/>
      <c r="BG82" s="1048"/>
      <c r="BH82" s="1048"/>
      <c r="BI82" s="1048"/>
      <c r="BJ82" s="1048"/>
      <c r="BK82" s="1048"/>
      <c r="BL82" s="1048"/>
      <c r="BM82" s="1048"/>
      <c r="BN82" s="1048"/>
      <c r="BO82" s="687"/>
      <c r="BP82" s="1048"/>
      <c r="BQ82" s="1048"/>
      <c r="BR82" s="1048"/>
      <c r="BS82" s="1048"/>
      <c r="BT82" s="1048"/>
      <c r="BU82" s="1048"/>
      <c r="BV82" s="1048"/>
      <c r="BW82" s="1048"/>
      <c r="BX82" s="1048"/>
      <c r="BY82" s="1048"/>
      <c r="BZ82" s="657"/>
      <c r="CA82" s="1048"/>
      <c r="CB82" s="1048"/>
      <c r="CC82" s="1048"/>
      <c r="CD82" s="1048"/>
      <c r="CE82" s="1048"/>
      <c r="CF82" s="1048"/>
      <c r="CG82" s="1048"/>
      <c r="CH82" s="1048"/>
      <c r="CI82" s="1048"/>
      <c r="CJ82" s="1048"/>
      <c r="CK82" s="657"/>
      <c r="CL82" s="1048"/>
      <c r="CM82" s="1048"/>
      <c r="CN82" s="1048"/>
      <c r="CO82" s="1048"/>
      <c r="CP82" s="1048"/>
      <c r="CQ82" s="1048"/>
      <c r="CR82" s="1048"/>
      <c r="CS82" s="1048"/>
      <c r="CT82" s="1048"/>
      <c r="CU82" s="1048"/>
      <c r="CV82" s="657"/>
    </row>
    <row r="83" spans="1:100" ht="12" customHeight="1" x14ac:dyDescent="0.3">
      <c r="A83" s="657"/>
      <c r="B83" s="1073"/>
      <c r="C83" s="1073"/>
      <c r="D83" s="1073"/>
      <c r="E83" s="1073"/>
      <c r="F83" s="1073"/>
      <c r="G83" s="1073"/>
      <c r="H83" s="1073"/>
      <c r="I83" s="1073"/>
      <c r="J83" s="1073"/>
      <c r="K83" s="657"/>
      <c r="L83" s="1105"/>
      <c r="M83" s="1106"/>
      <c r="N83" s="1106"/>
      <c r="O83" s="1107"/>
      <c r="P83" s="1092"/>
      <c r="Q83" s="1114"/>
      <c r="R83" s="1115"/>
      <c r="S83" s="1115"/>
      <c r="T83" s="1116"/>
      <c r="U83" s="1092"/>
      <c r="V83" s="1096"/>
      <c r="W83" s="1097"/>
      <c r="X83" s="1097"/>
      <c r="Y83" s="1098"/>
      <c r="Z83" s="657"/>
      <c r="AA83" s="1073"/>
      <c r="AB83" s="1073"/>
      <c r="AC83" s="1073"/>
      <c r="AD83" s="1073"/>
      <c r="AE83" s="1073"/>
      <c r="AF83" s="1073"/>
      <c r="AG83" s="1073"/>
      <c r="AH83" s="1073"/>
      <c r="AI83" s="1073"/>
      <c r="AJ83" s="1073"/>
      <c r="AK83" s="1073"/>
      <c r="AL83" s="1073"/>
      <c r="AM83" s="1073"/>
      <c r="AN83" s="1073"/>
      <c r="AO83" s="657"/>
      <c r="AP83" s="1086"/>
      <c r="AQ83" s="1087"/>
      <c r="AR83" s="1087"/>
      <c r="AS83" s="1088"/>
      <c r="AT83" s="1092"/>
      <c r="AU83" s="1096"/>
      <c r="AV83" s="1097"/>
      <c r="AW83" s="1097"/>
      <c r="AX83" s="1098"/>
      <c r="AY83" s="1092"/>
      <c r="AZ83" s="1096"/>
      <c r="BA83" s="1097"/>
      <c r="BB83" s="1097"/>
      <c r="BC83" s="1098"/>
      <c r="BD83" s="657"/>
      <c r="BE83" s="1058"/>
      <c r="BF83" s="1058"/>
      <c r="BG83" s="1058"/>
      <c r="BH83" s="1058"/>
      <c r="BI83" s="1058"/>
      <c r="BJ83" s="1058"/>
      <c r="BK83" s="1058"/>
      <c r="BL83" s="1058"/>
      <c r="BM83" s="1058"/>
      <c r="BN83" s="1058"/>
      <c r="BO83" s="687"/>
      <c r="BP83" s="1058"/>
      <c r="BQ83" s="1058"/>
      <c r="BR83" s="1058"/>
      <c r="BS83" s="1058"/>
      <c r="BT83" s="1058"/>
      <c r="BU83" s="1058"/>
      <c r="BV83" s="1058"/>
      <c r="BW83" s="1058"/>
      <c r="BX83" s="1058"/>
      <c r="BY83" s="1058"/>
      <c r="BZ83" s="657"/>
      <c r="CA83" s="1058"/>
      <c r="CB83" s="1058"/>
      <c r="CC83" s="1058"/>
      <c r="CD83" s="1058"/>
      <c r="CE83" s="1058"/>
      <c r="CF83" s="1058"/>
      <c r="CG83" s="1058"/>
      <c r="CH83" s="1058"/>
      <c r="CI83" s="1058"/>
      <c r="CJ83" s="1058"/>
      <c r="CK83" s="657"/>
      <c r="CL83" s="1058"/>
      <c r="CM83" s="1058"/>
      <c r="CN83" s="1058"/>
      <c r="CO83" s="1058"/>
      <c r="CP83" s="1058"/>
      <c r="CQ83" s="1058"/>
      <c r="CR83" s="1058"/>
      <c r="CS83" s="1058"/>
      <c r="CT83" s="1058"/>
      <c r="CU83" s="1058"/>
      <c r="CV83" s="657"/>
    </row>
    <row r="84" spans="1:100" ht="12" customHeight="1" thickBot="1" x14ac:dyDescent="0.35">
      <c r="A84" s="657"/>
      <c r="B84" s="1082" t="s">
        <v>7256</v>
      </c>
      <c r="C84" s="1082"/>
      <c r="D84" s="1082"/>
      <c r="E84" s="1082"/>
      <c r="F84" s="1082"/>
      <c r="G84" s="1082"/>
      <c r="H84" s="1082"/>
      <c r="I84" s="1082"/>
      <c r="J84" s="1082"/>
      <c r="K84" s="657"/>
      <c r="L84" s="1108"/>
      <c r="M84" s="1109"/>
      <c r="N84" s="1109"/>
      <c r="O84" s="1110"/>
      <c r="P84" s="1092"/>
      <c r="Q84" s="1117"/>
      <c r="R84" s="1118"/>
      <c r="S84" s="1118"/>
      <c r="T84" s="1119"/>
      <c r="U84" s="1092"/>
      <c r="V84" s="1099"/>
      <c r="W84" s="1100"/>
      <c r="X84" s="1100"/>
      <c r="Y84" s="1101"/>
      <c r="Z84" s="657"/>
      <c r="AA84" s="1082" t="s">
        <v>7257</v>
      </c>
      <c r="AB84" s="1082"/>
      <c r="AC84" s="1082"/>
      <c r="AD84" s="1082"/>
      <c r="AE84" s="1082"/>
      <c r="AF84" s="1082"/>
      <c r="AG84" s="1082"/>
      <c r="AH84" s="1082"/>
      <c r="AI84" s="1082"/>
      <c r="AJ84" s="1082"/>
      <c r="AK84" s="1082"/>
      <c r="AL84" s="1082"/>
      <c r="AM84" s="1082"/>
      <c r="AN84" s="1082"/>
      <c r="AO84" s="657"/>
      <c r="AP84" s="1089"/>
      <c r="AQ84" s="1090"/>
      <c r="AR84" s="1090"/>
      <c r="AS84" s="1091"/>
      <c r="AT84" s="1092"/>
      <c r="AU84" s="1099"/>
      <c r="AV84" s="1100"/>
      <c r="AW84" s="1100"/>
      <c r="AX84" s="1101"/>
      <c r="AY84" s="1092"/>
      <c r="AZ84" s="1099"/>
      <c r="BA84" s="1100"/>
      <c r="BB84" s="1100"/>
      <c r="BC84" s="1101"/>
      <c r="BD84" s="657"/>
      <c r="BE84" s="1048"/>
      <c r="BF84" s="1048"/>
      <c r="BG84" s="1048"/>
      <c r="BH84" s="1048"/>
      <c r="BI84" s="1048"/>
      <c r="BJ84" s="1048"/>
      <c r="BK84" s="1048"/>
      <c r="BL84" s="1048"/>
      <c r="BM84" s="1048"/>
      <c r="BN84" s="1048"/>
      <c r="BO84" s="687"/>
      <c r="BP84" s="1048"/>
      <c r="BQ84" s="1048"/>
      <c r="BR84" s="1048"/>
      <c r="BS84" s="1048"/>
      <c r="BT84" s="1048"/>
      <c r="BU84" s="1048"/>
      <c r="BV84" s="1048"/>
      <c r="BW84" s="1048"/>
      <c r="BX84" s="1048"/>
      <c r="BY84" s="1048"/>
      <c r="BZ84" s="657"/>
      <c r="CA84" s="1048"/>
      <c r="CB84" s="1048"/>
      <c r="CC84" s="1048"/>
      <c r="CD84" s="1048"/>
      <c r="CE84" s="1048"/>
      <c r="CF84" s="1048"/>
      <c r="CG84" s="1048"/>
      <c r="CH84" s="1048"/>
      <c r="CI84" s="1048"/>
      <c r="CJ84" s="1048"/>
      <c r="CK84" s="657"/>
      <c r="CL84" s="1048"/>
      <c r="CM84" s="1048"/>
      <c r="CN84" s="1048"/>
      <c r="CO84" s="1048"/>
      <c r="CP84" s="1048"/>
      <c r="CQ84" s="1048"/>
      <c r="CR84" s="1048"/>
      <c r="CS84" s="1048"/>
      <c r="CT84" s="1048"/>
      <c r="CU84" s="1048"/>
      <c r="CV84" s="657"/>
    </row>
    <row r="85" spans="1:100" ht="12" customHeight="1" x14ac:dyDescent="0.3">
      <c r="A85" s="657"/>
      <c r="B85" s="1080"/>
      <c r="C85" s="1080"/>
      <c r="D85" s="1080"/>
      <c r="E85" s="1080"/>
      <c r="F85" s="1080"/>
      <c r="G85" s="1080"/>
      <c r="H85" s="1080"/>
      <c r="I85" s="1080"/>
      <c r="J85" s="1080"/>
      <c r="K85" s="1080"/>
      <c r="L85" s="1081" t="s">
        <v>7230</v>
      </c>
      <c r="M85" s="1081"/>
      <c r="N85" s="1081"/>
      <c r="O85" s="1081"/>
      <c r="P85" s="1077" t="s">
        <v>7239</v>
      </c>
      <c r="Q85" s="1077"/>
      <c r="R85" s="1077"/>
      <c r="S85" s="1077"/>
      <c r="T85" s="1077"/>
      <c r="U85" s="1077"/>
      <c r="V85" s="1077" t="s">
        <v>7197</v>
      </c>
      <c r="W85" s="1077"/>
      <c r="X85" s="1077"/>
      <c r="Y85" s="1077"/>
      <c r="Z85" s="676"/>
      <c r="AA85" s="676"/>
      <c r="AB85" s="676"/>
      <c r="AC85" s="676"/>
      <c r="AD85" s="676"/>
      <c r="AE85" s="676"/>
      <c r="AF85" s="676"/>
      <c r="AG85" s="676"/>
      <c r="AH85" s="676"/>
      <c r="AI85" s="676"/>
      <c r="AJ85" s="676"/>
      <c r="AK85" s="657"/>
      <c r="AL85" s="657"/>
      <c r="AM85" s="657"/>
      <c r="AN85" s="657"/>
      <c r="AO85" s="657"/>
      <c r="AP85" s="1081" t="s">
        <v>7230</v>
      </c>
      <c r="AQ85" s="1081"/>
      <c r="AR85" s="1081"/>
      <c r="AS85" s="1081"/>
      <c r="AT85" s="1077" t="s">
        <v>7258</v>
      </c>
      <c r="AU85" s="1077"/>
      <c r="AV85" s="1077"/>
      <c r="AW85" s="1077"/>
      <c r="AX85" s="1077"/>
      <c r="AY85" s="1077"/>
      <c r="AZ85" s="1077" t="s">
        <v>7259</v>
      </c>
      <c r="BA85" s="1077"/>
      <c r="BB85" s="1077"/>
      <c r="BC85" s="1077"/>
      <c r="BD85" s="693"/>
      <c r="BE85" s="1058"/>
      <c r="BF85" s="1058"/>
      <c r="BG85" s="1058"/>
      <c r="BH85" s="1058"/>
      <c r="BI85" s="1058"/>
      <c r="BJ85" s="1058"/>
      <c r="BK85" s="1058"/>
      <c r="BL85" s="1058"/>
      <c r="BM85" s="1058"/>
      <c r="BN85" s="1058"/>
      <c r="BO85" s="687"/>
      <c r="BP85" s="1058"/>
      <c r="BQ85" s="1058"/>
      <c r="BR85" s="1058"/>
      <c r="BS85" s="1058"/>
      <c r="BT85" s="1058"/>
      <c r="BU85" s="1058"/>
      <c r="BV85" s="1058"/>
      <c r="BW85" s="1058"/>
      <c r="BX85" s="1058"/>
      <c r="BY85" s="1058"/>
      <c r="BZ85" s="657"/>
      <c r="CA85" s="1058"/>
      <c r="CB85" s="1058"/>
      <c r="CC85" s="1058"/>
      <c r="CD85" s="1058"/>
      <c r="CE85" s="1058"/>
      <c r="CF85" s="1058"/>
      <c r="CG85" s="1058"/>
      <c r="CH85" s="1058"/>
      <c r="CI85" s="1058"/>
      <c r="CJ85" s="1058"/>
      <c r="CK85" s="657"/>
      <c r="CL85" s="1058"/>
      <c r="CM85" s="1058"/>
      <c r="CN85" s="1058"/>
      <c r="CO85" s="1058"/>
      <c r="CP85" s="1058"/>
      <c r="CQ85" s="1058"/>
      <c r="CR85" s="1058"/>
      <c r="CS85" s="1058"/>
      <c r="CT85" s="1058"/>
      <c r="CU85" s="1058"/>
      <c r="CV85" s="657"/>
    </row>
    <row r="86" spans="1:100" ht="12" customHeight="1" x14ac:dyDescent="0.3">
      <c r="A86" s="657"/>
      <c r="B86" s="1080"/>
      <c r="C86" s="1080"/>
      <c r="D86" s="1080"/>
      <c r="E86" s="1080"/>
      <c r="F86" s="1080"/>
      <c r="G86" s="1080"/>
      <c r="H86" s="1080"/>
      <c r="I86" s="1080"/>
      <c r="J86" s="1080"/>
      <c r="K86" s="1080"/>
      <c r="L86" s="1081"/>
      <c r="M86" s="1081"/>
      <c r="N86" s="1081"/>
      <c r="O86" s="1081"/>
      <c r="P86" s="1077"/>
      <c r="Q86" s="1077"/>
      <c r="R86" s="1077"/>
      <c r="S86" s="1077"/>
      <c r="T86" s="1077"/>
      <c r="U86" s="1077"/>
      <c r="V86" s="1077"/>
      <c r="W86" s="1077"/>
      <c r="X86" s="1077"/>
      <c r="Y86" s="1077"/>
      <c r="Z86" s="676"/>
      <c r="AA86" s="676"/>
      <c r="AB86" s="676"/>
      <c r="AC86" s="676"/>
      <c r="AD86" s="676"/>
      <c r="AE86" s="676"/>
      <c r="AF86" s="676"/>
      <c r="AG86" s="676"/>
      <c r="AH86" s="676"/>
      <c r="AI86" s="676"/>
      <c r="AJ86" s="676"/>
      <c r="AK86" s="657"/>
      <c r="AL86" s="657"/>
      <c r="AM86" s="657"/>
      <c r="AN86" s="657"/>
      <c r="AO86" s="657"/>
      <c r="AP86" s="1081"/>
      <c r="AQ86" s="1081"/>
      <c r="AR86" s="1081"/>
      <c r="AS86" s="1081"/>
      <c r="AT86" s="1077"/>
      <c r="AU86" s="1077"/>
      <c r="AV86" s="1077"/>
      <c r="AW86" s="1077"/>
      <c r="AX86" s="1077"/>
      <c r="AY86" s="1077"/>
      <c r="AZ86" s="1077"/>
      <c r="BA86" s="1077"/>
      <c r="BB86" s="1077"/>
      <c r="BC86" s="1077"/>
      <c r="BD86" s="693"/>
      <c r="BE86" s="1048"/>
      <c r="BF86" s="1048"/>
      <c r="BG86" s="1048"/>
      <c r="BH86" s="1048"/>
      <c r="BI86" s="1048"/>
      <c r="BJ86" s="1048"/>
      <c r="BK86" s="1048"/>
      <c r="BL86" s="1048"/>
      <c r="BM86" s="1048"/>
      <c r="BN86" s="1048"/>
      <c r="BO86" s="687"/>
      <c r="BP86" s="1048"/>
      <c r="BQ86" s="1048"/>
      <c r="BR86" s="1048"/>
      <c r="BS86" s="1048"/>
      <c r="BT86" s="1048"/>
      <c r="BU86" s="1048"/>
      <c r="BV86" s="1048"/>
      <c r="BW86" s="1048"/>
      <c r="BX86" s="1048"/>
      <c r="BY86" s="1048"/>
      <c r="BZ86" s="657"/>
      <c r="CA86" s="1048"/>
      <c r="CB86" s="1048"/>
      <c r="CC86" s="1048"/>
      <c r="CD86" s="1048"/>
      <c r="CE86" s="1048"/>
      <c r="CF86" s="1048"/>
      <c r="CG86" s="1048"/>
      <c r="CH86" s="1048"/>
      <c r="CI86" s="1048"/>
      <c r="CJ86" s="1048"/>
      <c r="CK86" s="657"/>
      <c r="CL86" s="1048"/>
      <c r="CM86" s="1048"/>
      <c r="CN86" s="1048"/>
      <c r="CO86" s="1048"/>
      <c r="CP86" s="1048"/>
      <c r="CQ86" s="1048"/>
      <c r="CR86" s="1048"/>
      <c r="CS86" s="1048"/>
      <c r="CT86" s="1048"/>
      <c r="CU86" s="1048"/>
      <c r="CV86" s="657"/>
    </row>
    <row r="87" spans="1:100" ht="12" customHeight="1" thickBot="1" x14ac:dyDescent="0.35">
      <c r="A87" s="657"/>
      <c r="B87" s="657"/>
      <c r="C87" s="657"/>
      <c r="D87" s="657"/>
      <c r="E87" s="657"/>
      <c r="F87" s="657"/>
      <c r="G87" s="657"/>
      <c r="H87" s="657"/>
      <c r="I87" s="657"/>
      <c r="J87" s="657"/>
      <c r="K87" s="657"/>
      <c r="L87" s="657"/>
      <c r="M87" s="657"/>
      <c r="N87" s="657"/>
      <c r="O87" s="657"/>
      <c r="P87" s="657"/>
      <c r="Q87" s="657"/>
      <c r="R87" s="657"/>
      <c r="S87" s="657"/>
      <c r="T87" s="657"/>
      <c r="U87" s="657"/>
      <c r="V87" s="657"/>
      <c r="W87" s="657"/>
      <c r="X87" s="657"/>
      <c r="Y87" s="657"/>
      <c r="Z87" s="657"/>
      <c r="AA87" s="657"/>
      <c r="AB87" s="657"/>
      <c r="AC87" s="641"/>
      <c r="AD87" s="657"/>
      <c r="AE87" s="657"/>
      <c r="AF87" s="657"/>
      <c r="AG87" s="657"/>
      <c r="AH87" s="657"/>
      <c r="AI87" s="657"/>
      <c r="AJ87" s="657"/>
      <c r="AK87" s="657"/>
      <c r="AL87" s="657"/>
      <c r="AM87" s="657"/>
      <c r="AN87" s="657"/>
      <c r="AO87" s="657"/>
      <c r="AP87" s="657"/>
      <c r="AQ87" s="657"/>
      <c r="AR87" s="657"/>
      <c r="AS87" s="657"/>
      <c r="AT87" s="657"/>
      <c r="AU87" s="657"/>
      <c r="AV87" s="657"/>
      <c r="AW87" s="686"/>
      <c r="AX87" s="686"/>
      <c r="AY87" s="657"/>
      <c r="AZ87" s="686"/>
      <c r="BA87" s="686"/>
      <c r="BB87" s="686"/>
      <c r="BC87" s="686"/>
      <c r="BD87" s="657"/>
      <c r="BE87" s="1058"/>
      <c r="BF87" s="1058"/>
      <c r="BG87" s="1058"/>
      <c r="BH87" s="1058"/>
      <c r="BI87" s="1058"/>
      <c r="BJ87" s="1058"/>
      <c r="BK87" s="1058"/>
      <c r="BL87" s="1058"/>
      <c r="BM87" s="1058"/>
      <c r="BN87" s="1058"/>
      <c r="BO87" s="687"/>
      <c r="BP87" s="1058"/>
      <c r="BQ87" s="1058"/>
      <c r="BR87" s="1058"/>
      <c r="BS87" s="1058"/>
      <c r="BT87" s="1058"/>
      <c r="BU87" s="1058"/>
      <c r="BV87" s="1058"/>
      <c r="BW87" s="1058"/>
      <c r="BX87" s="1058"/>
      <c r="BY87" s="1058"/>
      <c r="BZ87" s="657"/>
      <c r="CA87" s="1058"/>
      <c r="CB87" s="1058"/>
      <c r="CC87" s="1058"/>
      <c r="CD87" s="1058"/>
      <c r="CE87" s="1058"/>
      <c r="CF87" s="1058"/>
      <c r="CG87" s="1058"/>
      <c r="CH87" s="1058"/>
      <c r="CI87" s="1058"/>
      <c r="CJ87" s="1058"/>
      <c r="CK87" s="657"/>
      <c r="CL87" s="1058"/>
      <c r="CM87" s="1058"/>
      <c r="CN87" s="1058"/>
      <c r="CO87" s="1058"/>
      <c r="CP87" s="1058"/>
      <c r="CQ87" s="1058"/>
      <c r="CR87" s="1058"/>
      <c r="CS87" s="1058"/>
      <c r="CT87" s="1058"/>
      <c r="CU87" s="1058"/>
      <c r="CV87" s="657"/>
    </row>
    <row r="88" spans="1:100" ht="12" customHeight="1" x14ac:dyDescent="0.3">
      <c r="A88" s="657"/>
      <c r="B88" s="1049" t="s">
        <v>7260</v>
      </c>
      <c r="C88" s="1050"/>
      <c r="D88" s="1050"/>
      <c r="E88" s="1050"/>
      <c r="F88" s="1050"/>
      <c r="G88" s="1050"/>
      <c r="H88" s="1050"/>
      <c r="I88" s="1050"/>
      <c r="J88" s="1050"/>
      <c r="K88" s="1050"/>
      <c r="L88" s="1050"/>
      <c r="M88" s="1050"/>
      <c r="N88" s="1050"/>
      <c r="O88" s="1050"/>
      <c r="P88" s="1050"/>
      <c r="Q88" s="1050"/>
      <c r="R88" s="1050"/>
      <c r="S88" s="1050"/>
      <c r="T88" s="1050"/>
      <c r="U88" s="1051"/>
      <c r="V88" s="657"/>
      <c r="W88" s="657"/>
      <c r="X88" s="657"/>
      <c r="Y88" s="657"/>
      <c r="Z88" s="657"/>
      <c r="AA88" s="657"/>
      <c r="AB88" s="657"/>
      <c r="AC88" s="657"/>
      <c r="AD88" s="657"/>
      <c r="AE88" s="657"/>
      <c r="AF88" s="657"/>
      <c r="AG88" s="657"/>
      <c r="AH88" s="657"/>
      <c r="AI88" s="657"/>
      <c r="AJ88" s="657"/>
      <c r="AK88" s="657"/>
      <c r="AL88" s="657"/>
      <c r="AM88" s="657"/>
      <c r="AN88" s="657"/>
      <c r="AO88" s="657"/>
      <c r="AP88" s="657"/>
      <c r="AQ88" s="657"/>
      <c r="AR88" s="657"/>
      <c r="AS88" s="657"/>
      <c r="AT88" s="657"/>
      <c r="AU88" s="657"/>
      <c r="AV88" s="657"/>
      <c r="AW88" s="657"/>
      <c r="AX88" s="657"/>
      <c r="AY88" s="657"/>
      <c r="AZ88" s="657"/>
      <c r="BA88" s="657"/>
      <c r="BB88" s="657"/>
      <c r="BC88" s="657"/>
      <c r="BD88" s="657"/>
      <c r="BE88" s="1048"/>
      <c r="BF88" s="1048"/>
      <c r="BG88" s="1048"/>
      <c r="BH88" s="1048"/>
      <c r="BI88" s="1048"/>
      <c r="BJ88" s="1048"/>
      <c r="BK88" s="1048"/>
      <c r="BL88" s="1048"/>
      <c r="BM88" s="1048"/>
      <c r="BN88" s="1048"/>
      <c r="BO88" s="687"/>
      <c r="BP88" s="1048"/>
      <c r="BQ88" s="1048"/>
      <c r="BR88" s="1048"/>
      <c r="BS88" s="1048"/>
      <c r="BT88" s="1048"/>
      <c r="BU88" s="1048"/>
      <c r="BV88" s="1048"/>
      <c r="BW88" s="1048"/>
      <c r="BX88" s="1048"/>
      <c r="BY88" s="1048"/>
      <c r="BZ88" s="657"/>
      <c r="CA88" s="1048"/>
      <c r="CB88" s="1048"/>
      <c r="CC88" s="1048"/>
      <c r="CD88" s="1048"/>
      <c r="CE88" s="1048"/>
      <c r="CF88" s="1048"/>
      <c r="CG88" s="1048"/>
      <c r="CH88" s="1048"/>
      <c r="CI88" s="1048"/>
      <c r="CJ88" s="1048"/>
      <c r="CK88" s="657"/>
      <c r="CL88" s="1048"/>
      <c r="CM88" s="1048"/>
      <c r="CN88" s="1048"/>
      <c r="CO88" s="1048"/>
      <c r="CP88" s="1048"/>
      <c r="CQ88" s="1048"/>
      <c r="CR88" s="1048"/>
      <c r="CS88" s="1048"/>
      <c r="CT88" s="1048"/>
      <c r="CU88" s="1048"/>
      <c r="CV88" s="657"/>
    </row>
    <row r="89" spans="1:100" ht="12" customHeight="1" thickBot="1" x14ac:dyDescent="0.35">
      <c r="A89" s="657"/>
      <c r="B89" s="1052"/>
      <c r="C89" s="1053"/>
      <c r="D89" s="1053"/>
      <c r="E89" s="1053"/>
      <c r="F89" s="1053"/>
      <c r="G89" s="1053"/>
      <c r="H89" s="1053"/>
      <c r="I89" s="1053"/>
      <c r="J89" s="1053"/>
      <c r="K89" s="1053"/>
      <c r="L89" s="1053"/>
      <c r="M89" s="1053"/>
      <c r="N89" s="1053"/>
      <c r="O89" s="1053"/>
      <c r="P89" s="1053"/>
      <c r="Q89" s="1053"/>
      <c r="R89" s="1053"/>
      <c r="S89" s="1053"/>
      <c r="T89" s="1053"/>
      <c r="U89" s="1054"/>
      <c r="V89" s="1055" t="s">
        <v>7261</v>
      </c>
      <c r="W89" s="1056"/>
      <c r="X89" s="1056"/>
      <c r="Y89" s="1056"/>
      <c r="Z89" s="1056"/>
      <c r="AA89" s="1056"/>
      <c r="AB89" s="1056" t="s">
        <v>7262</v>
      </c>
      <c r="AC89" s="1056"/>
      <c r="AD89" s="1056"/>
      <c r="AE89" s="1056"/>
      <c r="AF89" s="1056"/>
      <c r="AG89" s="1056"/>
      <c r="AH89" s="1056"/>
      <c r="AI89" s="1056"/>
      <c r="AJ89" s="1056"/>
      <c r="AK89" s="1056"/>
      <c r="AL89" s="1056"/>
      <c r="AM89" s="1056"/>
      <c r="AN89" s="1056"/>
      <c r="AO89" s="1056"/>
      <c r="AP89" s="1056"/>
      <c r="AQ89" s="1056" t="s">
        <v>5883</v>
      </c>
      <c r="AR89" s="1056"/>
      <c r="AS89" s="1056"/>
      <c r="AT89" s="1056"/>
      <c r="AU89" s="1056"/>
      <c r="AV89" s="1056"/>
      <c r="AW89" s="1056"/>
      <c r="AX89" s="1056"/>
      <c r="AY89" s="1056"/>
      <c r="AZ89" s="1056"/>
      <c r="BA89" s="1056"/>
      <c r="BB89" s="1056"/>
      <c r="BC89" s="1057"/>
      <c r="BD89" s="657"/>
      <c r="BE89" s="695"/>
      <c r="BF89" s="695"/>
      <c r="BG89" s="695"/>
      <c r="BH89" s="695"/>
      <c r="BI89" s="695"/>
      <c r="BJ89" s="695"/>
      <c r="BK89" s="695"/>
      <c r="BL89" s="695"/>
      <c r="BM89" s="695"/>
      <c r="BN89" s="695"/>
      <c r="BO89" s="687"/>
      <c r="BP89" s="695"/>
      <c r="BQ89" s="695"/>
      <c r="BR89" s="695"/>
      <c r="BS89" s="695"/>
      <c r="BT89" s="695"/>
      <c r="BU89" s="695"/>
      <c r="BV89" s="695"/>
      <c r="BW89" s="695"/>
      <c r="BX89" s="695"/>
      <c r="BY89" s="695"/>
      <c r="BZ89" s="657"/>
      <c r="CA89" s="695"/>
      <c r="CB89" s="695"/>
      <c r="CC89" s="695"/>
      <c r="CD89" s="695"/>
      <c r="CE89" s="695"/>
      <c r="CF89" s="695"/>
      <c r="CG89" s="695"/>
      <c r="CH89" s="695"/>
      <c r="CI89" s="695"/>
      <c r="CJ89" s="695"/>
      <c r="CK89" s="657"/>
      <c r="CL89" s="695"/>
      <c r="CM89" s="695"/>
      <c r="CN89" s="695"/>
      <c r="CO89" s="695"/>
      <c r="CP89" s="695"/>
      <c r="CQ89" s="695"/>
      <c r="CR89" s="695"/>
      <c r="CS89" s="695"/>
      <c r="CT89" s="695"/>
      <c r="CU89" s="695"/>
      <c r="CV89" s="657"/>
    </row>
    <row r="90" spans="1:100" ht="12" customHeight="1" thickBot="1" x14ac:dyDescent="0.35">
      <c r="A90" s="657"/>
      <c r="B90" s="1059"/>
      <c r="C90" s="1060"/>
      <c r="D90" s="1060"/>
      <c r="E90" s="1060"/>
      <c r="F90" s="1060"/>
      <c r="G90" s="1060"/>
      <c r="H90" s="1060"/>
      <c r="I90" s="1060"/>
      <c r="J90" s="1060"/>
      <c r="K90" s="1060"/>
      <c r="L90" s="1060"/>
      <c r="M90" s="1060"/>
      <c r="N90" s="1060"/>
      <c r="O90" s="1060"/>
      <c r="P90" s="1060"/>
      <c r="Q90" s="1060"/>
      <c r="R90" s="1060"/>
      <c r="S90" s="1060"/>
      <c r="T90" s="1060"/>
      <c r="U90" s="1061"/>
      <c r="V90" s="1068"/>
      <c r="W90" s="1069"/>
      <c r="X90" s="1069"/>
      <c r="Y90" s="1069"/>
      <c r="Z90" s="1069"/>
      <c r="AA90" s="1069"/>
      <c r="AB90" s="1031"/>
      <c r="AC90" s="1031"/>
      <c r="AD90" s="1031"/>
      <c r="AE90" s="1031"/>
      <c r="AF90" s="1031"/>
      <c r="AG90" s="1031"/>
      <c r="AH90" s="1031"/>
      <c r="AI90" s="1031"/>
      <c r="AJ90" s="1031"/>
      <c r="AK90" s="1031"/>
      <c r="AL90" s="1031"/>
      <c r="AM90" s="1031"/>
      <c r="AN90" s="1031"/>
      <c r="AO90" s="1031"/>
      <c r="AP90" s="1031"/>
      <c r="AQ90" s="1031"/>
      <c r="AR90" s="1031"/>
      <c r="AS90" s="1031"/>
      <c r="AT90" s="1031"/>
      <c r="AU90" s="1031"/>
      <c r="AV90" s="1031"/>
      <c r="AW90" s="1031"/>
      <c r="AX90" s="1031"/>
      <c r="AY90" s="1031"/>
      <c r="AZ90" s="1031"/>
      <c r="BA90" s="1031"/>
      <c r="BB90" s="1031"/>
      <c r="BC90" s="1031"/>
      <c r="BD90" s="657"/>
      <c r="BE90" s="657"/>
      <c r="BF90" s="657"/>
      <c r="BG90" s="657"/>
      <c r="BH90" s="657"/>
      <c r="BI90" s="657"/>
      <c r="BJ90" s="657"/>
      <c r="BK90" s="657"/>
      <c r="BL90" s="657"/>
      <c r="BM90" s="657"/>
      <c r="BN90" s="657"/>
      <c r="BO90" s="687"/>
      <c r="BP90" s="657"/>
      <c r="BQ90" s="657"/>
      <c r="BR90" s="657"/>
      <c r="BS90" s="657"/>
      <c r="BT90" s="657"/>
      <c r="BU90" s="657"/>
      <c r="BV90" s="657"/>
      <c r="BW90" s="657"/>
      <c r="BX90" s="657"/>
      <c r="BY90" s="657"/>
      <c r="BZ90" s="657"/>
      <c r="CA90" s="657"/>
      <c r="CB90" s="657"/>
      <c r="CC90" s="657"/>
      <c r="CD90" s="657"/>
      <c r="CE90" s="657"/>
      <c r="CF90" s="657"/>
      <c r="CG90" s="657"/>
      <c r="CH90" s="657"/>
      <c r="CI90" s="657"/>
      <c r="CJ90" s="657"/>
      <c r="CK90" s="657"/>
      <c r="CL90" s="657"/>
      <c r="CM90" s="657"/>
      <c r="CN90" s="657"/>
      <c r="CO90" s="657"/>
      <c r="CP90" s="657"/>
      <c r="CQ90" s="657"/>
      <c r="CR90" s="657"/>
      <c r="CS90" s="657"/>
      <c r="CT90" s="657"/>
      <c r="CU90" s="657"/>
      <c r="CV90" s="657"/>
    </row>
    <row r="91" spans="1:100" ht="12" customHeight="1" thickBot="1" x14ac:dyDescent="0.25">
      <c r="A91" s="657"/>
      <c r="B91" s="1062"/>
      <c r="C91" s="1063"/>
      <c r="D91" s="1063"/>
      <c r="E91" s="1063"/>
      <c r="F91" s="1063"/>
      <c r="G91" s="1063"/>
      <c r="H91" s="1063"/>
      <c r="I91" s="1063"/>
      <c r="J91" s="1063"/>
      <c r="K91" s="1063"/>
      <c r="L91" s="1063"/>
      <c r="M91" s="1063"/>
      <c r="N91" s="1063"/>
      <c r="O91" s="1063"/>
      <c r="P91" s="1063"/>
      <c r="Q91" s="1063"/>
      <c r="R91" s="1063"/>
      <c r="S91" s="1063"/>
      <c r="T91" s="1063"/>
      <c r="U91" s="1064"/>
      <c r="V91" s="1068"/>
      <c r="W91" s="1069"/>
      <c r="X91" s="1069"/>
      <c r="Y91" s="1069"/>
      <c r="Z91" s="1069"/>
      <c r="AA91" s="1069"/>
      <c r="AB91" s="1031"/>
      <c r="AC91" s="1031"/>
      <c r="AD91" s="1031"/>
      <c r="AE91" s="1031"/>
      <c r="AF91" s="1031"/>
      <c r="AG91" s="1031"/>
      <c r="AH91" s="1031"/>
      <c r="AI91" s="1031"/>
      <c r="AJ91" s="1031"/>
      <c r="AK91" s="1031"/>
      <c r="AL91" s="1031"/>
      <c r="AM91" s="1031"/>
      <c r="AN91" s="1031"/>
      <c r="AO91" s="1031"/>
      <c r="AP91" s="1031"/>
      <c r="AQ91" s="1031"/>
      <c r="AR91" s="1031"/>
      <c r="AS91" s="1031"/>
      <c r="AT91" s="1031"/>
      <c r="AU91" s="1031"/>
      <c r="AV91" s="1031"/>
      <c r="AW91" s="1031"/>
      <c r="AX91" s="1031"/>
      <c r="AY91" s="1031"/>
      <c r="AZ91" s="1031"/>
      <c r="BA91" s="1031"/>
      <c r="BB91" s="1031"/>
      <c r="BC91" s="1031"/>
      <c r="BD91" s="657"/>
      <c r="BE91" s="1076" t="s">
        <v>7263</v>
      </c>
      <c r="BF91" s="1076"/>
      <c r="BG91" s="1076"/>
      <c r="BH91" s="1076"/>
      <c r="BI91" s="1076"/>
      <c r="BJ91" s="1076"/>
      <c r="BK91" s="1076"/>
      <c r="BL91" s="1076"/>
      <c r="BM91" s="1076"/>
      <c r="BN91" s="1076"/>
      <c r="BO91" s="1076"/>
      <c r="BP91" s="1076"/>
      <c r="BQ91" s="1076"/>
      <c r="BR91" s="1076"/>
      <c r="BS91" s="1076"/>
      <c r="BT91" s="1076"/>
      <c r="BU91" s="1076"/>
      <c r="BV91" s="1076"/>
      <c r="BW91" s="1076"/>
      <c r="BX91" s="1076"/>
      <c r="BY91" s="1076"/>
      <c r="BZ91" s="1076"/>
      <c r="CA91" s="1076"/>
      <c r="CB91" s="1076"/>
      <c r="CC91" s="1076"/>
      <c r="CD91" s="1076"/>
      <c r="CE91" s="1076"/>
      <c r="CF91" s="1076"/>
      <c r="CG91" s="1076"/>
      <c r="CH91" s="1076"/>
      <c r="CI91" s="1076"/>
      <c r="CJ91" s="1076"/>
      <c r="CK91" s="1076"/>
      <c r="CL91" s="1076"/>
      <c r="CM91" s="1076"/>
      <c r="CN91" s="1076"/>
      <c r="CO91" s="1076"/>
      <c r="CP91" s="1076"/>
      <c r="CQ91" s="1076"/>
      <c r="CR91" s="1076"/>
      <c r="CS91" s="1076"/>
      <c r="CT91" s="1076"/>
      <c r="CU91" s="1076"/>
      <c r="CV91" s="657"/>
    </row>
    <row r="92" spans="1:100" ht="12" customHeight="1" thickBot="1" x14ac:dyDescent="0.25">
      <c r="A92" s="657"/>
      <c r="B92" s="1065"/>
      <c r="C92" s="1066"/>
      <c r="D92" s="1066"/>
      <c r="E92" s="1066"/>
      <c r="F92" s="1066"/>
      <c r="G92" s="1066"/>
      <c r="H92" s="1066"/>
      <c r="I92" s="1066"/>
      <c r="J92" s="1066"/>
      <c r="K92" s="1066"/>
      <c r="L92" s="1066"/>
      <c r="M92" s="1066"/>
      <c r="N92" s="1066"/>
      <c r="O92" s="1066"/>
      <c r="P92" s="1066"/>
      <c r="Q92" s="1066"/>
      <c r="R92" s="1066"/>
      <c r="S92" s="1066"/>
      <c r="T92" s="1066"/>
      <c r="U92" s="1067"/>
      <c r="V92" s="1068"/>
      <c r="W92" s="1069"/>
      <c r="X92" s="1069"/>
      <c r="Y92" s="1069"/>
      <c r="Z92" s="1069"/>
      <c r="AA92" s="1069"/>
      <c r="AB92" s="1070"/>
      <c r="AC92" s="1070"/>
      <c r="AD92" s="1070"/>
      <c r="AE92" s="1070"/>
      <c r="AF92" s="1070"/>
      <c r="AG92" s="1070"/>
      <c r="AH92" s="1070"/>
      <c r="AI92" s="1070"/>
      <c r="AJ92" s="1070"/>
      <c r="AK92" s="1070"/>
      <c r="AL92" s="1070"/>
      <c r="AM92" s="1070"/>
      <c r="AN92" s="1070"/>
      <c r="AO92" s="1070"/>
      <c r="AP92" s="1070"/>
      <c r="AQ92" s="1070"/>
      <c r="AR92" s="1070"/>
      <c r="AS92" s="1070"/>
      <c r="AT92" s="1070"/>
      <c r="AU92" s="1070"/>
      <c r="AV92" s="1070"/>
      <c r="AW92" s="1070"/>
      <c r="AX92" s="1070"/>
      <c r="AY92" s="1070"/>
      <c r="AZ92" s="1070"/>
      <c r="BA92" s="1070"/>
      <c r="BB92" s="1070"/>
      <c r="BC92" s="1070"/>
      <c r="BD92" s="657"/>
      <c r="BE92" s="1076"/>
      <c r="BF92" s="1076"/>
      <c r="BG92" s="1076"/>
      <c r="BH92" s="1076"/>
      <c r="BI92" s="1076"/>
      <c r="BJ92" s="1076"/>
      <c r="BK92" s="1076"/>
      <c r="BL92" s="1076"/>
      <c r="BM92" s="1076"/>
      <c r="BN92" s="1076"/>
      <c r="BO92" s="1076"/>
      <c r="BP92" s="1076"/>
      <c r="BQ92" s="1076"/>
      <c r="BR92" s="1076"/>
      <c r="BS92" s="1076"/>
      <c r="BT92" s="1076"/>
      <c r="BU92" s="1076"/>
      <c r="BV92" s="1076"/>
      <c r="BW92" s="1076"/>
      <c r="BX92" s="1076"/>
      <c r="BY92" s="1076"/>
      <c r="BZ92" s="1076"/>
      <c r="CA92" s="1076"/>
      <c r="CB92" s="1076"/>
      <c r="CC92" s="1076"/>
      <c r="CD92" s="1076"/>
      <c r="CE92" s="1076"/>
      <c r="CF92" s="1076"/>
      <c r="CG92" s="1076"/>
      <c r="CH92" s="1076"/>
      <c r="CI92" s="1076"/>
      <c r="CJ92" s="1076"/>
      <c r="CK92" s="1076"/>
      <c r="CL92" s="1076"/>
      <c r="CM92" s="1076"/>
      <c r="CN92" s="1076"/>
      <c r="CO92" s="1076"/>
      <c r="CP92" s="1076"/>
      <c r="CQ92" s="1076"/>
      <c r="CR92" s="1076"/>
      <c r="CS92" s="1076"/>
      <c r="CT92" s="1076"/>
      <c r="CU92" s="1076"/>
      <c r="CV92" s="657"/>
    </row>
    <row r="93" spans="1:100" ht="12" customHeight="1" thickBot="1" x14ac:dyDescent="0.25">
      <c r="A93" s="657"/>
      <c r="B93" s="1028" t="s">
        <v>7264</v>
      </c>
      <c r="C93" s="1029"/>
      <c r="D93" s="1029"/>
      <c r="E93" s="1029"/>
      <c r="F93" s="1029"/>
      <c r="G93" s="1029"/>
      <c r="H93" s="1029"/>
      <c r="I93" s="1029"/>
      <c r="J93" s="1029" t="s">
        <v>7246</v>
      </c>
      <c r="K93" s="1029"/>
      <c r="L93" s="1029"/>
      <c r="M93" s="1029"/>
      <c r="N93" s="1029"/>
      <c r="O93" s="1029"/>
      <c r="P93" s="1029"/>
      <c r="Q93" s="1029"/>
      <c r="R93" s="1029"/>
      <c r="S93" s="1029"/>
      <c r="T93" s="1029"/>
      <c r="U93" s="1029"/>
      <c r="V93" s="1029"/>
      <c r="W93" s="1029"/>
      <c r="X93" s="1029"/>
      <c r="Y93" s="1029"/>
      <c r="Z93" s="1029"/>
      <c r="AA93" s="1029"/>
      <c r="AB93" s="1029"/>
      <c r="AC93" s="1029"/>
      <c r="AD93" s="1029"/>
      <c r="AE93" s="1029"/>
      <c r="AF93" s="1029"/>
      <c r="AG93" s="1029"/>
      <c r="AH93" s="1029"/>
      <c r="AI93" s="1029"/>
      <c r="AJ93" s="1029"/>
      <c r="AK93" s="1029"/>
      <c r="AL93" s="1029"/>
      <c r="AM93" s="1029"/>
      <c r="AN93" s="1029"/>
      <c r="AO93" s="1029"/>
      <c r="AP93" s="1029"/>
      <c r="AQ93" s="1029"/>
      <c r="AR93" s="1029"/>
      <c r="AS93" s="1029"/>
      <c r="AT93" s="1029"/>
      <c r="AU93" s="1029"/>
      <c r="AV93" s="1029"/>
      <c r="AW93" s="1029"/>
      <c r="AX93" s="1029"/>
      <c r="AY93" s="1029"/>
      <c r="AZ93" s="1029"/>
      <c r="BA93" s="1029"/>
      <c r="BB93" s="1029"/>
      <c r="BC93" s="1030"/>
      <c r="BD93" s="657"/>
      <c r="BE93" s="696"/>
      <c r="BF93" s="696"/>
      <c r="BG93" s="696"/>
      <c r="BH93" s="696"/>
      <c r="BI93" s="696"/>
      <c r="BJ93" s="696"/>
      <c r="BK93" s="696"/>
      <c r="BL93" s="696"/>
      <c r="BM93" s="696"/>
      <c r="BN93" s="696"/>
      <c r="BO93" s="696"/>
      <c r="BP93" s="696"/>
      <c r="BQ93" s="696"/>
      <c r="BR93" s="696"/>
      <c r="BS93" s="696"/>
      <c r="BT93" s="696"/>
      <c r="BU93" s="696"/>
      <c r="BV93" s="696"/>
      <c r="BW93" s="696"/>
      <c r="BX93" s="696"/>
      <c r="BY93" s="696"/>
      <c r="BZ93" s="696"/>
      <c r="CA93" s="696"/>
      <c r="CB93" s="696"/>
      <c r="CC93" s="696"/>
      <c r="CD93" s="696"/>
      <c r="CE93" s="696"/>
      <c r="CF93" s="696"/>
      <c r="CG93" s="696"/>
      <c r="CH93" s="696"/>
      <c r="CI93" s="696"/>
      <c r="CJ93" s="696"/>
      <c r="CK93" s="696"/>
      <c r="CL93" s="696"/>
      <c r="CM93" s="696"/>
      <c r="CN93" s="696"/>
      <c r="CO93" s="696"/>
      <c r="CP93" s="696"/>
      <c r="CQ93" s="696"/>
      <c r="CR93" s="696"/>
      <c r="CS93" s="696"/>
      <c r="CT93" s="696"/>
      <c r="CU93" s="696"/>
      <c r="CV93" s="657"/>
    </row>
    <row r="94" spans="1:100" ht="12" customHeight="1" thickBot="1" x14ac:dyDescent="0.25">
      <c r="A94" s="657"/>
      <c r="B94" s="1031"/>
      <c r="C94" s="1031"/>
      <c r="D94" s="1031"/>
      <c r="E94" s="1031"/>
      <c r="F94" s="1031"/>
      <c r="G94" s="1031"/>
      <c r="H94" s="1031"/>
      <c r="I94" s="1031"/>
      <c r="J94" s="1032"/>
      <c r="K94" s="1033"/>
      <c r="L94" s="1033"/>
      <c r="M94" s="1033"/>
      <c r="N94" s="1033"/>
      <c r="O94" s="1033"/>
      <c r="P94" s="1033"/>
      <c r="Q94" s="1033"/>
      <c r="R94" s="1033"/>
      <c r="S94" s="1033"/>
      <c r="T94" s="1033"/>
      <c r="U94" s="1033"/>
      <c r="V94" s="1033"/>
      <c r="W94" s="1033"/>
      <c r="X94" s="1033"/>
      <c r="Y94" s="1033"/>
      <c r="Z94" s="1033"/>
      <c r="AA94" s="1033"/>
      <c r="AB94" s="1033"/>
      <c r="AC94" s="1033"/>
      <c r="AD94" s="1033"/>
      <c r="AE94" s="1033"/>
      <c r="AF94" s="1033"/>
      <c r="AG94" s="1033"/>
      <c r="AH94" s="1033"/>
      <c r="AI94" s="1033"/>
      <c r="AJ94" s="1033"/>
      <c r="AK94" s="1033"/>
      <c r="AL94" s="1033"/>
      <c r="AM94" s="1033"/>
      <c r="AN94" s="1033"/>
      <c r="AO94" s="1033"/>
      <c r="AP94" s="1033"/>
      <c r="AQ94" s="1033"/>
      <c r="AR94" s="1033"/>
      <c r="AS94" s="1033"/>
      <c r="AT94" s="1033"/>
      <c r="AU94" s="1033"/>
      <c r="AV94" s="1033"/>
      <c r="AW94" s="1033"/>
      <c r="AX94" s="1033"/>
      <c r="AY94" s="1033"/>
      <c r="AZ94" s="1033"/>
      <c r="BA94" s="1033"/>
      <c r="BB94" s="1033"/>
      <c r="BC94" s="1034"/>
      <c r="BD94" s="657"/>
      <c r="BE94" s="1074" t="s">
        <v>7265</v>
      </c>
      <c r="BF94" s="1074"/>
      <c r="BG94" s="1074"/>
      <c r="BH94" s="1074"/>
      <c r="BI94" s="1074"/>
      <c r="BJ94" s="1074"/>
      <c r="BK94" s="1074"/>
      <c r="BL94" s="1074"/>
      <c r="BM94" s="1074"/>
      <c r="BN94" s="1074"/>
      <c r="BO94" s="1074"/>
      <c r="BP94" s="1074"/>
      <c r="BQ94" s="1074"/>
      <c r="BR94" s="1074"/>
      <c r="BS94" s="1074"/>
      <c r="BT94" s="1074"/>
      <c r="BU94" s="1074"/>
      <c r="BV94" s="1074"/>
      <c r="BW94" s="1074"/>
      <c r="BX94" s="1074"/>
      <c r="BY94" s="1074"/>
      <c r="BZ94" s="696"/>
      <c r="CA94" s="1074" t="s">
        <v>7266</v>
      </c>
      <c r="CB94" s="1074"/>
      <c r="CC94" s="1074"/>
      <c r="CD94" s="1074"/>
      <c r="CE94" s="1074"/>
      <c r="CF94" s="1074"/>
      <c r="CG94" s="1074"/>
      <c r="CH94" s="1074"/>
      <c r="CI94" s="1074"/>
      <c r="CJ94" s="1074"/>
      <c r="CK94" s="1074"/>
      <c r="CL94" s="1074"/>
      <c r="CM94" s="1074"/>
      <c r="CN94" s="1074"/>
      <c r="CO94" s="1074"/>
      <c r="CP94" s="1074"/>
      <c r="CQ94" s="1074"/>
      <c r="CR94" s="1074"/>
      <c r="CS94" s="1074"/>
      <c r="CT94" s="1074"/>
      <c r="CU94" s="1074"/>
      <c r="CV94" s="657"/>
    </row>
    <row r="95" spans="1:100" ht="12" customHeight="1" thickBot="1" x14ac:dyDescent="0.25">
      <c r="A95" s="657"/>
      <c r="B95" s="1031"/>
      <c r="C95" s="1031"/>
      <c r="D95" s="1031"/>
      <c r="E95" s="1031"/>
      <c r="F95" s="1031"/>
      <c r="G95" s="1031"/>
      <c r="H95" s="1031"/>
      <c r="I95" s="1031"/>
      <c r="J95" s="1035"/>
      <c r="K95" s="1036"/>
      <c r="L95" s="1036"/>
      <c r="M95" s="1036"/>
      <c r="N95" s="1036"/>
      <c r="O95" s="1036"/>
      <c r="P95" s="1036"/>
      <c r="Q95" s="1036"/>
      <c r="R95" s="1036"/>
      <c r="S95" s="1036"/>
      <c r="T95" s="1036"/>
      <c r="U95" s="1036"/>
      <c r="V95" s="1036"/>
      <c r="W95" s="1036"/>
      <c r="X95" s="1036"/>
      <c r="Y95" s="1036"/>
      <c r="Z95" s="1036"/>
      <c r="AA95" s="1036"/>
      <c r="AB95" s="1036"/>
      <c r="AC95" s="1036"/>
      <c r="AD95" s="1036"/>
      <c r="AE95" s="1036"/>
      <c r="AF95" s="1036"/>
      <c r="AG95" s="1036"/>
      <c r="AH95" s="1036"/>
      <c r="AI95" s="1036"/>
      <c r="AJ95" s="1036"/>
      <c r="AK95" s="1036"/>
      <c r="AL95" s="1036"/>
      <c r="AM95" s="1036"/>
      <c r="AN95" s="1036"/>
      <c r="AO95" s="1036"/>
      <c r="AP95" s="1036"/>
      <c r="AQ95" s="1036"/>
      <c r="AR95" s="1036"/>
      <c r="AS95" s="1036"/>
      <c r="AT95" s="1036"/>
      <c r="AU95" s="1036"/>
      <c r="AV95" s="1036"/>
      <c r="AW95" s="1036"/>
      <c r="AX95" s="1036"/>
      <c r="AY95" s="1036"/>
      <c r="AZ95" s="1036"/>
      <c r="BA95" s="1036"/>
      <c r="BB95" s="1036"/>
      <c r="BC95" s="1037"/>
      <c r="BD95" s="657"/>
      <c r="BE95" s="1074"/>
      <c r="BF95" s="1074"/>
      <c r="BG95" s="1074"/>
      <c r="BH95" s="1074"/>
      <c r="BI95" s="1074"/>
      <c r="BJ95" s="1074"/>
      <c r="BK95" s="1074"/>
      <c r="BL95" s="1074"/>
      <c r="BM95" s="1074"/>
      <c r="BN95" s="1074"/>
      <c r="BO95" s="1074"/>
      <c r="BP95" s="1074"/>
      <c r="BQ95" s="1074"/>
      <c r="BR95" s="1074"/>
      <c r="BS95" s="1074"/>
      <c r="BT95" s="1074"/>
      <c r="BU95" s="1074"/>
      <c r="BV95" s="1074"/>
      <c r="BW95" s="1074"/>
      <c r="BX95" s="1074"/>
      <c r="BY95" s="1074"/>
      <c r="BZ95" s="696"/>
      <c r="CA95" s="1074"/>
      <c r="CB95" s="1074"/>
      <c r="CC95" s="1074"/>
      <c r="CD95" s="1074"/>
      <c r="CE95" s="1074"/>
      <c r="CF95" s="1074"/>
      <c r="CG95" s="1074"/>
      <c r="CH95" s="1074"/>
      <c r="CI95" s="1074"/>
      <c r="CJ95" s="1074"/>
      <c r="CK95" s="1074"/>
      <c r="CL95" s="1074"/>
      <c r="CM95" s="1074"/>
      <c r="CN95" s="1074"/>
      <c r="CO95" s="1074"/>
      <c r="CP95" s="1074"/>
      <c r="CQ95" s="1074"/>
      <c r="CR95" s="1074"/>
      <c r="CS95" s="1074"/>
      <c r="CT95" s="1074"/>
      <c r="CU95" s="1074"/>
      <c r="CV95" s="657"/>
    </row>
    <row r="96" spans="1:100" ht="12" customHeight="1" thickBot="1" x14ac:dyDescent="0.35">
      <c r="A96" s="657"/>
      <c r="B96" s="1031"/>
      <c r="C96" s="1031"/>
      <c r="D96" s="1031"/>
      <c r="E96" s="1031"/>
      <c r="F96" s="1031"/>
      <c r="G96" s="1031"/>
      <c r="H96" s="1031"/>
      <c r="I96" s="1031"/>
      <c r="J96" s="1038"/>
      <c r="K96" s="1039"/>
      <c r="L96" s="1039"/>
      <c r="M96" s="1039"/>
      <c r="N96" s="1039"/>
      <c r="O96" s="1039"/>
      <c r="P96" s="1039"/>
      <c r="Q96" s="1039"/>
      <c r="R96" s="1039"/>
      <c r="S96" s="1039"/>
      <c r="T96" s="1039"/>
      <c r="U96" s="1039"/>
      <c r="V96" s="1039"/>
      <c r="W96" s="1039"/>
      <c r="X96" s="1039"/>
      <c r="Y96" s="1039"/>
      <c r="Z96" s="1039"/>
      <c r="AA96" s="1039"/>
      <c r="AB96" s="1039"/>
      <c r="AC96" s="1039"/>
      <c r="AD96" s="1039"/>
      <c r="AE96" s="1039"/>
      <c r="AF96" s="1039"/>
      <c r="AG96" s="1039"/>
      <c r="AH96" s="1039"/>
      <c r="AI96" s="1039"/>
      <c r="AJ96" s="1039"/>
      <c r="AK96" s="1039"/>
      <c r="AL96" s="1039"/>
      <c r="AM96" s="1039"/>
      <c r="AN96" s="1039"/>
      <c r="AO96" s="1039"/>
      <c r="AP96" s="1039"/>
      <c r="AQ96" s="1039"/>
      <c r="AR96" s="1039"/>
      <c r="AS96" s="1039"/>
      <c r="AT96" s="1039"/>
      <c r="AU96" s="1039"/>
      <c r="AV96" s="1039"/>
      <c r="AW96" s="1039"/>
      <c r="AX96" s="1039"/>
      <c r="AY96" s="1039"/>
      <c r="AZ96" s="1039"/>
      <c r="BA96" s="1039"/>
      <c r="BB96" s="1039"/>
      <c r="BC96" s="1040"/>
      <c r="BD96" s="657"/>
      <c r="BE96" s="660" t="s">
        <v>7267</v>
      </c>
      <c r="BF96" s="687"/>
      <c r="BG96" s="687"/>
      <c r="BH96" s="687"/>
      <c r="BI96" s="687"/>
      <c r="BJ96" s="687"/>
      <c r="BK96" s="687"/>
      <c r="BL96" s="696"/>
      <c r="BM96" s="696"/>
      <c r="BN96" s="696"/>
      <c r="BO96" s="696"/>
      <c r="BP96" s="696"/>
      <c r="BQ96" s="696"/>
      <c r="BR96" s="696"/>
      <c r="BS96" s="696"/>
      <c r="BT96" s="696"/>
      <c r="BU96" s="696"/>
      <c r="BV96" s="696"/>
      <c r="BW96" s="696"/>
      <c r="BX96" s="696"/>
      <c r="BY96" s="696"/>
      <c r="BZ96" s="696"/>
      <c r="CA96" s="660" t="s">
        <v>7268</v>
      </c>
      <c r="CB96" s="687"/>
      <c r="CC96" s="687"/>
      <c r="CD96" s="687"/>
      <c r="CE96" s="687"/>
      <c r="CF96" s="687"/>
      <c r="CG96" s="687"/>
      <c r="CH96" s="696"/>
      <c r="CI96" s="696"/>
      <c r="CJ96" s="696"/>
      <c r="CK96" s="696"/>
      <c r="CL96" s="696"/>
      <c r="CM96" s="696"/>
      <c r="CN96" s="696"/>
      <c r="CO96" s="696"/>
      <c r="CP96" s="696"/>
      <c r="CQ96" s="696"/>
      <c r="CR96" s="696"/>
      <c r="CS96" s="696"/>
      <c r="CT96" s="696"/>
      <c r="CU96" s="696"/>
      <c r="CV96" s="657"/>
    </row>
    <row r="97" spans="1:100" ht="12" customHeight="1" x14ac:dyDescent="0.2">
      <c r="A97" s="657"/>
      <c r="B97" s="1078" t="s">
        <v>7269</v>
      </c>
      <c r="C97" s="1078"/>
      <c r="D97" s="1078"/>
      <c r="E97" s="1078"/>
      <c r="F97" s="1078"/>
      <c r="G97" s="1078"/>
      <c r="H97" s="1078"/>
      <c r="I97" s="1047"/>
      <c r="J97" s="1047"/>
      <c r="K97" s="1047"/>
      <c r="L97" s="1047"/>
      <c r="M97" s="1047"/>
      <c r="N97" s="1047"/>
      <c r="O97" s="1047"/>
      <c r="P97" s="1047"/>
      <c r="Q97" s="1047"/>
      <c r="R97" s="1047"/>
      <c r="S97" s="1047"/>
      <c r="T97" s="690"/>
      <c r="U97" s="1044" t="s">
        <v>7270</v>
      </c>
      <c r="V97" s="1024" t="s">
        <v>7270</v>
      </c>
      <c r="W97" s="1024" t="s">
        <v>7270</v>
      </c>
      <c r="X97" s="1024" t="s">
        <v>7270</v>
      </c>
      <c r="Y97" s="1024" t="s">
        <v>7270</v>
      </c>
      <c r="Z97" s="690"/>
      <c r="AA97" s="1044" t="s">
        <v>7270</v>
      </c>
      <c r="AB97" s="1024" t="s">
        <v>7270</v>
      </c>
      <c r="AC97" s="1024" t="s">
        <v>7270</v>
      </c>
      <c r="AD97" s="1024" t="s">
        <v>7270</v>
      </c>
      <c r="AE97" s="1024" t="s">
        <v>7270</v>
      </c>
      <c r="AF97" s="675"/>
      <c r="AG97" s="1044" t="s">
        <v>7270</v>
      </c>
      <c r="AH97" s="1024" t="s">
        <v>7270</v>
      </c>
      <c r="AI97" s="1024" t="s">
        <v>7270</v>
      </c>
      <c r="AJ97" s="1024" t="s">
        <v>7270</v>
      </c>
      <c r="AK97" s="1024" t="s">
        <v>7270</v>
      </c>
      <c r="AL97" s="675"/>
      <c r="AM97" s="1024" t="s">
        <v>7270</v>
      </c>
      <c r="AN97" s="1024" t="s">
        <v>7270</v>
      </c>
      <c r="AO97" s="1024" t="s">
        <v>7270</v>
      </c>
      <c r="AP97" s="1024" t="s">
        <v>7270</v>
      </c>
      <c r="AQ97" s="1024" t="s">
        <v>7270</v>
      </c>
      <c r="AR97" s="675"/>
      <c r="AS97" s="1024" t="s">
        <v>7270</v>
      </c>
      <c r="AT97" s="1024" t="s">
        <v>7270</v>
      </c>
      <c r="AU97" s="1024" t="s">
        <v>7270</v>
      </c>
      <c r="AV97" s="1024" t="s">
        <v>7270</v>
      </c>
      <c r="AW97" s="1024" t="s">
        <v>7270</v>
      </c>
      <c r="AX97" s="675"/>
      <c r="AY97" s="1024" t="s">
        <v>7270</v>
      </c>
      <c r="AZ97" s="1024" t="s">
        <v>7270</v>
      </c>
      <c r="BA97" s="1024" t="s">
        <v>7270</v>
      </c>
      <c r="BB97" s="1024" t="s">
        <v>7270</v>
      </c>
      <c r="BC97" s="1024" t="s">
        <v>7270</v>
      </c>
      <c r="BD97" s="657"/>
      <c r="BE97" s="1025"/>
      <c r="BF97" s="1025"/>
      <c r="BG97" s="1025"/>
      <c r="BH97" s="1025"/>
      <c r="BI97" s="1025"/>
      <c r="BJ97" s="1025"/>
      <c r="BK97" s="1025"/>
      <c r="BL97" s="1025"/>
      <c r="BM97" s="1025"/>
      <c r="BN97" s="1025"/>
      <c r="BO97" s="1025"/>
      <c r="BP97" s="1025"/>
      <c r="BQ97" s="1025"/>
      <c r="BR97" s="1025"/>
      <c r="BS97" s="1025"/>
      <c r="BT97" s="1025"/>
      <c r="BU97" s="1025"/>
      <c r="BV97" s="1025"/>
      <c r="BW97" s="1025"/>
      <c r="BX97" s="1025"/>
      <c r="BY97" s="1025"/>
      <c r="BZ97" s="657"/>
      <c r="CA97" s="1025"/>
      <c r="CB97" s="1025"/>
      <c r="CC97" s="1025"/>
      <c r="CD97" s="1025"/>
      <c r="CE97" s="1025"/>
      <c r="CF97" s="1025"/>
      <c r="CG97" s="1025"/>
      <c r="CH97" s="1025"/>
      <c r="CI97" s="1025"/>
      <c r="CJ97" s="1025"/>
      <c r="CK97" s="1025"/>
      <c r="CL97" s="1025"/>
      <c r="CM97" s="1025"/>
      <c r="CN97" s="1025"/>
      <c r="CO97" s="1025"/>
      <c r="CP97" s="1025"/>
      <c r="CQ97" s="1025"/>
      <c r="CR97" s="1025"/>
      <c r="CS97" s="1025"/>
      <c r="CT97" s="1025"/>
      <c r="CU97" s="1025"/>
      <c r="CV97" s="657"/>
    </row>
    <row r="98" spans="1:100" ht="12" customHeight="1" x14ac:dyDescent="0.2">
      <c r="A98" s="657"/>
      <c r="B98" s="1079"/>
      <c r="C98" s="1079"/>
      <c r="D98" s="1079"/>
      <c r="E98" s="1079"/>
      <c r="F98" s="1079"/>
      <c r="G98" s="1079"/>
      <c r="H98" s="1079"/>
      <c r="I98" s="1048"/>
      <c r="J98" s="1048"/>
      <c r="K98" s="1048"/>
      <c r="L98" s="1048"/>
      <c r="M98" s="1048"/>
      <c r="N98" s="1048"/>
      <c r="O98" s="1048"/>
      <c r="P98" s="1048"/>
      <c r="Q98" s="1048"/>
      <c r="R98" s="1048"/>
      <c r="S98" s="1048"/>
      <c r="T98" s="690"/>
      <c r="U98" s="1024"/>
      <c r="V98" s="1024"/>
      <c r="W98" s="1024"/>
      <c r="X98" s="1024"/>
      <c r="Y98" s="1024"/>
      <c r="Z98" s="690"/>
      <c r="AA98" s="1024"/>
      <c r="AB98" s="1024"/>
      <c r="AC98" s="1024"/>
      <c r="AD98" s="1024"/>
      <c r="AE98" s="1024"/>
      <c r="AF98" s="675"/>
      <c r="AG98" s="1024"/>
      <c r="AH98" s="1024"/>
      <c r="AI98" s="1024"/>
      <c r="AJ98" s="1024"/>
      <c r="AK98" s="1024"/>
      <c r="AL98" s="675"/>
      <c r="AM98" s="1024"/>
      <c r="AN98" s="1024"/>
      <c r="AO98" s="1024"/>
      <c r="AP98" s="1024"/>
      <c r="AQ98" s="1024"/>
      <c r="AR98" s="675"/>
      <c r="AS98" s="1024"/>
      <c r="AT98" s="1024"/>
      <c r="AU98" s="1024"/>
      <c r="AV98" s="1024"/>
      <c r="AW98" s="1024"/>
      <c r="AX98" s="675"/>
      <c r="AY98" s="1024"/>
      <c r="AZ98" s="1024"/>
      <c r="BA98" s="1024"/>
      <c r="BB98" s="1024"/>
      <c r="BC98" s="1024"/>
      <c r="BD98" s="657"/>
      <c r="BE98" s="1025"/>
      <c r="BF98" s="1025"/>
      <c r="BG98" s="1025"/>
      <c r="BH98" s="1025"/>
      <c r="BI98" s="1025"/>
      <c r="BJ98" s="1025"/>
      <c r="BK98" s="1025"/>
      <c r="BL98" s="1025"/>
      <c r="BM98" s="1025"/>
      <c r="BN98" s="1025"/>
      <c r="BO98" s="1025"/>
      <c r="BP98" s="1025"/>
      <c r="BQ98" s="1025"/>
      <c r="BR98" s="1025"/>
      <c r="BS98" s="1025"/>
      <c r="BT98" s="1025"/>
      <c r="BU98" s="1025"/>
      <c r="BV98" s="1025"/>
      <c r="BW98" s="1025"/>
      <c r="BX98" s="1025"/>
      <c r="BY98" s="1025"/>
      <c r="BZ98" s="696"/>
      <c r="CA98" s="1025"/>
      <c r="CB98" s="1025"/>
      <c r="CC98" s="1025"/>
      <c r="CD98" s="1025"/>
      <c r="CE98" s="1025"/>
      <c r="CF98" s="1025"/>
      <c r="CG98" s="1025"/>
      <c r="CH98" s="1025"/>
      <c r="CI98" s="1025"/>
      <c r="CJ98" s="1025"/>
      <c r="CK98" s="1025"/>
      <c r="CL98" s="1025"/>
      <c r="CM98" s="1025"/>
      <c r="CN98" s="1025"/>
      <c r="CO98" s="1025"/>
      <c r="CP98" s="1025"/>
      <c r="CQ98" s="1025"/>
      <c r="CR98" s="1025"/>
      <c r="CS98" s="1025"/>
      <c r="CT98" s="1025"/>
      <c r="CU98" s="1025"/>
      <c r="CV98" s="657"/>
    </row>
    <row r="99" spans="1:100" ht="12" customHeight="1" thickBot="1" x14ac:dyDescent="0.25">
      <c r="A99" s="657"/>
      <c r="B99" s="657"/>
      <c r="C99" s="657"/>
      <c r="D99" s="657"/>
      <c r="E99" s="657"/>
      <c r="F99" s="657"/>
      <c r="G99" s="657"/>
      <c r="H99" s="657"/>
      <c r="I99" s="657"/>
      <c r="J99" s="657"/>
      <c r="K99" s="657"/>
      <c r="L99" s="657"/>
      <c r="M99" s="657"/>
      <c r="N99" s="657"/>
      <c r="O99" s="657"/>
      <c r="P99" s="657"/>
      <c r="Q99" s="657"/>
      <c r="R99" s="657"/>
      <c r="S99" s="657"/>
      <c r="T99" s="657"/>
      <c r="U99" s="657"/>
      <c r="V99" s="657"/>
      <c r="W99" s="657"/>
      <c r="X99" s="657"/>
      <c r="Y99" s="657"/>
      <c r="Z99" s="657"/>
      <c r="AA99" s="657"/>
      <c r="AB99" s="657"/>
      <c r="AC99" s="657"/>
      <c r="AD99" s="657"/>
      <c r="AE99" s="657"/>
      <c r="AF99" s="657"/>
      <c r="AG99" s="657"/>
      <c r="AH99" s="657"/>
      <c r="AI99" s="657"/>
      <c r="AJ99" s="657"/>
      <c r="AK99" s="657"/>
      <c r="AL99" s="657"/>
      <c r="AM99" s="657"/>
      <c r="AN99" s="657"/>
      <c r="AO99" s="657"/>
      <c r="AP99" s="657"/>
      <c r="AQ99" s="657"/>
      <c r="AR99" s="657"/>
      <c r="AS99" s="657"/>
      <c r="AT99" s="657"/>
      <c r="AU99" s="657"/>
      <c r="AV99" s="657"/>
      <c r="AW99" s="657"/>
      <c r="AX99" s="657"/>
      <c r="AY99" s="657"/>
      <c r="AZ99" s="657"/>
      <c r="BA99" s="657"/>
      <c r="BB99" s="657"/>
      <c r="BC99" s="657"/>
      <c r="BD99" s="657"/>
      <c r="BE99" s="1075"/>
      <c r="BF99" s="1075"/>
      <c r="BG99" s="1075"/>
      <c r="BH99" s="1075"/>
      <c r="BI99" s="1075"/>
      <c r="BJ99" s="1075"/>
      <c r="BK99" s="1075"/>
      <c r="BL99" s="1075"/>
      <c r="BM99" s="1075"/>
      <c r="BN99" s="1075"/>
      <c r="BO99" s="1075"/>
      <c r="BP99" s="1075"/>
      <c r="BQ99" s="1075"/>
      <c r="BR99" s="1075"/>
      <c r="BS99" s="1075"/>
      <c r="BT99" s="1075"/>
      <c r="BU99" s="1075"/>
      <c r="BV99" s="1075"/>
      <c r="BW99" s="1075"/>
      <c r="BX99" s="1075"/>
      <c r="BY99" s="1075"/>
      <c r="BZ99" s="696"/>
      <c r="CA99" s="1075"/>
      <c r="CB99" s="1075"/>
      <c r="CC99" s="1075"/>
      <c r="CD99" s="1075"/>
      <c r="CE99" s="1075"/>
      <c r="CF99" s="1075"/>
      <c r="CG99" s="1075"/>
      <c r="CH99" s="1075"/>
      <c r="CI99" s="1075"/>
      <c r="CJ99" s="1075"/>
      <c r="CK99" s="1075"/>
      <c r="CL99" s="1075"/>
      <c r="CM99" s="1075"/>
      <c r="CN99" s="1075"/>
      <c r="CO99" s="1075"/>
      <c r="CP99" s="1075"/>
      <c r="CQ99" s="1075"/>
      <c r="CR99" s="1075"/>
      <c r="CS99" s="1075"/>
      <c r="CT99" s="1075"/>
      <c r="CU99" s="1075"/>
      <c r="CV99" s="657"/>
    </row>
    <row r="100" spans="1:100" ht="12" customHeight="1" x14ac:dyDescent="0.2">
      <c r="A100" s="657"/>
      <c r="B100" s="1049" t="s">
        <v>7271</v>
      </c>
      <c r="C100" s="1050"/>
      <c r="D100" s="1050"/>
      <c r="E100" s="1050"/>
      <c r="F100" s="1050"/>
      <c r="G100" s="1050"/>
      <c r="H100" s="1050"/>
      <c r="I100" s="1050"/>
      <c r="J100" s="1050"/>
      <c r="K100" s="1050"/>
      <c r="L100" s="1050"/>
      <c r="M100" s="1050"/>
      <c r="N100" s="1050"/>
      <c r="O100" s="1050"/>
      <c r="P100" s="1050"/>
      <c r="Q100" s="1050"/>
      <c r="R100" s="1050"/>
      <c r="S100" s="1050"/>
      <c r="T100" s="1050"/>
      <c r="U100" s="1051"/>
      <c r="V100" s="657"/>
      <c r="W100" s="657"/>
      <c r="X100" s="657"/>
      <c r="Y100" s="657"/>
      <c r="Z100" s="657"/>
      <c r="AA100" s="657"/>
      <c r="AB100" s="657"/>
      <c r="AC100" s="657"/>
      <c r="AD100" s="657"/>
      <c r="AE100" s="657"/>
      <c r="AF100" s="657"/>
      <c r="AG100" s="657"/>
      <c r="AH100" s="657"/>
      <c r="AI100" s="657"/>
      <c r="AJ100" s="657"/>
      <c r="AK100" s="657"/>
      <c r="AL100" s="657"/>
      <c r="AM100" s="657"/>
      <c r="AN100" s="657"/>
      <c r="AO100" s="657"/>
      <c r="AP100" s="657"/>
      <c r="AQ100" s="657"/>
      <c r="AR100" s="657"/>
      <c r="AS100" s="657"/>
      <c r="AT100" s="657"/>
      <c r="AU100" s="657"/>
      <c r="AV100" s="657"/>
      <c r="AW100" s="657"/>
      <c r="AX100" s="657"/>
      <c r="AY100" s="657"/>
      <c r="AZ100" s="657"/>
      <c r="BA100" s="657"/>
      <c r="BB100" s="657"/>
      <c r="BC100" s="657"/>
      <c r="BD100" s="657"/>
      <c r="BE100" s="657"/>
      <c r="BF100" s="657"/>
      <c r="BG100" s="657"/>
      <c r="BH100" s="657"/>
      <c r="BI100" s="657"/>
      <c r="BJ100" s="657"/>
      <c r="BK100" s="657"/>
      <c r="BL100" s="696"/>
      <c r="BM100" s="696"/>
      <c r="BN100" s="696"/>
      <c r="BO100" s="696"/>
      <c r="BP100" s="696"/>
      <c r="BQ100" s="696"/>
      <c r="BR100" s="696"/>
      <c r="BS100" s="696"/>
      <c r="BT100" s="696"/>
      <c r="BU100" s="696"/>
      <c r="BV100" s="696"/>
      <c r="BW100" s="696"/>
      <c r="BX100" s="696"/>
      <c r="BY100" s="696"/>
      <c r="BZ100" s="696"/>
      <c r="CA100" s="696"/>
      <c r="CB100" s="696"/>
      <c r="CC100" s="696"/>
      <c r="CD100" s="696"/>
      <c r="CE100" s="696"/>
      <c r="CF100" s="696"/>
      <c r="CG100" s="696"/>
      <c r="CH100" s="696"/>
      <c r="CI100" s="696"/>
      <c r="CJ100" s="696"/>
      <c r="CK100" s="696"/>
      <c r="CL100" s="696"/>
      <c r="CM100" s="696"/>
      <c r="CN100" s="696"/>
      <c r="CO100" s="696"/>
      <c r="CP100" s="696"/>
      <c r="CQ100" s="696"/>
      <c r="CR100" s="696"/>
      <c r="CS100" s="696"/>
      <c r="CT100" s="696"/>
      <c r="CU100" s="696"/>
      <c r="CV100" s="657"/>
    </row>
    <row r="101" spans="1:100" ht="12" customHeight="1" thickBot="1" x14ac:dyDescent="0.25">
      <c r="A101" s="657"/>
      <c r="B101" s="1052"/>
      <c r="C101" s="1053"/>
      <c r="D101" s="1053"/>
      <c r="E101" s="1053"/>
      <c r="F101" s="1053"/>
      <c r="G101" s="1053"/>
      <c r="H101" s="1053"/>
      <c r="I101" s="1053"/>
      <c r="J101" s="1053"/>
      <c r="K101" s="1053"/>
      <c r="L101" s="1053"/>
      <c r="M101" s="1053"/>
      <c r="N101" s="1053"/>
      <c r="O101" s="1053"/>
      <c r="P101" s="1053"/>
      <c r="Q101" s="1053"/>
      <c r="R101" s="1053"/>
      <c r="S101" s="1053"/>
      <c r="T101" s="1053"/>
      <c r="U101" s="1054"/>
      <c r="V101" s="1055" t="s">
        <v>7261</v>
      </c>
      <c r="W101" s="1056"/>
      <c r="X101" s="1056"/>
      <c r="Y101" s="1056"/>
      <c r="Z101" s="1056"/>
      <c r="AA101" s="1056"/>
      <c r="AB101" s="1056" t="s">
        <v>7262</v>
      </c>
      <c r="AC101" s="1056"/>
      <c r="AD101" s="1056"/>
      <c r="AE101" s="1056"/>
      <c r="AF101" s="1056"/>
      <c r="AG101" s="1056"/>
      <c r="AH101" s="1056"/>
      <c r="AI101" s="1056"/>
      <c r="AJ101" s="1056"/>
      <c r="AK101" s="1056"/>
      <c r="AL101" s="1056"/>
      <c r="AM101" s="1056"/>
      <c r="AN101" s="1056"/>
      <c r="AO101" s="1056"/>
      <c r="AP101" s="1056"/>
      <c r="AQ101" s="1056" t="s">
        <v>5883</v>
      </c>
      <c r="AR101" s="1056"/>
      <c r="AS101" s="1056"/>
      <c r="AT101" s="1056"/>
      <c r="AU101" s="1056"/>
      <c r="AV101" s="1056"/>
      <c r="AW101" s="1056"/>
      <c r="AX101" s="1056"/>
      <c r="AY101" s="1056"/>
      <c r="AZ101" s="1056"/>
      <c r="BA101" s="1056"/>
      <c r="BB101" s="1056"/>
      <c r="BC101" s="1057"/>
      <c r="BD101" s="657"/>
      <c r="BE101" s="1074" t="s">
        <v>7186</v>
      </c>
      <c r="BF101" s="1074"/>
      <c r="BG101" s="1074"/>
      <c r="BH101" s="1074"/>
      <c r="BI101" s="1074"/>
      <c r="BJ101" s="1074"/>
      <c r="BK101" s="1074"/>
      <c r="BL101" s="1074"/>
      <c r="BM101" s="1074"/>
      <c r="BN101" s="1074"/>
      <c r="BO101" s="1074"/>
      <c r="BP101" s="1074"/>
      <c r="BQ101" s="1074"/>
      <c r="BR101" s="1074"/>
      <c r="BS101" s="1074"/>
      <c r="BT101" s="1074"/>
      <c r="BU101" s="1074"/>
      <c r="BV101" s="1074"/>
      <c r="BW101" s="1074"/>
      <c r="BX101" s="1074"/>
      <c r="BY101" s="1074"/>
      <c r="BZ101" s="696"/>
      <c r="CA101" s="1074" t="s">
        <v>7272</v>
      </c>
      <c r="CB101" s="1074"/>
      <c r="CC101" s="1074"/>
      <c r="CD101" s="1074"/>
      <c r="CE101" s="1074"/>
      <c r="CF101" s="1074"/>
      <c r="CG101" s="1074"/>
      <c r="CH101" s="1074"/>
      <c r="CI101" s="1074"/>
      <c r="CJ101" s="1074"/>
      <c r="CK101" s="1074"/>
      <c r="CL101" s="1074"/>
      <c r="CM101" s="1074"/>
      <c r="CN101" s="1074"/>
      <c r="CO101" s="1074"/>
      <c r="CP101" s="1074"/>
      <c r="CQ101" s="1074"/>
      <c r="CR101" s="1074"/>
      <c r="CS101" s="1074"/>
      <c r="CT101" s="1074"/>
      <c r="CU101" s="1074"/>
      <c r="CV101" s="657"/>
    </row>
    <row r="102" spans="1:100" ht="12" customHeight="1" thickBot="1" x14ac:dyDescent="0.25">
      <c r="A102" s="657"/>
      <c r="B102" s="1059"/>
      <c r="C102" s="1060"/>
      <c r="D102" s="1060"/>
      <c r="E102" s="1060"/>
      <c r="F102" s="1060"/>
      <c r="G102" s="1060"/>
      <c r="H102" s="1060"/>
      <c r="I102" s="1060"/>
      <c r="J102" s="1060"/>
      <c r="K102" s="1060"/>
      <c r="L102" s="1060"/>
      <c r="M102" s="1060"/>
      <c r="N102" s="1060"/>
      <c r="O102" s="1060"/>
      <c r="P102" s="1060"/>
      <c r="Q102" s="1060"/>
      <c r="R102" s="1060"/>
      <c r="S102" s="1060"/>
      <c r="T102" s="1060"/>
      <c r="U102" s="1061"/>
      <c r="V102" s="1068"/>
      <c r="W102" s="1069"/>
      <c r="X102" s="1069"/>
      <c r="Y102" s="1069"/>
      <c r="Z102" s="1069"/>
      <c r="AA102" s="1069"/>
      <c r="AB102" s="1031"/>
      <c r="AC102" s="1031"/>
      <c r="AD102" s="1031"/>
      <c r="AE102" s="1031"/>
      <c r="AF102" s="1031"/>
      <c r="AG102" s="1031"/>
      <c r="AH102" s="1031"/>
      <c r="AI102" s="1031"/>
      <c r="AJ102" s="1031"/>
      <c r="AK102" s="1031"/>
      <c r="AL102" s="1031"/>
      <c r="AM102" s="1031"/>
      <c r="AN102" s="1031"/>
      <c r="AO102" s="1031"/>
      <c r="AP102" s="1031"/>
      <c r="AQ102" s="1031"/>
      <c r="AR102" s="1031"/>
      <c r="AS102" s="1031"/>
      <c r="AT102" s="1031"/>
      <c r="AU102" s="1031"/>
      <c r="AV102" s="1031"/>
      <c r="AW102" s="1031"/>
      <c r="AX102" s="1031"/>
      <c r="AY102" s="1031"/>
      <c r="AZ102" s="1031"/>
      <c r="BA102" s="1031"/>
      <c r="BB102" s="1031"/>
      <c r="BC102" s="1031"/>
      <c r="BD102" s="657"/>
      <c r="BE102" s="1074"/>
      <c r="BF102" s="1074"/>
      <c r="BG102" s="1074"/>
      <c r="BH102" s="1074"/>
      <c r="BI102" s="1074"/>
      <c r="BJ102" s="1074"/>
      <c r="BK102" s="1074"/>
      <c r="BL102" s="1074"/>
      <c r="BM102" s="1074"/>
      <c r="BN102" s="1074"/>
      <c r="BO102" s="1074"/>
      <c r="BP102" s="1074"/>
      <c r="BQ102" s="1074"/>
      <c r="BR102" s="1074"/>
      <c r="BS102" s="1074"/>
      <c r="BT102" s="1074"/>
      <c r="BU102" s="1074"/>
      <c r="BV102" s="1074"/>
      <c r="BW102" s="1074"/>
      <c r="BX102" s="1074"/>
      <c r="BY102" s="1074"/>
      <c r="BZ102" s="696"/>
      <c r="CA102" s="1074"/>
      <c r="CB102" s="1074"/>
      <c r="CC102" s="1074"/>
      <c r="CD102" s="1074"/>
      <c r="CE102" s="1074"/>
      <c r="CF102" s="1074"/>
      <c r="CG102" s="1074"/>
      <c r="CH102" s="1074"/>
      <c r="CI102" s="1074"/>
      <c r="CJ102" s="1074"/>
      <c r="CK102" s="1074"/>
      <c r="CL102" s="1074"/>
      <c r="CM102" s="1074"/>
      <c r="CN102" s="1074"/>
      <c r="CO102" s="1074"/>
      <c r="CP102" s="1074"/>
      <c r="CQ102" s="1074"/>
      <c r="CR102" s="1074"/>
      <c r="CS102" s="1074"/>
      <c r="CT102" s="1074"/>
      <c r="CU102" s="1074"/>
      <c r="CV102" s="657"/>
    </row>
    <row r="103" spans="1:100" ht="12" customHeight="1" thickBot="1" x14ac:dyDescent="0.35">
      <c r="A103" s="657"/>
      <c r="B103" s="1062"/>
      <c r="C103" s="1063"/>
      <c r="D103" s="1063"/>
      <c r="E103" s="1063"/>
      <c r="F103" s="1063"/>
      <c r="G103" s="1063"/>
      <c r="H103" s="1063"/>
      <c r="I103" s="1063"/>
      <c r="J103" s="1063"/>
      <c r="K103" s="1063"/>
      <c r="L103" s="1063"/>
      <c r="M103" s="1063"/>
      <c r="N103" s="1063"/>
      <c r="O103" s="1063"/>
      <c r="P103" s="1063"/>
      <c r="Q103" s="1063"/>
      <c r="R103" s="1063"/>
      <c r="S103" s="1063"/>
      <c r="T103" s="1063"/>
      <c r="U103" s="1064"/>
      <c r="V103" s="1068"/>
      <c r="W103" s="1069"/>
      <c r="X103" s="1069"/>
      <c r="Y103" s="1069"/>
      <c r="Z103" s="1069"/>
      <c r="AA103" s="1069"/>
      <c r="AB103" s="1031"/>
      <c r="AC103" s="1031"/>
      <c r="AD103" s="1031"/>
      <c r="AE103" s="1031"/>
      <c r="AF103" s="1031"/>
      <c r="AG103" s="1031"/>
      <c r="AH103" s="1031"/>
      <c r="AI103" s="1031"/>
      <c r="AJ103" s="1031"/>
      <c r="AK103" s="1031"/>
      <c r="AL103" s="1031"/>
      <c r="AM103" s="1031"/>
      <c r="AN103" s="1031"/>
      <c r="AO103" s="1031"/>
      <c r="AP103" s="1031"/>
      <c r="AQ103" s="1031"/>
      <c r="AR103" s="1031"/>
      <c r="AS103" s="1031"/>
      <c r="AT103" s="1031"/>
      <c r="AU103" s="1031"/>
      <c r="AV103" s="1031"/>
      <c r="AW103" s="1031"/>
      <c r="AX103" s="1031"/>
      <c r="AY103" s="1031"/>
      <c r="AZ103" s="1031"/>
      <c r="BA103" s="1031"/>
      <c r="BB103" s="1031"/>
      <c r="BC103" s="1031"/>
      <c r="BD103" s="657"/>
      <c r="BE103" s="660" t="s">
        <v>7273</v>
      </c>
      <c r="BF103" s="687"/>
      <c r="BG103" s="687"/>
      <c r="BH103" s="687"/>
      <c r="BI103" s="687"/>
      <c r="BJ103" s="687"/>
      <c r="BK103" s="687"/>
      <c r="BL103" s="657"/>
      <c r="BM103" s="657"/>
      <c r="BN103" s="657"/>
      <c r="BO103" s="657"/>
      <c r="BP103" s="657"/>
      <c r="BQ103" s="657"/>
      <c r="BR103" s="657"/>
      <c r="BS103" s="657"/>
      <c r="BT103" s="657"/>
      <c r="BU103" s="657"/>
      <c r="BV103" s="657"/>
      <c r="BW103" s="657"/>
      <c r="BX103" s="657"/>
      <c r="BY103" s="657"/>
      <c r="BZ103" s="657"/>
      <c r="CA103" s="660" t="s">
        <v>7274</v>
      </c>
      <c r="CB103" s="687"/>
      <c r="CC103" s="687"/>
      <c r="CD103" s="687"/>
      <c r="CE103" s="687"/>
      <c r="CF103" s="687"/>
      <c r="CG103" s="687"/>
      <c r="CH103" s="657"/>
      <c r="CI103" s="657"/>
      <c r="CJ103" s="657"/>
      <c r="CK103" s="657"/>
      <c r="CL103" s="657"/>
      <c r="CM103" s="657"/>
      <c r="CN103" s="657"/>
      <c r="CO103" s="657"/>
      <c r="CP103" s="657"/>
      <c r="CQ103" s="657"/>
      <c r="CR103" s="657"/>
      <c r="CS103" s="657"/>
      <c r="CT103" s="657"/>
      <c r="CU103" s="657"/>
      <c r="CV103" s="657"/>
    </row>
    <row r="104" spans="1:100" ht="12" customHeight="1" thickBot="1" x14ac:dyDescent="0.25">
      <c r="A104" s="657"/>
      <c r="B104" s="1065"/>
      <c r="C104" s="1066"/>
      <c r="D104" s="1066"/>
      <c r="E104" s="1066"/>
      <c r="F104" s="1066"/>
      <c r="G104" s="1066"/>
      <c r="H104" s="1066"/>
      <c r="I104" s="1066"/>
      <c r="J104" s="1066"/>
      <c r="K104" s="1066"/>
      <c r="L104" s="1066"/>
      <c r="M104" s="1066"/>
      <c r="N104" s="1066"/>
      <c r="O104" s="1066"/>
      <c r="P104" s="1066"/>
      <c r="Q104" s="1066"/>
      <c r="R104" s="1066"/>
      <c r="S104" s="1066"/>
      <c r="T104" s="1066"/>
      <c r="U104" s="1067"/>
      <c r="V104" s="1068"/>
      <c r="W104" s="1069"/>
      <c r="X104" s="1069"/>
      <c r="Y104" s="1069"/>
      <c r="Z104" s="1069"/>
      <c r="AA104" s="1069"/>
      <c r="AB104" s="1070"/>
      <c r="AC104" s="1070"/>
      <c r="AD104" s="1070"/>
      <c r="AE104" s="1070"/>
      <c r="AF104" s="1070"/>
      <c r="AG104" s="1070"/>
      <c r="AH104" s="1070"/>
      <c r="AI104" s="1070"/>
      <c r="AJ104" s="1070"/>
      <c r="AK104" s="1070"/>
      <c r="AL104" s="1070"/>
      <c r="AM104" s="1070"/>
      <c r="AN104" s="1070"/>
      <c r="AO104" s="1070"/>
      <c r="AP104" s="1070"/>
      <c r="AQ104" s="1070"/>
      <c r="AR104" s="1070"/>
      <c r="AS104" s="1070"/>
      <c r="AT104" s="1070"/>
      <c r="AU104" s="1070"/>
      <c r="AV104" s="1070"/>
      <c r="AW104" s="1070"/>
      <c r="AX104" s="1070"/>
      <c r="AY104" s="1070"/>
      <c r="AZ104" s="1070"/>
      <c r="BA104" s="1070"/>
      <c r="BB104" s="1070"/>
      <c r="BC104" s="1070"/>
      <c r="BD104" s="657"/>
      <c r="BE104" s="1025"/>
      <c r="BF104" s="1025"/>
      <c r="BG104" s="1025"/>
      <c r="BH104" s="1025"/>
      <c r="BI104" s="1025"/>
      <c r="BJ104" s="1025"/>
      <c r="BK104" s="1025"/>
      <c r="BL104" s="1025"/>
      <c r="BM104" s="1025"/>
      <c r="BN104" s="1025"/>
      <c r="BO104" s="1025"/>
      <c r="BP104" s="1025"/>
      <c r="BQ104" s="1025"/>
      <c r="BR104" s="1025"/>
      <c r="BS104" s="1025"/>
      <c r="BT104" s="1025"/>
      <c r="BU104" s="1025"/>
      <c r="BV104" s="1025"/>
      <c r="BW104" s="1025"/>
      <c r="BX104" s="1025"/>
      <c r="BY104" s="1025"/>
      <c r="BZ104" s="657"/>
      <c r="CA104" s="1025"/>
      <c r="CB104" s="1025"/>
      <c r="CC104" s="1025"/>
      <c r="CD104" s="1025"/>
      <c r="CE104" s="1025"/>
      <c r="CF104" s="1025"/>
      <c r="CG104" s="1025"/>
      <c r="CH104" s="1025"/>
      <c r="CI104" s="1025"/>
      <c r="CJ104" s="1025"/>
      <c r="CK104" s="1025"/>
      <c r="CL104" s="1025"/>
      <c r="CM104" s="1025"/>
      <c r="CN104" s="1025"/>
      <c r="CO104" s="1025"/>
      <c r="CP104" s="1025"/>
      <c r="CQ104" s="1025"/>
      <c r="CR104" s="1025"/>
      <c r="CS104" s="1025"/>
      <c r="CT104" s="1025"/>
      <c r="CU104" s="1025"/>
      <c r="CV104" s="657"/>
    </row>
    <row r="105" spans="1:100" ht="12" customHeight="1" thickBot="1" x14ac:dyDescent="0.25">
      <c r="A105" s="657"/>
      <c r="B105" s="1028" t="s">
        <v>7264</v>
      </c>
      <c r="C105" s="1029"/>
      <c r="D105" s="1029"/>
      <c r="E105" s="1029"/>
      <c r="F105" s="1029"/>
      <c r="G105" s="1029"/>
      <c r="H105" s="1029"/>
      <c r="I105" s="1029"/>
      <c r="J105" s="1029" t="s">
        <v>7246</v>
      </c>
      <c r="K105" s="1029"/>
      <c r="L105" s="1029"/>
      <c r="M105" s="1029"/>
      <c r="N105" s="1029"/>
      <c r="O105" s="1029"/>
      <c r="P105" s="1029"/>
      <c r="Q105" s="1029"/>
      <c r="R105" s="1029"/>
      <c r="S105" s="1029"/>
      <c r="T105" s="1029"/>
      <c r="U105" s="1029"/>
      <c r="V105" s="1029"/>
      <c r="W105" s="1029"/>
      <c r="X105" s="1029"/>
      <c r="Y105" s="1029"/>
      <c r="Z105" s="1029"/>
      <c r="AA105" s="1029"/>
      <c r="AB105" s="1029"/>
      <c r="AC105" s="1029"/>
      <c r="AD105" s="1029"/>
      <c r="AE105" s="1029"/>
      <c r="AF105" s="1029"/>
      <c r="AG105" s="1029"/>
      <c r="AH105" s="1029"/>
      <c r="AI105" s="1029"/>
      <c r="AJ105" s="1029"/>
      <c r="AK105" s="1029"/>
      <c r="AL105" s="1029"/>
      <c r="AM105" s="1029"/>
      <c r="AN105" s="1029"/>
      <c r="AO105" s="1029"/>
      <c r="AP105" s="1029"/>
      <c r="AQ105" s="1029"/>
      <c r="AR105" s="1029"/>
      <c r="AS105" s="1029"/>
      <c r="AT105" s="1029"/>
      <c r="AU105" s="1029"/>
      <c r="AV105" s="1029"/>
      <c r="AW105" s="1029"/>
      <c r="AX105" s="1029"/>
      <c r="AY105" s="1029"/>
      <c r="AZ105" s="1029"/>
      <c r="BA105" s="1029"/>
      <c r="BB105" s="1029"/>
      <c r="BC105" s="1030"/>
      <c r="BD105" s="657"/>
      <c r="BE105" s="1025"/>
      <c r="BF105" s="1025"/>
      <c r="BG105" s="1025"/>
      <c r="BH105" s="1025"/>
      <c r="BI105" s="1025"/>
      <c r="BJ105" s="1025"/>
      <c r="BK105" s="1025"/>
      <c r="BL105" s="1025"/>
      <c r="BM105" s="1025"/>
      <c r="BN105" s="1025"/>
      <c r="BO105" s="1025"/>
      <c r="BP105" s="1025"/>
      <c r="BQ105" s="1025"/>
      <c r="BR105" s="1025"/>
      <c r="BS105" s="1025"/>
      <c r="BT105" s="1025"/>
      <c r="BU105" s="1025"/>
      <c r="BV105" s="1025"/>
      <c r="BW105" s="1025"/>
      <c r="BX105" s="1025"/>
      <c r="BY105" s="1025"/>
      <c r="BZ105" s="696"/>
      <c r="CA105" s="1025"/>
      <c r="CB105" s="1025"/>
      <c r="CC105" s="1025"/>
      <c r="CD105" s="1025"/>
      <c r="CE105" s="1025"/>
      <c r="CF105" s="1025"/>
      <c r="CG105" s="1025"/>
      <c r="CH105" s="1025"/>
      <c r="CI105" s="1025"/>
      <c r="CJ105" s="1025"/>
      <c r="CK105" s="1025"/>
      <c r="CL105" s="1025"/>
      <c r="CM105" s="1025"/>
      <c r="CN105" s="1025"/>
      <c r="CO105" s="1025"/>
      <c r="CP105" s="1025"/>
      <c r="CQ105" s="1025"/>
      <c r="CR105" s="1025"/>
      <c r="CS105" s="1025"/>
      <c r="CT105" s="1025"/>
      <c r="CU105" s="1025"/>
      <c r="CV105" s="657"/>
    </row>
    <row r="106" spans="1:100" ht="12" customHeight="1" thickBot="1" x14ac:dyDescent="0.25">
      <c r="A106" s="657"/>
      <c r="B106" s="1031"/>
      <c r="C106" s="1031"/>
      <c r="D106" s="1031"/>
      <c r="E106" s="1031"/>
      <c r="F106" s="1031"/>
      <c r="G106" s="1031"/>
      <c r="H106" s="1031"/>
      <c r="I106" s="1031"/>
      <c r="J106" s="1032"/>
      <c r="K106" s="1033"/>
      <c r="L106" s="1033"/>
      <c r="M106" s="1033"/>
      <c r="N106" s="1033"/>
      <c r="O106" s="1033"/>
      <c r="P106" s="1033"/>
      <c r="Q106" s="1033"/>
      <c r="R106" s="1033"/>
      <c r="S106" s="1033"/>
      <c r="T106" s="1033"/>
      <c r="U106" s="1033"/>
      <c r="V106" s="1033"/>
      <c r="W106" s="1033"/>
      <c r="X106" s="1033"/>
      <c r="Y106" s="1033"/>
      <c r="Z106" s="1033"/>
      <c r="AA106" s="1033"/>
      <c r="AB106" s="1033"/>
      <c r="AC106" s="1033"/>
      <c r="AD106" s="1033"/>
      <c r="AE106" s="1033"/>
      <c r="AF106" s="1033"/>
      <c r="AG106" s="1033"/>
      <c r="AH106" s="1033"/>
      <c r="AI106" s="1033"/>
      <c r="AJ106" s="1033"/>
      <c r="AK106" s="1033"/>
      <c r="AL106" s="1033"/>
      <c r="AM106" s="1033"/>
      <c r="AN106" s="1033"/>
      <c r="AO106" s="1033"/>
      <c r="AP106" s="1033"/>
      <c r="AQ106" s="1033"/>
      <c r="AR106" s="1033"/>
      <c r="AS106" s="1033"/>
      <c r="AT106" s="1033"/>
      <c r="AU106" s="1033"/>
      <c r="AV106" s="1033"/>
      <c r="AW106" s="1033"/>
      <c r="AX106" s="1033"/>
      <c r="AY106" s="1033"/>
      <c r="AZ106" s="1033"/>
      <c r="BA106" s="1033"/>
      <c r="BB106" s="1033"/>
      <c r="BC106" s="1034"/>
      <c r="BD106" s="657"/>
      <c r="BE106" s="1075"/>
      <c r="BF106" s="1075"/>
      <c r="BG106" s="1075"/>
      <c r="BH106" s="1075"/>
      <c r="BI106" s="1075"/>
      <c r="BJ106" s="1075"/>
      <c r="BK106" s="1075"/>
      <c r="BL106" s="1075"/>
      <c r="BM106" s="1075"/>
      <c r="BN106" s="1075"/>
      <c r="BO106" s="1075"/>
      <c r="BP106" s="1075"/>
      <c r="BQ106" s="1075"/>
      <c r="BR106" s="1075"/>
      <c r="BS106" s="1075"/>
      <c r="BT106" s="1075"/>
      <c r="BU106" s="1075"/>
      <c r="BV106" s="1075"/>
      <c r="BW106" s="1075"/>
      <c r="BX106" s="1075"/>
      <c r="BY106" s="1075"/>
      <c r="BZ106" s="696"/>
      <c r="CA106" s="1075"/>
      <c r="CB106" s="1075"/>
      <c r="CC106" s="1075"/>
      <c r="CD106" s="1075"/>
      <c r="CE106" s="1075"/>
      <c r="CF106" s="1075"/>
      <c r="CG106" s="1075"/>
      <c r="CH106" s="1075"/>
      <c r="CI106" s="1075"/>
      <c r="CJ106" s="1075"/>
      <c r="CK106" s="1075"/>
      <c r="CL106" s="1075"/>
      <c r="CM106" s="1075"/>
      <c r="CN106" s="1075"/>
      <c r="CO106" s="1075"/>
      <c r="CP106" s="1075"/>
      <c r="CQ106" s="1075"/>
      <c r="CR106" s="1075"/>
      <c r="CS106" s="1075"/>
      <c r="CT106" s="1075"/>
      <c r="CU106" s="1075"/>
      <c r="CV106" s="657"/>
    </row>
    <row r="107" spans="1:100" ht="12" customHeight="1" thickBot="1" x14ac:dyDescent="0.25">
      <c r="A107" s="657"/>
      <c r="B107" s="1031"/>
      <c r="C107" s="1031"/>
      <c r="D107" s="1031"/>
      <c r="E107" s="1031"/>
      <c r="F107" s="1031"/>
      <c r="G107" s="1031"/>
      <c r="H107" s="1031"/>
      <c r="I107" s="1031"/>
      <c r="J107" s="1035"/>
      <c r="K107" s="1036"/>
      <c r="L107" s="1036"/>
      <c r="M107" s="1036"/>
      <c r="N107" s="1036"/>
      <c r="O107" s="1036"/>
      <c r="P107" s="1036"/>
      <c r="Q107" s="1036"/>
      <c r="R107" s="1036"/>
      <c r="S107" s="1036"/>
      <c r="T107" s="1036"/>
      <c r="U107" s="1036"/>
      <c r="V107" s="1036"/>
      <c r="W107" s="1036"/>
      <c r="X107" s="1036"/>
      <c r="Y107" s="1036"/>
      <c r="Z107" s="1036"/>
      <c r="AA107" s="1036"/>
      <c r="AB107" s="1036"/>
      <c r="AC107" s="1036"/>
      <c r="AD107" s="1036"/>
      <c r="AE107" s="1036"/>
      <c r="AF107" s="1036"/>
      <c r="AG107" s="1036"/>
      <c r="AH107" s="1036"/>
      <c r="AI107" s="1036"/>
      <c r="AJ107" s="1036"/>
      <c r="AK107" s="1036"/>
      <c r="AL107" s="1036"/>
      <c r="AM107" s="1036"/>
      <c r="AN107" s="1036"/>
      <c r="AO107" s="1036"/>
      <c r="AP107" s="1036"/>
      <c r="AQ107" s="1036"/>
      <c r="AR107" s="1036"/>
      <c r="AS107" s="1036"/>
      <c r="AT107" s="1036"/>
      <c r="AU107" s="1036"/>
      <c r="AV107" s="1036"/>
      <c r="AW107" s="1036"/>
      <c r="AX107" s="1036"/>
      <c r="AY107" s="1036"/>
      <c r="AZ107" s="1036"/>
      <c r="BA107" s="1036"/>
      <c r="BB107" s="1036"/>
      <c r="BC107" s="1037"/>
      <c r="BD107" s="657"/>
      <c r="BE107" s="657"/>
      <c r="BF107" s="657"/>
      <c r="BG107" s="657"/>
      <c r="BH107" s="657"/>
      <c r="BI107" s="657"/>
      <c r="BJ107" s="657"/>
      <c r="BK107" s="657"/>
      <c r="BL107" s="696"/>
      <c r="BM107" s="696"/>
      <c r="BN107" s="696"/>
      <c r="BO107" s="696"/>
      <c r="BP107" s="696"/>
      <c r="BQ107" s="696"/>
      <c r="BR107" s="696"/>
      <c r="BS107" s="696"/>
      <c r="BT107" s="696"/>
      <c r="BU107" s="696"/>
      <c r="BV107" s="696"/>
      <c r="BW107" s="696"/>
      <c r="BX107" s="696"/>
      <c r="BY107" s="696"/>
      <c r="BZ107" s="696"/>
      <c r="CA107" s="696"/>
      <c r="CB107" s="696"/>
      <c r="CC107" s="696"/>
      <c r="CD107" s="696"/>
      <c r="CE107" s="696"/>
      <c r="CF107" s="696"/>
      <c r="CG107" s="696"/>
      <c r="CH107" s="696"/>
      <c r="CI107" s="696"/>
      <c r="CJ107" s="696"/>
      <c r="CK107" s="696"/>
      <c r="CL107" s="696"/>
      <c r="CM107" s="696"/>
      <c r="CN107" s="696"/>
      <c r="CO107" s="696"/>
      <c r="CP107" s="696"/>
      <c r="CQ107" s="696"/>
      <c r="CR107" s="696"/>
      <c r="CS107" s="696"/>
      <c r="CT107" s="696"/>
      <c r="CU107" s="696"/>
      <c r="CV107" s="657"/>
    </row>
    <row r="108" spans="1:100" ht="12" customHeight="1" thickBot="1" x14ac:dyDescent="0.25">
      <c r="A108" s="657"/>
      <c r="B108" s="1031"/>
      <c r="C108" s="1031"/>
      <c r="D108" s="1031"/>
      <c r="E108" s="1031"/>
      <c r="F108" s="1031"/>
      <c r="G108" s="1031"/>
      <c r="H108" s="1031"/>
      <c r="I108" s="1031"/>
      <c r="J108" s="1038"/>
      <c r="K108" s="1039"/>
      <c r="L108" s="1039"/>
      <c r="M108" s="1039"/>
      <c r="N108" s="1039"/>
      <c r="O108" s="1039"/>
      <c r="P108" s="1039"/>
      <c r="Q108" s="1039"/>
      <c r="R108" s="1039"/>
      <c r="S108" s="1039"/>
      <c r="T108" s="1039"/>
      <c r="U108" s="1039"/>
      <c r="V108" s="1039"/>
      <c r="W108" s="1039"/>
      <c r="X108" s="1039"/>
      <c r="Y108" s="1039"/>
      <c r="Z108" s="1039"/>
      <c r="AA108" s="1039"/>
      <c r="AB108" s="1039"/>
      <c r="AC108" s="1039"/>
      <c r="AD108" s="1039"/>
      <c r="AE108" s="1039"/>
      <c r="AF108" s="1039"/>
      <c r="AG108" s="1039"/>
      <c r="AH108" s="1039"/>
      <c r="AI108" s="1039"/>
      <c r="AJ108" s="1039"/>
      <c r="AK108" s="1039"/>
      <c r="AL108" s="1039"/>
      <c r="AM108" s="1039"/>
      <c r="AN108" s="1039"/>
      <c r="AO108" s="1039"/>
      <c r="AP108" s="1039"/>
      <c r="AQ108" s="1039"/>
      <c r="AR108" s="1039"/>
      <c r="AS108" s="1039"/>
      <c r="AT108" s="1039"/>
      <c r="AU108" s="1039"/>
      <c r="AV108" s="1039"/>
      <c r="AW108" s="1039"/>
      <c r="AX108" s="1039"/>
      <c r="AY108" s="1039"/>
      <c r="AZ108" s="1039"/>
      <c r="BA108" s="1039"/>
      <c r="BB108" s="1039"/>
      <c r="BC108" s="1040"/>
      <c r="BD108" s="657"/>
      <c r="BE108" s="1074" t="s">
        <v>7275</v>
      </c>
      <c r="BF108" s="1074"/>
      <c r="BG108" s="1074"/>
      <c r="BH108" s="1074"/>
      <c r="BI108" s="1074"/>
      <c r="BJ108" s="1074"/>
      <c r="BK108" s="1074"/>
      <c r="BL108" s="1074"/>
      <c r="BM108" s="1074"/>
      <c r="BN108" s="1074"/>
      <c r="BO108" s="1074"/>
      <c r="BP108" s="1074"/>
      <c r="BQ108" s="1074"/>
      <c r="BR108" s="1074"/>
      <c r="BS108" s="1074"/>
      <c r="BT108" s="1074"/>
      <c r="BU108" s="1074"/>
      <c r="BV108" s="1074"/>
      <c r="BW108" s="1074"/>
      <c r="BX108" s="1074"/>
      <c r="BY108" s="1074"/>
      <c r="BZ108" s="696"/>
      <c r="CA108" s="1074" t="s">
        <v>7276</v>
      </c>
      <c r="CB108" s="1074"/>
      <c r="CC108" s="1074"/>
      <c r="CD108" s="1074"/>
      <c r="CE108" s="1074"/>
      <c r="CF108" s="1074"/>
      <c r="CG108" s="1074"/>
      <c r="CH108" s="1074"/>
      <c r="CI108" s="1074"/>
      <c r="CJ108" s="1074"/>
      <c r="CK108" s="1074"/>
      <c r="CL108" s="1074"/>
      <c r="CM108" s="1074"/>
      <c r="CN108" s="1074"/>
      <c r="CO108" s="1074"/>
      <c r="CP108" s="1074"/>
      <c r="CQ108" s="1074"/>
      <c r="CR108" s="1074"/>
      <c r="CS108" s="1074"/>
      <c r="CT108" s="1074"/>
      <c r="CU108" s="1074"/>
      <c r="CV108" s="657"/>
    </row>
    <row r="109" spans="1:100" ht="12" customHeight="1" x14ac:dyDescent="0.2">
      <c r="A109" s="657"/>
      <c r="B109" s="1045" t="s">
        <v>7269</v>
      </c>
      <c r="C109" s="1045"/>
      <c r="D109" s="1045"/>
      <c r="E109" s="1045"/>
      <c r="F109" s="1045"/>
      <c r="G109" s="1045"/>
      <c r="H109" s="1045"/>
      <c r="I109" s="1047"/>
      <c r="J109" s="1047"/>
      <c r="K109" s="1047"/>
      <c r="L109" s="1047"/>
      <c r="M109" s="1047"/>
      <c r="N109" s="1047"/>
      <c r="O109" s="1047"/>
      <c r="P109" s="1047"/>
      <c r="Q109" s="1047"/>
      <c r="R109" s="1047"/>
      <c r="S109" s="1047"/>
      <c r="T109" s="690"/>
      <c r="U109" s="1044" t="s">
        <v>7270</v>
      </c>
      <c r="V109" s="1024" t="s">
        <v>7270</v>
      </c>
      <c r="W109" s="1024" t="s">
        <v>7270</v>
      </c>
      <c r="X109" s="1024" t="s">
        <v>7270</v>
      </c>
      <c r="Y109" s="1024" t="s">
        <v>7270</v>
      </c>
      <c r="Z109" s="690"/>
      <c r="AA109" s="1044" t="s">
        <v>7270</v>
      </c>
      <c r="AB109" s="1024" t="s">
        <v>7270</v>
      </c>
      <c r="AC109" s="1024" t="s">
        <v>7270</v>
      </c>
      <c r="AD109" s="1024" t="s">
        <v>7270</v>
      </c>
      <c r="AE109" s="1024" t="s">
        <v>7270</v>
      </c>
      <c r="AF109" s="690"/>
      <c r="AG109" s="1024" t="s">
        <v>7270</v>
      </c>
      <c r="AH109" s="1024" t="s">
        <v>7270</v>
      </c>
      <c r="AI109" s="1024" t="s">
        <v>7270</v>
      </c>
      <c r="AJ109" s="1024" t="s">
        <v>7270</v>
      </c>
      <c r="AK109" s="1024" t="s">
        <v>7270</v>
      </c>
      <c r="AL109" s="675"/>
      <c r="AM109" s="1024" t="s">
        <v>7270</v>
      </c>
      <c r="AN109" s="1024" t="s">
        <v>7270</v>
      </c>
      <c r="AO109" s="1024" t="s">
        <v>7270</v>
      </c>
      <c r="AP109" s="1024" t="s">
        <v>7270</v>
      </c>
      <c r="AQ109" s="1024" t="s">
        <v>7270</v>
      </c>
      <c r="AR109" s="675"/>
      <c r="AS109" s="1024" t="s">
        <v>7270</v>
      </c>
      <c r="AT109" s="1024" t="s">
        <v>7270</v>
      </c>
      <c r="AU109" s="1024" t="s">
        <v>7270</v>
      </c>
      <c r="AV109" s="1024" t="s">
        <v>7270</v>
      </c>
      <c r="AW109" s="1024" t="s">
        <v>7270</v>
      </c>
      <c r="AX109" s="675"/>
      <c r="AY109" s="1024" t="s">
        <v>7270</v>
      </c>
      <c r="AZ109" s="1024" t="s">
        <v>7270</v>
      </c>
      <c r="BA109" s="1024" t="s">
        <v>7270</v>
      </c>
      <c r="BB109" s="1024" t="s">
        <v>7270</v>
      </c>
      <c r="BC109" s="1024" t="s">
        <v>7270</v>
      </c>
      <c r="BD109" s="657"/>
      <c r="BE109" s="1074"/>
      <c r="BF109" s="1074"/>
      <c r="BG109" s="1074"/>
      <c r="BH109" s="1074"/>
      <c r="BI109" s="1074"/>
      <c r="BJ109" s="1074"/>
      <c r="BK109" s="1074"/>
      <c r="BL109" s="1074"/>
      <c r="BM109" s="1074"/>
      <c r="BN109" s="1074"/>
      <c r="BO109" s="1074"/>
      <c r="BP109" s="1074"/>
      <c r="BQ109" s="1074"/>
      <c r="BR109" s="1074"/>
      <c r="BS109" s="1074"/>
      <c r="BT109" s="1074"/>
      <c r="BU109" s="1074"/>
      <c r="BV109" s="1074"/>
      <c r="BW109" s="1074"/>
      <c r="BX109" s="1074"/>
      <c r="BY109" s="1074"/>
      <c r="BZ109" s="696"/>
      <c r="CA109" s="1074"/>
      <c r="CB109" s="1074"/>
      <c r="CC109" s="1074"/>
      <c r="CD109" s="1074"/>
      <c r="CE109" s="1074"/>
      <c r="CF109" s="1074"/>
      <c r="CG109" s="1074"/>
      <c r="CH109" s="1074"/>
      <c r="CI109" s="1074"/>
      <c r="CJ109" s="1074"/>
      <c r="CK109" s="1074"/>
      <c r="CL109" s="1074"/>
      <c r="CM109" s="1074"/>
      <c r="CN109" s="1074"/>
      <c r="CO109" s="1074"/>
      <c r="CP109" s="1074"/>
      <c r="CQ109" s="1074"/>
      <c r="CR109" s="1074"/>
      <c r="CS109" s="1074"/>
      <c r="CT109" s="1074"/>
      <c r="CU109" s="1074"/>
      <c r="CV109" s="657"/>
    </row>
    <row r="110" spans="1:100" ht="12" customHeight="1" x14ac:dyDescent="0.3">
      <c r="A110" s="657"/>
      <c r="B110" s="1046"/>
      <c r="C110" s="1046"/>
      <c r="D110" s="1046"/>
      <c r="E110" s="1046"/>
      <c r="F110" s="1046"/>
      <c r="G110" s="1046"/>
      <c r="H110" s="1046"/>
      <c r="I110" s="1048"/>
      <c r="J110" s="1048"/>
      <c r="K110" s="1048"/>
      <c r="L110" s="1048"/>
      <c r="M110" s="1048"/>
      <c r="N110" s="1048"/>
      <c r="O110" s="1048"/>
      <c r="P110" s="1048"/>
      <c r="Q110" s="1048"/>
      <c r="R110" s="1048"/>
      <c r="S110" s="1048"/>
      <c r="T110" s="690"/>
      <c r="U110" s="1024"/>
      <c r="V110" s="1024"/>
      <c r="W110" s="1024"/>
      <c r="X110" s="1024"/>
      <c r="Y110" s="1024"/>
      <c r="Z110" s="690"/>
      <c r="AA110" s="1024"/>
      <c r="AB110" s="1024"/>
      <c r="AC110" s="1024"/>
      <c r="AD110" s="1024"/>
      <c r="AE110" s="1024"/>
      <c r="AF110" s="690"/>
      <c r="AG110" s="1024"/>
      <c r="AH110" s="1024"/>
      <c r="AI110" s="1024"/>
      <c r="AJ110" s="1024"/>
      <c r="AK110" s="1024"/>
      <c r="AL110" s="675"/>
      <c r="AM110" s="1024"/>
      <c r="AN110" s="1024"/>
      <c r="AO110" s="1024"/>
      <c r="AP110" s="1024"/>
      <c r="AQ110" s="1024"/>
      <c r="AR110" s="675"/>
      <c r="AS110" s="1024"/>
      <c r="AT110" s="1024"/>
      <c r="AU110" s="1024"/>
      <c r="AV110" s="1024"/>
      <c r="AW110" s="1024"/>
      <c r="AX110" s="675"/>
      <c r="AY110" s="1024"/>
      <c r="AZ110" s="1024"/>
      <c r="BA110" s="1024"/>
      <c r="BB110" s="1024"/>
      <c r="BC110" s="1024"/>
      <c r="BD110" s="657"/>
      <c r="BE110" s="660" t="s">
        <v>7277</v>
      </c>
      <c r="BF110" s="697"/>
      <c r="BG110" s="697"/>
      <c r="BH110" s="697"/>
      <c r="BI110" s="697"/>
      <c r="BJ110" s="697"/>
      <c r="BK110" s="697"/>
      <c r="BL110" s="696"/>
      <c r="BM110" s="696"/>
      <c r="BN110" s="696"/>
      <c r="BO110" s="696"/>
      <c r="BP110" s="696"/>
      <c r="BQ110" s="696"/>
      <c r="BR110" s="696"/>
      <c r="BS110" s="696"/>
      <c r="BT110" s="696"/>
      <c r="BU110" s="696"/>
      <c r="BV110" s="696"/>
      <c r="BW110" s="696"/>
      <c r="BX110" s="696"/>
      <c r="BY110" s="696"/>
      <c r="BZ110" s="696"/>
      <c r="CA110" s="660" t="s">
        <v>7278</v>
      </c>
      <c r="CB110" s="687"/>
      <c r="CC110" s="687"/>
      <c r="CD110" s="687"/>
      <c r="CE110" s="687"/>
      <c r="CF110" s="687"/>
      <c r="CG110" s="687"/>
      <c r="CH110" s="696"/>
      <c r="CI110" s="696"/>
      <c r="CJ110" s="696"/>
      <c r="CK110" s="696"/>
      <c r="CL110" s="696"/>
      <c r="CM110" s="696"/>
      <c r="CN110" s="696"/>
      <c r="CO110" s="696"/>
      <c r="CP110" s="696"/>
      <c r="CQ110" s="696"/>
      <c r="CR110" s="696"/>
      <c r="CS110" s="696"/>
      <c r="CT110" s="696"/>
      <c r="CU110" s="696"/>
      <c r="CV110" s="657"/>
    </row>
    <row r="111" spans="1:100" ht="12" customHeight="1" thickBot="1" x14ac:dyDescent="0.25">
      <c r="A111" s="657"/>
      <c r="B111" s="657"/>
      <c r="C111" s="657"/>
      <c r="D111" s="657"/>
      <c r="E111" s="657"/>
      <c r="F111" s="657"/>
      <c r="G111" s="657"/>
      <c r="H111" s="657"/>
      <c r="I111" s="657"/>
      <c r="J111" s="657"/>
      <c r="K111" s="657"/>
      <c r="L111" s="657"/>
      <c r="M111" s="657"/>
      <c r="N111" s="657"/>
      <c r="O111" s="657"/>
      <c r="P111" s="657"/>
      <c r="Q111" s="657"/>
      <c r="R111" s="657"/>
      <c r="S111" s="657"/>
      <c r="T111" s="657"/>
      <c r="U111" s="657"/>
      <c r="V111" s="657"/>
      <c r="W111" s="657"/>
      <c r="X111" s="657"/>
      <c r="Y111" s="657"/>
      <c r="Z111" s="657"/>
      <c r="AA111" s="657"/>
      <c r="AB111" s="657"/>
      <c r="AC111" s="657"/>
      <c r="AD111" s="657"/>
      <c r="AE111" s="657"/>
      <c r="AF111" s="657"/>
      <c r="AG111" s="657"/>
      <c r="AH111" s="657"/>
      <c r="AI111" s="657"/>
      <c r="AJ111" s="657"/>
      <c r="AK111" s="657"/>
      <c r="AL111" s="657"/>
      <c r="AM111" s="657"/>
      <c r="AN111" s="657"/>
      <c r="AO111" s="657"/>
      <c r="AP111" s="657"/>
      <c r="AQ111" s="657"/>
      <c r="AR111" s="657"/>
      <c r="AS111" s="657"/>
      <c r="AT111" s="657"/>
      <c r="AU111" s="657"/>
      <c r="AV111" s="657"/>
      <c r="AW111" s="657"/>
      <c r="AX111" s="657"/>
      <c r="AY111" s="657"/>
      <c r="AZ111" s="657"/>
      <c r="BA111" s="657"/>
      <c r="BB111" s="657"/>
      <c r="BC111" s="657"/>
      <c r="BD111" s="657"/>
      <c r="BE111" s="1025"/>
      <c r="BF111" s="1025"/>
      <c r="BG111" s="1025"/>
      <c r="BH111" s="1025"/>
      <c r="BI111" s="1025"/>
      <c r="BJ111" s="1025"/>
      <c r="BK111" s="1025"/>
      <c r="BL111" s="1025"/>
      <c r="BM111" s="1025"/>
      <c r="BN111" s="1025"/>
      <c r="BO111" s="1025"/>
      <c r="BP111" s="1025"/>
      <c r="BQ111" s="1025"/>
      <c r="BR111" s="1025"/>
      <c r="BS111" s="1025"/>
      <c r="BT111" s="1025"/>
      <c r="BU111" s="1025"/>
      <c r="BV111" s="1025"/>
      <c r="BW111" s="1025"/>
      <c r="BX111" s="1025"/>
      <c r="BY111" s="1025"/>
      <c r="BZ111" s="696"/>
      <c r="CA111" s="1025"/>
      <c r="CB111" s="1025"/>
      <c r="CC111" s="1025"/>
      <c r="CD111" s="1025"/>
      <c r="CE111" s="1025"/>
      <c r="CF111" s="1025"/>
      <c r="CG111" s="1025"/>
      <c r="CH111" s="1025"/>
      <c r="CI111" s="1025"/>
      <c r="CJ111" s="1025"/>
      <c r="CK111" s="1025"/>
      <c r="CL111" s="1025"/>
      <c r="CM111" s="1025"/>
      <c r="CN111" s="1025"/>
      <c r="CO111" s="1025"/>
      <c r="CP111" s="1025"/>
      <c r="CQ111" s="1025"/>
      <c r="CR111" s="1025"/>
      <c r="CS111" s="1025"/>
      <c r="CT111" s="1025"/>
      <c r="CU111" s="1025"/>
      <c r="CV111" s="657"/>
    </row>
    <row r="112" spans="1:100" ht="12" customHeight="1" x14ac:dyDescent="0.2">
      <c r="A112" s="657"/>
      <c r="B112" s="1049" t="s">
        <v>7279</v>
      </c>
      <c r="C112" s="1050"/>
      <c r="D112" s="1050"/>
      <c r="E112" s="1050"/>
      <c r="F112" s="1050"/>
      <c r="G112" s="1050"/>
      <c r="H112" s="1050"/>
      <c r="I112" s="1050"/>
      <c r="J112" s="1050"/>
      <c r="K112" s="1050"/>
      <c r="L112" s="1050"/>
      <c r="M112" s="1050"/>
      <c r="N112" s="1050"/>
      <c r="O112" s="1050"/>
      <c r="P112" s="1050"/>
      <c r="Q112" s="1050"/>
      <c r="R112" s="1050"/>
      <c r="S112" s="1050"/>
      <c r="T112" s="1050"/>
      <c r="U112" s="1051"/>
      <c r="V112" s="657"/>
      <c r="W112" s="657"/>
      <c r="X112" s="657"/>
      <c r="Y112" s="657"/>
      <c r="Z112" s="657"/>
      <c r="AA112" s="657"/>
      <c r="AB112" s="657"/>
      <c r="AC112" s="657"/>
      <c r="AD112" s="657"/>
      <c r="AE112" s="657"/>
      <c r="AF112" s="657"/>
      <c r="AG112" s="657"/>
      <c r="AH112" s="657"/>
      <c r="AI112" s="657"/>
      <c r="AJ112" s="657"/>
      <c r="AK112" s="657"/>
      <c r="AL112" s="657"/>
      <c r="AM112" s="657"/>
      <c r="AN112" s="657"/>
      <c r="AO112" s="657"/>
      <c r="AP112" s="657"/>
      <c r="AQ112" s="657"/>
      <c r="AR112" s="657"/>
      <c r="AS112" s="657"/>
      <c r="AT112" s="657"/>
      <c r="AU112" s="657"/>
      <c r="AV112" s="657"/>
      <c r="AW112" s="657"/>
      <c r="AX112" s="657"/>
      <c r="AY112" s="657"/>
      <c r="AZ112" s="657"/>
      <c r="BA112" s="657"/>
      <c r="BB112" s="657"/>
      <c r="BC112" s="657"/>
      <c r="BD112" s="657"/>
      <c r="BE112" s="1025"/>
      <c r="BF112" s="1025"/>
      <c r="BG112" s="1025"/>
      <c r="BH112" s="1025"/>
      <c r="BI112" s="1025"/>
      <c r="BJ112" s="1025"/>
      <c r="BK112" s="1025"/>
      <c r="BL112" s="1025"/>
      <c r="BM112" s="1025"/>
      <c r="BN112" s="1025"/>
      <c r="BO112" s="1025"/>
      <c r="BP112" s="1025"/>
      <c r="BQ112" s="1025"/>
      <c r="BR112" s="1025"/>
      <c r="BS112" s="1025"/>
      <c r="BT112" s="1025"/>
      <c r="BU112" s="1025"/>
      <c r="BV112" s="1025"/>
      <c r="BW112" s="1025"/>
      <c r="BX112" s="1025"/>
      <c r="BY112" s="1025"/>
      <c r="BZ112" s="696"/>
      <c r="CA112" s="1025"/>
      <c r="CB112" s="1025"/>
      <c r="CC112" s="1025"/>
      <c r="CD112" s="1025"/>
      <c r="CE112" s="1025"/>
      <c r="CF112" s="1025"/>
      <c r="CG112" s="1025"/>
      <c r="CH112" s="1025"/>
      <c r="CI112" s="1025"/>
      <c r="CJ112" s="1025"/>
      <c r="CK112" s="1025"/>
      <c r="CL112" s="1025"/>
      <c r="CM112" s="1025"/>
      <c r="CN112" s="1025"/>
      <c r="CO112" s="1025"/>
      <c r="CP112" s="1025"/>
      <c r="CQ112" s="1025"/>
      <c r="CR112" s="1025"/>
      <c r="CS112" s="1025"/>
      <c r="CT112" s="1025"/>
      <c r="CU112" s="1025"/>
      <c r="CV112" s="657"/>
    </row>
    <row r="113" spans="1:100" ht="12" customHeight="1" thickBot="1" x14ac:dyDescent="0.25">
      <c r="A113" s="657"/>
      <c r="B113" s="1052"/>
      <c r="C113" s="1053"/>
      <c r="D113" s="1053"/>
      <c r="E113" s="1053"/>
      <c r="F113" s="1053"/>
      <c r="G113" s="1053"/>
      <c r="H113" s="1053"/>
      <c r="I113" s="1053"/>
      <c r="J113" s="1053"/>
      <c r="K113" s="1053"/>
      <c r="L113" s="1053"/>
      <c r="M113" s="1053"/>
      <c r="N113" s="1053"/>
      <c r="O113" s="1053"/>
      <c r="P113" s="1053"/>
      <c r="Q113" s="1053"/>
      <c r="R113" s="1053"/>
      <c r="S113" s="1053"/>
      <c r="T113" s="1053"/>
      <c r="U113" s="1054"/>
      <c r="V113" s="1055" t="s">
        <v>7261</v>
      </c>
      <c r="W113" s="1056"/>
      <c r="X113" s="1056"/>
      <c r="Y113" s="1056"/>
      <c r="Z113" s="1056"/>
      <c r="AA113" s="1056"/>
      <c r="AB113" s="1056" t="s">
        <v>7262</v>
      </c>
      <c r="AC113" s="1056"/>
      <c r="AD113" s="1056"/>
      <c r="AE113" s="1056"/>
      <c r="AF113" s="1056"/>
      <c r="AG113" s="1056"/>
      <c r="AH113" s="1056"/>
      <c r="AI113" s="1056"/>
      <c r="AJ113" s="1056"/>
      <c r="AK113" s="1056"/>
      <c r="AL113" s="1056"/>
      <c r="AM113" s="1056"/>
      <c r="AN113" s="1056"/>
      <c r="AO113" s="1056"/>
      <c r="AP113" s="1056"/>
      <c r="AQ113" s="1056" t="s">
        <v>5883</v>
      </c>
      <c r="AR113" s="1056"/>
      <c r="AS113" s="1056"/>
      <c r="AT113" s="1056"/>
      <c r="AU113" s="1056"/>
      <c r="AV113" s="1056"/>
      <c r="AW113" s="1056"/>
      <c r="AX113" s="1056"/>
      <c r="AY113" s="1056"/>
      <c r="AZ113" s="1056"/>
      <c r="BA113" s="1056"/>
      <c r="BB113" s="1056"/>
      <c r="BC113" s="1057"/>
      <c r="BD113" s="657"/>
      <c r="BE113" s="1075"/>
      <c r="BF113" s="1075"/>
      <c r="BG113" s="1075"/>
      <c r="BH113" s="1075"/>
      <c r="BI113" s="1075"/>
      <c r="BJ113" s="1075"/>
      <c r="BK113" s="1075"/>
      <c r="BL113" s="1075"/>
      <c r="BM113" s="1075"/>
      <c r="BN113" s="1075"/>
      <c r="BO113" s="1075"/>
      <c r="BP113" s="1075"/>
      <c r="BQ113" s="1075"/>
      <c r="BR113" s="1075"/>
      <c r="BS113" s="1075"/>
      <c r="BT113" s="1075"/>
      <c r="BU113" s="1075"/>
      <c r="BV113" s="1075"/>
      <c r="BW113" s="1075"/>
      <c r="BX113" s="1075"/>
      <c r="BY113" s="1075"/>
      <c r="BZ113" s="696"/>
      <c r="CA113" s="1075"/>
      <c r="CB113" s="1075"/>
      <c r="CC113" s="1075"/>
      <c r="CD113" s="1075"/>
      <c r="CE113" s="1075"/>
      <c r="CF113" s="1075"/>
      <c r="CG113" s="1075"/>
      <c r="CH113" s="1075"/>
      <c r="CI113" s="1075"/>
      <c r="CJ113" s="1075"/>
      <c r="CK113" s="1075"/>
      <c r="CL113" s="1075"/>
      <c r="CM113" s="1075"/>
      <c r="CN113" s="1075"/>
      <c r="CO113" s="1075"/>
      <c r="CP113" s="1075"/>
      <c r="CQ113" s="1075"/>
      <c r="CR113" s="1075"/>
      <c r="CS113" s="1075"/>
      <c r="CT113" s="1075"/>
      <c r="CU113" s="1075"/>
      <c r="CV113" s="657"/>
    </row>
    <row r="114" spans="1:100" ht="12" customHeight="1" thickBot="1" x14ac:dyDescent="0.25">
      <c r="A114" s="657"/>
      <c r="B114" s="1059"/>
      <c r="C114" s="1060"/>
      <c r="D114" s="1060"/>
      <c r="E114" s="1060"/>
      <c r="F114" s="1060"/>
      <c r="G114" s="1060"/>
      <c r="H114" s="1060"/>
      <c r="I114" s="1060"/>
      <c r="J114" s="1060"/>
      <c r="K114" s="1060"/>
      <c r="L114" s="1060"/>
      <c r="M114" s="1060"/>
      <c r="N114" s="1060"/>
      <c r="O114" s="1060"/>
      <c r="P114" s="1060"/>
      <c r="Q114" s="1060"/>
      <c r="R114" s="1060"/>
      <c r="S114" s="1060"/>
      <c r="T114" s="1060"/>
      <c r="U114" s="1061"/>
      <c r="V114" s="1068"/>
      <c r="W114" s="1069"/>
      <c r="X114" s="1069"/>
      <c r="Y114" s="1069"/>
      <c r="Z114" s="1069"/>
      <c r="AA114" s="1069"/>
      <c r="AB114" s="1031"/>
      <c r="AC114" s="1031"/>
      <c r="AD114" s="1031"/>
      <c r="AE114" s="1031"/>
      <c r="AF114" s="1031"/>
      <c r="AG114" s="1031"/>
      <c r="AH114" s="1031"/>
      <c r="AI114" s="1031"/>
      <c r="AJ114" s="1031"/>
      <c r="AK114" s="1031"/>
      <c r="AL114" s="1031"/>
      <c r="AM114" s="1031"/>
      <c r="AN114" s="1031"/>
      <c r="AO114" s="1031"/>
      <c r="AP114" s="1031"/>
      <c r="AQ114" s="1031"/>
      <c r="AR114" s="1031"/>
      <c r="AS114" s="1031"/>
      <c r="AT114" s="1031"/>
      <c r="AU114" s="1031"/>
      <c r="AV114" s="1031"/>
      <c r="AW114" s="1031"/>
      <c r="AX114" s="1031"/>
      <c r="AY114" s="1031"/>
      <c r="AZ114" s="1031"/>
      <c r="BA114" s="1031"/>
      <c r="BB114" s="1031"/>
      <c r="BC114" s="1031"/>
      <c r="BD114" s="657"/>
      <c r="BE114" s="696"/>
      <c r="BF114" s="696"/>
      <c r="BG114" s="696"/>
      <c r="BH114" s="696"/>
      <c r="BI114" s="696"/>
      <c r="BJ114" s="696"/>
      <c r="BK114" s="696"/>
      <c r="BL114" s="696"/>
      <c r="BM114" s="696"/>
      <c r="BN114" s="696"/>
      <c r="BO114" s="696"/>
      <c r="BP114" s="696"/>
      <c r="BQ114" s="696"/>
      <c r="BR114" s="696"/>
      <c r="BS114" s="696"/>
      <c r="BT114" s="696"/>
      <c r="BU114" s="696"/>
      <c r="BV114" s="696"/>
      <c r="BW114" s="696"/>
      <c r="BX114" s="696"/>
      <c r="BY114" s="696"/>
      <c r="BZ114" s="696"/>
      <c r="CA114" s="696"/>
      <c r="CB114" s="696"/>
      <c r="CC114" s="696"/>
      <c r="CD114" s="696"/>
      <c r="CE114" s="696"/>
      <c r="CF114" s="696"/>
      <c r="CG114" s="696"/>
      <c r="CH114" s="696"/>
      <c r="CI114" s="696"/>
      <c r="CJ114" s="696"/>
      <c r="CK114" s="696"/>
      <c r="CL114" s="696"/>
      <c r="CM114" s="696"/>
      <c r="CN114" s="696"/>
      <c r="CO114" s="696"/>
      <c r="CP114" s="696"/>
      <c r="CQ114" s="696"/>
      <c r="CR114" s="696"/>
      <c r="CS114" s="696"/>
      <c r="CT114" s="696"/>
      <c r="CU114" s="696"/>
      <c r="CV114" s="657"/>
    </row>
    <row r="115" spans="1:100" ht="12" customHeight="1" thickBot="1" x14ac:dyDescent="0.25">
      <c r="A115" s="657"/>
      <c r="B115" s="1062"/>
      <c r="C115" s="1063"/>
      <c r="D115" s="1063"/>
      <c r="E115" s="1063"/>
      <c r="F115" s="1063"/>
      <c r="G115" s="1063"/>
      <c r="H115" s="1063"/>
      <c r="I115" s="1063"/>
      <c r="J115" s="1063"/>
      <c r="K115" s="1063"/>
      <c r="L115" s="1063"/>
      <c r="M115" s="1063"/>
      <c r="N115" s="1063"/>
      <c r="O115" s="1063"/>
      <c r="P115" s="1063"/>
      <c r="Q115" s="1063"/>
      <c r="R115" s="1063"/>
      <c r="S115" s="1063"/>
      <c r="T115" s="1063"/>
      <c r="U115" s="1064"/>
      <c r="V115" s="1068"/>
      <c r="W115" s="1069"/>
      <c r="X115" s="1069"/>
      <c r="Y115" s="1069"/>
      <c r="Z115" s="1069"/>
      <c r="AA115" s="1069"/>
      <c r="AB115" s="1031"/>
      <c r="AC115" s="1031"/>
      <c r="AD115" s="1031"/>
      <c r="AE115" s="1031"/>
      <c r="AF115" s="1031"/>
      <c r="AG115" s="1031"/>
      <c r="AH115" s="1031"/>
      <c r="AI115" s="1031"/>
      <c r="AJ115" s="1031"/>
      <c r="AK115" s="1031"/>
      <c r="AL115" s="1031"/>
      <c r="AM115" s="1031"/>
      <c r="AN115" s="1031"/>
      <c r="AO115" s="1031"/>
      <c r="AP115" s="1031"/>
      <c r="AQ115" s="1031"/>
      <c r="AR115" s="1031"/>
      <c r="AS115" s="1031"/>
      <c r="AT115" s="1031"/>
      <c r="AU115" s="1031"/>
      <c r="AV115" s="1031"/>
      <c r="AW115" s="1031"/>
      <c r="AX115" s="1031"/>
      <c r="AY115" s="1031"/>
      <c r="AZ115" s="1031"/>
      <c r="BA115" s="1031"/>
      <c r="BB115" s="1031"/>
      <c r="BC115" s="1031"/>
      <c r="BD115" s="657"/>
      <c r="BE115" s="1074" t="s">
        <v>7280</v>
      </c>
      <c r="BF115" s="1074"/>
      <c r="BG115" s="1074"/>
      <c r="BH115" s="1074"/>
      <c r="BI115" s="1074"/>
      <c r="BJ115" s="1074"/>
      <c r="BK115" s="1074"/>
      <c r="BL115" s="1074"/>
      <c r="BM115" s="1074"/>
      <c r="BN115" s="1074"/>
      <c r="BO115" s="1074"/>
      <c r="BP115" s="1074"/>
      <c r="BQ115" s="1074"/>
      <c r="BR115" s="1074"/>
      <c r="BS115" s="1074"/>
      <c r="BT115" s="1074"/>
      <c r="BU115" s="1074"/>
      <c r="BV115" s="1074"/>
      <c r="BW115" s="1074"/>
      <c r="BX115" s="1074"/>
      <c r="BY115" s="1074"/>
      <c r="BZ115" s="696"/>
      <c r="CA115" s="1074" t="s">
        <v>7281</v>
      </c>
      <c r="CB115" s="1074"/>
      <c r="CC115" s="1074"/>
      <c r="CD115" s="1074"/>
      <c r="CE115" s="1074"/>
      <c r="CF115" s="1074"/>
      <c r="CG115" s="1074"/>
      <c r="CH115" s="1074"/>
      <c r="CI115" s="1074"/>
      <c r="CJ115" s="1074"/>
      <c r="CK115" s="1074"/>
      <c r="CL115" s="1074"/>
      <c r="CM115" s="1074"/>
      <c r="CN115" s="1074"/>
      <c r="CO115" s="1074"/>
      <c r="CP115" s="1074"/>
      <c r="CQ115" s="1074"/>
      <c r="CR115" s="1074"/>
      <c r="CS115" s="1074"/>
      <c r="CT115" s="1074"/>
      <c r="CU115" s="1074"/>
      <c r="CV115" s="657"/>
    </row>
    <row r="116" spans="1:100" ht="12" customHeight="1" thickBot="1" x14ac:dyDescent="0.25">
      <c r="A116" s="657"/>
      <c r="B116" s="1065"/>
      <c r="C116" s="1066"/>
      <c r="D116" s="1066"/>
      <c r="E116" s="1066"/>
      <c r="F116" s="1066"/>
      <c r="G116" s="1066"/>
      <c r="H116" s="1066"/>
      <c r="I116" s="1066"/>
      <c r="J116" s="1066"/>
      <c r="K116" s="1066"/>
      <c r="L116" s="1066"/>
      <c r="M116" s="1066"/>
      <c r="N116" s="1066"/>
      <c r="O116" s="1066"/>
      <c r="P116" s="1066"/>
      <c r="Q116" s="1066"/>
      <c r="R116" s="1066"/>
      <c r="S116" s="1066"/>
      <c r="T116" s="1066"/>
      <c r="U116" s="1067"/>
      <c r="V116" s="1068"/>
      <c r="W116" s="1069"/>
      <c r="X116" s="1069"/>
      <c r="Y116" s="1069"/>
      <c r="Z116" s="1069"/>
      <c r="AA116" s="1069"/>
      <c r="AB116" s="1070"/>
      <c r="AC116" s="1070"/>
      <c r="AD116" s="1070"/>
      <c r="AE116" s="1070"/>
      <c r="AF116" s="1070"/>
      <c r="AG116" s="1070"/>
      <c r="AH116" s="1070"/>
      <c r="AI116" s="1070"/>
      <c r="AJ116" s="1070"/>
      <c r="AK116" s="1070"/>
      <c r="AL116" s="1070"/>
      <c r="AM116" s="1070"/>
      <c r="AN116" s="1070"/>
      <c r="AO116" s="1070"/>
      <c r="AP116" s="1070"/>
      <c r="AQ116" s="1070"/>
      <c r="AR116" s="1070"/>
      <c r="AS116" s="1070"/>
      <c r="AT116" s="1070"/>
      <c r="AU116" s="1070"/>
      <c r="AV116" s="1070"/>
      <c r="AW116" s="1070"/>
      <c r="AX116" s="1070"/>
      <c r="AY116" s="1070"/>
      <c r="AZ116" s="1070"/>
      <c r="BA116" s="1070"/>
      <c r="BB116" s="1070"/>
      <c r="BC116" s="1070"/>
      <c r="BD116" s="657"/>
      <c r="BE116" s="1074"/>
      <c r="BF116" s="1074"/>
      <c r="BG116" s="1074"/>
      <c r="BH116" s="1074"/>
      <c r="BI116" s="1074"/>
      <c r="BJ116" s="1074"/>
      <c r="BK116" s="1074"/>
      <c r="BL116" s="1074"/>
      <c r="BM116" s="1074"/>
      <c r="BN116" s="1074"/>
      <c r="BO116" s="1074"/>
      <c r="BP116" s="1074"/>
      <c r="BQ116" s="1074"/>
      <c r="BR116" s="1074"/>
      <c r="BS116" s="1074"/>
      <c r="BT116" s="1074"/>
      <c r="BU116" s="1074"/>
      <c r="BV116" s="1074"/>
      <c r="BW116" s="1074"/>
      <c r="BX116" s="1074"/>
      <c r="BY116" s="1074"/>
      <c r="BZ116" s="696"/>
      <c r="CA116" s="1074"/>
      <c r="CB116" s="1074"/>
      <c r="CC116" s="1074"/>
      <c r="CD116" s="1074"/>
      <c r="CE116" s="1074"/>
      <c r="CF116" s="1074"/>
      <c r="CG116" s="1074"/>
      <c r="CH116" s="1074"/>
      <c r="CI116" s="1074"/>
      <c r="CJ116" s="1074"/>
      <c r="CK116" s="1074"/>
      <c r="CL116" s="1074"/>
      <c r="CM116" s="1074"/>
      <c r="CN116" s="1074"/>
      <c r="CO116" s="1074"/>
      <c r="CP116" s="1074"/>
      <c r="CQ116" s="1074"/>
      <c r="CR116" s="1074"/>
      <c r="CS116" s="1074"/>
      <c r="CT116" s="1074"/>
      <c r="CU116" s="1074"/>
      <c r="CV116" s="657"/>
    </row>
    <row r="117" spans="1:100" ht="12" customHeight="1" thickBot="1" x14ac:dyDescent="0.35">
      <c r="A117" s="657"/>
      <c r="B117" s="1028" t="s">
        <v>7264</v>
      </c>
      <c r="C117" s="1029"/>
      <c r="D117" s="1029"/>
      <c r="E117" s="1029"/>
      <c r="F117" s="1029"/>
      <c r="G117" s="1029"/>
      <c r="H117" s="1029"/>
      <c r="I117" s="1029"/>
      <c r="J117" s="1029" t="s">
        <v>7246</v>
      </c>
      <c r="K117" s="1029"/>
      <c r="L117" s="1029"/>
      <c r="M117" s="1029"/>
      <c r="N117" s="1029"/>
      <c r="O117" s="1029"/>
      <c r="P117" s="1029"/>
      <c r="Q117" s="1029"/>
      <c r="R117" s="1029"/>
      <c r="S117" s="1029"/>
      <c r="T117" s="1029"/>
      <c r="U117" s="1029"/>
      <c r="V117" s="1029"/>
      <c r="W117" s="1029"/>
      <c r="X117" s="1029"/>
      <c r="Y117" s="1029"/>
      <c r="Z117" s="1029"/>
      <c r="AA117" s="1029"/>
      <c r="AB117" s="1029"/>
      <c r="AC117" s="1029"/>
      <c r="AD117" s="1029"/>
      <c r="AE117" s="1029"/>
      <c r="AF117" s="1029"/>
      <c r="AG117" s="1029"/>
      <c r="AH117" s="1029"/>
      <c r="AI117" s="1029"/>
      <c r="AJ117" s="1029"/>
      <c r="AK117" s="1029"/>
      <c r="AL117" s="1029"/>
      <c r="AM117" s="1029"/>
      <c r="AN117" s="1029"/>
      <c r="AO117" s="1029"/>
      <c r="AP117" s="1029"/>
      <c r="AQ117" s="1029"/>
      <c r="AR117" s="1029"/>
      <c r="AS117" s="1029"/>
      <c r="AT117" s="1029"/>
      <c r="AU117" s="1029"/>
      <c r="AV117" s="1029"/>
      <c r="AW117" s="1029"/>
      <c r="AX117" s="1029"/>
      <c r="AY117" s="1029"/>
      <c r="AZ117" s="1029"/>
      <c r="BA117" s="1029"/>
      <c r="BB117" s="1029"/>
      <c r="BC117" s="1030"/>
      <c r="BD117" s="657"/>
      <c r="BE117" s="660" t="s">
        <v>7282</v>
      </c>
      <c r="BF117" s="687"/>
      <c r="BG117" s="687"/>
      <c r="BH117" s="687"/>
      <c r="BI117" s="687"/>
      <c r="BJ117" s="687"/>
      <c r="BK117" s="687"/>
      <c r="BL117" s="657"/>
      <c r="BM117" s="657"/>
      <c r="BN117" s="657"/>
      <c r="BO117" s="696"/>
      <c r="BP117" s="696"/>
      <c r="BQ117" s="696"/>
      <c r="BR117" s="696"/>
      <c r="BS117" s="696"/>
      <c r="BT117" s="696"/>
      <c r="BU117" s="696"/>
      <c r="BV117" s="696"/>
      <c r="BW117" s="696"/>
      <c r="BX117" s="696"/>
      <c r="BY117" s="696"/>
      <c r="BZ117" s="696"/>
      <c r="CA117" s="660" t="s">
        <v>7283</v>
      </c>
      <c r="CB117" s="687"/>
      <c r="CC117" s="687"/>
      <c r="CD117" s="687"/>
      <c r="CE117" s="687"/>
      <c r="CF117" s="687"/>
      <c r="CG117" s="687"/>
      <c r="CH117" s="696"/>
      <c r="CI117" s="696"/>
      <c r="CJ117" s="696"/>
      <c r="CK117" s="696"/>
      <c r="CL117" s="696"/>
      <c r="CM117" s="696"/>
      <c r="CN117" s="696"/>
      <c r="CO117" s="696"/>
      <c r="CP117" s="696"/>
      <c r="CQ117" s="696"/>
      <c r="CR117" s="696"/>
      <c r="CS117" s="696"/>
      <c r="CT117" s="696"/>
      <c r="CU117" s="696"/>
      <c r="CV117" s="657"/>
    </row>
    <row r="118" spans="1:100" ht="12" customHeight="1" thickBot="1" x14ac:dyDescent="0.25">
      <c r="A118" s="657"/>
      <c r="B118" s="1031"/>
      <c r="C118" s="1031"/>
      <c r="D118" s="1031"/>
      <c r="E118" s="1031"/>
      <c r="F118" s="1031"/>
      <c r="G118" s="1031"/>
      <c r="H118" s="1031"/>
      <c r="I118" s="1031"/>
      <c r="J118" s="1032"/>
      <c r="K118" s="1033"/>
      <c r="L118" s="1033"/>
      <c r="M118" s="1033"/>
      <c r="N118" s="1033"/>
      <c r="O118" s="1033"/>
      <c r="P118" s="1033"/>
      <c r="Q118" s="1033"/>
      <c r="R118" s="1033"/>
      <c r="S118" s="1033"/>
      <c r="T118" s="1033"/>
      <c r="U118" s="1033"/>
      <c r="V118" s="1033"/>
      <c r="W118" s="1033"/>
      <c r="X118" s="1033"/>
      <c r="Y118" s="1033"/>
      <c r="Z118" s="1033"/>
      <c r="AA118" s="1033"/>
      <c r="AB118" s="1033"/>
      <c r="AC118" s="1033"/>
      <c r="AD118" s="1033"/>
      <c r="AE118" s="1033"/>
      <c r="AF118" s="1033"/>
      <c r="AG118" s="1033"/>
      <c r="AH118" s="1033"/>
      <c r="AI118" s="1033"/>
      <c r="AJ118" s="1033"/>
      <c r="AK118" s="1033"/>
      <c r="AL118" s="1033"/>
      <c r="AM118" s="1033"/>
      <c r="AN118" s="1033"/>
      <c r="AO118" s="1033"/>
      <c r="AP118" s="1033"/>
      <c r="AQ118" s="1033"/>
      <c r="AR118" s="1033"/>
      <c r="AS118" s="1033"/>
      <c r="AT118" s="1033"/>
      <c r="AU118" s="1033"/>
      <c r="AV118" s="1033"/>
      <c r="AW118" s="1033"/>
      <c r="AX118" s="1033"/>
      <c r="AY118" s="1033"/>
      <c r="AZ118" s="1033"/>
      <c r="BA118" s="1033"/>
      <c r="BB118" s="1033"/>
      <c r="BC118" s="1034"/>
      <c r="BD118" s="657"/>
      <c r="BE118" s="1025"/>
      <c r="BF118" s="1025"/>
      <c r="BG118" s="1025"/>
      <c r="BH118" s="1025"/>
      <c r="BI118" s="1025"/>
      <c r="BJ118" s="1025"/>
      <c r="BK118" s="1025"/>
      <c r="BL118" s="1025"/>
      <c r="BM118" s="1025"/>
      <c r="BN118" s="1025"/>
      <c r="BO118" s="1025"/>
      <c r="BP118" s="1025"/>
      <c r="BQ118" s="1025"/>
      <c r="BR118" s="1025"/>
      <c r="BS118" s="1025"/>
      <c r="BT118" s="1025"/>
      <c r="BU118" s="1025"/>
      <c r="BV118" s="1025"/>
      <c r="BW118" s="1025"/>
      <c r="BX118" s="1025"/>
      <c r="BY118" s="1025"/>
      <c r="BZ118" s="696"/>
      <c r="CA118" s="1025"/>
      <c r="CB118" s="1025"/>
      <c r="CC118" s="1025"/>
      <c r="CD118" s="1025"/>
      <c r="CE118" s="1025"/>
      <c r="CF118" s="1025"/>
      <c r="CG118" s="1025"/>
      <c r="CH118" s="1025"/>
      <c r="CI118" s="1025"/>
      <c r="CJ118" s="1025"/>
      <c r="CK118" s="1025"/>
      <c r="CL118" s="1025"/>
      <c r="CM118" s="1025"/>
      <c r="CN118" s="1025"/>
      <c r="CO118" s="1025"/>
      <c r="CP118" s="1025"/>
      <c r="CQ118" s="1025"/>
      <c r="CR118" s="1025"/>
      <c r="CS118" s="1025"/>
      <c r="CT118" s="1025"/>
      <c r="CU118" s="1025"/>
      <c r="CV118" s="657"/>
    </row>
    <row r="119" spans="1:100" ht="12" customHeight="1" thickBot="1" x14ac:dyDescent="0.25">
      <c r="A119" s="657"/>
      <c r="B119" s="1031"/>
      <c r="C119" s="1031"/>
      <c r="D119" s="1031"/>
      <c r="E119" s="1031"/>
      <c r="F119" s="1031"/>
      <c r="G119" s="1031"/>
      <c r="H119" s="1031"/>
      <c r="I119" s="1031"/>
      <c r="J119" s="1035"/>
      <c r="K119" s="1036"/>
      <c r="L119" s="1036"/>
      <c r="M119" s="1036"/>
      <c r="N119" s="1036"/>
      <c r="O119" s="1036"/>
      <c r="P119" s="1036"/>
      <c r="Q119" s="1036"/>
      <c r="R119" s="1036"/>
      <c r="S119" s="1036"/>
      <c r="T119" s="1036"/>
      <c r="U119" s="1036"/>
      <c r="V119" s="1036"/>
      <c r="W119" s="1036"/>
      <c r="X119" s="1036"/>
      <c r="Y119" s="1036"/>
      <c r="Z119" s="1036"/>
      <c r="AA119" s="1036"/>
      <c r="AB119" s="1036"/>
      <c r="AC119" s="1036"/>
      <c r="AD119" s="1036"/>
      <c r="AE119" s="1036"/>
      <c r="AF119" s="1036"/>
      <c r="AG119" s="1036"/>
      <c r="AH119" s="1036"/>
      <c r="AI119" s="1036"/>
      <c r="AJ119" s="1036"/>
      <c r="AK119" s="1036"/>
      <c r="AL119" s="1036"/>
      <c r="AM119" s="1036"/>
      <c r="AN119" s="1036"/>
      <c r="AO119" s="1036"/>
      <c r="AP119" s="1036"/>
      <c r="AQ119" s="1036"/>
      <c r="AR119" s="1036"/>
      <c r="AS119" s="1036"/>
      <c r="AT119" s="1036"/>
      <c r="AU119" s="1036"/>
      <c r="AV119" s="1036"/>
      <c r="AW119" s="1036"/>
      <c r="AX119" s="1036"/>
      <c r="AY119" s="1036"/>
      <c r="AZ119" s="1036"/>
      <c r="BA119" s="1036"/>
      <c r="BB119" s="1036"/>
      <c r="BC119" s="1037"/>
      <c r="BD119" s="657"/>
      <c r="BE119" s="1025"/>
      <c r="BF119" s="1025"/>
      <c r="BG119" s="1025"/>
      <c r="BH119" s="1025"/>
      <c r="BI119" s="1025"/>
      <c r="BJ119" s="1025"/>
      <c r="BK119" s="1025"/>
      <c r="BL119" s="1025"/>
      <c r="BM119" s="1025"/>
      <c r="BN119" s="1025"/>
      <c r="BO119" s="1025"/>
      <c r="BP119" s="1025"/>
      <c r="BQ119" s="1025"/>
      <c r="BR119" s="1025"/>
      <c r="BS119" s="1025"/>
      <c r="BT119" s="1025"/>
      <c r="BU119" s="1025"/>
      <c r="BV119" s="1025"/>
      <c r="BW119" s="1025"/>
      <c r="BX119" s="1025"/>
      <c r="BY119" s="1025"/>
      <c r="BZ119" s="696"/>
      <c r="CA119" s="1025"/>
      <c r="CB119" s="1025"/>
      <c r="CC119" s="1025"/>
      <c r="CD119" s="1025"/>
      <c r="CE119" s="1025"/>
      <c r="CF119" s="1025"/>
      <c r="CG119" s="1025"/>
      <c r="CH119" s="1025"/>
      <c r="CI119" s="1025"/>
      <c r="CJ119" s="1025"/>
      <c r="CK119" s="1025"/>
      <c r="CL119" s="1025"/>
      <c r="CM119" s="1025"/>
      <c r="CN119" s="1025"/>
      <c r="CO119" s="1025"/>
      <c r="CP119" s="1025"/>
      <c r="CQ119" s="1025"/>
      <c r="CR119" s="1025"/>
      <c r="CS119" s="1025"/>
      <c r="CT119" s="1025"/>
      <c r="CU119" s="1025"/>
      <c r="CV119" s="657"/>
    </row>
    <row r="120" spans="1:100" ht="12" customHeight="1" thickBot="1" x14ac:dyDescent="0.25">
      <c r="A120" s="657"/>
      <c r="B120" s="1031"/>
      <c r="C120" s="1031"/>
      <c r="D120" s="1031"/>
      <c r="E120" s="1031"/>
      <c r="F120" s="1031"/>
      <c r="G120" s="1031"/>
      <c r="H120" s="1031"/>
      <c r="I120" s="1031"/>
      <c r="J120" s="1038"/>
      <c r="K120" s="1039"/>
      <c r="L120" s="1039"/>
      <c r="M120" s="1039"/>
      <c r="N120" s="1039"/>
      <c r="O120" s="1039"/>
      <c r="P120" s="1039"/>
      <c r="Q120" s="1039"/>
      <c r="R120" s="1039"/>
      <c r="S120" s="1039"/>
      <c r="T120" s="1039"/>
      <c r="U120" s="1039"/>
      <c r="V120" s="1039"/>
      <c r="W120" s="1039"/>
      <c r="X120" s="1039"/>
      <c r="Y120" s="1039"/>
      <c r="Z120" s="1039"/>
      <c r="AA120" s="1039"/>
      <c r="AB120" s="1039"/>
      <c r="AC120" s="1039"/>
      <c r="AD120" s="1039"/>
      <c r="AE120" s="1039"/>
      <c r="AF120" s="1039"/>
      <c r="AG120" s="1039"/>
      <c r="AH120" s="1039"/>
      <c r="AI120" s="1039"/>
      <c r="AJ120" s="1039"/>
      <c r="AK120" s="1039"/>
      <c r="AL120" s="1039"/>
      <c r="AM120" s="1039"/>
      <c r="AN120" s="1039"/>
      <c r="AO120" s="1039"/>
      <c r="AP120" s="1039"/>
      <c r="AQ120" s="1039"/>
      <c r="AR120" s="1039"/>
      <c r="AS120" s="1039"/>
      <c r="AT120" s="1039"/>
      <c r="AU120" s="1039"/>
      <c r="AV120" s="1039"/>
      <c r="AW120" s="1039"/>
      <c r="AX120" s="1039"/>
      <c r="AY120" s="1039"/>
      <c r="AZ120" s="1039"/>
      <c r="BA120" s="1039"/>
      <c r="BB120" s="1039"/>
      <c r="BC120" s="1040"/>
      <c r="BD120" s="698"/>
      <c r="BE120" s="1075"/>
      <c r="BF120" s="1075"/>
      <c r="BG120" s="1075"/>
      <c r="BH120" s="1075"/>
      <c r="BI120" s="1075"/>
      <c r="BJ120" s="1075"/>
      <c r="BK120" s="1075"/>
      <c r="BL120" s="1075"/>
      <c r="BM120" s="1075"/>
      <c r="BN120" s="1075"/>
      <c r="BO120" s="1075"/>
      <c r="BP120" s="1075"/>
      <c r="BQ120" s="1075"/>
      <c r="BR120" s="1075"/>
      <c r="BS120" s="1075"/>
      <c r="BT120" s="1075"/>
      <c r="BU120" s="1075"/>
      <c r="BV120" s="1075"/>
      <c r="BW120" s="1075"/>
      <c r="BX120" s="1075"/>
      <c r="BY120" s="1075"/>
      <c r="BZ120" s="696"/>
      <c r="CA120" s="1075"/>
      <c r="CB120" s="1075"/>
      <c r="CC120" s="1075"/>
      <c r="CD120" s="1075"/>
      <c r="CE120" s="1075"/>
      <c r="CF120" s="1075"/>
      <c r="CG120" s="1075"/>
      <c r="CH120" s="1075"/>
      <c r="CI120" s="1075"/>
      <c r="CJ120" s="1075"/>
      <c r="CK120" s="1075"/>
      <c r="CL120" s="1075"/>
      <c r="CM120" s="1075"/>
      <c r="CN120" s="1075"/>
      <c r="CO120" s="1075"/>
      <c r="CP120" s="1075"/>
      <c r="CQ120" s="1075"/>
      <c r="CR120" s="1075"/>
      <c r="CS120" s="1075"/>
      <c r="CT120" s="1075"/>
      <c r="CU120" s="1075"/>
      <c r="CV120" s="657"/>
    </row>
    <row r="121" spans="1:100" ht="12" customHeight="1" x14ac:dyDescent="0.2">
      <c r="A121" s="657"/>
      <c r="B121" s="1045" t="s">
        <v>7269</v>
      </c>
      <c r="C121" s="1045"/>
      <c r="D121" s="1045"/>
      <c r="E121" s="1045"/>
      <c r="F121" s="1045"/>
      <c r="G121" s="1045"/>
      <c r="H121" s="1045"/>
      <c r="I121" s="1047"/>
      <c r="J121" s="1047"/>
      <c r="K121" s="1047"/>
      <c r="L121" s="1047"/>
      <c r="M121" s="1047"/>
      <c r="N121" s="1047"/>
      <c r="O121" s="1047"/>
      <c r="P121" s="1047"/>
      <c r="Q121" s="1047"/>
      <c r="R121" s="1047"/>
      <c r="S121" s="1047"/>
      <c r="T121" s="690"/>
      <c r="U121" s="1044" t="s">
        <v>7270</v>
      </c>
      <c r="V121" s="1024" t="s">
        <v>7270</v>
      </c>
      <c r="W121" s="1024" t="s">
        <v>7270</v>
      </c>
      <c r="X121" s="1024" t="s">
        <v>7270</v>
      </c>
      <c r="Y121" s="1024" t="s">
        <v>7270</v>
      </c>
      <c r="Z121" s="690"/>
      <c r="AA121" s="1044" t="s">
        <v>7270</v>
      </c>
      <c r="AB121" s="1024" t="s">
        <v>7270</v>
      </c>
      <c r="AC121" s="1024" t="s">
        <v>7270</v>
      </c>
      <c r="AD121" s="1024" t="s">
        <v>7270</v>
      </c>
      <c r="AE121" s="1024" t="s">
        <v>7270</v>
      </c>
      <c r="AF121" s="690"/>
      <c r="AG121" s="1044" t="s">
        <v>7270</v>
      </c>
      <c r="AH121" s="1024" t="s">
        <v>7270</v>
      </c>
      <c r="AI121" s="1024" t="s">
        <v>7270</v>
      </c>
      <c r="AJ121" s="1024" t="s">
        <v>7270</v>
      </c>
      <c r="AK121" s="1024" t="s">
        <v>7270</v>
      </c>
      <c r="AL121" s="675"/>
      <c r="AM121" s="1024" t="s">
        <v>7270</v>
      </c>
      <c r="AN121" s="1024" t="s">
        <v>7270</v>
      </c>
      <c r="AO121" s="1024" t="s">
        <v>7270</v>
      </c>
      <c r="AP121" s="1024" t="s">
        <v>7270</v>
      </c>
      <c r="AQ121" s="1024" t="s">
        <v>7270</v>
      </c>
      <c r="AR121" s="675"/>
      <c r="AS121" s="1024" t="s">
        <v>7270</v>
      </c>
      <c r="AT121" s="1024" t="s">
        <v>7270</v>
      </c>
      <c r="AU121" s="1024" t="s">
        <v>7270</v>
      </c>
      <c r="AV121" s="1024" t="s">
        <v>7270</v>
      </c>
      <c r="AW121" s="1024" t="s">
        <v>7270</v>
      </c>
      <c r="AX121" s="675"/>
      <c r="AY121" s="1024" t="s">
        <v>7270</v>
      </c>
      <c r="AZ121" s="1024" t="s">
        <v>7270</v>
      </c>
      <c r="BA121" s="1024" t="s">
        <v>7270</v>
      </c>
      <c r="BB121" s="1024" t="s">
        <v>7270</v>
      </c>
      <c r="BC121" s="1024" t="s">
        <v>7270</v>
      </c>
      <c r="BD121" s="698"/>
      <c r="BE121" s="657"/>
      <c r="BF121" s="657"/>
      <c r="BG121" s="657"/>
      <c r="BH121" s="657"/>
      <c r="BI121" s="657"/>
      <c r="BJ121" s="657"/>
      <c r="BK121" s="657"/>
      <c r="BL121" s="657"/>
      <c r="BM121" s="657"/>
      <c r="BN121" s="657"/>
      <c r="BO121" s="657"/>
      <c r="BP121" s="657"/>
      <c r="BQ121" s="657"/>
      <c r="BR121" s="657"/>
      <c r="BS121" s="657"/>
      <c r="BT121" s="657"/>
      <c r="BU121" s="657"/>
      <c r="BV121" s="657"/>
      <c r="BW121" s="657"/>
      <c r="BX121" s="657"/>
      <c r="BY121" s="657"/>
      <c r="BZ121" s="657"/>
      <c r="CA121" s="657"/>
      <c r="CB121" s="657"/>
      <c r="CC121" s="657"/>
      <c r="CD121" s="657"/>
      <c r="CE121" s="657"/>
      <c r="CF121" s="657"/>
      <c r="CG121" s="657"/>
      <c r="CH121" s="657"/>
      <c r="CI121" s="657"/>
      <c r="CJ121" s="657"/>
      <c r="CK121" s="657"/>
      <c r="CL121" s="657"/>
      <c r="CM121" s="657"/>
      <c r="CN121" s="657"/>
      <c r="CO121" s="657"/>
      <c r="CP121" s="657"/>
      <c r="CQ121" s="657"/>
      <c r="CR121" s="657"/>
      <c r="CS121" s="657"/>
      <c r="CT121" s="657"/>
      <c r="CU121" s="657"/>
      <c r="CV121" s="657"/>
    </row>
    <row r="122" spans="1:100" ht="12" customHeight="1" x14ac:dyDescent="0.2">
      <c r="A122" s="657"/>
      <c r="B122" s="1046"/>
      <c r="C122" s="1046"/>
      <c r="D122" s="1046"/>
      <c r="E122" s="1046"/>
      <c r="F122" s="1046"/>
      <c r="G122" s="1046"/>
      <c r="H122" s="1046"/>
      <c r="I122" s="1048"/>
      <c r="J122" s="1048"/>
      <c r="K122" s="1048"/>
      <c r="L122" s="1048"/>
      <c r="M122" s="1048"/>
      <c r="N122" s="1048"/>
      <c r="O122" s="1048"/>
      <c r="P122" s="1048"/>
      <c r="Q122" s="1048"/>
      <c r="R122" s="1048"/>
      <c r="S122" s="1048"/>
      <c r="T122" s="690"/>
      <c r="U122" s="1024"/>
      <c r="V122" s="1024"/>
      <c r="W122" s="1024"/>
      <c r="X122" s="1024"/>
      <c r="Y122" s="1024"/>
      <c r="Z122" s="690"/>
      <c r="AA122" s="1024"/>
      <c r="AB122" s="1024"/>
      <c r="AC122" s="1024"/>
      <c r="AD122" s="1024"/>
      <c r="AE122" s="1024"/>
      <c r="AF122" s="690"/>
      <c r="AG122" s="1024"/>
      <c r="AH122" s="1024"/>
      <c r="AI122" s="1024"/>
      <c r="AJ122" s="1024"/>
      <c r="AK122" s="1024"/>
      <c r="AL122" s="675"/>
      <c r="AM122" s="1024"/>
      <c r="AN122" s="1024"/>
      <c r="AO122" s="1024"/>
      <c r="AP122" s="1024"/>
      <c r="AQ122" s="1024"/>
      <c r="AR122" s="675"/>
      <c r="AS122" s="1024"/>
      <c r="AT122" s="1024"/>
      <c r="AU122" s="1024"/>
      <c r="AV122" s="1024"/>
      <c r="AW122" s="1024"/>
      <c r="AX122" s="675"/>
      <c r="AY122" s="1024"/>
      <c r="AZ122" s="1024"/>
      <c r="BA122" s="1024"/>
      <c r="BB122" s="1024"/>
      <c r="BC122" s="1024"/>
      <c r="BD122" s="698"/>
      <c r="BE122" s="1074" t="s">
        <v>7284</v>
      </c>
      <c r="BF122" s="1074"/>
      <c r="BG122" s="1074"/>
      <c r="BH122" s="1074"/>
      <c r="BI122" s="1074"/>
      <c r="BJ122" s="1074"/>
      <c r="BK122" s="1074"/>
      <c r="BL122" s="1074"/>
      <c r="BM122" s="1074"/>
      <c r="BN122" s="1074"/>
      <c r="BO122" s="1074"/>
      <c r="BP122" s="1074"/>
      <c r="BQ122" s="1074"/>
      <c r="BR122" s="1074"/>
      <c r="BS122" s="1074"/>
      <c r="BT122" s="1074"/>
      <c r="BU122" s="1074"/>
      <c r="BV122" s="1074"/>
      <c r="BW122" s="1074"/>
      <c r="BX122" s="1074"/>
      <c r="BY122" s="1074"/>
      <c r="BZ122" s="696"/>
      <c r="CA122" s="1074" t="s">
        <v>7285</v>
      </c>
      <c r="CB122" s="1074"/>
      <c r="CC122" s="1074"/>
      <c r="CD122" s="1074"/>
      <c r="CE122" s="1074"/>
      <c r="CF122" s="1074"/>
      <c r="CG122" s="1074"/>
      <c r="CH122" s="1074"/>
      <c r="CI122" s="1074"/>
      <c r="CJ122" s="1074"/>
      <c r="CK122" s="1074"/>
      <c r="CL122" s="1074"/>
      <c r="CM122" s="1074"/>
      <c r="CN122" s="1074"/>
      <c r="CO122" s="1074"/>
      <c r="CP122" s="1074"/>
      <c r="CQ122" s="1074"/>
      <c r="CR122" s="1074"/>
      <c r="CS122" s="1074"/>
      <c r="CT122" s="1074"/>
      <c r="CU122" s="1074"/>
      <c r="CV122" s="657"/>
    </row>
    <row r="123" spans="1:100" ht="12" customHeight="1" thickBot="1" x14ac:dyDescent="0.25">
      <c r="A123" s="657"/>
      <c r="B123" s="657"/>
      <c r="C123" s="657"/>
      <c r="D123" s="657"/>
      <c r="E123" s="657"/>
      <c r="F123" s="657"/>
      <c r="G123" s="657"/>
      <c r="H123" s="657"/>
      <c r="I123" s="657"/>
      <c r="J123" s="657"/>
      <c r="K123" s="657"/>
      <c r="L123" s="657"/>
      <c r="M123" s="657"/>
      <c r="N123" s="657"/>
      <c r="O123" s="657"/>
      <c r="P123" s="657"/>
      <c r="Q123" s="657"/>
      <c r="R123" s="657"/>
      <c r="S123" s="657"/>
      <c r="T123" s="657"/>
      <c r="U123" s="657"/>
      <c r="V123" s="657"/>
      <c r="W123" s="657"/>
      <c r="X123" s="657"/>
      <c r="Y123" s="657"/>
      <c r="Z123" s="657"/>
      <c r="AA123" s="657"/>
      <c r="AB123" s="657"/>
      <c r="AC123" s="657"/>
      <c r="AD123" s="657"/>
      <c r="AE123" s="657"/>
      <c r="AF123" s="657"/>
      <c r="AG123" s="657"/>
      <c r="AH123" s="657"/>
      <c r="AI123" s="657"/>
      <c r="AJ123" s="657"/>
      <c r="AK123" s="657"/>
      <c r="AL123" s="657"/>
      <c r="AM123" s="657"/>
      <c r="AN123" s="657"/>
      <c r="AO123" s="657"/>
      <c r="AP123" s="657"/>
      <c r="AQ123" s="657"/>
      <c r="AR123" s="657"/>
      <c r="AS123" s="657"/>
      <c r="AT123" s="657"/>
      <c r="AU123" s="657"/>
      <c r="AV123" s="657"/>
      <c r="AW123" s="657"/>
      <c r="AX123" s="657"/>
      <c r="AY123" s="657"/>
      <c r="AZ123" s="657"/>
      <c r="BA123" s="657"/>
      <c r="BB123" s="657"/>
      <c r="BC123" s="657"/>
      <c r="BD123" s="698"/>
      <c r="BE123" s="1074"/>
      <c r="BF123" s="1074"/>
      <c r="BG123" s="1074"/>
      <c r="BH123" s="1074"/>
      <c r="BI123" s="1074"/>
      <c r="BJ123" s="1074"/>
      <c r="BK123" s="1074"/>
      <c r="BL123" s="1074"/>
      <c r="BM123" s="1074"/>
      <c r="BN123" s="1074"/>
      <c r="BO123" s="1074"/>
      <c r="BP123" s="1074"/>
      <c r="BQ123" s="1074"/>
      <c r="BR123" s="1074"/>
      <c r="BS123" s="1074"/>
      <c r="BT123" s="1074"/>
      <c r="BU123" s="1074"/>
      <c r="BV123" s="1074"/>
      <c r="BW123" s="1074"/>
      <c r="BX123" s="1074"/>
      <c r="BY123" s="1074"/>
      <c r="BZ123" s="696"/>
      <c r="CA123" s="1074"/>
      <c r="CB123" s="1074"/>
      <c r="CC123" s="1074"/>
      <c r="CD123" s="1074"/>
      <c r="CE123" s="1074"/>
      <c r="CF123" s="1074"/>
      <c r="CG123" s="1074"/>
      <c r="CH123" s="1074"/>
      <c r="CI123" s="1074"/>
      <c r="CJ123" s="1074"/>
      <c r="CK123" s="1074"/>
      <c r="CL123" s="1074"/>
      <c r="CM123" s="1074"/>
      <c r="CN123" s="1074"/>
      <c r="CO123" s="1074"/>
      <c r="CP123" s="1074"/>
      <c r="CQ123" s="1074"/>
      <c r="CR123" s="1074"/>
      <c r="CS123" s="1074"/>
      <c r="CT123" s="1074"/>
      <c r="CU123" s="1074"/>
      <c r="CV123" s="657"/>
    </row>
    <row r="124" spans="1:100" ht="12" customHeight="1" x14ac:dyDescent="0.3">
      <c r="A124" s="657"/>
      <c r="B124" s="1049" t="s">
        <v>7286</v>
      </c>
      <c r="C124" s="1050"/>
      <c r="D124" s="1050"/>
      <c r="E124" s="1050"/>
      <c r="F124" s="1050"/>
      <c r="G124" s="1050"/>
      <c r="H124" s="1050"/>
      <c r="I124" s="1050"/>
      <c r="J124" s="1050"/>
      <c r="K124" s="1050"/>
      <c r="L124" s="1050"/>
      <c r="M124" s="1050"/>
      <c r="N124" s="1050"/>
      <c r="O124" s="1050"/>
      <c r="P124" s="1050"/>
      <c r="Q124" s="1050"/>
      <c r="R124" s="1050"/>
      <c r="S124" s="1050"/>
      <c r="T124" s="1050"/>
      <c r="U124" s="1051"/>
      <c r="V124" s="657"/>
      <c r="W124" s="657"/>
      <c r="X124" s="657"/>
      <c r="Y124" s="657"/>
      <c r="Z124" s="657"/>
      <c r="AA124" s="657"/>
      <c r="AB124" s="657"/>
      <c r="AC124" s="657"/>
      <c r="AD124" s="657"/>
      <c r="AE124" s="657"/>
      <c r="AF124" s="657"/>
      <c r="AG124" s="657"/>
      <c r="AH124" s="657"/>
      <c r="AI124" s="657"/>
      <c r="AJ124" s="657"/>
      <c r="AK124" s="657"/>
      <c r="AL124" s="657"/>
      <c r="AM124" s="657"/>
      <c r="AN124" s="657"/>
      <c r="AO124" s="657"/>
      <c r="AP124" s="657"/>
      <c r="AQ124" s="657"/>
      <c r="AR124" s="657"/>
      <c r="AS124" s="657"/>
      <c r="AT124" s="657"/>
      <c r="AU124" s="657"/>
      <c r="AV124" s="657"/>
      <c r="AW124" s="657"/>
      <c r="AX124" s="657"/>
      <c r="AY124" s="657"/>
      <c r="AZ124" s="657"/>
      <c r="BA124" s="657"/>
      <c r="BB124" s="657"/>
      <c r="BC124" s="657"/>
      <c r="BD124" s="698"/>
      <c r="BE124" s="660" t="s">
        <v>7287</v>
      </c>
      <c r="BF124" s="687"/>
      <c r="BG124" s="687"/>
      <c r="BH124" s="687"/>
      <c r="BI124" s="687"/>
      <c r="BJ124" s="687"/>
      <c r="BK124" s="687"/>
      <c r="BL124" s="657"/>
      <c r="BM124" s="657"/>
      <c r="BN124" s="657"/>
      <c r="BO124" s="696"/>
      <c r="BP124" s="696"/>
      <c r="BQ124" s="696"/>
      <c r="BR124" s="696"/>
      <c r="BS124" s="696"/>
      <c r="BT124" s="696"/>
      <c r="BU124" s="696"/>
      <c r="BV124" s="696"/>
      <c r="BW124" s="696"/>
      <c r="BX124" s="696"/>
      <c r="BY124" s="696"/>
      <c r="BZ124" s="696"/>
      <c r="CA124" s="660" t="s">
        <v>7288</v>
      </c>
      <c r="CB124" s="687"/>
      <c r="CC124" s="687"/>
      <c r="CD124" s="687"/>
      <c r="CE124" s="687"/>
      <c r="CF124" s="687"/>
      <c r="CG124" s="687"/>
      <c r="CH124" s="696"/>
      <c r="CI124" s="696"/>
      <c r="CJ124" s="696"/>
      <c r="CK124" s="696"/>
      <c r="CL124" s="696"/>
      <c r="CM124" s="696"/>
      <c r="CN124" s="696"/>
      <c r="CO124" s="696"/>
      <c r="CP124" s="696"/>
      <c r="CQ124" s="696"/>
      <c r="CR124" s="696"/>
      <c r="CS124" s="696"/>
      <c r="CT124" s="696"/>
      <c r="CU124" s="696"/>
      <c r="CV124" s="657"/>
    </row>
    <row r="125" spans="1:100" ht="12" customHeight="1" thickBot="1" x14ac:dyDescent="0.25">
      <c r="A125" s="657"/>
      <c r="B125" s="1052"/>
      <c r="C125" s="1053"/>
      <c r="D125" s="1053"/>
      <c r="E125" s="1053"/>
      <c r="F125" s="1053"/>
      <c r="G125" s="1053"/>
      <c r="H125" s="1053"/>
      <c r="I125" s="1053"/>
      <c r="J125" s="1053"/>
      <c r="K125" s="1053"/>
      <c r="L125" s="1053"/>
      <c r="M125" s="1053"/>
      <c r="N125" s="1053"/>
      <c r="O125" s="1053"/>
      <c r="P125" s="1053"/>
      <c r="Q125" s="1053"/>
      <c r="R125" s="1053"/>
      <c r="S125" s="1053"/>
      <c r="T125" s="1053"/>
      <c r="U125" s="1054"/>
      <c r="V125" s="1055" t="s">
        <v>7261</v>
      </c>
      <c r="W125" s="1056"/>
      <c r="X125" s="1056"/>
      <c r="Y125" s="1056"/>
      <c r="Z125" s="1056"/>
      <c r="AA125" s="1056"/>
      <c r="AB125" s="1056" t="s">
        <v>7262</v>
      </c>
      <c r="AC125" s="1056"/>
      <c r="AD125" s="1056"/>
      <c r="AE125" s="1056"/>
      <c r="AF125" s="1056"/>
      <c r="AG125" s="1056"/>
      <c r="AH125" s="1056"/>
      <c r="AI125" s="1056"/>
      <c r="AJ125" s="1056"/>
      <c r="AK125" s="1056"/>
      <c r="AL125" s="1056"/>
      <c r="AM125" s="1056"/>
      <c r="AN125" s="1056"/>
      <c r="AO125" s="1056"/>
      <c r="AP125" s="1056"/>
      <c r="AQ125" s="1056" t="s">
        <v>5883</v>
      </c>
      <c r="AR125" s="1056"/>
      <c r="AS125" s="1056"/>
      <c r="AT125" s="1056"/>
      <c r="AU125" s="1056"/>
      <c r="AV125" s="1056"/>
      <c r="AW125" s="1056"/>
      <c r="AX125" s="1056"/>
      <c r="AY125" s="1056"/>
      <c r="AZ125" s="1056"/>
      <c r="BA125" s="1056"/>
      <c r="BB125" s="1056"/>
      <c r="BC125" s="1057"/>
      <c r="BD125" s="698"/>
      <c r="BE125" s="1025"/>
      <c r="BF125" s="1025"/>
      <c r="BG125" s="1025"/>
      <c r="BH125" s="1025"/>
      <c r="BI125" s="1025"/>
      <c r="BJ125" s="1025"/>
      <c r="BK125" s="1025"/>
      <c r="BL125" s="1025"/>
      <c r="BM125" s="1025"/>
      <c r="BN125" s="1025"/>
      <c r="BO125" s="1025"/>
      <c r="BP125" s="1025"/>
      <c r="BQ125" s="1025"/>
      <c r="BR125" s="1025"/>
      <c r="BS125" s="1025"/>
      <c r="BT125" s="1025"/>
      <c r="BU125" s="1025"/>
      <c r="BV125" s="1025"/>
      <c r="BW125" s="1025"/>
      <c r="BX125" s="1025"/>
      <c r="BY125" s="1025"/>
      <c r="BZ125" s="696"/>
      <c r="CA125" s="1025"/>
      <c r="CB125" s="1025"/>
      <c r="CC125" s="1025"/>
      <c r="CD125" s="1025"/>
      <c r="CE125" s="1025"/>
      <c r="CF125" s="1025"/>
      <c r="CG125" s="1025"/>
      <c r="CH125" s="1025"/>
      <c r="CI125" s="1025"/>
      <c r="CJ125" s="1025"/>
      <c r="CK125" s="1025"/>
      <c r="CL125" s="1025"/>
      <c r="CM125" s="1025"/>
      <c r="CN125" s="1025"/>
      <c r="CO125" s="1025"/>
      <c r="CP125" s="1025"/>
      <c r="CQ125" s="1025"/>
      <c r="CR125" s="1025"/>
      <c r="CS125" s="1025"/>
      <c r="CT125" s="1025"/>
      <c r="CU125" s="1025"/>
      <c r="CV125" s="657"/>
    </row>
    <row r="126" spans="1:100" ht="12" customHeight="1" thickBot="1" x14ac:dyDescent="0.25">
      <c r="A126" s="657"/>
      <c r="B126" s="1059"/>
      <c r="C126" s="1060"/>
      <c r="D126" s="1060"/>
      <c r="E126" s="1060"/>
      <c r="F126" s="1060"/>
      <c r="G126" s="1060"/>
      <c r="H126" s="1060"/>
      <c r="I126" s="1060"/>
      <c r="J126" s="1060"/>
      <c r="K126" s="1060"/>
      <c r="L126" s="1060"/>
      <c r="M126" s="1060"/>
      <c r="N126" s="1060"/>
      <c r="O126" s="1060"/>
      <c r="P126" s="1060"/>
      <c r="Q126" s="1060"/>
      <c r="R126" s="1060"/>
      <c r="S126" s="1060"/>
      <c r="T126" s="1060"/>
      <c r="U126" s="1061"/>
      <c r="V126" s="1068"/>
      <c r="W126" s="1069"/>
      <c r="X126" s="1069"/>
      <c r="Y126" s="1069"/>
      <c r="Z126" s="1069"/>
      <c r="AA126" s="1069"/>
      <c r="AB126" s="1031"/>
      <c r="AC126" s="1031"/>
      <c r="AD126" s="1031"/>
      <c r="AE126" s="1031"/>
      <c r="AF126" s="1031"/>
      <c r="AG126" s="1031"/>
      <c r="AH126" s="1031"/>
      <c r="AI126" s="1031"/>
      <c r="AJ126" s="1031"/>
      <c r="AK126" s="1031"/>
      <c r="AL126" s="1031"/>
      <c r="AM126" s="1031"/>
      <c r="AN126" s="1031"/>
      <c r="AO126" s="1031"/>
      <c r="AP126" s="1031"/>
      <c r="AQ126" s="1031"/>
      <c r="AR126" s="1031"/>
      <c r="AS126" s="1031"/>
      <c r="AT126" s="1031"/>
      <c r="AU126" s="1031"/>
      <c r="AV126" s="1031"/>
      <c r="AW126" s="1031"/>
      <c r="AX126" s="1031"/>
      <c r="AY126" s="1031"/>
      <c r="AZ126" s="1031"/>
      <c r="BA126" s="1031"/>
      <c r="BB126" s="1031"/>
      <c r="BC126" s="1031"/>
      <c r="BD126" s="698"/>
      <c r="BE126" s="1025"/>
      <c r="BF126" s="1025"/>
      <c r="BG126" s="1025"/>
      <c r="BH126" s="1025"/>
      <c r="BI126" s="1025"/>
      <c r="BJ126" s="1025"/>
      <c r="BK126" s="1025"/>
      <c r="BL126" s="1025"/>
      <c r="BM126" s="1025"/>
      <c r="BN126" s="1025"/>
      <c r="BO126" s="1025"/>
      <c r="BP126" s="1025"/>
      <c r="BQ126" s="1025"/>
      <c r="BR126" s="1025"/>
      <c r="BS126" s="1025"/>
      <c r="BT126" s="1025"/>
      <c r="BU126" s="1025"/>
      <c r="BV126" s="1025"/>
      <c r="BW126" s="1025"/>
      <c r="BX126" s="1025"/>
      <c r="BY126" s="1025"/>
      <c r="BZ126" s="696"/>
      <c r="CA126" s="1025"/>
      <c r="CB126" s="1025"/>
      <c r="CC126" s="1025"/>
      <c r="CD126" s="1025"/>
      <c r="CE126" s="1025"/>
      <c r="CF126" s="1025"/>
      <c r="CG126" s="1025"/>
      <c r="CH126" s="1025"/>
      <c r="CI126" s="1025"/>
      <c r="CJ126" s="1025"/>
      <c r="CK126" s="1025"/>
      <c r="CL126" s="1025"/>
      <c r="CM126" s="1025"/>
      <c r="CN126" s="1025"/>
      <c r="CO126" s="1025"/>
      <c r="CP126" s="1025"/>
      <c r="CQ126" s="1025"/>
      <c r="CR126" s="1025"/>
      <c r="CS126" s="1025"/>
      <c r="CT126" s="1025"/>
      <c r="CU126" s="1025"/>
      <c r="CV126" s="657"/>
    </row>
    <row r="127" spans="1:100" ht="12" customHeight="1" thickBot="1" x14ac:dyDescent="0.25">
      <c r="A127" s="657"/>
      <c r="B127" s="1062"/>
      <c r="C127" s="1063"/>
      <c r="D127" s="1063"/>
      <c r="E127" s="1063"/>
      <c r="F127" s="1063"/>
      <c r="G127" s="1063"/>
      <c r="H127" s="1063"/>
      <c r="I127" s="1063"/>
      <c r="J127" s="1063"/>
      <c r="K127" s="1063"/>
      <c r="L127" s="1063"/>
      <c r="M127" s="1063"/>
      <c r="N127" s="1063"/>
      <c r="O127" s="1063"/>
      <c r="P127" s="1063"/>
      <c r="Q127" s="1063"/>
      <c r="R127" s="1063"/>
      <c r="S127" s="1063"/>
      <c r="T127" s="1063"/>
      <c r="U127" s="1064"/>
      <c r="V127" s="1068"/>
      <c r="W127" s="1069"/>
      <c r="X127" s="1069"/>
      <c r="Y127" s="1069"/>
      <c r="Z127" s="1069"/>
      <c r="AA127" s="1069"/>
      <c r="AB127" s="1031"/>
      <c r="AC127" s="1031"/>
      <c r="AD127" s="1031"/>
      <c r="AE127" s="1031"/>
      <c r="AF127" s="1031"/>
      <c r="AG127" s="1031"/>
      <c r="AH127" s="1031"/>
      <c r="AI127" s="1031"/>
      <c r="AJ127" s="1031"/>
      <c r="AK127" s="1031"/>
      <c r="AL127" s="1031"/>
      <c r="AM127" s="1031"/>
      <c r="AN127" s="1031"/>
      <c r="AO127" s="1031"/>
      <c r="AP127" s="1031"/>
      <c r="AQ127" s="1031"/>
      <c r="AR127" s="1031"/>
      <c r="AS127" s="1031"/>
      <c r="AT127" s="1031"/>
      <c r="AU127" s="1031"/>
      <c r="AV127" s="1031"/>
      <c r="AW127" s="1031"/>
      <c r="AX127" s="1031"/>
      <c r="AY127" s="1031"/>
      <c r="AZ127" s="1031"/>
      <c r="BA127" s="1031"/>
      <c r="BB127" s="1031"/>
      <c r="BC127" s="1031"/>
      <c r="BD127" s="698"/>
      <c r="BE127" s="1075"/>
      <c r="BF127" s="1075"/>
      <c r="BG127" s="1075"/>
      <c r="BH127" s="1075"/>
      <c r="BI127" s="1075"/>
      <c r="BJ127" s="1075"/>
      <c r="BK127" s="1075"/>
      <c r="BL127" s="1075"/>
      <c r="BM127" s="1075"/>
      <c r="BN127" s="1075"/>
      <c r="BO127" s="1075"/>
      <c r="BP127" s="1075"/>
      <c r="BQ127" s="1075"/>
      <c r="BR127" s="1075"/>
      <c r="BS127" s="1075"/>
      <c r="BT127" s="1075"/>
      <c r="BU127" s="1075"/>
      <c r="BV127" s="1075"/>
      <c r="BW127" s="1075"/>
      <c r="BX127" s="1075"/>
      <c r="BY127" s="1075"/>
      <c r="BZ127" s="696"/>
      <c r="CA127" s="1075"/>
      <c r="CB127" s="1075"/>
      <c r="CC127" s="1075"/>
      <c r="CD127" s="1075"/>
      <c r="CE127" s="1075"/>
      <c r="CF127" s="1075"/>
      <c r="CG127" s="1075"/>
      <c r="CH127" s="1075"/>
      <c r="CI127" s="1075"/>
      <c r="CJ127" s="1075"/>
      <c r="CK127" s="1075"/>
      <c r="CL127" s="1075"/>
      <c r="CM127" s="1075"/>
      <c r="CN127" s="1075"/>
      <c r="CO127" s="1075"/>
      <c r="CP127" s="1075"/>
      <c r="CQ127" s="1075"/>
      <c r="CR127" s="1075"/>
      <c r="CS127" s="1075"/>
      <c r="CT127" s="1075"/>
      <c r="CU127" s="1075"/>
      <c r="CV127" s="657"/>
    </row>
    <row r="128" spans="1:100" ht="12" customHeight="1" thickBot="1" x14ac:dyDescent="0.25">
      <c r="A128" s="657"/>
      <c r="B128" s="1065"/>
      <c r="C128" s="1066"/>
      <c r="D128" s="1066"/>
      <c r="E128" s="1066"/>
      <c r="F128" s="1066"/>
      <c r="G128" s="1066"/>
      <c r="H128" s="1066"/>
      <c r="I128" s="1066"/>
      <c r="J128" s="1066"/>
      <c r="K128" s="1066"/>
      <c r="L128" s="1066"/>
      <c r="M128" s="1066"/>
      <c r="N128" s="1066"/>
      <c r="O128" s="1066"/>
      <c r="P128" s="1066"/>
      <c r="Q128" s="1066"/>
      <c r="R128" s="1066"/>
      <c r="S128" s="1066"/>
      <c r="T128" s="1066"/>
      <c r="U128" s="1067"/>
      <c r="V128" s="1068"/>
      <c r="W128" s="1069"/>
      <c r="X128" s="1069"/>
      <c r="Y128" s="1069"/>
      <c r="Z128" s="1069"/>
      <c r="AA128" s="1069"/>
      <c r="AB128" s="1070"/>
      <c r="AC128" s="1070"/>
      <c r="AD128" s="1070"/>
      <c r="AE128" s="1070"/>
      <c r="AF128" s="1070"/>
      <c r="AG128" s="1070"/>
      <c r="AH128" s="1070"/>
      <c r="AI128" s="1070"/>
      <c r="AJ128" s="1070"/>
      <c r="AK128" s="1070"/>
      <c r="AL128" s="1070"/>
      <c r="AM128" s="1070"/>
      <c r="AN128" s="1070"/>
      <c r="AO128" s="1070"/>
      <c r="AP128" s="1070"/>
      <c r="AQ128" s="1070"/>
      <c r="AR128" s="1070"/>
      <c r="AS128" s="1070"/>
      <c r="AT128" s="1070"/>
      <c r="AU128" s="1070"/>
      <c r="AV128" s="1070"/>
      <c r="AW128" s="1070"/>
      <c r="AX128" s="1070"/>
      <c r="AY128" s="1070"/>
      <c r="AZ128" s="1070"/>
      <c r="BA128" s="1070"/>
      <c r="BB128" s="1070"/>
      <c r="BC128" s="1070"/>
      <c r="BD128" s="698"/>
      <c r="BE128" s="696"/>
      <c r="BF128" s="696"/>
      <c r="BG128" s="696"/>
      <c r="BH128" s="696"/>
      <c r="BI128" s="696"/>
      <c r="BJ128" s="696"/>
      <c r="BK128" s="696"/>
      <c r="BL128" s="696"/>
      <c r="BM128" s="696"/>
      <c r="BN128" s="696"/>
      <c r="BO128" s="696"/>
      <c r="BP128" s="696"/>
      <c r="BQ128" s="696"/>
      <c r="BR128" s="696"/>
      <c r="BS128" s="696"/>
      <c r="BT128" s="696"/>
      <c r="BU128" s="696"/>
      <c r="BV128" s="696"/>
      <c r="BW128" s="696"/>
      <c r="BX128" s="696"/>
      <c r="BY128" s="696"/>
      <c r="BZ128" s="696"/>
      <c r="CA128" s="696"/>
      <c r="CB128" s="696"/>
      <c r="CC128" s="696"/>
      <c r="CD128" s="696"/>
      <c r="CE128" s="696"/>
      <c r="CF128" s="696"/>
      <c r="CG128" s="696"/>
      <c r="CH128" s="696"/>
      <c r="CI128" s="696"/>
      <c r="CJ128" s="696"/>
      <c r="CK128" s="696"/>
      <c r="CL128" s="696"/>
      <c r="CM128" s="696"/>
      <c r="CN128" s="696"/>
      <c r="CO128" s="696"/>
      <c r="CP128" s="696"/>
      <c r="CQ128" s="696"/>
      <c r="CR128" s="696"/>
      <c r="CS128" s="696"/>
      <c r="CT128" s="696"/>
      <c r="CU128" s="696"/>
      <c r="CV128" s="657"/>
    </row>
    <row r="129" spans="1:106" ht="12" customHeight="1" thickBot="1" x14ac:dyDescent="0.25">
      <c r="A129" s="657"/>
      <c r="B129" s="1028" t="s">
        <v>7264</v>
      </c>
      <c r="C129" s="1029"/>
      <c r="D129" s="1029"/>
      <c r="E129" s="1029"/>
      <c r="F129" s="1029"/>
      <c r="G129" s="1029"/>
      <c r="H129" s="1029"/>
      <c r="I129" s="1029"/>
      <c r="J129" s="1029" t="s">
        <v>7246</v>
      </c>
      <c r="K129" s="1029"/>
      <c r="L129" s="1029"/>
      <c r="M129" s="1029"/>
      <c r="N129" s="1029"/>
      <c r="O129" s="1029"/>
      <c r="P129" s="1029"/>
      <c r="Q129" s="1029"/>
      <c r="R129" s="1029"/>
      <c r="S129" s="1029"/>
      <c r="T129" s="1029"/>
      <c r="U129" s="1029"/>
      <c r="V129" s="1029"/>
      <c r="W129" s="1029"/>
      <c r="X129" s="1029"/>
      <c r="Y129" s="1029"/>
      <c r="Z129" s="1029"/>
      <c r="AA129" s="1029"/>
      <c r="AB129" s="1029"/>
      <c r="AC129" s="1029"/>
      <c r="AD129" s="1029"/>
      <c r="AE129" s="1029"/>
      <c r="AF129" s="1029"/>
      <c r="AG129" s="1029"/>
      <c r="AH129" s="1029"/>
      <c r="AI129" s="1029"/>
      <c r="AJ129" s="1029"/>
      <c r="AK129" s="1029"/>
      <c r="AL129" s="1029"/>
      <c r="AM129" s="1029"/>
      <c r="AN129" s="1029"/>
      <c r="AO129" s="1029"/>
      <c r="AP129" s="1029"/>
      <c r="AQ129" s="1029"/>
      <c r="AR129" s="1029"/>
      <c r="AS129" s="1029"/>
      <c r="AT129" s="1029"/>
      <c r="AU129" s="1029"/>
      <c r="AV129" s="1029"/>
      <c r="AW129" s="1029"/>
      <c r="AX129" s="1029"/>
      <c r="AY129" s="1029"/>
      <c r="AZ129" s="1029"/>
      <c r="BA129" s="1029"/>
      <c r="BB129" s="1029"/>
      <c r="BC129" s="1030"/>
      <c r="BD129" s="698"/>
      <c r="BE129" s="1074" t="s">
        <v>7284</v>
      </c>
      <c r="BF129" s="1074"/>
      <c r="BG129" s="1074"/>
      <c r="BH129" s="1074"/>
      <c r="BI129" s="1074"/>
      <c r="BJ129" s="1074"/>
      <c r="BK129" s="1074"/>
      <c r="BL129" s="1074"/>
      <c r="BM129" s="1074"/>
      <c r="BN129" s="1074"/>
      <c r="BO129" s="1074"/>
      <c r="BP129" s="1074"/>
      <c r="BQ129" s="1074"/>
      <c r="BR129" s="1074"/>
      <c r="BS129" s="1074"/>
      <c r="BT129" s="1074"/>
      <c r="BU129" s="1074"/>
      <c r="BV129" s="1074"/>
      <c r="BW129" s="1074"/>
      <c r="BX129" s="1074"/>
      <c r="BY129" s="1074"/>
      <c r="BZ129" s="696"/>
      <c r="CA129" s="1074" t="s">
        <v>7289</v>
      </c>
      <c r="CB129" s="1074"/>
      <c r="CC129" s="1074"/>
      <c r="CD129" s="1074"/>
      <c r="CE129" s="1074"/>
      <c r="CF129" s="1074"/>
      <c r="CG129" s="1074"/>
      <c r="CH129" s="1074"/>
      <c r="CI129" s="1074"/>
      <c r="CJ129" s="1074"/>
      <c r="CK129" s="1074"/>
      <c r="CL129" s="1074"/>
      <c r="CM129" s="1074"/>
      <c r="CN129" s="1074"/>
      <c r="CO129" s="1074"/>
      <c r="CP129" s="1074"/>
      <c r="CQ129" s="1074"/>
      <c r="CR129" s="1074"/>
      <c r="CS129" s="1074"/>
      <c r="CT129" s="1074"/>
      <c r="CU129" s="1074"/>
      <c r="CV129" s="657"/>
      <c r="CZ129" s="699"/>
      <c r="DA129" s="699"/>
    </row>
    <row r="130" spans="1:106" ht="12" customHeight="1" thickBot="1" x14ac:dyDescent="0.25">
      <c r="A130" s="657"/>
      <c r="B130" s="1031"/>
      <c r="C130" s="1031"/>
      <c r="D130" s="1031"/>
      <c r="E130" s="1031"/>
      <c r="F130" s="1031"/>
      <c r="G130" s="1031"/>
      <c r="H130" s="1031"/>
      <c r="I130" s="1031"/>
      <c r="J130" s="1032"/>
      <c r="K130" s="1033"/>
      <c r="L130" s="1033"/>
      <c r="M130" s="1033"/>
      <c r="N130" s="1033"/>
      <c r="O130" s="1033"/>
      <c r="P130" s="1033"/>
      <c r="Q130" s="1033"/>
      <c r="R130" s="1033"/>
      <c r="S130" s="1033"/>
      <c r="T130" s="1033"/>
      <c r="U130" s="1033"/>
      <c r="V130" s="1033"/>
      <c r="W130" s="1033"/>
      <c r="X130" s="1033"/>
      <c r="Y130" s="1033"/>
      <c r="Z130" s="1033"/>
      <c r="AA130" s="1033"/>
      <c r="AB130" s="1033"/>
      <c r="AC130" s="1033"/>
      <c r="AD130" s="1033"/>
      <c r="AE130" s="1033"/>
      <c r="AF130" s="1033"/>
      <c r="AG130" s="1033"/>
      <c r="AH130" s="1033"/>
      <c r="AI130" s="1033"/>
      <c r="AJ130" s="1033"/>
      <c r="AK130" s="1033"/>
      <c r="AL130" s="1033"/>
      <c r="AM130" s="1033"/>
      <c r="AN130" s="1033"/>
      <c r="AO130" s="1033"/>
      <c r="AP130" s="1033"/>
      <c r="AQ130" s="1033"/>
      <c r="AR130" s="1033"/>
      <c r="AS130" s="1033"/>
      <c r="AT130" s="1033"/>
      <c r="AU130" s="1033"/>
      <c r="AV130" s="1033"/>
      <c r="AW130" s="1033"/>
      <c r="AX130" s="1033"/>
      <c r="AY130" s="1033"/>
      <c r="AZ130" s="1033"/>
      <c r="BA130" s="1033"/>
      <c r="BB130" s="1033"/>
      <c r="BC130" s="1034"/>
      <c r="BD130" s="698"/>
      <c r="BE130" s="1074"/>
      <c r="BF130" s="1074"/>
      <c r="BG130" s="1074"/>
      <c r="BH130" s="1074"/>
      <c r="BI130" s="1074"/>
      <c r="BJ130" s="1074"/>
      <c r="BK130" s="1074"/>
      <c r="BL130" s="1074"/>
      <c r="BM130" s="1074"/>
      <c r="BN130" s="1074"/>
      <c r="BO130" s="1074"/>
      <c r="BP130" s="1074"/>
      <c r="BQ130" s="1074"/>
      <c r="BR130" s="1074"/>
      <c r="BS130" s="1074"/>
      <c r="BT130" s="1074"/>
      <c r="BU130" s="1074"/>
      <c r="BV130" s="1074"/>
      <c r="BW130" s="1074"/>
      <c r="BX130" s="1074"/>
      <c r="BY130" s="1074"/>
      <c r="BZ130" s="696"/>
      <c r="CA130" s="1074"/>
      <c r="CB130" s="1074"/>
      <c r="CC130" s="1074"/>
      <c r="CD130" s="1074"/>
      <c r="CE130" s="1074"/>
      <c r="CF130" s="1074"/>
      <c r="CG130" s="1074"/>
      <c r="CH130" s="1074"/>
      <c r="CI130" s="1074"/>
      <c r="CJ130" s="1074"/>
      <c r="CK130" s="1074"/>
      <c r="CL130" s="1074"/>
      <c r="CM130" s="1074"/>
      <c r="CN130" s="1074"/>
      <c r="CO130" s="1074"/>
      <c r="CP130" s="1074"/>
      <c r="CQ130" s="1074"/>
      <c r="CR130" s="1074"/>
      <c r="CS130" s="1074"/>
      <c r="CT130" s="1074"/>
      <c r="CU130" s="1074"/>
      <c r="CV130" s="657"/>
      <c r="CZ130" s="699"/>
      <c r="DA130" s="699"/>
    </row>
    <row r="131" spans="1:106" ht="12" customHeight="1" thickBot="1" x14ac:dyDescent="0.35">
      <c r="A131" s="657"/>
      <c r="B131" s="1031"/>
      <c r="C131" s="1031"/>
      <c r="D131" s="1031"/>
      <c r="E131" s="1031"/>
      <c r="F131" s="1031"/>
      <c r="G131" s="1031"/>
      <c r="H131" s="1031"/>
      <c r="I131" s="1031"/>
      <c r="J131" s="1035"/>
      <c r="K131" s="1036"/>
      <c r="L131" s="1036"/>
      <c r="M131" s="1036"/>
      <c r="N131" s="1036"/>
      <c r="O131" s="1036"/>
      <c r="P131" s="1036"/>
      <c r="Q131" s="1036"/>
      <c r="R131" s="1036"/>
      <c r="S131" s="1036"/>
      <c r="T131" s="1036"/>
      <c r="U131" s="1036"/>
      <c r="V131" s="1036"/>
      <c r="W131" s="1036"/>
      <c r="X131" s="1036"/>
      <c r="Y131" s="1036"/>
      <c r="Z131" s="1036"/>
      <c r="AA131" s="1036"/>
      <c r="AB131" s="1036"/>
      <c r="AC131" s="1036"/>
      <c r="AD131" s="1036"/>
      <c r="AE131" s="1036"/>
      <c r="AF131" s="1036"/>
      <c r="AG131" s="1036"/>
      <c r="AH131" s="1036"/>
      <c r="AI131" s="1036"/>
      <c r="AJ131" s="1036"/>
      <c r="AK131" s="1036"/>
      <c r="AL131" s="1036"/>
      <c r="AM131" s="1036"/>
      <c r="AN131" s="1036"/>
      <c r="AO131" s="1036"/>
      <c r="AP131" s="1036"/>
      <c r="AQ131" s="1036"/>
      <c r="AR131" s="1036"/>
      <c r="AS131" s="1036"/>
      <c r="AT131" s="1036"/>
      <c r="AU131" s="1036"/>
      <c r="AV131" s="1036"/>
      <c r="AW131" s="1036"/>
      <c r="AX131" s="1036"/>
      <c r="AY131" s="1036"/>
      <c r="AZ131" s="1036"/>
      <c r="BA131" s="1036"/>
      <c r="BB131" s="1036"/>
      <c r="BC131" s="1037"/>
      <c r="BD131" s="698"/>
      <c r="BE131" s="660" t="s">
        <v>7290</v>
      </c>
      <c r="BF131" s="687"/>
      <c r="BG131" s="687"/>
      <c r="BH131" s="687"/>
      <c r="BI131" s="687"/>
      <c r="BJ131" s="687"/>
      <c r="BK131" s="687"/>
      <c r="BL131" s="657"/>
      <c r="BM131" s="657"/>
      <c r="BN131" s="657"/>
      <c r="BO131" s="696"/>
      <c r="BP131" s="696"/>
      <c r="BQ131" s="696"/>
      <c r="BR131" s="696"/>
      <c r="BS131" s="696"/>
      <c r="BT131" s="696"/>
      <c r="BU131" s="696"/>
      <c r="BV131" s="696"/>
      <c r="BW131" s="696"/>
      <c r="BX131" s="696"/>
      <c r="BY131" s="696"/>
      <c r="BZ131" s="696"/>
      <c r="CA131" s="660" t="s">
        <v>7291</v>
      </c>
      <c r="CB131" s="687"/>
      <c r="CC131" s="687"/>
      <c r="CD131" s="687"/>
      <c r="CE131" s="687"/>
      <c r="CF131" s="687"/>
      <c r="CG131" s="687"/>
      <c r="CH131" s="696"/>
      <c r="CI131" s="696"/>
      <c r="CJ131" s="696"/>
      <c r="CK131" s="696"/>
      <c r="CL131" s="696"/>
      <c r="CM131" s="696"/>
      <c r="CN131" s="696"/>
      <c r="CO131" s="696"/>
      <c r="CP131" s="696"/>
      <c r="CQ131" s="696"/>
      <c r="CR131" s="696"/>
      <c r="CS131" s="696"/>
      <c r="CT131" s="696"/>
      <c r="CU131" s="696"/>
      <c r="CV131" s="657"/>
      <c r="CZ131" s="699"/>
      <c r="DA131" s="699"/>
    </row>
    <row r="132" spans="1:106" ht="12" customHeight="1" thickBot="1" x14ac:dyDescent="0.25">
      <c r="A132" s="657"/>
      <c r="B132" s="1031"/>
      <c r="C132" s="1031"/>
      <c r="D132" s="1031"/>
      <c r="E132" s="1031"/>
      <c r="F132" s="1031"/>
      <c r="G132" s="1031"/>
      <c r="H132" s="1031"/>
      <c r="I132" s="1031"/>
      <c r="J132" s="1038"/>
      <c r="K132" s="1039"/>
      <c r="L132" s="1039"/>
      <c r="M132" s="1039"/>
      <c r="N132" s="1039"/>
      <c r="O132" s="1039"/>
      <c r="P132" s="1039"/>
      <c r="Q132" s="1039"/>
      <c r="R132" s="1039"/>
      <c r="S132" s="1039"/>
      <c r="T132" s="1039"/>
      <c r="U132" s="1039"/>
      <c r="V132" s="1039"/>
      <c r="W132" s="1039"/>
      <c r="X132" s="1039"/>
      <c r="Y132" s="1039"/>
      <c r="Z132" s="1039"/>
      <c r="AA132" s="1039"/>
      <c r="AB132" s="1039"/>
      <c r="AC132" s="1039"/>
      <c r="AD132" s="1039"/>
      <c r="AE132" s="1039"/>
      <c r="AF132" s="1039"/>
      <c r="AG132" s="1039"/>
      <c r="AH132" s="1039"/>
      <c r="AI132" s="1039"/>
      <c r="AJ132" s="1039"/>
      <c r="AK132" s="1039"/>
      <c r="AL132" s="1039"/>
      <c r="AM132" s="1039"/>
      <c r="AN132" s="1039"/>
      <c r="AO132" s="1039"/>
      <c r="AP132" s="1039"/>
      <c r="AQ132" s="1039"/>
      <c r="AR132" s="1039"/>
      <c r="AS132" s="1039"/>
      <c r="AT132" s="1039"/>
      <c r="AU132" s="1039"/>
      <c r="AV132" s="1039"/>
      <c r="AW132" s="1039"/>
      <c r="AX132" s="1039"/>
      <c r="AY132" s="1039"/>
      <c r="AZ132" s="1039"/>
      <c r="BA132" s="1039"/>
      <c r="BB132" s="1039"/>
      <c r="BC132" s="1040"/>
      <c r="BD132" s="698"/>
      <c r="BE132" s="1025"/>
      <c r="BF132" s="1025"/>
      <c r="BG132" s="1025"/>
      <c r="BH132" s="1025"/>
      <c r="BI132" s="1025"/>
      <c r="BJ132" s="1025"/>
      <c r="BK132" s="1025"/>
      <c r="BL132" s="1025"/>
      <c r="BM132" s="1025"/>
      <c r="BN132" s="1025"/>
      <c r="BO132" s="1025"/>
      <c r="BP132" s="1025"/>
      <c r="BQ132" s="1025"/>
      <c r="BR132" s="1025"/>
      <c r="BS132" s="1025"/>
      <c r="BT132" s="1025"/>
      <c r="BU132" s="1025"/>
      <c r="BV132" s="1025"/>
      <c r="BW132" s="1025"/>
      <c r="BX132" s="1025"/>
      <c r="BY132" s="1025"/>
      <c r="BZ132" s="696"/>
      <c r="CA132" s="1025"/>
      <c r="CB132" s="1025"/>
      <c r="CC132" s="1025"/>
      <c r="CD132" s="1025"/>
      <c r="CE132" s="1025"/>
      <c r="CF132" s="1025"/>
      <c r="CG132" s="1025"/>
      <c r="CH132" s="1025"/>
      <c r="CI132" s="1025"/>
      <c r="CJ132" s="1025"/>
      <c r="CK132" s="1025"/>
      <c r="CL132" s="1025"/>
      <c r="CM132" s="1025"/>
      <c r="CN132" s="1025"/>
      <c r="CO132" s="1025"/>
      <c r="CP132" s="1025"/>
      <c r="CQ132" s="1025"/>
      <c r="CR132" s="1025"/>
      <c r="CS132" s="1025"/>
      <c r="CT132" s="1025"/>
      <c r="CU132" s="1025"/>
      <c r="CV132" s="657"/>
      <c r="CZ132" s="699"/>
      <c r="DA132" s="699"/>
    </row>
    <row r="133" spans="1:106" ht="12" customHeight="1" x14ac:dyDescent="0.2">
      <c r="A133" s="657"/>
      <c r="B133" s="1045" t="s">
        <v>7269</v>
      </c>
      <c r="C133" s="1045"/>
      <c r="D133" s="1045"/>
      <c r="E133" s="1045"/>
      <c r="F133" s="1045"/>
      <c r="G133" s="1045"/>
      <c r="H133" s="1045"/>
      <c r="I133" s="1047"/>
      <c r="J133" s="1047"/>
      <c r="K133" s="1047"/>
      <c r="L133" s="1047"/>
      <c r="M133" s="1047"/>
      <c r="N133" s="1047"/>
      <c r="O133" s="1047"/>
      <c r="P133" s="1047"/>
      <c r="Q133" s="1047"/>
      <c r="R133" s="1047"/>
      <c r="S133" s="1047"/>
      <c r="T133" s="690"/>
      <c r="U133" s="1044" t="s">
        <v>7270</v>
      </c>
      <c r="V133" s="1024" t="s">
        <v>7270</v>
      </c>
      <c r="W133" s="1024" t="s">
        <v>7270</v>
      </c>
      <c r="X133" s="1024" t="s">
        <v>7270</v>
      </c>
      <c r="Y133" s="1024" t="s">
        <v>7270</v>
      </c>
      <c r="Z133" s="690"/>
      <c r="AA133" s="1044" t="s">
        <v>7270</v>
      </c>
      <c r="AB133" s="1024" t="s">
        <v>7270</v>
      </c>
      <c r="AC133" s="1024" t="s">
        <v>7270</v>
      </c>
      <c r="AD133" s="1024" t="s">
        <v>7270</v>
      </c>
      <c r="AE133" s="1024" t="s">
        <v>7270</v>
      </c>
      <c r="AF133" s="690"/>
      <c r="AG133" s="1024" t="s">
        <v>7270</v>
      </c>
      <c r="AH133" s="1024" t="s">
        <v>7270</v>
      </c>
      <c r="AI133" s="1024" t="s">
        <v>7270</v>
      </c>
      <c r="AJ133" s="1024" t="s">
        <v>7270</v>
      </c>
      <c r="AK133" s="1024" t="s">
        <v>7270</v>
      </c>
      <c r="AL133" s="675"/>
      <c r="AM133" s="1024" t="s">
        <v>7270</v>
      </c>
      <c r="AN133" s="1024" t="s">
        <v>7270</v>
      </c>
      <c r="AO133" s="1024" t="s">
        <v>7270</v>
      </c>
      <c r="AP133" s="1024" t="s">
        <v>7270</v>
      </c>
      <c r="AQ133" s="1024" t="s">
        <v>7270</v>
      </c>
      <c r="AR133" s="675"/>
      <c r="AS133" s="1024" t="s">
        <v>7270</v>
      </c>
      <c r="AT133" s="1024" t="s">
        <v>7270</v>
      </c>
      <c r="AU133" s="1024" t="s">
        <v>7270</v>
      </c>
      <c r="AV133" s="1024" t="s">
        <v>7270</v>
      </c>
      <c r="AW133" s="1024" t="s">
        <v>7270</v>
      </c>
      <c r="AX133" s="675"/>
      <c r="AY133" s="1024" t="s">
        <v>7270</v>
      </c>
      <c r="AZ133" s="1024" t="s">
        <v>7270</v>
      </c>
      <c r="BA133" s="1024" t="s">
        <v>7270</v>
      </c>
      <c r="BB133" s="1024" t="s">
        <v>7270</v>
      </c>
      <c r="BC133" s="1024" t="s">
        <v>7270</v>
      </c>
      <c r="BD133" s="698"/>
      <c r="BE133" s="1025"/>
      <c r="BF133" s="1025"/>
      <c r="BG133" s="1025"/>
      <c r="BH133" s="1025"/>
      <c r="BI133" s="1025"/>
      <c r="BJ133" s="1025"/>
      <c r="BK133" s="1025"/>
      <c r="BL133" s="1025"/>
      <c r="BM133" s="1025"/>
      <c r="BN133" s="1025"/>
      <c r="BO133" s="1025"/>
      <c r="BP133" s="1025"/>
      <c r="BQ133" s="1025"/>
      <c r="BR133" s="1025"/>
      <c r="BS133" s="1025"/>
      <c r="BT133" s="1025"/>
      <c r="BU133" s="1025"/>
      <c r="BV133" s="1025"/>
      <c r="BW133" s="1025"/>
      <c r="BX133" s="1025"/>
      <c r="BY133" s="1025"/>
      <c r="BZ133" s="696"/>
      <c r="CA133" s="1025"/>
      <c r="CB133" s="1025"/>
      <c r="CC133" s="1025"/>
      <c r="CD133" s="1025"/>
      <c r="CE133" s="1025"/>
      <c r="CF133" s="1025"/>
      <c r="CG133" s="1025"/>
      <c r="CH133" s="1025"/>
      <c r="CI133" s="1025"/>
      <c r="CJ133" s="1025"/>
      <c r="CK133" s="1025"/>
      <c r="CL133" s="1025"/>
      <c r="CM133" s="1025"/>
      <c r="CN133" s="1025"/>
      <c r="CO133" s="1025"/>
      <c r="CP133" s="1025"/>
      <c r="CQ133" s="1025"/>
      <c r="CR133" s="1025"/>
      <c r="CS133" s="1025"/>
      <c r="CT133" s="1025"/>
      <c r="CU133" s="1025"/>
      <c r="CV133" s="657"/>
      <c r="CZ133" s="699"/>
      <c r="DA133" s="699"/>
    </row>
    <row r="134" spans="1:106" ht="12" customHeight="1" x14ac:dyDescent="0.2">
      <c r="A134" s="657"/>
      <c r="B134" s="1046"/>
      <c r="C134" s="1046"/>
      <c r="D134" s="1046"/>
      <c r="E134" s="1046"/>
      <c r="F134" s="1046"/>
      <c r="G134" s="1046"/>
      <c r="H134" s="1046"/>
      <c r="I134" s="1048"/>
      <c r="J134" s="1048"/>
      <c r="K134" s="1048"/>
      <c r="L134" s="1048"/>
      <c r="M134" s="1048"/>
      <c r="N134" s="1048"/>
      <c r="O134" s="1048"/>
      <c r="P134" s="1048"/>
      <c r="Q134" s="1048"/>
      <c r="R134" s="1048"/>
      <c r="S134" s="1048"/>
      <c r="T134" s="690"/>
      <c r="U134" s="1024"/>
      <c r="V134" s="1024"/>
      <c r="W134" s="1024"/>
      <c r="X134" s="1024"/>
      <c r="Y134" s="1024"/>
      <c r="Z134" s="690"/>
      <c r="AA134" s="1024"/>
      <c r="AB134" s="1024"/>
      <c r="AC134" s="1024"/>
      <c r="AD134" s="1024"/>
      <c r="AE134" s="1024"/>
      <c r="AF134" s="690"/>
      <c r="AG134" s="1024"/>
      <c r="AH134" s="1024"/>
      <c r="AI134" s="1024"/>
      <c r="AJ134" s="1024"/>
      <c r="AK134" s="1024"/>
      <c r="AL134" s="675"/>
      <c r="AM134" s="1024"/>
      <c r="AN134" s="1024"/>
      <c r="AO134" s="1024"/>
      <c r="AP134" s="1024"/>
      <c r="AQ134" s="1024"/>
      <c r="AR134" s="675"/>
      <c r="AS134" s="1024"/>
      <c r="AT134" s="1024"/>
      <c r="AU134" s="1024"/>
      <c r="AV134" s="1024"/>
      <c r="AW134" s="1024"/>
      <c r="AX134" s="675"/>
      <c r="AY134" s="1024"/>
      <c r="AZ134" s="1024"/>
      <c r="BA134" s="1024"/>
      <c r="BB134" s="1024"/>
      <c r="BC134" s="1024"/>
      <c r="BD134" s="698"/>
      <c r="BE134" s="1075"/>
      <c r="BF134" s="1075"/>
      <c r="BG134" s="1075"/>
      <c r="BH134" s="1075"/>
      <c r="BI134" s="1075"/>
      <c r="BJ134" s="1075"/>
      <c r="BK134" s="1075"/>
      <c r="BL134" s="1075"/>
      <c r="BM134" s="1075"/>
      <c r="BN134" s="1075"/>
      <c r="BO134" s="1075"/>
      <c r="BP134" s="1075"/>
      <c r="BQ134" s="1075"/>
      <c r="BR134" s="1075"/>
      <c r="BS134" s="1075"/>
      <c r="BT134" s="1075"/>
      <c r="BU134" s="1075"/>
      <c r="BV134" s="1075"/>
      <c r="BW134" s="1075"/>
      <c r="BX134" s="1075"/>
      <c r="BY134" s="1075"/>
      <c r="BZ134" s="696"/>
      <c r="CA134" s="1075"/>
      <c r="CB134" s="1075"/>
      <c r="CC134" s="1075"/>
      <c r="CD134" s="1075"/>
      <c r="CE134" s="1075"/>
      <c r="CF134" s="1075"/>
      <c r="CG134" s="1075"/>
      <c r="CH134" s="1075"/>
      <c r="CI134" s="1075"/>
      <c r="CJ134" s="1075"/>
      <c r="CK134" s="1075"/>
      <c r="CL134" s="1075"/>
      <c r="CM134" s="1075"/>
      <c r="CN134" s="1075"/>
      <c r="CO134" s="1075"/>
      <c r="CP134" s="1075"/>
      <c r="CQ134" s="1075"/>
      <c r="CR134" s="1075"/>
      <c r="CS134" s="1075"/>
      <c r="CT134" s="1075"/>
      <c r="CU134" s="1075"/>
      <c r="CV134" s="657"/>
      <c r="CZ134" s="699"/>
      <c r="DA134" s="699"/>
    </row>
    <row r="135" spans="1:106" ht="12" customHeight="1" thickBot="1" x14ac:dyDescent="0.25">
      <c r="A135" s="657"/>
      <c r="B135" s="657"/>
      <c r="C135" s="657"/>
      <c r="D135" s="657"/>
      <c r="E135" s="657"/>
      <c r="F135" s="657"/>
      <c r="G135" s="657"/>
      <c r="H135" s="657"/>
      <c r="I135" s="657"/>
      <c r="J135" s="657"/>
      <c r="K135" s="657"/>
      <c r="L135" s="657"/>
      <c r="M135" s="657"/>
      <c r="N135" s="657"/>
      <c r="O135" s="657"/>
      <c r="P135" s="657"/>
      <c r="Q135" s="657"/>
      <c r="R135" s="657"/>
      <c r="S135" s="657"/>
      <c r="T135" s="657"/>
      <c r="U135" s="657"/>
      <c r="V135" s="657"/>
      <c r="W135" s="657"/>
      <c r="X135" s="657"/>
      <c r="Y135" s="657"/>
      <c r="Z135" s="657"/>
      <c r="AA135" s="657"/>
      <c r="AB135" s="657"/>
      <c r="AC135" s="657"/>
      <c r="AD135" s="657"/>
      <c r="AE135" s="657"/>
      <c r="AF135" s="657"/>
      <c r="AG135" s="657"/>
      <c r="AH135" s="657"/>
      <c r="AI135" s="657"/>
      <c r="AJ135" s="657"/>
      <c r="AK135" s="657"/>
      <c r="AL135" s="657"/>
      <c r="AM135" s="657"/>
      <c r="AN135" s="657"/>
      <c r="AO135" s="657"/>
      <c r="AP135" s="657"/>
      <c r="AQ135" s="657"/>
      <c r="AR135" s="657"/>
      <c r="AS135" s="657"/>
      <c r="AT135" s="657"/>
      <c r="AU135" s="657"/>
      <c r="AV135" s="657"/>
      <c r="AW135" s="657"/>
      <c r="AX135" s="657"/>
      <c r="AY135" s="657"/>
      <c r="AZ135" s="657"/>
      <c r="BA135" s="657"/>
      <c r="BB135" s="657"/>
      <c r="BC135" s="657"/>
      <c r="BD135" s="698"/>
      <c r="BE135" s="700"/>
      <c r="BF135" s="700"/>
      <c r="BG135" s="700"/>
      <c r="BH135" s="700"/>
      <c r="BI135" s="700"/>
      <c r="BJ135" s="700"/>
      <c r="BK135" s="700"/>
      <c r="BL135" s="700"/>
      <c r="BM135" s="700"/>
      <c r="BN135" s="700"/>
      <c r="BO135" s="700"/>
      <c r="BP135" s="700"/>
      <c r="BQ135" s="700"/>
      <c r="BR135" s="700"/>
      <c r="BS135" s="700"/>
      <c r="BT135" s="700"/>
      <c r="BU135" s="700"/>
      <c r="BV135" s="700"/>
      <c r="BW135" s="700"/>
      <c r="BX135" s="700"/>
      <c r="BY135" s="700"/>
      <c r="BZ135" s="696"/>
      <c r="CA135" s="700"/>
      <c r="CB135" s="700"/>
      <c r="CC135" s="700"/>
      <c r="CD135" s="700"/>
      <c r="CE135" s="700"/>
      <c r="CF135" s="700"/>
      <c r="CG135" s="700"/>
      <c r="CH135" s="700"/>
      <c r="CI135" s="700"/>
      <c r="CJ135" s="700"/>
      <c r="CK135" s="700"/>
      <c r="CL135" s="700"/>
      <c r="CM135" s="700"/>
      <c r="CN135" s="700"/>
      <c r="CO135" s="700"/>
      <c r="CP135" s="700"/>
      <c r="CQ135" s="700"/>
      <c r="CR135" s="700"/>
      <c r="CS135" s="700"/>
      <c r="CT135" s="700"/>
      <c r="CU135" s="700"/>
      <c r="CV135" s="657"/>
      <c r="CZ135" s="699"/>
      <c r="DA135" s="699"/>
    </row>
    <row r="136" spans="1:106" ht="12" customHeight="1" x14ac:dyDescent="0.2">
      <c r="A136" s="657"/>
      <c r="B136" s="1049" t="s">
        <v>7292</v>
      </c>
      <c r="C136" s="1050"/>
      <c r="D136" s="1050"/>
      <c r="E136" s="1050"/>
      <c r="F136" s="1050"/>
      <c r="G136" s="1050"/>
      <c r="H136" s="1050"/>
      <c r="I136" s="1050"/>
      <c r="J136" s="1050"/>
      <c r="K136" s="1050"/>
      <c r="L136" s="1050"/>
      <c r="M136" s="1050"/>
      <c r="N136" s="1050"/>
      <c r="O136" s="1050"/>
      <c r="P136" s="1050"/>
      <c r="Q136" s="1050"/>
      <c r="R136" s="1050"/>
      <c r="S136" s="1050"/>
      <c r="T136" s="1050"/>
      <c r="U136" s="1051"/>
      <c r="V136" s="657"/>
      <c r="W136" s="657"/>
      <c r="X136" s="657"/>
      <c r="Y136" s="657"/>
      <c r="Z136" s="657"/>
      <c r="AA136" s="657"/>
      <c r="AB136" s="657"/>
      <c r="AC136" s="657"/>
      <c r="AD136" s="657"/>
      <c r="AE136" s="657"/>
      <c r="AF136" s="657"/>
      <c r="AG136" s="657"/>
      <c r="AH136" s="657"/>
      <c r="AI136" s="657"/>
      <c r="AJ136" s="657"/>
      <c r="AK136" s="657"/>
      <c r="AL136" s="657"/>
      <c r="AM136" s="657"/>
      <c r="AN136" s="657"/>
      <c r="AO136" s="657"/>
      <c r="AP136" s="657"/>
      <c r="AQ136" s="657"/>
      <c r="AR136" s="657"/>
      <c r="AS136" s="657"/>
      <c r="AT136" s="657"/>
      <c r="AU136" s="657"/>
      <c r="AV136" s="657"/>
      <c r="AW136" s="657"/>
      <c r="AX136" s="657"/>
      <c r="AY136" s="657"/>
      <c r="AZ136" s="657"/>
      <c r="BA136" s="657"/>
      <c r="BB136" s="657"/>
      <c r="BC136" s="657"/>
      <c r="BD136" s="698"/>
      <c r="BE136" s="696"/>
      <c r="BF136" s="696"/>
      <c r="BG136" s="696"/>
      <c r="BH136" s="696"/>
      <c r="BI136" s="696"/>
      <c r="BJ136" s="696"/>
      <c r="BK136" s="696"/>
      <c r="BL136" s="696"/>
      <c r="BM136" s="696"/>
      <c r="BN136" s="696"/>
      <c r="BO136" s="696"/>
      <c r="BP136" s="696"/>
      <c r="BQ136" s="696"/>
      <c r="BR136" s="696"/>
      <c r="BS136" s="696"/>
      <c r="BT136" s="696"/>
      <c r="BU136" s="696"/>
      <c r="BV136" s="696"/>
      <c r="BW136" s="696"/>
      <c r="BX136" s="696"/>
      <c r="BY136" s="696"/>
      <c r="BZ136" s="696"/>
      <c r="CA136" s="696"/>
      <c r="CB136" s="696"/>
      <c r="CC136" s="696"/>
      <c r="CD136" s="696"/>
      <c r="CE136" s="696"/>
      <c r="CF136" s="696"/>
      <c r="CG136" s="696"/>
      <c r="CH136" s="696"/>
      <c r="CI136" s="696"/>
      <c r="CJ136" s="696"/>
      <c r="CK136" s="696"/>
      <c r="CL136" s="696"/>
      <c r="CM136" s="696"/>
      <c r="CN136" s="696"/>
      <c r="CO136" s="696"/>
      <c r="CP136" s="696"/>
      <c r="CQ136" s="696"/>
      <c r="CR136" s="696"/>
      <c r="CS136" s="696"/>
      <c r="CT136" s="696"/>
      <c r="CU136" s="696"/>
      <c r="CV136" s="657"/>
      <c r="CZ136" s="699"/>
      <c r="DA136" s="699"/>
    </row>
    <row r="137" spans="1:106" ht="12" customHeight="1" thickBot="1" x14ac:dyDescent="0.25">
      <c r="A137" s="657"/>
      <c r="B137" s="1052"/>
      <c r="C137" s="1053"/>
      <c r="D137" s="1053"/>
      <c r="E137" s="1053"/>
      <c r="F137" s="1053"/>
      <c r="G137" s="1053"/>
      <c r="H137" s="1053"/>
      <c r="I137" s="1053"/>
      <c r="J137" s="1053"/>
      <c r="K137" s="1053"/>
      <c r="L137" s="1053"/>
      <c r="M137" s="1053"/>
      <c r="N137" s="1053"/>
      <c r="O137" s="1053"/>
      <c r="P137" s="1053"/>
      <c r="Q137" s="1053"/>
      <c r="R137" s="1053"/>
      <c r="S137" s="1053"/>
      <c r="T137" s="1053"/>
      <c r="U137" s="1054"/>
      <c r="V137" s="1055" t="s">
        <v>7261</v>
      </c>
      <c r="W137" s="1056"/>
      <c r="X137" s="1056"/>
      <c r="Y137" s="1056"/>
      <c r="Z137" s="1056"/>
      <c r="AA137" s="1056"/>
      <c r="AB137" s="1056" t="s">
        <v>7262</v>
      </c>
      <c r="AC137" s="1056"/>
      <c r="AD137" s="1056"/>
      <c r="AE137" s="1056"/>
      <c r="AF137" s="1056"/>
      <c r="AG137" s="1056"/>
      <c r="AH137" s="1056"/>
      <c r="AI137" s="1056"/>
      <c r="AJ137" s="1056"/>
      <c r="AK137" s="1056"/>
      <c r="AL137" s="1056"/>
      <c r="AM137" s="1056"/>
      <c r="AN137" s="1056"/>
      <c r="AO137" s="1056"/>
      <c r="AP137" s="1056"/>
      <c r="AQ137" s="1056" t="s">
        <v>5883</v>
      </c>
      <c r="AR137" s="1056"/>
      <c r="AS137" s="1056"/>
      <c r="AT137" s="1056"/>
      <c r="AU137" s="1056"/>
      <c r="AV137" s="1056"/>
      <c r="AW137" s="1056"/>
      <c r="AX137" s="1056"/>
      <c r="AY137" s="1056"/>
      <c r="AZ137" s="1056"/>
      <c r="BA137" s="1056"/>
      <c r="BB137" s="1056"/>
      <c r="BC137" s="1057"/>
      <c r="BD137" s="657"/>
      <c r="BE137" s="1073" t="s">
        <v>7293</v>
      </c>
      <c r="BF137" s="1073"/>
      <c r="BG137" s="1073"/>
      <c r="BH137" s="1073"/>
      <c r="BI137" s="1073"/>
      <c r="BJ137" s="1073"/>
      <c r="BK137" s="1073"/>
      <c r="BL137" s="1073"/>
      <c r="BM137" s="1073"/>
      <c r="BN137" s="1073"/>
      <c r="BO137" s="1073"/>
      <c r="BP137" s="1073"/>
      <c r="BQ137" s="1073"/>
      <c r="BR137" s="1073"/>
      <c r="BS137" s="1073"/>
      <c r="BT137" s="1073"/>
      <c r="BU137" s="1073"/>
      <c r="BV137" s="1073"/>
      <c r="BW137" s="1073"/>
      <c r="BX137" s="1073"/>
      <c r="BY137" s="1073"/>
      <c r="BZ137" s="696"/>
      <c r="CA137" s="1073" t="s">
        <v>7294</v>
      </c>
      <c r="CB137" s="1073"/>
      <c r="CC137" s="1073"/>
      <c r="CD137" s="1073"/>
      <c r="CE137" s="1073"/>
      <c r="CF137" s="1073"/>
      <c r="CG137" s="1073"/>
      <c r="CH137" s="1073"/>
      <c r="CI137" s="1073"/>
      <c r="CJ137" s="1073"/>
      <c r="CK137" s="1073"/>
      <c r="CL137" s="1073"/>
      <c r="CM137" s="1073"/>
      <c r="CN137" s="1073"/>
      <c r="CO137" s="1073"/>
      <c r="CP137" s="1073"/>
      <c r="CQ137" s="1073"/>
      <c r="CR137" s="1073"/>
      <c r="CS137" s="1073"/>
      <c r="CT137" s="1073"/>
      <c r="CU137" s="1073"/>
      <c r="CV137" s="657"/>
      <c r="CZ137" s="699"/>
      <c r="DA137" s="699"/>
    </row>
    <row r="138" spans="1:106" ht="12" customHeight="1" thickBot="1" x14ac:dyDescent="0.25">
      <c r="A138" s="657"/>
      <c r="B138" s="1059"/>
      <c r="C138" s="1060"/>
      <c r="D138" s="1060"/>
      <c r="E138" s="1060"/>
      <c r="F138" s="1060"/>
      <c r="G138" s="1060"/>
      <c r="H138" s="1060"/>
      <c r="I138" s="1060"/>
      <c r="J138" s="1060"/>
      <c r="K138" s="1060"/>
      <c r="L138" s="1060"/>
      <c r="M138" s="1060"/>
      <c r="N138" s="1060"/>
      <c r="O138" s="1060"/>
      <c r="P138" s="1060"/>
      <c r="Q138" s="1060"/>
      <c r="R138" s="1060"/>
      <c r="S138" s="1060"/>
      <c r="T138" s="1060"/>
      <c r="U138" s="1061"/>
      <c r="V138" s="1068"/>
      <c r="W138" s="1069"/>
      <c r="X138" s="1069"/>
      <c r="Y138" s="1069"/>
      <c r="Z138" s="1069"/>
      <c r="AA138" s="1069"/>
      <c r="AB138" s="1031"/>
      <c r="AC138" s="1031"/>
      <c r="AD138" s="1031"/>
      <c r="AE138" s="1031"/>
      <c r="AF138" s="1031"/>
      <c r="AG138" s="1031"/>
      <c r="AH138" s="1031"/>
      <c r="AI138" s="1031"/>
      <c r="AJ138" s="1031"/>
      <c r="AK138" s="1031"/>
      <c r="AL138" s="1031"/>
      <c r="AM138" s="1031"/>
      <c r="AN138" s="1031"/>
      <c r="AO138" s="1031"/>
      <c r="AP138" s="1031"/>
      <c r="AQ138" s="1031"/>
      <c r="AR138" s="1031"/>
      <c r="AS138" s="1031"/>
      <c r="AT138" s="1031"/>
      <c r="AU138" s="1031"/>
      <c r="AV138" s="1031"/>
      <c r="AW138" s="1031"/>
      <c r="AX138" s="1031"/>
      <c r="AY138" s="1031"/>
      <c r="AZ138" s="1031"/>
      <c r="BA138" s="1031"/>
      <c r="BB138" s="1031"/>
      <c r="BC138" s="1031"/>
      <c r="BD138" s="657"/>
      <c r="BE138" s="1073"/>
      <c r="BF138" s="1073"/>
      <c r="BG138" s="1073"/>
      <c r="BH138" s="1073"/>
      <c r="BI138" s="1073"/>
      <c r="BJ138" s="1073"/>
      <c r="BK138" s="1073"/>
      <c r="BL138" s="1073"/>
      <c r="BM138" s="1073"/>
      <c r="BN138" s="1073"/>
      <c r="BO138" s="1073"/>
      <c r="BP138" s="1073"/>
      <c r="BQ138" s="1073"/>
      <c r="BR138" s="1073"/>
      <c r="BS138" s="1073"/>
      <c r="BT138" s="1073"/>
      <c r="BU138" s="1073"/>
      <c r="BV138" s="1073"/>
      <c r="BW138" s="1073"/>
      <c r="BX138" s="1073"/>
      <c r="BY138" s="1073"/>
      <c r="BZ138" s="696"/>
      <c r="CA138" s="1073"/>
      <c r="CB138" s="1073"/>
      <c r="CC138" s="1073"/>
      <c r="CD138" s="1073"/>
      <c r="CE138" s="1073"/>
      <c r="CF138" s="1073"/>
      <c r="CG138" s="1073"/>
      <c r="CH138" s="1073"/>
      <c r="CI138" s="1073"/>
      <c r="CJ138" s="1073"/>
      <c r="CK138" s="1073"/>
      <c r="CL138" s="1073"/>
      <c r="CM138" s="1073"/>
      <c r="CN138" s="1073"/>
      <c r="CO138" s="1073"/>
      <c r="CP138" s="1073"/>
      <c r="CQ138" s="1073"/>
      <c r="CR138" s="1073"/>
      <c r="CS138" s="1073"/>
      <c r="CT138" s="1073"/>
      <c r="CU138" s="1073"/>
      <c r="CV138" s="657"/>
      <c r="CZ138" s="699"/>
      <c r="DA138" s="699"/>
    </row>
    <row r="139" spans="1:106" ht="12" customHeight="1" thickBot="1" x14ac:dyDescent="0.25">
      <c r="A139" s="657"/>
      <c r="B139" s="1062"/>
      <c r="C139" s="1063"/>
      <c r="D139" s="1063"/>
      <c r="E139" s="1063"/>
      <c r="F139" s="1063"/>
      <c r="G139" s="1063"/>
      <c r="H139" s="1063"/>
      <c r="I139" s="1063"/>
      <c r="J139" s="1063"/>
      <c r="K139" s="1063"/>
      <c r="L139" s="1063"/>
      <c r="M139" s="1063"/>
      <c r="N139" s="1063"/>
      <c r="O139" s="1063"/>
      <c r="P139" s="1063"/>
      <c r="Q139" s="1063"/>
      <c r="R139" s="1063"/>
      <c r="S139" s="1063"/>
      <c r="T139" s="1063"/>
      <c r="U139" s="1064"/>
      <c r="V139" s="1068"/>
      <c r="W139" s="1069"/>
      <c r="X139" s="1069"/>
      <c r="Y139" s="1069"/>
      <c r="Z139" s="1069"/>
      <c r="AA139" s="1069"/>
      <c r="AB139" s="1031"/>
      <c r="AC139" s="1031"/>
      <c r="AD139" s="1031"/>
      <c r="AE139" s="1031"/>
      <c r="AF139" s="1031"/>
      <c r="AG139" s="1031"/>
      <c r="AH139" s="1031"/>
      <c r="AI139" s="1031"/>
      <c r="AJ139" s="1031"/>
      <c r="AK139" s="1031"/>
      <c r="AL139" s="1031"/>
      <c r="AM139" s="1031"/>
      <c r="AN139" s="1031"/>
      <c r="AO139" s="1031"/>
      <c r="AP139" s="1031"/>
      <c r="AQ139" s="1031"/>
      <c r="AR139" s="1031"/>
      <c r="AS139" s="1031"/>
      <c r="AT139" s="1031"/>
      <c r="AU139" s="1031"/>
      <c r="AV139" s="1031"/>
      <c r="AW139" s="1031"/>
      <c r="AX139" s="1031"/>
      <c r="AY139" s="1031"/>
      <c r="AZ139" s="1031"/>
      <c r="BA139" s="1031"/>
      <c r="BB139" s="1031"/>
      <c r="BC139" s="1031"/>
      <c r="BD139" s="657"/>
      <c r="BE139" s="701"/>
      <c r="BF139" s="701"/>
      <c r="BG139" s="701"/>
      <c r="BH139" s="701"/>
      <c r="BI139" s="701"/>
      <c r="BJ139" s="701"/>
      <c r="BK139" s="701"/>
      <c r="BL139" s="701"/>
      <c r="BM139" s="701"/>
      <c r="BN139" s="701"/>
      <c r="BO139" s="701"/>
      <c r="BP139" s="701"/>
      <c r="BQ139" s="701"/>
      <c r="BR139" s="701"/>
      <c r="BS139" s="701"/>
      <c r="BT139" s="701"/>
      <c r="BU139" s="701"/>
      <c r="BV139" s="701"/>
      <c r="BW139" s="701"/>
      <c r="BX139" s="701"/>
      <c r="BY139" s="701"/>
      <c r="BZ139" s="701"/>
      <c r="CA139" s="701"/>
      <c r="CB139" s="701"/>
      <c r="CC139" s="701"/>
      <c r="CD139" s="701"/>
      <c r="CE139" s="701"/>
      <c r="CF139" s="701"/>
      <c r="CG139" s="701"/>
      <c r="CH139" s="701"/>
      <c r="CI139" s="701"/>
      <c r="CJ139" s="701"/>
      <c r="CK139" s="701"/>
      <c r="CL139" s="701"/>
      <c r="CM139" s="701"/>
      <c r="CN139" s="701"/>
      <c r="CO139" s="701"/>
      <c r="CP139" s="701"/>
      <c r="CQ139" s="701"/>
      <c r="CR139" s="701"/>
      <c r="CS139" s="701"/>
      <c r="CT139" s="701"/>
      <c r="CU139" s="701"/>
      <c r="CV139" s="657"/>
      <c r="CZ139" s="699"/>
      <c r="DA139" s="699"/>
    </row>
    <row r="140" spans="1:106" ht="12" customHeight="1" thickBot="1" x14ac:dyDescent="0.4">
      <c r="A140" s="657"/>
      <c r="B140" s="1065"/>
      <c r="C140" s="1066"/>
      <c r="D140" s="1066"/>
      <c r="E140" s="1066"/>
      <c r="F140" s="1066"/>
      <c r="G140" s="1066"/>
      <c r="H140" s="1066"/>
      <c r="I140" s="1066"/>
      <c r="J140" s="1066"/>
      <c r="K140" s="1066"/>
      <c r="L140" s="1066"/>
      <c r="M140" s="1066"/>
      <c r="N140" s="1066"/>
      <c r="O140" s="1066"/>
      <c r="P140" s="1066"/>
      <c r="Q140" s="1066"/>
      <c r="R140" s="1066"/>
      <c r="S140" s="1066"/>
      <c r="T140" s="1066"/>
      <c r="U140" s="1067"/>
      <c r="V140" s="1068"/>
      <c r="W140" s="1069"/>
      <c r="X140" s="1069"/>
      <c r="Y140" s="1069"/>
      <c r="Z140" s="1069"/>
      <c r="AA140" s="1069"/>
      <c r="AB140" s="1070"/>
      <c r="AC140" s="1070"/>
      <c r="AD140" s="1070"/>
      <c r="AE140" s="1070"/>
      <c r="AF140" s="1070"/>
      <c r="AG140" s="1070"/>
      <c r="AH140" s="1070"/>
      <c r="AI140" s="1070"/>
      <c r="AJ140" s="1070"/>
      <c r="AK140" s="1070"/>
      <c r="AL140" s="1070"/>
      <c r="AM140" s="1070"/>
      <c r="AN140" s="1070"/>
      <c r="AO140" s="1070"/>
      <c r="AP140" s="1070"/>
      <c r="AQ140" s="1070"/>
      <c r="AR140" s="1070"/>
      <c r="AS140" s="1070"/>
      <c r="AT140" s="1070"/>
      <c r="AU140" s="1070"/>
      <c r="AV140" s="1070"/>
      <c r="AW140" s="1070"/>
      <c r="AX140" s="1070"/>
      <c r="AY140" s="1070"/>
      <c r="AZ140" s="1070"/>
      <c r="BA140" s="1070"/>
      <c r="BB140" s="1070"/>
      <c r="BC140" s="1070"/>
      <c r="BD140" s="657"/>
      <c r="BE140" s="1041" t="s">
        <v>7295</v>
      </c>
      <c r="BF140" s="1041"/>
      <c r="BG140" s="1041"/>
      <c r="BH140" s="1041"/>
      <c r="BI140" s="1041"/>
      <c r="BJ140" s="1041"/>
      <c r="BK140" s="1041"/>
      <c r="BL140" s="1041"/>
      <c r="BM140" s="1041"/>
      <c r="BN140" s="1041"/>
      <c r="BO140" s="1041"/>
      <c r="BP140" s="657"/>
      <c r="BQ140" s="702"/>
      <c r="BR140" s="702"/>
      <c r="BS140" s="702"/>
      <c r="BT140" s="702"/>
      <c r="BU140" s="702"/>
      <c r="BV140" s="702"/>
      <c r="BW140" s="702"/>
      <c r="BX140" s="702"/>
      <c r="BY140" s="702"/>
      <c r="BZ140" s="696"/>
      <c r="CA140" s="675"/>
      <c r="CB140" s="675"/>
      <c r="CC140" s="675"/>
      <c r="CD140" s="675"/>
      <c r="CE140" s="657"/>
      <c r="CF140" s="657"/>
      <c r="CG140" s="657"/>
      <c r="CH140" s="657"/>
      <c r="CI140" s="657"/>
      <c r="CJ140" s="657"/>
      <c r="CK140" s="657"/>
      <c r="CL140" s="657"/>
      <c r="CM140" s="657"/>
      <c r="CN140" s="657"/>
      <c r="CO140" s="657"/>
      <c r="CP140" s="657"/>
      <c r="CQ140" s="657"/>
      <c r="CR140" s="657"/>
      <c r="CS140" s="657"/>
      <c r="CT140" s="657"/>
      <c r="CU140" s="657"/>
      <c r="CV140" s="657"/>
      <c r="CZ140" s="699"/>
      <c r="DA140" s="699"/>
    </row>
    <row r="141" spans="1:106" ht="12" customHeight="1" thickBot="1" x14ac:dyDescent="0.25">
      <c r="A141" s="657"/>
      <c r="B141" s="1028" t="s">
        <v>7264</v>
      </c>
      <c r="C141" s="1029"/>
      <c r="D141" s="1029"/>
      <c r="E141" s="1029"/>
      <c r="F141" s="1029"/>
      <c r="G141" s="1029"/>
      <c r="H141" s="1029"/>
      <c r="I141" s="1029"/>
      <c r="J141" s="1029" t="s">
        <v>7246</v>
      </c>
      <c r="K141" s="1029"/>
      <c r="L141" s="1029"/>
      <c r="M141" s="1029"/>
      <c r="N141" s="1029"/>
      <c r="O141" s="1029"/>
      <c r="P141" s="1029"/>
      <c r="Q141" s="1029"/>
      <c r="R141" s="1029"/>
      <c r="S141" s="1029"/>
      <c r="T141" s="1029"/>
      <c r="U141" s="1029"/>
      <c r="V141" s="1029"/>
      <c r="W141" s="1029"/>
      <c r="X141" s="1029"/>
      <c r="Y141" s="1029"/>
      <c r="Z141" s="1029"/>
      <c r="AA141" s="1029"/>
      <c r="AB141" s="1029"/>
      <c r="AC141" s="1029"/>
      <c r="AD141" s="1029"/>
      <c r="AE141" s="1029"/>
      <c r="AF141" s="1029"/>
      <c r="AG141" s="1029"/>
      <c r="AH141" s="1029"/>
      <c r="AI141" s="1029"/>
      <c r="AJ141" s="1029"/>
      <c r="AK141" s="1029"/>
      <c r="AL141" s="1029"/>
      <c r="AM141" s="1029"/>
      <c r="AN141" s="1029"/>
      <c r="AO141" s="1029"/>
      <c r="AP141" s="1029"/>
      <c r="AQ141" s="1029"/>
      <c r="AR141" s="1029"/>
      <c r="AS141" s="1029"/>
      <c r="AT141" s="1029"/>
      <c r="AU141" s="1029"/>
      <c r="AV141" s="1029"/>
      <c r="AW141" s="1029"/>
      <c r="AX141" s="1029"/>
      <c r="AY141" s="1029"/>
      <c r="AZ141" s="1029"/>
      <c r="BA141" s="1029"/>
      <c r="BB141" s="1029"/>
      <c r="BC141" s="1030"/>
      <c r="BD141" s="657"/>
      <c r="BE141" s="1041"/>
      <c r="BF141" s="1041"/>
      <c r="BG141" s="1041"/>
      <c r="BH141" s="1041"/>
      <c r="BI141" s="1041"/>
      <c r="BJ141" s="1041"/>
      <c r="BK141" s="1041"/>
      <c r="BL141" s="1041"/>
      <c r="BM141" s="1041"/>
      <c r="BN141" s="1041"/>
      <c r="BO141" s="1041"/>
      <c r="BP141" s="1042"/>
      <c r="BQ141" s="1042"/>
      <c r="BR141" s="1042"/>
      <c r="BS141" s="1042"/>
      <c r="BT141" s="1042"/>
      <c r="BU141" s="1042"/>
      <c r="BV141" s="1042"/>
      <c r="BW141" s="1042"/>
      <c r="BX141" s="1042"/>
      <c r="BY141" s="1042"/>
      <c r="BZ141" s="696"/>
      <c r="CA141" s="1025" t="s">
        <v>7296</v>
      </c>
      <c r="CB141" s="1025"/>
      <c r="CC141" s="1025"/>
      <c r="CD141" s="1025"/>
      <c r="CE141" s="1025"/>
      <c r="CF141" s="1025"/>
      <c r="CG141" s="1025"/>
      <c r="CH141" s="1025"/>
      <c r="CI141" s="1025"/>
      <c r="CJ141" s="1025"/>
      <c r="CK141" s="688"/>
      <c r="CL141" s="1026"/>
      <c r="CM141" s="1026"/>
      <c r="CN141" s="1026"/>
      <c r="CO141" s="1026"/>
      <c r="CP141" s="1026"/>
      <c r="CQ141" s="1026"/>
      <c r="CR141" s="1026"/>
      <c r="CS141" s="1026"/>
      <c r="CT141" s="1026"/>
      <c r="CU141" s="703"/>
      <c r="CV141" s="657"/>
      <c r="CZ141" s="699"/>
      <c r="DA141" s="699"/>
    </row>
    <row r="142" spans="1:106" ht="12" customHeight="1" thickBot="1" x14ac:dyDescent="0.25">
      <c r="A142" s="657"/>
      <c r="B142" s="1031"/>
      <c r="C142" s="1031"/>
      <c r="D142" s="1031"/>
      <c r="E142" s="1031"/>
      <c r="F142" s="1031"/>
      <c r="G142" s="1031"/>
      <c r="H142" s="1031"/>
      <c r="I142" s="1031"/>
      <c r="J142" s="1032"/>
      <c r="K142" s="1033"/>
      <c r="L142" s="1033"/>
      <c r="M142" s="1033"/>
      <c r="N142" s="1033"/>
      <c r="O142" s="1033"/>
      <c r="P142" s="1033"/>
      <c r="Q142" s="1033"/>
      <c r="R142" s="1033"/>
      <c r="S142" s="1033"/>
      <c r="T142" s="1033"/>
      <c r="U142" s="1033"/>
      <c r="V142" s="1033"/>
      <c r="W142" s="1033"/>
      <c r="X142" s="1033"/>
      <c r="Y142" s="1033"/>
      <c r="Z142" s="1033"/>
      <c r="AA142" s="1033"/>
      <c r="AB142" s="1033"/>
      <c r="AC142" s="1033"/>
      <c r="AD142" s="1033"/>
      <c r="AE142" s="1033"/>
      <c r="AF142" s="1033"/>
      <c r="AG142" s="1033"/>
      <c r="AH142" s="1033"/>
      <c r="AI142" s="1033"/>
      <c r="AJ142" s="1033"/>
      <c r="AK142" s="1033"/>
      <c r="AL142" s="1033"/>
      <c r="AM142" s="1033"/>
      <c r="AN142" s="1033"/>
      <c r="AO142" s="1033"/>
      <c r="AP142" s="1033"/>
      <c r="AQ142" s="1033"/>
      <c r="AR142" s="1033"/>
      <c r="AS142" s="1033"/>
      <c r="AT142" s="1033"/>
      <c r="AU142" s="1033"/>
      <c r="AV142" s="1033"/>
      <c r="AW142" s="1033"/>
      <c r="AX142" s="1033"/>
      <c r="AY142" s="1033"/>
      <c r="AZ142" s="1033"/>
      <c r="BA142" s="1033"/>
      <c r="BB142" s="1033"/>
      <c r="BC142" s="1034"/>
      <c r="BD142" s="657"/>
      <c r="BE142" s="1041"/>
      <c r="BF142" s="1041"/>
      <c r="BG142" s="1041"/>
      <c r="BH142" s="1041"/>
      <c r="BI142" s="1041"/>
      <c r="BJ142" s="1041"/>
      <c r="BK142" s="1041"/>
      <c r="BL142" s="1041"/>
      <c r="BM142" s="1041"/>
      <c r="BN142" s="1041"/>
      <c r="BO142" s="1041"/>
      <c r="BP142" s="1043"/>
      <c r="BQ142" s="1043"/>
      <c r="BR142" s="1043"/>
      <c r="BS142" s="1043"/>
      <c r="BT142" s="1043"/>
      <c r="BU142" s="1043"/>
      <c r="BV142" s="1043"/>
      <c r="BW142" s="1043"/>
      <c r="BX142" s="1043"/>
      <c r="BY142" s="1043"/>
      <c r="BZ142" s="696"/>
      <c r="CA142" s="1025"/>
      <c r="CB142" s="1025"/>
      <c r="CC142" s="1025"/>
      <c r="CD142" s="1025"/>
      <c r="CE142" s="1025"/>
      <c r="CF142" s="1025"/>
      <c r="CG142" s="1025"/>
      <c r="CH142" s="1025"/>
      <c r="CI142" s="1025"/>
      <c r="CJ142" s="1025"/>
      <c r="CK142" s="688"/>
      <c r="CL142" s="1027"/>
      <c r="CM142" s="1027"/>
      <c r="CN142" s="1027"/>
      <c r="CO142" s="1027"/>
      <c r="CP142" s="1027"/>
      <c r="CQ142" s="1027"/>
      <c r="CR142" s="1027"/>
      <c r="CS142" s="1027"/>
      <c r="CT142" s="1027"/>
      <c r="CU142" s="704"/>
      <c r="CV142" s="657"/>
      <c r="CZ142" s="699"/>
      <c r="DA142" s="699"/>
      <c r="DB142" s="699"/>
    </row>
    <row r="143" spans="1:106" ht="12" customHeight="1" thickBot="1" x14ac:dyDescent="0.4">
      <c r="A143" s="657"/>
      <c r="B143" s="1031"/>
      <c r="C143" s="1031"/>
      <c r="D143" s="1031"/>
      <c r="E143" s="1031"/>
      <c r="F143" s="1031"/>
      <c r="G143" s="1031"/>
      <c r="H143" s="1031"/>
      <c r="I143" s="1031"/>
      <c r="J143" s="1035"/>
      <c r="K143" s="1036"/>
      <c r="L143" s="1036"/>
      <c r="M143" s="1036"/>
      <c r="N143" s="1036"/>
      <c r="O143" s="1036"/>
      <c r="P143" s="1036"/>
      <c r="Q143" s="1036"/>
      <c r="R143" s="1036"/>
      <c r="S143" s="1036"/>
      <c r="T143" s="1036"/>
      <c r="U143" s="1036"/>
      <c r="V143" s="1036"/>
      <c r="W143" s="1036"/>
      <c r="X143" s="1036"/>
      <c r="Y143" s="1036"/>
      <c r="Z143" s="1036"/>
      <c r="AA143" s="1036"/>
      <c r="AB143" s="1036"/>
      <c r="AC143" s="1036"/>
      <c r="AD143" s="1036"/>
      <c r="AE143" s="1036"/>
      <c r="AF143" s="1036"/>
      <c r="AG143" s="1036"/>
      <c r="AH143" s="1036"/>
      <c r="AI143" s="1036"/>
      <c r="AJ143" s="1036"/>
      <c r="AK143" s="1036"/>
      <c r="AL143" s="1036"/>
      <c r="AM143" s="1036"/>
      <c r="AN143" s="1036"/>
      <c r="AO143" s="1036"/>
      <c r="AP143" s="1036"/>
      <c r="AQ143" s="1036"/>
      <c r="AR143" s="1036"/>
      <c r="AS143" s="1036"/>
      <c r="AT143" s="1036"/>
      <c r="AU143" s="1036"/>
      <c r="AV143" s="1036"/>
      <c r="AW143" s="1036"/>
      <c r="AX143" s="1036"/>
      <c r="AY143" s="1036"/>
      <c r="AZ143" s="1036"/>
      <c r="BA143" s="1036"/>
      <c r="BB143" s="1036"/>
      <c r="BC143" s="1037"/>
      <c r="BD143" s="657"/>
      <c r="BE143" s="659"/>
      <c r="BF143" s="662"/>
      <c r="BG143" s="662"/>
      <c r="BH143" s="662"/>
      <c r="BI143" s="662"/>
      <c r="BJ143" s="662"/>
      <c r="BK143" s="662"/>
      <c r="BL143" s="662"/>
      <c r="BM143" s="662"/>
      <c r="BN143" s="662"/>
      <c r="BO143" s="662"/>
      <c r="BP143" s="705"/>
      <c r="BQ143" s="705"/>
      <c r="BR143" s="705"/>
      <c r="BS143" s="705"/>
      <c r="BT143" s="705"/>
      <c r="BU143" s="705"/>
      <c r="BV143" s="705"/>
      <c r="BW143" s="705"/>
      <c r="BX143" s="705"/>
      <c r="BY143" s="705"/>
      <c r="BZ143" s="696"/>
      <c r="CA143" s="660" t="s">
        <v>7297</v>
      </c>
      <c r="CB143" s="657"/>
      <c r="CC143" s="657"/>
      <c r="CD143" s="657"/>
      <c r="CE143" s="657"/>
      <c r="CF143" s="657"/>
      <c r="CG143" s="657"/>
      <c r="CH143" s="657"/>
      <c r="CI143" s="657"/>
      <c r="CJ143" s="657"/>
      <c r="CK143" s="657"/>
      <c r="CL143" s="706"/>
      <c r="CM143" s="706"/>
      <c r="CN143" s="706"/>
      <c r="CO143" s="706"/>
      <c r="CP143" s="706"/>
      <c r="CQ143" s="706"/>
      <c r="CR143" s="706"/>
      <c r="CS143" s="706"/>
      <c r="CT143" s="706"/>
      <c r="CU143" s="657"/>
      <c r="CV143" s="657"/>
      <c r="CZ143" s="699"/>
      <c r="DA143" s="699"/>
      <c r="DB143" s="699"/>
    </row>
    <row r="144" spans="1:106" ht="12" customHeight="1" thickBot="1" x14ac:dyDescent="0.4">
      <c r="A144" s="657"/>
      <c r="B144" s="1031"/>
      <c r="C144" s="1031"/>
      <c r="D144" s="1031"/>
      <c r="E144" s="1031"/>
      <c r="F144" s="1031"/>
      <c r="G144" s="1031"/>
      <c r="H144" s="1031"/>
      <c r="I144" s="1031"/>
      <c r="J144" s="1038"/>
      <c r="K144" s="1039"/>
      <c r="L144" s="1039"/>
      <c r="M144" s="1039"/>
      <c r="N144" s="1039"/>
      <c r="O144" s="1039"/>
      <c r="P144" s="1039"/>
      <c r="Q144" s="1039"/>
      <c r="R144" s="1039"/>
      <c r="S144" s="1039"/>
      <c r="T144" s="1039"/>
      <c r="U144" s="1039"/>
      <c r="V144" s="1039"/>
      <c r="W144" s="1039"/>
      <c r="X144" s="1039"/>
      <c r="Y144" s="1039"/>
      <c r="Z144" s="1039"/>
      <c r="AA144" s="1039"/>
      <c r="AB144" s="1039"/>
      <c r="AC144" s="1039"/>
      <c r="AD144" s="1039"/>
      <c r="AE144" s="1039"/>
      <c r="AF144" s="1039"/>
      <c r="AG144" s="1039"/>
      <c r="AH144" s="1039"/>
      <c r="AI144" s="1039"/>
      <c r="AJ144" s="1039"/>
      <c r="AK144" s="1039"/>
      <c r="AL144" s="1039"/>
      <c r="AM144" s="1039"/>
      <c r="AN144" s="1039"/>
      <c r="AO144" s="1039"/>
      <c r="AP144" s="1039"/>
      <c r="AQ144" s="1039"/>
      <c r="AR144" s="1039"/>
      <c r="AS144" s="1039"/>
      <c r="AT144" s="1039"/>
      <c r="AU144" s="1039"/>
      <c r="AV144" s="1039"/>
      <c r="AW144" s="1039"/>
      <c r="AX144" s="1039"/>
      <c r="AY144" s="1039"/>
      <c r="AZ144" s="1039"/>
      <c r="BA144" s="1039"/>
      <c r="BB144" s="1039"/>
      <c r="BC144" s="1040"/>
      <c r="BD144" s="657"/>
      <c r="BE144" s="660"/>
      <c r="BF144" s="662"/>
      <c r="BG144" s="662"/>
      <c r="BH144" s="662"/>
      <c r="BI144" s="662"/>
      <c r="BJ144" s="662"/>
      <c r="BK144" s="662"/>
      <c r="BL144" s="662"/>
      <c r="BM144" s="662"/>
      <c r="BN144" s="662"/>
      <c r="BO144" s="662"/>
      <c r="BP144" s="705"/>
      <c r="BQ144" s="705"/>
      <c r="BR144" s="705"/>
      <c r="BS144" s="705"/>
      <c r="BT144" s="705"/>
      <c r="BU144" s="705"/>
      <c r="BV144" s="705"/>
      <c r="BW144" s="705"/>
      <c r="BX144" s="705"/>
      <c r="BY144" s="705"/>
      <c r="BZ144" s="696"/>
      <c r="CA144" s="660"/>
      <c r="CB144" s="657"/>
      <c r="CC144" s="657"/>
      <c r="CD144" s="657"/>
      <c r="CE144" s="657"/>
      <c r="CF144" s="657"/>
      <c r="CG144" s="657"/>
      <c r="CH144" s="657"/>
      <c r="CI144" s="657"/>
      <c r="CJ144" s="657"/>
      <c r="CK144" s="657"/>
      <c r="CL144" s="706"/>
      <c r="CM144" s="706"/>
      <c r="CN144" s="706"/>
      <c r="CO144" s="706"/>
      <c r="CP144" s="706"/>
      <c r="CQ144" s="706"/>
      <c r="CR144" s="706"/>
      <c r="CS144" s="706"/>
      <c r="CT144" s="706"/>
      <c r="CU144" s="657"/>
      <c r="CV144" s="657"/>
      <c r="CZ144" s="699"/>
      <c r="DA144" s="699"/>
      <c r="DB144" s="699"/>
    </row>
    <row r="145" spans="1:106" ht="12" customHeight="1" x14ac:dyDescent="0.35">
      <c r="A145" s="657"/>
      <c r="B145" s="1045" t="s">
        <v>7269</v>
      </c>
      <c r="C145" s="1045"/>
      <c r="D145" s="1045"/>
      <c r="E145" s="1045"/>
      <c r="F145" s="1045"/>
      <c r="G145" s="1045"/>
      <c r="H145" s="1045"/>
      <c r="I145" s="1047"/>
      <c r="J145" s="1047"/>
      <c r="K145" s="1047"/>
      <c r="L145" s="1047"/>
      <c r="M145" s="1047"/>
      <c r="N145" s="1047"/>
      <c r="O145" s="1047"/>
      <c r="P145" s="1047"/>
      <c r="Q145" s="1047"/>
      <c r="R145" s="1047"/>
      <c r="S145" s="1047"/>
      <c r="T145" s="690"/>
      <c r="U145" s="1044" t="s">
        <v>7270</v>
      </c>
      <c r="V145" s="1024" t="s">
        <v>7270</v>
      </c>
      <c r="W145" s="1024" t="s">
        <v>7270</v>
      </c>
      <c r="X145" s="1024" t="s">
        <v>7270</v>
      </c>
      <c r="Y145" s="1024" t="s">
        <v>7270</v>
      </c>
      <c r="Z145" s="690"/>
      <c r="AA145" s="1044" t="s">
        <v>7270</v>
      </c>
      <c r="AB145" s="1024" t="s">
        <v>7270</v>
      </c>
      <c r="AC145" s="1024" t="s">
        <v>7270</v>
      </c>
      <c r="AD145" s="1024" t="s">
        <v>7270</v>
      </c>
      <c r="AE145" s="1024" t="s">
        <v>7270</v>
      </c>
      <c r="AF145" s="690"/>
      <c r="AG145" s="1024" t="s">
        <v>7270</v>
      </c>
      <c r="AH145" s="1024" t="s">
        <v>7270</v>
      </c>
      <c r="AI145" s="1024" t="s">
        <v>7270</v>
      </c>
      <c r="AJ145" s="1024" t="s">
        <v>7270</v>
      </c>
      <c r="AK145" s="1024" t="s">
        <v>7270</v>
      </c>
      <c r="AL145" s="675"/>
      <c r="AM145" s="1024" t="s">
        <v>7270</v>
      </c>
      <c r="AN145" s="1024" t="s">
        <v>7270</v>
      </c>
      <c r="AO145" s="1024" t="s">
        <v>7270</v>
      </c>
      <c r="AP145" s="1024" t="s">
        <v>7270</v>
      </c>
      <c r="AQ145" s="1024" t="s">
        <v>7270</v>
      </c>
      <c r="AR145" s="675"/>
      <c r="AS145" s="1024" t="s">
        <v>7270</v>
      </c>
      <c r="AT145" s="1024" t="s">
        <v>7270</v>
      </c>
      <c r="AU145" s="1024" t="s">
        <v>7270</v>
      </c>
      <c r="AV145" s="1024" t="s">
        <v>7270</v>
      </c>
      <c r="AW145" s="1024" t="s">
        <v>7270</v>
      </c>
      <c r="AX145" s="675"/>
      <c r="AY145" s="1024" t="s">
        <v>7270</v>
      </c>
      <c r="AZ145" s="1024" t="s">
        <v>7270</v>
      </c>
      <c r="BA145" s="1024" t="s">
        <v>7270</v>
      </c>
      <c r="BB145" s="1024" t="s">
        <v>7270</v>
      </c>
      <c r="BC145" s="1024" t="s">
        <v>7270</v>
      </c>
      <c r="BD145" s="657"/>
      <c r="BF145" s="707"/>
      <c r="BG145" s="707"/>
      <c r="BH145" s="707"/>
      <c r="BI145" s="707"/>
      <c r="BJ145" s="707"/>
      <c r="BK145" s="707"/>
      <c r="BL145" s="707"/>
      <c r="BM145" s="707"/>
      <c r="BN145" s="707"/>
      <c r="BO145" s="707"/>
      <c r="BP145" s="657"/>
      <c r="BQ145" s="702"/>
      <c r="BR145" s="702"/>
      <c r="BS145" s="702"/>
      <c r="BT145" s="702"/>
      <c r="BU145" s="702"/>
      <c r="BV145" s="702"/>
      <c r="BW145" s="702"/>
      <c r="BX145" s="702"/>
      <c r="BY145" s="702"/>
      <c r="BZ145" s="696"/>
      <c r="CA145" s="1025" t="s">
        <v>7298</v>
      </c>
      <c r="CB145" s="1025"/>
      <c r="CC145" s="1025"/>
      <c r="CD145" s="1025"/>
      <c r="CE145" s="1025"/>
      <c r="CF145" s="1025"/>
      <c r="CG145" s="1025"/>
      <c r="CH145" s="1025"/>
      <c r="CI145" s="1025"/>
      <c r="CJ145" s="1025"/>
      <c r="CK145" s="688"/>
      <c r="CL145" s="1026"/>
      <c r="CM145" s="1026"/>
      <c r="CN145" s="1026"/>
      <c r="CO145" s="1026"/>
      <c r="CP145" s="1026"/>
      <c r="CQ145" s="1026"/>
      <c r="CR145" s="1026"/>
      <c r="CS145" s="1026"/>
      <c r="CT145" s="1026"/>
      <c r="CU145" s="703"/>
      <c r="CV145" s="657"/>
      <c r="CZ145" s="699"/>
      <c r="DA145" s="699"/>
      <c r="DB145" s="699"/>
    </row>
    <row r="146" spans="1:106" ht="12" customHeight="1" x14ac:dyDescent="0.2">
      <c r="A146" s="657"/>
      <c r="B146" s="1046"/>
      <c r="C146" s="1046"/>
      <c r="D146" s="1046"/>
      <c r="E146" s="1046"/>
      <c r="F146" s="1046"/>
      <c r="G146" s="1046"/>
      <c r="H146" s="1046"/>
      <c r="I146" s="1048"/>
      <c r="J146" s="1048"/>
      <c r="K146" s="1048"/>
      <c r="L146" s="1048"/>
      <c r="M146" s="1048"/>
      <c r="N146" s="1048"/>
      <c r="O146" s="1048"/>
      <c r="P146" s="1048"/>
      <c r="Q146" s="1048"/>
      <c r="R146" s="1048"/>
      <c r="S146" s="1048"/>
      <c r="T146" s="690"/>
      <c r="U146" s="1024"/>
      <c r="V146" s="1024"/>
      <c r="W146" s="1024"/>
      <c r="X146" s="1024"/>
      <c r="Y146" s="1024"/>
      <c r="Z146" s="690"/>
      <c r="AA146" s="1024"/>
      <c r="AB146" s="1024"/>
      <c r="AC146" s="1024"/>
      <c r="AD146" s="1024"/>
      <c r="AE146" s="1024"/>
      <c r="AF146" s="690"/>
      <c r="AG146" s="1024"/>
      <c r="AH146" s="1024"/>
      <c r="AI146" s="1024"/>
      <c r="AJ146" s="1024"/>
      <c r="AK146" s="1024"/>
      <c r="AL146" s="675"/>
      <c r="AM146" s="1024"/>
      <c r="AN146" s="1024"/>
      <c r="AO146" s="1024"/>
      <c r="AP146" s="1024"/>
      <c r="AQ146" s="1024"/>
      <c r="AR146" s="675"/>
      <c r="AS146" s="1024"/>
      <c r="AT146" s="1024"/>
      <c r="AU146" s="1024"/>
      <c r="AV146" s="1024"/>
      <c r="AW146" s="1024"/>
      <c r="AX146" s="675"/>
      <c r="AY146" s="1024"/>
      <c r="AZ146" s="1024"/>
      <c r="BA146" s="1024"/>
      <c r="BB146" s="1024"/>
      <c r="BC146" s="1024"/>
      <c r="BD146" s="657"/>
      <c r="BE146" s="1058" t="s">
        <v>7299</v>
      </c>
      <c r="BF146" s="1058"/>
      <c r="BG146" s="1058"/>
      <c r="BH146" s="1058"/>
      <c r="BI146" s="1058"/>
      <c r="BJ146" s="1058"/>
      <c r="BK146" s="1058"/>
      <c r="BL146" s="1058"/>
      <c r="BM146" s="1058"/>
      <c r="BN146" s="1058"/>
      <c r="BO146" s="1058"/>
      <c r="BP146" s="1042"/>
      <c r="BQ146" s="1042"/>
      <c r="BR146" s="1042"/>
      <c r="BS146" s="1042"/>
      <c r="BT146" s="1042"/>
      <c r="BU146" s="1042"/>
      <c r="BV146" s="1042"/>
      <c r="BW146" s="1042"/>
      <c r="BX146" s="1042"/>
      <c r="BY146" s="1042"/>
      <c r="BZ146" s="696"/>
      <c r="CA146" s="1025"/>
      <c r="CB146" s="1025"/>
      <c r="CC146" s="1025"/>
      <c r="CD146" s="1025"/>
      <c r="CE146" s="1025"/>
      <c r="CF146" s="1025"/>
      <c r="CG146" s="1025"/>
      <c r="CH146" s="1025"/>
      <c r="CI146" s="1025"/>
      <c r="CJ146" s="1025"/>
      <c r="CK146" s="688"/>
      <c r="CL146" s="1027"/>
      <c r="CM146" s="1027"/>
      <c r="CN146" s="1027"/>
      <c r="CO146" s="1027"/>
      <c r="CP146" s="1027"/>
      <c r="CQ146" s="1027"/>
      <c r="CR146" s="1027"/>
      <c r="CS146" s="1027"/>
      <c r="CT146" s="1027"/>
      <c r="CU146" s="704"/>
      <c r="CV146" s="657"/>
      <c r="CY146" s="699"/>
      <c r="CZ146" s="699"/>
      <c r="DA146" s="699"/>
      <c r="DB146" s="699"/>
    </row>
    <row r="147" spans="1:106" ht="12" customHeight="1" thickBot="1" x14ac:dyDescent="0.4">
      <c r="A147" s="657"/>
      <c r="B147" s="657"/>
      <c r="C147" s="657"/>
      <c r="D147" s="657"/>
      <c r="E147" s="657"/>
      <c r="F147" s="657"/>
      <c r="G147" s="657"/>
      <c r="H147" s="657"/>
      <c r="I147" s="657"/>
      <c r="J147" s="657"/>
      <c r="K147" s="657"/>
      <c r="L147" s="657"/>
      <c r="M147" s="657"/>
      <c r="N147" s="657"/>
      <c r="O147" s="657"/>
      <c r="P147" s="657"/>
      <c r="Q147" s="657"/>
      <c r="R147" s="657"/>
      <c r="S147" s="657"/>
      <c r="T147" s="657"/>
      <c r="U147" s="657"/>
      <c r="V147" s="657"/>
      <c r="W147" s="657"/>
      <c r="X147" s="657"/>
      <c r="Y147" s="657"/>
      <c r="Z147" s="657"/>
      <c r="AA147" s="657"/>
      <c r="AB147" s="657"/>
      <c r="AC147" s="657"/>
      <c r="AD147" s="657"/>
      <c r="AE147" s="657"/>
      <c r="AF147" s="657"/>
      <c r="AG147" s="657"/>
      <c r="AH147" s="657"/>
      <c r="AI147" s="657"/>
      <c r="AJ147" s="657"/>
      <c r="AK147" s="657"/>
      <c r="AL147" s="657"/>
      <c r="AM147" s="657"/>
      <c r="AN147" s="657"/>
      <c r="AO147" s="657"/>
      <c r="AP147" s="657"/>
      <c r="AQ147" s="657"/>
      <c r="AR147" s="657"/>
      <c r="AS147" s="657"/>
      <c r="AT147" s="657"/>
      <c r="AU147" s="657"/>
      <c r="AV147" s="657"/>
      <c r="AW147" s="657"/>
      <c r="AX147" s="657"/>
      <c r="AY147" s="657"/>
      <c r="AZ147" s="657"/>
      <c r="BA147" s="657"/>
      <c r="BB147" s="657"/>
      <c r="BC147" s="657"/>
      <c r="BD147" s="657"/>
      <c r="BE147" s="1058"/>
      <c r="BF147" s="1058"/>
      <c r="BG147" s="1058"/>
      <c r="BH147" s="1058"/>
      <c r="BI147" s="1058"/>
      <c r="BJ147" s="1058"/>
      <c r="BK147" s="1058"/>
      <c r="BL147" s="1058"/>
      <c r="BM147" s="1058"/>
      <c r="BN147" s="1058"/>
      <c r="BO147" s="1058"/>
      <c r="BP147" s="1043"/>
      <c r="BQ147" s="1043"/>
      <c r="BR147" s="1043"/>
      <c r="BS147" s="1043"/>
      <c r="BT147" s="1043"/>
      <c r="BU147" s="1043"/>
      <c r="BV147" s="1043"/>
      <c r="BW147" s="1043"/>
      <c r="BX147" s="1043"/>
      <c r="BY147" s="1043"/>
      <c r="BZ147" s="696"/>
      <c r="CA147" s="660" t="s">
        <v>7300</v>
      </c>
      <c r="CB147" s="657"/>
      <c r="CC147" s="657"/>
      <c r="CD147" s="657"/>
      <c r="CE147" s="657"/>
      <c r="CF147" s="657"/>
      <c r="CG147" s="657"/>
      <c r="CH147" s="657"/>
      <c r="CI147" s="657"/>
      <c r="CJ147" s="657"/>
      <c r="CK147" s="657"/>
      <c r="CL147" s="706"/>
      <c r="CM147" s="706"/>
      <c r="CN147" s="706"/>
      <c r="CO147" s="706"/>
      <c r="CP147" s="706"/>
      <c r="CQ147" s="706"/>
      <c r="CR147" s="706"/>
      <c r="CS147" s="706"/>
      <c r="CT147" s="706"/>
      <c r="CU147" s="657"/>
      <c r="CV147" s="657"/>
      <c r="CY147" s="699"/>
      <c r="CZ147" s="699"/>
      <c r="DA147" s="699"/>
      <c r="DB147" s="699"/>
    </row>
    <row r="148" spans="1:106" ht="12" customHeight="1" x14ac:dyDescent="0.35">
      <c r="A148" s="657"/>
      <c r="B148" s="1049" t="s">
        <v>7301</v>
      </c>
      <c r="C148" s="1050"/>
      <c r="D148" s="1050"/>
      <c r="E148" s="1050"/>
      <c r="F148" s="1050"/>
      <c r="G148" s="1050"/>
      <c r="H148" s="1050"/>
      <c r="I148" s="1050"/>
      <c r="J148" s="1050"/>
      <c r="K148" s="1050"/>
      <c r="L148" s="1050"/>
      <c r="M148" s="1050"/>
      <c r="N148" s="1050"/>
      <c r="O148" s="1050"/>
      <c r="P148" s="1050"/>
      <c r="Q148" s="1050"/>
      <c r="R148" s="1050"/>
      <c r="S148" s="1050"/>
      <c r="T148" s="1050"/>
      <c r="U148" s="1051"/>
      <c r="V148" s="657"/>
      <c r="W148" s="657"/>
      <c r="X148" s="657"/>
      <c r="Y148" s="657"/>
      <c r="Z148" s="657"/>
      <c r="AA148" s="657"/>
      <c r="AB148" s="657"/>
      <c r="AC148" s="657"/>
      <c r="AD148" s="657"/>
      <c r="AE148" s="657"/>
      <c r="AF148" s="657"/>
      <c r="AG148" s="657"/>
      <c r="AH148" s="657"/>
      <c r="AI148" s="657"/>
      <c r="AJ148" s="657"/>
      <c r="AK148" s="657"/>
      <c r="AL148" s="657"/>
      <c r="AM148" s="657"/>
      <c r="AN148" s="657"/>
      <c r="AO148" s="657"/>
      <c r="AP148" s="657"/>
      <c r="AQ148" s="657"/>
      <c r="AR148" s="657"/>
      <c r="AS148" s="657"/>
      <c r="AT148" s="657"/>
      <c r="AU148" s="657"/>
      <c r="AV148" s="657"/>
      <c r="AW148" s="657"/>
      <c r="AX148" s="657"/>
      <c r="AY148" s="657"/>
      <c r="AZ148" s="657"/>
      <c r="BA148" s="657"/>
      <c r="BB148" s="657"/>
      <c r="BC148" s="657"/>
      <c r="BD148" s="657"/>
      <c r="BE148" s="660" t="s">
        <v>7302</v>
      </c>
      <c r="BF148" s="690"/>
      <c r="BG148" s="690"/>
      <c r="BH148" s="690"/>
      <c r="BI148" s="690"/>
      <c r="BJ148" s="690"/>
      <c r="BK148" s="690"/>
      <c r="BL148" s="690"/>
      <c r="BM148" s="690"/>
      <c r="BN148" s="690"/>
      <c r="BO148" s="690"/>
      <c r="BP148" s="708"/>
      <c r="BQ148" s="708"/>
      <c r="BR148" s="708"/>
      <c r="BS148" s="708"/>
      <c r="BT148" s="708"/>
      <c r="BU148" s="708"/>
      <c r="BV148" s="708"/>
      <c r="BW148" s="708"/>
      <c r="BX148" s="708"/>
      <c r="BY148" s="708"/>
      <c r="BZ148" s="696"/>
      <c r="CA148" s="660"/>
      <c r="CB148" s="657"/>
      <c r="CC148" s="657"/>
      <c r="CD148" s="657"/>
      <c r="CE148" s="657"/>
      <c r="CF148" s="657"/>
      <c r="CG148" s="657"/>
      <c r="CH148" s="657"/>
      <c r="CI148" s="657"/>
      <c r="CJ148" s="657"/>
      <c r="CK148" s="657"/>
      <c r="CL148" s="706"/>
      <c r="CM148" s="706"/>
      <c r="CN148" s="706"/>
      <c r="CO148" s="706"/>
      <c r="CP148" s="706"/>
      <c r="CQ148" s="706"/>
      <c r="CR148" s="706"/>
      <c r="CS148" s="706"/>
      <c r="CT148" s="706"/>
      <c r="CU148" s="657"/>
      <c r="CV148" s="657"/>
      <c r="CW148" s="699"/>
      <c r="CX148" s="699"/>
      <c r="CY148" s="699"/>
      <c r="CZ148" s="699"/>
      <c r="DA148" s="699"/>
      <c r="DB148" s="699"/>
    </row>
    <row r="149" spans="1:106" ht="12" customHeight="1" thickBot="1" x14ac:dyDescent="0.4">
      <c r="A149" s="657"/>
      <c r="B149" s="1052"/>
      <c r="C149" s="1053"/>
      <c r="D149" s="1053"/>
      <c r="E149" s="1053"/>
      <c r="F149" s="1053"/>
      <c r="G149" s="1053"/>
      <c r="H149" s="1053"/>
      <c r="I149" s="1053"/>
      <c r="J149" s="1053"/>
      <c r="K149" s="1053"/>
      <c r="L149" s="1053"/>
      <c r="M149" s="1053"/>
      <c r="N149" s="1053"/>
      <c r="O149" s="1053"/>
      <c r="P149" s="1053"/>
      <c r="Q149" s="1053"/>
      <c r="R149" s="1053"/>
      <c r="S149" s="1053"/>
      <c r="T149" s="1053"/>
      <c r="U149" s="1054"/>
      <c r="V149" s="1055" t="s">
        <v>7261</v>
      </c>
      <c r="W149" s="1056"/>
      <c r="X149" s="1056"/>
      <c r="Y149" s="1056"/>
      <c r="Z149" s="1056"/>
      <c r="AA149" s="1056"/>
      <c r="AB149" s="1056" t="s">
        <v>7262</v>
      </c>
      <c r="AC149" s="1056"/>
      <c r="AD149" s="1056"/>
      <c r="AE149" s="1056"/>
      <c r="AF149" s="1056"/>
      <c r="AG149" s="1056"/>
      <c r="AH149" s="1056"/>
      <c r="AI149" s="1056"/>
      <c r="AJ149" s="1056"/>
      <c r="AK149" s="1056"/>
      <c r="AL149" s="1056"/>
      <c r="AM149" s="1056"/>
      <c r="AN149" s="1056"/>
      <c r="AO149" s="1056"/>
      <c r="AP149" s="1056"/>
      <c r="AQ149" s="1056" t="s">
        <v>5883</v>
      </c>
      <c r="AR149" s="1056"/>
      <c r="AS149" s="1056"/>
      <c r="AT149" s="1056"/>
      <c r="AU149" s="1056"/>
      <c r="AV149" s="1056"/>
      <c r="AW149" s="1056"/>
      <c r="AX149" s="1056"/>
      <c r="AY149" s="1056"/>
      <c r="AZ149" s="1056"/>
      <c r="BA149" s="1056"/>
      <c r="BB149" s="1056"/>
      <c r="BC149" s="1057"/>
      <c r="BD149" s="657"/>
      <c r="BE149" s="660"/>
      <c r="BF149" s="690"/>
      <c r="BG149" s="690"/>
      <c r="BH149" s="690"/>
      <c r="BI149" s="690"/>
      <c r="BJ149" s="690"/>
      <c r="BK149" s="690"/>
      <c r="BL149" s="690"/>
      <c r="BM149" s="690"/>
      <c r="BN149" s="690"/>
      <c r="BO149" s="690"/>
      <c r="BP149" s="708"/>
      <c r="BQ149" s="708"/>
      <c r="BR149" s="708"/>
      <c r="BS149" s="708"/>
      <c r="BT149" s="708"/>
      <c r="BU149" s="708"/>
      <c r="BV149" s="708"/>
      <c r="BW149" s="708"/>
      <c r="BX149" s="708"/>
      <c r="BY149" s="708"/>
      <c r="BZ149" s="696"/>
      <c r="CA149" s="1058" t="s">
        <v>7303</v>
      </c>
      <c r="CB149" s="1058"/>
      <c r="CC149" s="1058"/>
      <c r="CD149" s="1058"/>
      <c r="CE149" s="1058"/>
      <c r="CF149" s="1058"/>
      <c r="CG149" s="1058"/>
      <c r="CH149" s="1058"/>
      <c r="CI149" s="1058"/>
      <c r="CJ149" s="1058"/>
      <c r="CK149" s="688"/>
      <c r="CL149" s="1026"/>
      <c r="CM149" s="1026"/>
      <c r="CN149" s="1026"/>
      <c r="CO149" s="1026"/>
      <c r="CP149" s="1026"/>
      <c r="CQ149" s="1026"/>
      <c r="CR149" s="1026"/>
      <c r="CS149" s="1026"/>
      <c r="CT149" s="1026"/>
      <c r="CU149" s="703"/>
      <c r="CV149" s="657"/>
      <c r="CW149" s="699"/>
      <c r="CX149" s="699"/>
      <c r="CY149" s="699"/>
      <c r="CZ149" s="699"/>
      <c r="DA149" s="699"/>
      <c r="DB149" s="699"/>
    </row>
    <row r="150" spans="1:106" ht="12" customHeight="1" thickBot="1" x14ac:dyDescent="0.4">
      <c r="A150" s="657"/>
      <c r="B150" s="1059"/>
      <c r="C150" s="1060"/>
      <c r="D150" s="1060"/>
      <c r="E150" s="1060"/>
      <c r="F150" s="1060"/>
      <c r="G150" s="1060"/>
      <c r="H150" s="1060"/>
      <c r="I150" s="1060"/>
      <c r="J150" s="1060"/>
      <c r="K150" s="1060"/>
      <c r="L150" s="1060"/>
      <c r="M150" s="1060"/>
      <c r="N150" s="1060"/>
      <c r="O150" s="1060"/>
      <c r="P150" s="1060"/>
      <c r="Q150" s="1060"/>
      <c r="R150" s="1060"/>
      <c r="S150" s="1060"/>
      <c r="T150" s="1060"/>
      <c r="U150" s="1061"/>
      <c r="V150" s="1068"/>
      <c r="W150" s="1069"/>
      <c r="X150" s="1069"/>
      <c r="Y150" s="1069"/>
      <c r="Z150" s="1069"/>
      <c r="AA150" s="1069"/>
      <c r="AB150" s="1031"/>
      <c r="AC150" s="1031"/>
      <c r="AD150" s="1031"/>
      <c r="AE150" s="1031"/>
      <c r="AF150" s="1031"/>
      <c r="AG150" s="1031"/>
      <c r="AH150" s="1031"/>
      <c r="AI150" s="1031"/>
      <c r="AJ150" s="1031"/>
      <c r="AK150" s="1031"/>
      <c r="AL150" s="1031"/>
      <c r="AM150" s="1031"/>
      <c r="AN150" s="1031"/>
      <c r="AO150" s="1031"/>
      <c r="AP150" s="1031"/>
      <c r="AQ150" s="1031"/>
      <c r="AR150" s="1031"/>
      <c r="AS150" s="1031"/>
      <c r="AT150" s="1031"/>
      <c r="AU150" s="1031"/>
      <c r="AV150" s="1031"/>
      <c r="AW150" s="1031"/>
      <c r="AX150" s="1031"/>
      <c r="AY150" s="1031"/>
      <c r="AZ150" s="1031"/>
      <c r="BA150" s="1031"/>
      <c r="BB150" s="1031"/>
      <c r="BC150" s="1031"/>
      <c r="BD150" s="657"/>
      <c r="BE150" s="657"/>
      <c r="BF150" s="709"/>
      <c r="BG150" s="709"/>
      <c r="BH150" s="709"/>
      <c r="BI150" s="709"/>
      <c r="BJ150" s="709"/>
      <c r="BK150" s="709"/>
      <c r="BL150" s="709"/>
      <c r="BM150" s="709"/>
      <c r="BN150" s="709"/>
      <c r="BO150" s="709"/>
      <c r="BP150" s="657"/>
      <c r="BQ150" s="710"/>
      <c r="BR150" s="710"/>
      <c r="BS150" s="710"/>
      <c r="BT150" s="710"/>
      <c r="BU150" s="710"/>
      <c r="BV150" s="710"/>
      <c r="BW150" s="710"/>
      <c r="BX150" s="710"/>
      <c r="BY150" s="710"/>
      <c r="BZ150" s="696"/>
      <c r="CA150" s="1058"/>
      <c r="CB150" s="1058"/>
      <c r="CC150" s="1058"/>
      <c r="CD150" s="1058"/>
      <c r="CE150" s="1058"/>
      <c r="CF150" s="1058"/>
      <c r="CG150" s="1058"/>
      <c r="CH150" s="1058"/>
      <c r="CI150" s="1058"/>
      <c r="CJ150" s="1058"/>
      <c r="CK150" s="688"/>
      <c r="CL150" s="1027"/>
      <c r="CM150" s="1027"/>
      <c r="CN150" s="1027"/>
      <c r="CO150" s="1027"/>
      <c r="CP150" s="1027"/>
      <c r="CQ150" s="1027"/>
      <c r="CR150" s="1027"/>
      <c r="CS150" s="1027"/>
      <c r="CT150" s="1027"/>
      <c r="CU150" s="704"/>
      <c r="CV150" s="657"/>
      <c r="CW150" s="699"/>
      <c r="CX150" s="699"/>
      <c r="CY150" s="699"/>
      <c r="CZ150" s="699"/>
      <c r="DA150" s="699"/>
      <c r="DB150" s="699"/>
    </row>
    <row r="151" spans="1:106" ht="12" customHeight="1" thickBot="1" x14ac:dyDescent="0.4">
      <c r="A151" s="657"/>
      <c r="B151" s="1062"/>
      <c r="C151" s="1063"/>
      <c r="D151" s="1063"/>
      <c r="E151" s="1063"/>
      <c r="F151" s="1063"/>
      <c r="G151" s="1063"/>
      <c r="H151" s="1063"/>
      <c r="I151" s="1063"/>
      <c r="J151" s="1063"/>
      <c r="K151" s="1063"/>
      <c r="L151" s="1063"/>
      <c r="M151" s="1063"/>
      <c r="N151" s="1063"/>
      <c r="O151" s="1063"/>
      <c r="P151" s="1063"/>
      <c r="Q151" s="1063"/>
      <c r="R151" s="1063"/>
      <c r="S151" s="1063"/>
      <c r="T151" s="1063"/>
      <c r="U151" s="1064"/>
      <c r="V151" s="1068"/>
      <c r="W151" s="1069"/>
      <c r="X151" s="1069"/>
      <c r="Y151" s="1069"/>
      <c r="Z151" s="1069"/>
      <c r="AA151" s="1069"/>
      <c r="AB151" s="1031"/>
      <c r="AC151" s="1031"/>
      <c r="AD151" s="1031"/>
      <c r="AE151" s="1031"/>
      <c r="AF151" s="1031"/>
      <c r="AG151" s="1031"/>
      <c r="AH151" s="1031"/>
      <c r="AI151" s="1031"/>
      <c r="AJ151" s="1031"/>
      <c r="AK151" s="1031"/>
      <c r="AL151" s="1031"/>
      <c r="AM151" s="1031"/>
      <c r="AN151" s="1031"/>
      <c r="AO151" s="1031"/>
      <c r="AP151" s="1031"/>
      <c r="AQ151" s="1031"/>
      <c r="AR151" s="1031"/>
      <c r="AS151" s="1031"/>
      <c r="AT151" s="1031"/>
      <c r="AU151" s="1031"/>
      <c r="AV151" s="1031"/>
      <c r="AW151" s="1031"/>
      <c r="AX151" s="1031"/>
      <c r="AY151" s="1031"/>
      <c r="AZ151" s="1031"/>
      <c r="BA151" s="1031"/>
      <c r="BB151" s="1031"/>
      <c r="BC151" s="1031"/>
      <c r="BD151" s="657"/>
      <c r="BE151" s="1058" t="s">
        <v>7299</v>
      </c>
      <c r="BF151" s="1058"/>
      <c r="BG151" s="1058"/>
      <c r="BH151" s="1058"/>
      <c r="BI151" s="1058"/>
      <c r="BJ151" s="1058"/>
      <c r="BK151" s="1058"/>
      <c r="BL151" s="1058"/>
      <c r="BM151" s="1058"/>
      <c r="BN151" s="1058"/>
      <c r="BO151" s="1058"/>
      <c r="BP151" s="1071"/>
      <c r="BQ151" s="1071"/>
      <c r="BR151" s="1071"/>
      <c r="BS151" s="1071"/>
      <c r="BT151" s="1071"/>
      <c r="BU151" s="1071"/>
      <c r="BV151" s="1071"/>
      <c r="BW151" s="1071"/>
      <c r="BX151" s="1071"/>
      <c r="BY151" s="1071"/>
      <c r="BZ151" s="696"/>
      <c r="CA151" s="660" t="s">
        <v>7304</v>
      </c>
      <c r="CB151" s="657"/>
      <c r="CC151" s="657"/>
      <c r="CD151" s="657"/>
      <c r="CE151" s="657"/>
      <c r="CF151" s="657"/>
      <c r="CG151" s="657"/>
      <c r="CH151" s="657"/>
      <c r="CI151" s="657"/>
      <c r="CJ151" s="657"/>
      <c r="CK151" s="657"/>
      <c r="CL151" s="706"/>
      <c r="CM151" s="706"/>
      <c r="CN151" s="706"/>
      <c r="CO151" s="706"/>
      <c r="CP151" s="706"/>
      <c r="CQ151" s="706"/>
      <c r="CR151" s="706"/>
      <c r="CS151" s="706"/>
      <c r="CT151" s="706"/>
      <c r="CU151" s="657"/>
      <c r="CV151" s="657"/>
    </row>
    <row r="152" spans="1:106" ht="12" customHeight="1" thickBot="1" x14ac:dyDescent="0.4">
      <c r="A152" s="657"/>
      <c r="B152" s="1065"/>
      <c r="C152" s="1066"/>
      <c r="D152" s="1066"/>
      <c r="E152" s="1066"/>
      <c r="F152" s="1066"/>
      <c r="G152" s="1066"/>
      <c r="H152" s="1066"/>
      <c r="I152" s="1066"/>
      <c r="J152" s="1066"/>
      <c r="K152" s="1066"/>
      <c r="L152" s="1066"/>
      <c r="M152" s="1066"/>
      <c r="N152" s="1066"/>
      <c r="O152" s="1066"/>
      <c r="P152" s="1066"/>
      <c r="Q152" s="1066"/>
      <c r="R152" s="1066"/>
      <c r="S152" s="1066"/>
      <c r="T152" s="1066"/>
      <c r="U152" s="1067"/>
      <c r="V152" s="1068"/>
      <c r="W152" s="1069"/>
      <c r="X152" s="1069"/>
      <c r="Y152" s="1069"/>
      <c r="Z152" s="1069"/>
      <c r="AA152" s="1069"/>
      <c r="AB152" s="1070"/>
      <c r="AC152" s="1070"/>
      <c r="AD152" s="1070"/>
      <c r="AE152" s="1070"/>
      <c r="AF152" s="1070"/>
      <c r="AG152" s="1070"/>
      <c r="AH152" s="1070"/>
      <c r="AI152" s="1070"/>
      <c r="AJ152" s="1070"/>
      <c r="AK152" s="1070"/>
      <c r="AL152" s="1070"/>
      <c r="AM152" s="1070"/>
      <c r="AN152" s="1070"/>
      <c r="AO152" s="1070"/>
      <c r="AP152" s="1070"/>
      <c r="AQ152" s="1070"/>
      <c r="AR152" s="1070"/>
      <c r="AS152" s="1070"/>
      <c r="AT152" s="1070"/>
      <c r="AU152" s="1070"/>
      <c r="AV152" s="1070"/>
      <c r="AW152" s="1070"/>
      <c r="AX152" s="1070"/>
      <c r="AY152" s="1070"/>
      <c r="AZ152" s="1070"/>
      <c r="BA152" s="1070"/>
      <c r="BB152" s="1070"/>
      <c r="BC152" s="1070"/>
      <c r="BD152" s="657"/>
      <c r="BE152" s="1058"/>
      <c r="BF152" s="1058"/>
      <c r="BG152" s="1058"/>
      <c r="BH152" s="1058"/>
      <c r="BI152" s="1058"/>
      <c r="BJ152" s="1058"/>
      <c r="BK152" s="1058"/>
      <c r="BL152" s="1058"/>
      <c r="BM152" s="1058"/>
      <c r="BN152" s="1058"/>
      <c r="BO152" s="1058"/>
      <c r="BP152" s="1072"/>
      <c r="BQ152" s="1072"/>
      <c r="BR152" s="1072"/>
      <c r="BS152" s="1072"/>
      <c r="BT152" s="1072"/>
      <c r="BU152" s="1072"/>
      <c r="BV152" s="1072"/>
      <c r="BW152" s="1072"/>
      <c r="BX152" s="1072"/>
      <c r="BY152" s="1072"/>
      <c r="BZ152" s="696"/>
      <c r="CA152" s="660"/>
      <c r="CB152" s="657"/>
      <c r="CC152" s="657"/>
      <c r="CD152" s="657"/>
      <c r="CE152" s="657"/>
      <c r="CF152" s="657"/>
      <c r="CG152" s="657"/>
      <c r="CH152" s="657"/>
      <c r="CI152" s="657"/>
      <c r="CJ152" s="657"/>
      <c r="CK152" s="657"/>
      <c r="CL152" s="706"/>
      <c r="CM152" s="706"/>
      <c r="CN152" s="706"/>
      <c r="CO152" s="706"/>
      <c r="CP152" s="706"/>
      <c r="CQ152" s="706"/>
      <c r="CR152" s="706"/>
      <c r="CS152" s="706"/>
      <c r="CT152" s="706"/>
      <c r="CU152" s="657"/>
      <c r="CV152" s="657"/>
    </row>
    <row r="153" spans="1:106" ht="12" customHeight="1" thickBot="1" x14ac:dyDescent="0.4">
      <c r="A153" s="657"/>
      <c r="B153" s="1028" t="s">
        <v>7264</v>
      </c>
      <c r="C153" s="1029"/>
      <c r="D153" s="1029"/>
      <c r="E153" s="1029"/>
      <c r="F153" s="1029"/>
      <c r="G153" s="1029"/>
      <c r="H153" s="1029"/>
      <c r="I153" s="1029"/>
      <c r="J153" s="1029" t="s">
        <v>7246</v>
      </c>
      <c r="K153" s="1029"/>
      <c r="L153" s="1029"/>
      <c r="M153" s="1029"/>
      <c r="N153" s="1029"/>
      <c r="O153" s="1029"/>
      <c r="P153" s="1029"/>
      <c r="Q153" s="1029"/>
      <c r="R153" s="1029"/>
      <c r="S153" s="1029"/>
      <c r="T153" s="1029"/>
      <c r="U153" s="1029"/>
      <c r="V153" s="1029"/>
      <c r="W153" s="1029"/>
      <c r="X153" s="1029"/>
      <c r="Y153" s="1029"/>
      <c r="Z153" s="1029"/>
      <c r="AA153" s="1029"/>
      <c r="AB153" s="1029"/>
      <c r="AC153" s="1029"/>
      <c r="AD153" s="1029"/>
      <c r="AE153" s="1029"/>
      <c r="AF153" s="1029"/>
      <c r="AG153" s="1029"/>
      <c r="AH153" s="1029"/>
      <c r="AI153" s="1029"/>
      <c r="AJ153" s="1029"/>
      <c r="AK153" s="1029"/>
      <c r="AL153" s="1029"/>
      <c r="AM153" s="1029"/>
      <c r="AN153" s="1029"/>
      <c r="AO153" s="1029"/>
      <c r="AP153" s="1029"/>
      <c r="AQ153" s="1029"/>
      <c r="AR153" s="1029"/>
      <c r="AS153" s="1029"/>
      <c r="AT153" s="1029"/>
      <c r="AU153" s="1029"/>
      <c r="AV153" s="1029"/>
      <c r="AW153" s="1029"/>
      <c r="AX153" s="1029"/>
      <c r="AY153" s="1029"/>
      <c r="AZ153" s="1029"/>
      <c r="BA153" s="1029"/>
      <c r="BB153" s="1029"/>
      <c r="BC153" s="1030"/>
      <c r="BD153" s="657"/>
      <c r="BE153" s="660" t="s">
        <v>7305</v>
      </c>
      <c r="BF153" s="690"/>
      <c r="BG153" s="690"/>
      <c r="BH153" s="690"/>
      <c r="BI153" s="690"/>
      <c r="BJ153" s="690"/>
      <c r="BK153" s="690"/>
      <c r="BL153" s="690"/>
      <c r="BM153" s="690"/>
      <c r="BN153" s="690"/>
      <c r="BO153" s="690"/>
      <c r="BP153" s="708"/>
      <c r="BQ153" s="708"/>
      <c r="BR153" s="708"/>
      <c r="BS153" s="708"/>
      <c r="BT153" s="708"/>
      <c r="BU153" s="708"/>
      <c r="BV153" s="708"/>
      <c r="BW153" s="708"/>
      <c r="BX153" s="708"/>
      <c r="BY153" s="708"/>
      <c r="BZ153" s="696"/>
      <c r="CA153" s="1025" t="s">
        <v>7306</v>
      </c>
      <c r="CB153" s="1025"/>
      <c r="CC153" s="1025"/>
      <c r="CD153" s="1025"/>
      <c r="CE153" s="1025"/>
      <c r="CF153" s="1025"/>
      <c r="CG153" s="1025"/>
      <c r="CH153" s="1025"/>
      <c r="CI153" s="1025"/>
      <c r="CJ153" s="1025"/>
      <c r="CK153" s="688"/>
      <c r="CL153" s="1026"/>
      <c r="CM153" s="1026"/>
      <c r="CN153" s="1026"/>
      <c r="CO153" s="1026"/>
      <c r="CP153" s="1026"/>
      <c r="CQ153" s="1026"/>
      <c r="CR153" s="1026"/>
      <c r="CS153" s="1026"/>
      <c r="CT153" s="1026"/>
      <c r="CU153" s="703"/>
      <c r="CV153" s="657"/>
    </row>
    <row r="154" spans="1:106" ht="12" customHeight="1" thickBot="1" x14ac:dyDescent="0.4">
      <c r="A154" s="657"/>
      <c r="B154" s="1031"/>
      <c r="C154" s="1031"/>
      <c r="D154" s="1031"/>
      <c r="E154" s="1031"/>
      <c r="F154" s="1031"/>
      <c r="G154" s="1031"/>
      <c r="H154" s="1031"/>
      <c r="I154" s="1031"/>
      <c r="J154" s="1032"/>
      <c r="K154" s="1033"/>
      <c r="L154" s="1033"/>
      <c r="M154" s="1033"/>
      <c r="N154" s="1033"/>
      <c r="O154" s="1033"/>
      <c r="P154" s="1033"/>
      <c r="Q154" s="1033"/>
      <c r="R154" s="1033"/>
      <c r="S154" s="1033"/>
      <c r="T154" s="1033"/>
      <c r="U154" s="1033"/>
      <c r="V154" s="1033"/>
      <c r="W154" s="1033"/>
      <c r="X154" s="1033"/>
      <c r="Y154" s="1033"/>
      <c r="Z154" s="1033"/>
      <c r="AA154" s="1033"/>
      <c r="AB154" s="1033"/>
      <c r="AC154" s="1033"/>
      <c r="AD154" s="1033"/>
      <c r="AE154" s="1033"/>
      <c r="AF154" s="1033"/>
      <c r="AG154" s="1033"/>
      <c r="AH154" s="1033"/>
      <c r="AI154" s="1033"/>
      <c r="AJ154" s="1033"/>
      <c r="AK154" s="1033"/>
      <c r="AL154" s="1033"/>
      <c r="AM154" s="1033"/>
      <c r="AN154" s="1033"/>
      <c r="AO154" s="1033"/>
      <c r="AP154" s="1033"/>
      <c r="AQ154" s="1033"/>
      <c r="AR154" s="1033"/>
      <c r="AS154" s="1033"/>
      <c r="AT154" s="1033"/>
      <c r="AU154" s="1033"/>
      <c r="AV154" s="1033"/>
      <c r="AW154" s="1033"/>
      <c r="AX154" s="1033"/>
      <c r="AY154" s="1033"/>
      <c r="AZ154" s="1033"/>
      <c r="BA154" s="1033"/>
      <c r="BB154" s="1033"/>
      <c r="BC154" s="1034"/>
      <c r="BD154" s="657"/>
      <c r="BE154" s="660" t="s">
        <v>7307</v>
      </c>
      <c r="BF154" s="711"/>
      <c r="BG154" s="711"/>
      <c r="BH154" s="711"/>
      <c r="BI154" s="711"/>
      <c r="BJ154" s="711"/>
      <c r="BK154" s="657"/>
      <c r="BL154" s="711"/>
      <c r="BM154" s="711"/>
      <c r="BN154" s="711"/>
      <c r="BO154" s="711"/>
      <c r="BP154" s="657"/>
      <c r="BQ154" s="702"/>
      <c r="BR154" s="702"/>
      <c r="BS154" s="702"/>
      <c r="BT154" s="702"/>
      <c r="BU154" s="702"/>
      <c r="BV154" s="702"/>
      <c r="BW154" s="702"/>
      <c r="BX154" s="702"/>
      <c r="BY154" s="702"/>
      <c r="BZ154" s="696"/>
      <c r="CA154" s="1025"/>
      <c r="CB154" s="1025"/>
      <c r="CC154" s="1025"/>
      <c r="CD154" s="1025"/>
      <c r="CE154" s="1025"/>
      <c r="CF154" s="1025"/>
      <c r="CG154" s="1025"/>
      <c r="CH154" s="1025"/>
      <c r="CI154" s="1025"/>
      <c r="CJ154" s="1025"/>
      <c r="CK154" s="688"/>
      <c r="CL154" s="1027"/>
      <c r="CM154" s="1027"/>
      <c r="CN154" s="1027"/>
      <c r="CO154" s="1027"/>
      <c r="CP154" s="1027"/>
      <c r="CQ154" s="1027"/>
      <c r="CR154" s="1027"/>
      <c r="CS154" s="1027"/>
      <c r="CT154" s="1027"/>
      <c r="CU154" s="704"/>
      <c r="CV154" s="657"/>
    </row>
    <row r="155" spans="1:106" ht="12" customHeight="1" thickBot="1" x14ac:dyDescent="0.4">
      <c r="A155" s="657"/>
      <c r="B155" s="1031"/>
      <c r="C155" s="1031"/>
      <c r="D155" s="1031"/>
      <c r="E155" s="1031"/>
      <c r="F155" s="1031"/>
      <c r="G155" s="1031"/>
      <c r="H155" s="1031"/>
      <c r="I155" s="1031"/>
      <c r="J155" s="1035"/>
      <c r="K155" s="1036"/>
      <c r="L155" s="1036"/>
      <c r="M155" s="1036"/>
      <c r="N155" s="1036"/>
      <c r="O155" s="1036"/>
      <c r="P155" s="1036"/>
      <c r="Q155" s="1036"/>
      <c r="R155" s="1036"/>
      <c r="S155" s="1036"/>
      <c r="T155" s="1036"/>
      <c r="U155" s="1036"/>
      <c r="V155" s="1036"/>
      <c r="W155" s="1036"/>
      <c r="X155" s="1036"/>
      <c r="Y155" s="1036"/>
      <c r="Z155" s="1036"/>
      <c r="AA155" s="1036"/>
      <c r="AB155" s="1036"/>
      <c r="AC155" s="1036"/>
      <c r="AD155" s="1036"/>
      <c r="AE155" s="1036"/>
      <c r="AF155" s="1036"/>
      <c r="AG155" s="1036"/>
      <c r="AH155" s="1036"/>
      <c r="AI155" s="1036"/>
      <c r="AJ155" s="1036"/>
      <c r="AK155" s="1036"/>
      <c r="AL155" s="1036"/>
      <c r="AM155" s="1036"/>
      <c r="AN155" s="1036"/>
      <c r="AO155" s="1036"/>
      <c r="AP155" s="1036"/>
      <c r="AQ155" s="1036"/>
      <c r="AR155" s="1036"/>
      <c r="AS155" s="1036"/>
      <c r="AT155" s="1036"/>
      <c r="AU155" s="1036"/>
      <c r="AV155" s="1036"/>
      <c r="AW155" s="1036"/>
      <c r="AX155" s="1036"/>
      <c r="AY155" s="1036"/>
      <c r="AZ155" s="1036"/>
      <c r="BA155" s="1036"/>
      <c r="BB155" s="1036"/>
      <c r="BC155" s="1037"/>
      <c r="BD155" s="657"/>
      <c r="BE155" s="660"/>
      <c r="BF155" s="711"/>
      <c r="BG155" s="711"/>
      <c r="BH155" s="711"/>
      <c r="BI155" s="711"/>
      <c r="BJ155" s="711"/>
      <c r="BK155" s="657"/>
      <c r="BL155" s="711"/>
      <c r="BM155" s="711"/>
      <c r="BN155" s="711"/>
      <c r="BO155" s="711"/>
      <c r="BP155" s="657"/>
      <c r="BQ155" s="702"/>
      <c r="BR155" s="702"/>
      <c r="BS155" s="702"/>
      <c r="BT155" s="702"/>
      <c r="BU155" s="702"/>
      <c r="BV155" s="702"/>
      <c r="BW155" s="702"/>
      <c r="BX155" s="702"/>
      <c r="BY155" s="702"/>
      <c r="BZ155" s="696"/>
      <c r="CA155" s="660" t="s">
        <v>7308</v>
      </c>
      <c r="CB155" s="657"/>
      <c r="CC155" s="657"/>
      <c r="CD155" s="657"/>
      <c r="CE155" s="657"/>
      <c r="CF155" s="657"/>
      <c r="CG155" s="657"/>
      <c r="CH155" s="657"/>
      <c r="CI155" s="657"/>
      <c r="CJ155" s="657"/>
      <c r="CK155" s="657"/>
      <c r="CL155" s="706"/>
      <c r="CM155" s="706"/>
      <c r="CN155" s="706"/>
      <c r="CO155" s="706"/>
      <c r="CP155" s="706"/>
      <c r="CQ155" s="706"/>
      <c r="CR155" s="706"/>
      <c r="CS155" s="706"/>
      <c r="CT155" s="706"/>
      <c r="CU155" s="657"/>
      <c r="CV155" s="657"/>
    </row>
    <row r="156" spans="1:106" ht="12" customHeight="1" thickBot="1" x14ac:dyDescent="0.4">
      <c r="A156" s="657"/>
      <c r="B156" s="1031"/>
      <c r="C156" s="1031"/>
      <c r="D156" s="1031"/>
      <c r="E156" s="1031"/>
      <c r="F156" s="1031"/>
      <c r="G156" s="1031"/>
      <c r="H156" s="1031"/>
      <c r="I156" s="1031"/>
      <c r="J156" s="1038"/>
      <c r="K156" s="1039"/>
      <c r="L156" s="1039"/>
      <c r="M156" s="1039"/>
      <c r="N156" s="1039"/>
      <c r="O156" s="1039"/>
      <c r="P156" s="1039"/>
      <c r="Q156" s="1039"/>
      <c r="R156" s="1039"/>
      <c r="S156" s="1039"/>
      <c r="T156" s="1039"/>
      <c r="U156" s="1039"/>
      <c r="V156" s="1039"/>
      <c r="W156" s="1039"/>
      <c r="X156" s="1039"/>
      <c r="Y156" s="1039"/>
      <c r="Z156" s="1039"/>
      <c r="AA156" s="1039"/>
      <c r="AB156" s="1039"/>
      <c r="AC156" s="1039"/>
      <c r="AD156" s="1039"/>
      <c r="AE156" s="1039"/>
      <c r="AF156" s="1039"/>
      <c r="AG156" s="1039"/>
      <c r="AH156" s="1039"/>
      <c r="AI156" s="1039"/>
      <c r="AJ156" s="1039"/>
      <c r="AK156" s="1039"/>
      <c r="AL156" s="1039"/>
      <c r="AM156" s="1039"/>
      <c r="AN156" s="1039"/>
      <c r="AO156" s="1039"/>
      <c r="AP156" s="1039"/>
      <c r="AQ156" s="1039"/>
      <c r="AR156" s="1039"/>
      <c r="AS156" s="1039"/>
      <c r="AT156" s="1039"/>
      <c r="AU156" s="1039"/>
      <c r="AV156" s="1039"/>
      <c r="AW156" s="1039"/>
      <c r="AX156" s="1039"/>
      <c r="AY156" s="1039"/>
      <c r="AZ156" s="1039"/>
      <c r="BA156" s="1039"/>
      <c r="BB156" s="1039"/>
      <c r="BC156" s="1040"/>
      <c r="BD156" s="657"/>
      <c r="BE156" s="1041" t="s">
        <v>7309</v>
      </c>
      <c r="BF156" s="1041"/>
      <c r="BG156" s="1041"/>
      <c r="BH156" s="1041"/>
      <c r="BI156" s="1041"/>
      <c r="BJ156" s="1041"/>
      <c r="BK156" s="1041"/>
      <c r="BL156" s="1041"/>
      <c r="BM156" s="1041"/>
      <c r="BN156" s="1041"/>
      <c r="BO156" s="1041"/>
      <c r="BP156" s="1042"/>
      <c r="BQ156" s="1042"/>
      <c r="BR156" s="1042"/>
      <c r="BS156" s="1042"/>
      <c r="BT156" s="1042"/>
      <c r="BU156" s="1042"/>
      <c r="BV156" s="1042"/>
      <c r="BW156" s="1042"/>
      <c r="BX156" s="1042"/>
      <c r="BY156" s="1042"/>
      <c r="BZ156" s="696"/>
      <c r="CA156" s="660"/>
      <c r="CB156" s="657"/>
      <c r="CC156" s="657"/>
      <c r="CD156" s="657"/>
      <c r="CE156" s="657"/>
      <c r="CF156" s="657"/>
      <c r="CG156" s="657"/>
      <c r="CH156" s="657"/>
      <c r="CI156" s="657"/>
      <c r="CJ156" s="657"/>
      <c r="CK156" s="657"/>
      <c r="CL156" s="706"/>
      <c r="CM156" s="706"/>
      <c r="CN156" s="706"/>
      <c r="CO156" s="706"/>
      <c r="CP156" s="706"/>
      <c r="CQ156" s="706"/>
      <c r="CR156" s="706"/>
      <c r="CS156" s="706"/>
      <c r="CT156" s="706"/>
      <c r="CU156" s="657"/>
      <c r="CV156" s="657"/>
    </row>
    <row r="157" spans="1:106" ht="12" customHeight="1" x14ac:dyDescent="0.2">
      <c r="A157" s="657"/>
      <c r="B157" s="1045" t="s">
        <v>7269</v>
      </c>
      <c r="C157" s="1045"/>
      <c r="D157" s="1045"/>
      <c r="E157" s="1045"/>
      <c r="F157" s="1045"/>
      <c r="G157" s="1045"/>
      <c r="H157" s="1045"/>
      <c r="I157" s="1047"/>
      <c r="J157" s="1047"/>
      <c r="K157" s="1047"/>
      <c r="L157" s="1047"/>
      <c r="M157" s="1047"/>
      <c r="N157" s="1047"/>
      <c r="O157" s="1047"/>
      <c r="P157" s="1047"/>
      <c r="Q157" s="1047"/>
      <c r="R157" s="1047"/>
      <c r="S157" s="1047"/>
      <c r="T157" s="690"/>
      <c r="U157" s="1044" t="s">
        <v>7270</v>
      </c>
      <c r="V157" s="1024" t="s">
        <v>7270</v>
      </c>
      <c r="W157" s="1024" t="s">
        <v>7270</v>
      </c>
      <c r="X157" s="1024" t="s">
        <v>7270</v>
      </c>
      <c r="Y157" s="1024" t="s">
        <v>7270</v>
      </c>
      <c r="Z157" s="690"/>
      <c r="AA157" s="1044" t="s">
        <v>7270</v>
      </c>
      <c r="AB157" s="1024" t="s">
        <v>7270</v>
      </c>
      <c r="AC157" s="1024" t="s">
        <v>7270</v>
      </c>
      <c r="AD157" s="1024" t="s">
        <v>7270</v>
      </c>
      <c r="AE157" s="1024" t="s">
        <v>7270</v>
      </c>
      <c r="AF157" s="690"/>
      <c r="AG157" s="1024" t="s">
        <v>7270</v>
      </c>
      <c r="AH157" s="1024" t="s">
        <v>7270</v>
      </c>
      <c r="AI157" s="1024" t="s">
        <v>7270</v>
      </c>
      <c r="AJ157" s="1024" t="s">
        <v>7270</v>
      </c>
      <c r="AK157" s="1024" t="s">
        <v>7270</v>
      </c>
      <c r="AL157" s="675"/>
      <c r="AM157" s="1024" t="s">
        <v>7270</v>
      </c>
      <c r="AN157" s="1024" t="s">
        <v>7270</v>
      </c>
      <c r="AO157" s="1024" t="s">
        <v>7270</v>
      </c>
      <c r="AP157" s="1024" t="s">
        <v>7270</v>
      </c>
      <c r="AQ157" s="1024" t="s">
        <v>7270</v>
      </c>
      <c r="AR157" s="675"/>
      <c r="AS157" s="1024" t="s">
        <v>7270</v>
      </c>
      <c r="AT157" s="1024" t="s">
        <v>7270</v>
      </c>
      <c r="AU157" s="1024" t="s">
        <v>7270</v>
      </c>
      <c r="AV157" s="1024" t="s">
        <v>7270</v>
      </c>
      <c r="AW157" s="1024" t="s">
        <v>7270</v>
      </c>
      <c r="AX157" s="675"/>
      <c r="AY157" s="1024" t="s">
        <v>7270</v>
      </c>
      <c r="AZ157" s="1024" t="s">
        <v>7270</v>
      </c>
      <c r="BA157" s="1024" t="s">
        <v>7270</v>
      </c>
      <c r="BB157" s="1024" t="s">
        <v>7270</v>
      </c>
      <c r="BC157" s="1024" t="s">
        <v>7270</v>
      </c>
      <c r="BD157" s="657"/>
      <c r="BE157" s="1041"/>
      <c r="BF157" s="1041"/>
      <c r="BG157" s="1041"/>
      <c r="BH157" s="1041"/>
      <c r="BI157" s="1041"/>
      <c r="BJ157" s="1041"/>
      <c r="BK157" s="1041"/>
      <c r="BL157" s="1041"/>
      <c r="BM157" s="1041"/>
      <c r="BN157" s="1041"/>
      <c r="BO157" s="1041"/>
      <c r="BP157" s="1043"/>
      <c r="BQ157" s="1043"/>
      <c r="BR157" s="1043"/>
      <c r="BS157" s="1043"/>
      <c r="BT157" s="1043"/>
      <c r="BU157" s="1043"/>
      <c r="BV157" s="1043"/>
      <c r="BW157" s="1043"/>
      <c r="BX157" s="1043"/>
      <c r="BY157" s="1043"/>
      <c r="BZ157" s="696"/>
      <c r="CA157" s="1025" t="s">
        <v>7310</v>
      </c>
      <c r="CB157" s="1025"/>
      <c r="CC157" s="1025"/>
      <c r="CD157" s="1025"/>
      <c r="CE157" s="1025"/>
      <c r="CF157" s="1025"/>
      <c r="CG157" s="1025"/>
      <c r="CH157" s="1025"/>
      <c r="CI157" s="1025"/>
      <c r="CJ157" s="1025"/>
      <c r="CK157" s="688"/>
      <c r="CL157" s="1026"/>
      <c r="CM157" s="1026"/>
      <c r="CN157" s="1026"/>
      <c r="CO157" s="1026"/>
      <c r="CP157" s="1026"/>
      <c r="CQ157" s="1026"/>
      <c r="CR157" s="1026"/>
      <c r="CS157" s="1026"/>
      <c r="CT157" s="1026"/>
      <c r="CU157" s="703"/>
      <c r="CV157" s="657"/>
    </row>
    <row r="158" spans="1:106" ht="12" customHeight="1" x14ac:dyDescent="0.2">
      <c r="A158" s="657"/>
      <c r="B158" s="1046"/>
      <c r="C158" s="1046"/>
      <c r="D158" s="1046"/>
      <c r="E158" s="1046"/>
      <c r="F158" s="1046"/>
      <c r="G158" s="1046"/>
      <c r="H158" s="1046"/>
      <c r="I158" s="1048"/>
      <c r="J158" s="1048"/>
      <c r="K158" s="1048"/>
      <c r="L158" s="1048"/>
      <c r="M158" s="1048"/>
      <c r="N158" s="1048"/>
      <c r="O158" s="1048"/>
      <c r="P158" s="1048"/>
      <c r="Q158" s="1048"/>
      <c r="R158" s="1048"/>
      <c r="S158" s="1048"/>
      <c r="T158" s="690"/>
      <c r="U158" s="1024"/>
      <c r="V158" s="1024"/>
      <c r="W158" s="1024"/>
      <c r="X158" s="1024"/>
      <c r="Y158" s="1024"/>
      <c r="Z158" s="690"/>
      <c r="AA158" s="1024"/>
      <c r="AB158" s="1024"/>
      <c r="AC158" s="1024"/>
      <c r="AD158" s="1024"/>
      <c r="AE158" s="1024"/>
      <c r="AF158" s="690"/>
      <c r="AG158" s="1024"/>
      <c r="AH158" s="1024"/>
      <c r="AI158" s="1024"/>
      <c r="AJ158" s="1024"/>
      <c r="AK158" s="1024"/>
      <c r="AL158" s="675"/>
      <c r="AM158" s="1024"/>
      <c r="AN158" s="1024"/>
      <c r="AO158" s="1024"/>
      <c r="AP158" s="1024"/>
      <c r="AQ158" s="1024"/>
      <c r="AR158" s="675"/>
      <c r="AS158" s="1024"/>
      <c r="AT158" s="1024"/>
      <c r="AU158" s="1024"/>
      <c r="AV158" s="1024"/>
      <c r="AW158" s="1024"/>
      <c r="AX158" s="675"/>
      <c r="AY158" s="1024"/>
      <c r="AZ158" s="1024"/>
      <c r="BA158" s="1024"/>
      <c r="BB158" s="1024"/>
      <c r="BC158" s="1024"/>
      <c r="BD158" s="657"/>
      <c r="BE158" s="660" t="s">
        <v>7311</v>
      </c>
      <c r="BF158" s="711"/>
      <c r="BG158" s="711"/>
      <c r="BH158" s="711"/>
      <c r="BI158" s="711"/>
      <c r="BJ158" s="711"/>
      <c r="BK158" s="711"/>
      <c r="BL158" s="711"/>
      <c r="BM158" s="711"/>
      <c r="BN158" s="711"/>
      <c r="BO158" s="711"/>
      <c r="BP158" s="696"/>
      <c r="BQ158" s="696"/>
      <c r="BR158" s="696"/>
      <c r="BS158" s="696"/>
      <c r="BT158" s="696"/>
      <c r="BU158" s="696"/>
      <c r="BV158" s="696"/>
      <c r="BW158" s="696"/>
      <c r="BX158" s="696"/>
      <c r="BY158" s="696"/>
      <c r="BZ158" s="696"/>
      <c r="CA158" s="1025"/>
      <c r="CB158" s="1025"/>
      <c r="CC158" s="1025"/>
      <c r="CD158" s="1025"/>
      <c r="CE158" s="1025"/>
      <c r="CF158" s="1025"/>
      <c r="CG158" s="1025"/>
      <c r="CH158" s="1025"/>
      <c r="CI158" s="1025"/>
      <c r="CJ158" s="1025"/>
      <c r="CK158" s="688"/>
      <c r="CL158" s="1027"/>
      <c r="CM158" s="1027"/>
      <c r="CN158" s="1027"/>
      <c r="CO158" s="1027"/>
      <c r="CP158" s="1027"/>
      <c r="CQ158" s="1027"/>
      <c r="CR158" s="1027"/>
      <c r="CS158" s="1027"/>
      <c r="CT158" s="1027"/>
      <c r="CU158" s="704"/>
      <c r="CV158" s="657"/>
    </row>
    <row r="159" spans="1:106" ht="3.75" customHeight="1" x14ac:dyDescent="0.2">
      <c r="A159" s="698"/>
      <c r="B159" s="657"/>
      <c r="C159" s="657"/>
      <c r="D159" s="657"/>
      <c r="E159" s="657"/>
      <c r="F159" s="657"/>
      <c r="G159" s="657"/>
      <c r="H159" s="657"/>
      <c r="I159" s="657"/>
      <c r="J159" s="657"/>
      <c r="K159" s="657"/>
      <c r="L159" s="657"/>
      <c r="M159" s="657"/>
      <c r="N159" s="657"/>
      <c r="O159" s="657"/>
      <c r="P159" s="657"/>
      <c r="Q159" s="657"/>
      <c r="R159" s="657"/>
      <c r="S159" s="657"/>
      <c r="T159" s="657"/>
      <c r="U159" s="657"/>
      <c r="V159" s="657"/>
      <c r="W159" s="657"/>
      <c r="X159" s="657"/>
      <c r="Y159" s="657"/>
      <c r="Z159" s="657"/>
      <c r="AA159" s="657"/>
      <c r="AB159" s="657"/>
      <c r="AC159" s="657"/>
      <c r="AD159" s="657"/>
      <c r="AE159" s="657"/>
      <c r="AF159" s="657"/>
      <c r="AG159" s="657"/>
      <c r="AH159" s="657"/>
      <c r="AI159" s="657"/>
      <c r="AJ159" s="657"/>
      <c r="AK159" s="657"/>
      <c r="AL159" s="657"/>
      <c r="AM159" s="657"/>
      <c r="AN159" s="657"/>
      <c r="AO159" s="657"/>
      <c r="AP159" s="657"/>
      <c r="AQ159" s="657"/>
      <c r="AR159" s="657"/>
      <c r="AS159" s="657"/>
      <c r="AT159" s="657"/>
      <c r="AU159" s="657"/>
      <c r="AV159" s="657"/>
      <c r="AW159" s="657"/>
      <c r="AX159" s="657"/>
      <c r="AY159" s="657"/>
      <c r="AZ159" s="657"/>
      <c r="BA159" s="657"/>
      <c r="BB159" s="657"/>
      <c r="BC159" s="657"/>
      <c r="BD159" s="657"/>
      <c r="BE159" s="657"/>
      <c r="BF159" s="657"/>
      <c r="BG159" s="657"/>
      <c r="BH159" s="657"/>
      <c r="BI159" s="657"/>
      <c r="BJ159" s="657"/>
      <c r="BK159" s="657"/>
      <c r="BL159" s="657"/>
      <c r="BM159" s="657"/>
      <c r="BN159" s="657"/>
      <c r="BO159" s="657"/>
      <c r="BP159" s="657"/>
      <c r="BQ159" s="657"/>
      <c r="BR159" s="657"/>
      <c r="BS159" s="657"/>
      <c r="BT159" s="657"/>
      <c r="BU159" s="657"/>
      <c r="BV159" s="657"/>
      <c r="BW159" s="657"/>
      <c r="BX159" s="657"/>
      <c r="BY159" s="657"/>
      <c r="BZ159" s="657"/>
      <c r="CA159" s="657"/>
      <c r="CB159" s="657"/>
      <c r="CC159" s="657"/>
      <c r="CD159" s="657"/>
      <c r="CE159" s="657"/>
      <c r="CF159" s="657"/>
      <c r="CG159" s="657"/>
      <c r="CH159" s="657"/>
      <c r="CI159" s="657"/>
      <c r="CJ159" s="657"/>
      <c r="CK159" s="657"/>
      <c r="CL159" s="657"/>
      <c r="CM159" s="657"/>
      <c r="CN159" s="657"/>
      <c r="CO159" s="657"/>
      <c r="CP159" s="657"/>
      <c r="CQ159" s="657"/>
      <c r="CR159" s="657"/>
      <c r="CS159" s="657"/>
      <c r="CT159" s="657"/>
      <c r="CU159" s="657"/>
      <c r="CV159" s="657"/>
    </row>
    <row r="160" spans="1:106" ht="12" hidden="1" customHeight="1" x14ac:dyDescent="0.2">
      <c r="A160" s="699"/>
      <c r="B160" s="699"/>
      <c r="C160" s="699"/>
      <c r="D160" s="699"/>
      <c r="E160" s="699"/>
      <c r="F160" s="699"/>
      <c r="G160" s="699"/>
      <c r="H160" s="699"/>
      <c r="I160" s="699"/>
      <c r="J160" s="699"/>
      <c r="K160" s="699"/>
      <c r="L160" s="699"/>
      <c r="M160" s="699"/>
      <c r="N160" s="699"/>
      <c r="O160" s="699"/>
      <c r="P160" s="699"/>
      <c r="Q160" s="699"/>
      <c r="R160" s="699"/>
      <c r="S160" s="699"/>
      <c r="T160" s="699"/>
      <c r="U160" s="699"/>
      <c r="V160" s="699"/>
      <c r="W160" s="699"/>
      <c r="X160" s="699"/>
      <c r="Y160" s="699"/>
      <c r="Z160" s="699"/>
      <c r="AA160" s="699"/>
      <c r="AB160" s="699"/>
      <c r="AC160" s="699"/>
      <c r="AD160" s="699"/>
      <c r="AE160" s="699"/>
      <c r="AF160" s="699"/>
      <c r="AG160" s="699"/>
      <c r="AH160" s="699"/>
      <c r="AI160" s="699"/>
      <c r="AJ160" s="699"/>
      <c r="AK160" s="699"/>
      <c r="AL160" s="699"/>
      <c r="AM160" s="699"/>
      <c r="AN160" s="699"/>
      <c r="AO160" s="699"/>
      <c r="AP160" s="699"/>
      <c r="AQ160" s="699"/>
      <c r="AR160" s="699"/>
      <c r="AS160" s="699"/>
      <c r="AT160" s="699"/>
      <c r="AU160" s="699"/>
      <c r="AV160" s="699"/>
      <c r="AW160" s="699"/>
      <c r="AX160" s="699"/>
      <c r="AY160" s="699"/>
      <c r="AZ160" s="699"/>
      <c r="BA160" s="699"/>
      <c r="BB160" s="699"/>
      <c r="BC160" s="699"/>
      <c r="BD160" s="698"/>
    </row>
    <row r="161" spans="1:80" ht="12" hidden="1" customHeight="1" x14ac:dyDescent="0.2">
      <c r="A161" s="699"/>
      <c r="B161" s="699"/>
      <c r="C161" s="699"/>
      <c r="D161" s="699"/>
      <c r="E161" s="699"/>
      <c r="F161" s="699"/>
      <c r="G161" s="699"/>
      <c r="H161" s="699"/>
      <c r="I161" s="699"/>
      <c r="J161" s="699"/>
      <c r="K161" s="699"/>
      <c r="L161" s="699"/>
      <c r="M161" s="699"/>
      <c r="N161" s="699"/>
      <c r="O161" s="699"/>
      <c r="P161" s="699"/>
      <c r="Q161" s="699"/>
      <c r="R161" s="699"/>
      <c r="S161" s="699"/>
      <c r="T161" s="699"/>
      <c r="U161" s="699"/>
      <c r="V161" s="699"/>
      <c r="W161" s="699"/>
      <c r="X161" s="699"/>
      <c r="Y161" s="699"/>
      <c r="Z161" s="699"/>
      <c r="AA161" s="699"/>
      <c r="AB161" s="699"/>
      <c r="AC161" s="699"/>
      <c r="AD161" s="699"/>
      <c r="AE161" s="699"/>
      <c r="AF161" s="699"/>
      <c r="AG161" s="699"/>
      <c r="AH161" s="699"/>
      <c r="AI161" s="699"/>
      <c r="AJ161" s="699"/>
      <c r="AK161" s="699"/>
      <c r="AL161" s="699"/>
      <c r="AM161" s="699"/>
      <c r="AN161" s="699"/>
      <c r="AO161" s="699"/>
      <c r="AP161" s="699"/>
      <c r="AQ161" s="699"/>
      <c r="AR161" s="699"/>
      <c r="AS161" s="699"/>
      <c r="AT161" s="699"/>
      <c r="AU161" s="699"/>
      <c r="AV161" s="699"/>
      <c r="AW161" s="699"/>
      <c r="AX161" s="699"/>
      <c r="AY161" s="699"/>
      <c r="AZ161" s="699"/>
      <c r="BA161" s="699"/>
      <c r="BB161" s="699"/>
      <c r="BC161" s="699"/>
      <c r="BD161" s="699"/>
    </row>
    <row r="162" spans="1:80" ht="12" hidden="1" customHeight="1" x14ac:dyDescent="0.2">
      <c r="A162" s="699"/>
      <c r="B162" s="699"/>
      <c r="C162" s="699"/>
      <c r="D162" s="699"/>
      <c r="E162" s="699"/>
      <c r="F162" s="699"/>
      <c r="G162" s="699"/>
      <c r="H162" s="699"/>
      <c r="I162" s="699"/>
      <c r="J162" s="699"/>
      <c r="K162" s="699"/>
      <c r="L162" s="699"/>
      <c r="AE162" s="641"/>
    </row>
    <row r="163" spans="1:80" ht="12" hidden="1" customHeight="1" x14ac:dyDescent="0.2">
      <c r="A163" s="699"/>
      <c r="B163" s="699"/>
      <c r="C163" s="699"/>
      <c r="D163" s="699"/>
      <c r="E163" s="699"/>
      <c r="F163" s="699"/>
      <c r="G163" s="699"/>
      <c r="H163" s="699"/>
      <c r="I163" s="699"/>
    </row>
    <row r="164" spans="1:80" ht="12" hidden="1" customHeight="1" x14ac:dyDescent="0.2">
      <c r="A164" s="699"/>
      <c r="B164" s="699"/>
      <c r="C164" s="699"/>
      <c r="D164" s="699"/>
      <c r="E164" s="699"/>
      <c r="F164" s="699"/>
      <c r="BG164" s="654"/>
      <c r="BQ164" s="654"/>
      <c r="CB164" s="654"/>
    </row>
    <row r="165" spans="1:80" ht="12" hidden="1" customHeight="1" x14ac:dyDescent="0.2">
      <c r="A165" s="699"/>
      <c r="B165" s="699"/>
      <c r="C165" s="699"/>
      <c r="BG165" s="654"/>
      <c r="BQ165" s="654"/>
      <c r="CB165" s="654"/>
    </row>
    <row r="166" spans="1:80" ht="12" hidden="1" customHeight="1" x14ac:dyDescent="0.2">
      <c r="A166" s="699"/>
      <c r="B166" s="699"/>
      <c r="C166" s="699"/>
      <c r="BG166" s="645"/>
      <c r="BQ166" s="645"/>
      <c r="CB166" s="645"/>
    </row>
    <row r="167" spans="1:80" ht="12" hidden="1" customHeight="1" x14ac:dyDescent="0.2">
      <c r="A167" s="699"/>
      <c r="B167" s="699"/>
      <c r="C167" s="699"/>
    </row>
    <row r="168" spans="1:80" ht="12" hidden="1" customHeight="1" x14ac:dyDescent="0.2">
      <c r="A168" s="699"/>
      <c r="B168" s="699"/>
      <c r="C168" s="699"/>
      <c r="D168" s="699"/>
      <c r="E168" s="699"/>
      <c r="F168" s="699"/>
      <c r="G168" s="699"/>
      <c r="H168" s="699"/>
      <c r="I168" s="699"/>
      <c r="J168" s="699"/>
      <c r="K168" s="699"/>
      <c r="L168" s="699"/>
    </row>
    <row r="169" spans="1:80" ht="12" hidden="1" customHeight="1" x14ac:dyDescent="0.2">
      <c r="A169" s="699"/>
      <c r="B169" s="699"/>
      <c r="C169" s="699"/>
      <c r="D169" s="699"/>
      <c r="E169" s="699"/>
      <c r="F169" s="699"/>
      <c r="G169" s="699"/>
      <c r="H169" s="699"/>
      <c r="I169" s="699"/>
      <c r="J169" s="699"/>
      <c r="K169" s="699"/>
      <c r="L169" s="699"/>
    </row>
    <row r="170" spans="1:80" ht="12" hidden="1" customHeight="1" x14ac:dyDescent="0.2">
      <c r="A170" s="699"/>
      <c r="B170" s="699"/>
      <c r="C170" s="699"/>
      <c r="D170" s="699"/>
      <c r="E170" s="699"/>
      <c r="F170" s="699"/>
      <c r="G170" s="699"/>
      <c r="H170" s="699"/>
      <c r="I170" s="699"/>
      <c r="J170" s="699"/>
      <c r="K170" s="699"/>
      <c r="L170" s="699"/>
    </row>
    <row r="171" spans="1:80" ht="12" hidden="1" customHeight="1" x14ac:dyDescent="0.2">
      <c r="A171" s="699"/>
      <c r="B171" s="699"/>
      <c r="C171" s="699"/>
      <c r="D171" s="699"/>
      <c r="E171" s="699"/>
      <c r="F171" s="699"/>
      <c r="G171" s="699"/>
      <c r="H171" s="699"/>
      <c r="I171" s="699"/>
      <c r="J171" s="699"/>
      <c r="K171" s="699"/>
      <c r="L171" s="699"/>
    </row>
    <row r="172" spans="1:80" ht="12" hidden="1" customHeight="1" x14ac:dyDescent="0.2">
      <c r="A172" s="699"/>
      <c r="B172" s="699"/>
      <c r="C172" s="699"/>
      <c r="D172" s="699"/>
      <c r="E172" s="699"/>
      <c r="F172" s="699"/>
      <c r="G172" s="699"/>
      <c r="H172" s="699"/>
      <c r="I172" s="699"/>
      <c r="J172" s="699"/>
      <c r="K172" s="699"/>
      <c r="L172" s="699"/>
    </row>
    <row r="173" spans="1:80" ht="12" hidden="1" customHeight="1" x14ac:dyDescent="0.2">
      <c r="A173" s="699"/>
      <c r="B173" s="699"/>
      <c r="C173" s="699"/>
      <c r="D173" s="699"/>
      <c r="E173" s="699"/>
      <c r="F173" s="699"/>
      <c r="G173" s="699"/>
      <c r="H173" s="699"/>
      <c r="I173" s="699"/>
      <c r="J173" s="699"/>
      <c r="K173" s="699"/>
      <c r="L173" s="699"/>
    </row>
    <row r="174" spans="1:80" ht="12" hidden="1" customHeight="1" x14ac:dyDescent="0.2">
      <c r="A174" s="699"/>
      <c r="B174" s="699"/>
      <c r="C174" s="699"/>
      <c r="D174" s="699"/>
      <c r="E174" s="699"/>
      <c r="F174" s="699"/>
      <c r="G174" s="699"/>
      <c r="H174" s="699"/>
      <c r="I174" s="699"/>
      <c r="J174" s="699"/>
      <c r="K174" s="699"/>
      <c r="L174" s="699"/>
    </row>
    <row r="175" spans="1:80" ht="12" hidden="1" customHeight="1" x14ac:dyDescent="0.2">
      <c r="A175" s="699"/>
      <c r="B175" s="699"/>
      <c r="C175" s="699"/>
      <c r="D175" s="699"/>
      <c r="E175" s="699"/>
      <c r="F175" s="699"/>
      <c r="G175" s="699"/>
      <c r="H175" s="699"/>
      <c r="I175" s="699"/>
      <c r="J175" s="699"/>
      <c r="K175" s="699"/>
      <c r="L175" s="699"/>
    </row>
    <row r="176" spans="1:80" ht="12" hidden="1" customHeight="1" x14ac:dyDescent="0.2">
      <c r="A176" s="699"/>
      <c r="B176" s="699"/>
      <c r="C176" s="699"/>
      <c r="D176" s="699"/>
      <c r="E176" s="699"/>
      <c r="F176" s="699"/>
      <c r="G176" s="699"/>
      <c r="H176" s="699"/>
      <c r="I176" s="699"/>
      <c r="J176" s="699"/>
      <c r="K176" s="699"/>
      <c r="L176" s="699"/>
    </row>
    <row r="177" spans="1:99" ht="12" hidden="1" customHeight="1" x14ac:dyDescent="0.2">
      <c r="A177" s="699"/>
      <c r="B177" s="699"/>
      <c r="C177" s="699"/>
      <c r="D177" s="699"/>
      <c r="E177" s="699"/>
      <c r="F177" s="699"/>
      <c r="G177" s="699"/>
      <c r="H177" s="699"/>
      <c r="I177" s="699"/>
      <c r="J177" s="699"/>
      <c r="K177" s="699"/>
      <c r="L177" s="699"/>
    </row>
    <row r="178" spans="1:99" ht="12" hidden="1" customHeight="1" x14ac:dyDescent="0.2">
      <c r="A178" s="699"/>
      <c r="B178" s="699"/>
      <c r="C178" s="699"/>
      <c r="D178" s="699"/>
      <c r="E178" s="699"/>
      <c r="F178" s="699"/>
      <c r="G178" s="699"/>
      <c r="H178" s="699"/>
      <c r="I178" s="699"/>
      <c r="J178" s="699"/>
      <c r="K178" s="699"/>
      <c r="L178" s="699"/>
    </row>
    <row r="179" spans="1:99" ht="12" hidden="1" customHeight="1" x14ac:dyDescent="0.2">
      <c r="A179" s="699"/>
      <c r="B179" s="699"/>
      <c r="C179" s="699"/>
      <c r="D179" s="699"/>
      <c r="E179" s="699"/>
      <c r="F179" s="699"/>
      <c r="G179" s="699"/>
      <c r="H179" s="699"/>
      <c r="I179" s="699"/>
      <c r="J179" s="699"/>
      <c r="K179" s="699"/>
      <c r="L179" s="699"/>
    </row>
    <row r="180" spans="1:99" ht="12" hidden="1" customHeight="1" x14ac:dyDescent="0.2">
      <c r="A180" s="699"/>
      <c r="B180" s="699"/>
      <c r="C180" s="699"/>
      <c r="D180" s="699"/>
      <c r="E180" s="699"/>
      <c r="F180" s="699"/>
      <c r="G180" s="699"/>
      <c r="H180" s="699"/>
      <c r="I180" s="699"/>
      <c r="J180" s="699"/>
      <c r="K180" s="699"/>
      <c r="L180" s="699"/>
    </row>
    <row r="181" spans="1:99" ht="12" hidden="1" customHeight="1" x14ac:dyDescent="0.2">
      <c r="A181" s="699"/>
      <c r="B181" s="699"/>
      <c r="C181" s="699"/>
      <c r="D181" s="699"/>
      <c r="E181" s="699"/>
      <c r="F181" s="699"/>
      <c r="G181" s="699"/>
      <c r="H181" s="699"/>
      <c r="I181" s="699"/>
      <c r="J181" s="699"/>
      <c r="K181" s="699"/>
      <c r="L181" s="699"/>
    </row>
    <row r="182" spans="1:99" ht="12" hidden="1" customHeight="1" x14ac:dyDescent="0.2">
      <c r="A182" s="699"/>
      <c r="B182" s="699"/>
      <c r="C182" s="699"/>
      <c r="D182" s="699"/>
      <c r="E182" s="699"/>
      <c r="F182" s="699"/>
      <c r="G182" s="699"/>
      <c r="H182" s="699"/>
      <c r="I182" s="699"/>
      <c r="J182" s="699"/>
      <c r="K182" s="699"/>
      <c r="L182" s="699"/>
    </row>
    <row r="183" spans="1:99" ht="12" hidden="1" customHeight="1" x14ac:dyDescent="0.2">
      <c r="A183" s="699"/>
      <c r="B183" s="699"/>
      <c r="C183" s="699"/>
      <c r="D183" s="699"/>
      <c r="E183" s="699"/>
      <c r="F183" s="699"/>
      <c r="G183" s="699"/>
      <c r="H183" s="699"/>
      <c r="I183" s="699"/>
      <c r="J183" s="699"/>
      <c r="K183" s="699"/>
      <c r="L183" s="699"/>
    </row>
    <row r="184" spans="1:99" ht="12" hidden="1" customHeight="1" x14ac:dyDescent="0.2">
      <c r="A184" s="699"/>
      <c r="B184" s="699"/>
      <c r="C184" s="699"/>
      <c r="D184" s="699"/>
      <c r="E184" s="699"/>
      <c r="F184" s="699"/>
      <c r="G184" s="699"/>
      <c r="H184" s="699"/>
      <c r="I184" s="699"/>
      <c r="J184" s="699"/>
      <c r="K184" s="699"/>
      <c r="L184" s="699"/>
    </row>
    <row r="185" spans="1:99" ht="12" hidden="1" customHeight="1" x14ac:dyDescent="0.2">
      <c r="A185" s="699"/>
      <c r="B185" s="699"/>
      <c r="C185" s="699"/>
      <c r="D185" s="699"/>
      <c r="E185" s="699"/>
      <c r="F185" s="699"/>
      <c r="G185" s="699"/>
      <c r="H185" s="699"/>
      <c r="I185" s="699"/>
      <c r="J185" s="699"/>
      <c r="K185" s="699"/>
      <c r="L185" s="699"/>
      <c r="BO185" s="699"/>
      <c r="BP185" s="699"/>
      <c r="BQ185" s="699"/>
      <c r="BR185" s="699"/>
      <c r="BS185" s="699"/>
      <c r="BT185" s="699"/>
      <c r="BU185" s="699"/>
      <c r="BV185" s="699"/>
      <c r="BW185" s="699"/>
      <c r="BX185" s="699"/>
      <c r="BY185" s="699"/>
      <c r="BZ185" s="699"/>
      <c r="CA185" s="699"/>
      <c r="CB185" s="699"/>
      <c r="CC185" s="699"/>
      <c r="CD185" s="699"/>
      <c r="CE185" s="699"/>
      <c r="CF185" s="699"/>
      <c r="CG185" s="699"/>
      <c r="CH185" s="699"/>
      <c r="CI185" s="699"/>
      <c r="CJ185" s="699"/>
      <c r="CK185" s="699"/>
      <c r="CL185" s="699"/>
      <c r="CM185" s="699"/>
      <c r="CN185" s="699"/>
      <c r="CO185" s="699"/>
      <c r="CP185" s="699"/>
      <c r="CQ185" s="699"/>
      <c r="CR185" s="699"/>
      <c r="CS185" s="699"/>
      <c r="CT185" s="699"/>
      <c r="CU185" s="699"/>
    </row>
    <row r="186" spans="1:99" ht="12" hidden="1" customHeight="1" x14ac:dyDescent="0.2">
      <c r="A186" s="699"/>
      <c r="B186" s="699"/>
      <c r="C186" s="699"/>
      <c r="D186" s="699"/>
      <c r="E186" s="699"/>
      <c r="F186" s="699"/>
      <c r="G186" s="699"/>
      <c r="H186" s="699"/>
      <c r="I186" s="699"/>
      <c r="J186" s="699"/>
      <c r="K186" s="699"/>
      <c r="L186" s="699"/>
      <c r="BO186" s="699"/>
      <c r="BP186" s="699"/>
      <c r="BQ186" s="699"/>
      <c r="BR186" s="699"/>
      <c r="BS186" s="699"/>
      <c r="BT186" s="699"/>
      <c r="BU186" s="699"/>
      <c r="BV186" s="699"/>
      <c r="BW186" s="699"/>
      <c r="BX186" s="699"/>
      <c r="BY186" s="699"/>
      <c r="BZ186" s="699"/>
      <c r="CA186" s="699"/>
      <c r="CB186" s="699"/>
      <c r="CC186" s="699"/>
      <c r="CD186" s="699"/>
      <c r="CE186" s="699"/>
      <c r="CF186" s="699"/>
      <c r="CG186" s="699"/>
      <c r="CH186" s="699"/>
      <c r="CI186" s="699"/>
      <c r="CJ186" s="699"/>
      <c r="CK186" s="699"/>
      <c r="CL186" s="699"/>
      <c r="CM186" s="699"/>
      <c r="CN186" s="699"/>
      <c r="CO186" s="699"/>
      <c r="CP186" s="699"/>
      <c r="CQ186" s="699"/>
      <c r="CR186" s="699"/>
      <c r="CS186" s="699"/>
      <c r="CT186" s="699"/>
      <c r="CU186" s="699"/>
    </row>
    <row r="187" spans="1:99" ht="12" hidden="1" customHeight="1" x14ac:dyDescent="0.2">
      <c r="A187" s="699"/>
      <c r="B187" s="699"/>
      <c r="C187" s="699"/>
      <c r="D187" s="699"/>
      <c r="E187" s="699"/>
      <c r="F187" s="699"/>
      <c r="G187" s="699"/>
      <c r="H187" s="699"/>
      <c r="I187" s="699"/>
      <c r="J187" s="699"/>
      <c r="K187" s="699"/>
      <c r="L187" s="699"/>
      <c r="BO187" s="699"/>
      <c r="BP187" s="699"/>
      <c r="BQ187" s="699"/>
      <c r="BR187" s="699"/>
      <c r="BS187" s="699"/>
      <c r="BT187" s="699"/>
      <c r="BU187" s="699"/>
      <c r="BV187" s="699"/>
      <c r="BW187" s="699"/>
      <c r="BX187" s="699"/>
      <c r="BY187" s="699"/>
      <c r="BZ187" s="699"/>
      <c r="CA187" s="699"/>
      <c r="CB187" s="699"/>
      <c r="CC187" s="699"/>
      <c r="CD187" s="699"/>
      <c r="CE187" s="699"/>
      <c r="CF187" s="699"/>
      <c r="CG187" s="699"/>
      <c r="CH187" s="699"/>
      <c r="CI187" s="699"/>
      <c r="CJ187" s="699"/>
      <c r="CK187" s="699"/>
      <c r="CL187" s="699"/>
      <c r="CM187" s="699"/>
      <c r="CN187" s="699"/>
      <c r="CO187" s="699"/>
      <c r="CP187" s="699"/>
      <c r="CQ187" s="699"/>
      <c r="CR187" s="699"/>
      <c r="CS187" s="699"/>
      <c r="CT187" s="699"/>
      <c r="CU187" s="699"/>
    </row>
    <row r="188" spans="1:99" ht="12" hidden="1" customHeight="1" x14ac:dyDescent="0.2">
      <c r="A188" s="699"/>
      <c r="B188" s="699"/>
      <c r="C188" s="699"/>
      <c r="D188" s="699"/>
      <c r="E188" s="699"/>
      <c r="F188" s="699"/>
      <c r="G188" s="699"/>
      <c r="H188" s="699"/>
      <c r="I188" s="699"/>
      <c r="J188" s="699"/>
      <c r="K188" s="699"/>
      <c r="L188" s="699"/>
      <c r="BO188" s="699"/>
      <c r="BP188" s="699"/>
      <c r="BQ188" s="699"/>
      <c r="BR188" s="699"/>
      <c r="BS188" s="699"/>
      <c r="BT188" s="699"/>
      <c r="BU188" s="699"/>
      <c r="BV188" s="699"/>
      <c r="BW188" s="699"/>
      <c r="BX188" s="699"/>
      <c r="BY188" s="699"/>
      <c r="BZ188" s="699"/>
      <c r="CA188" s="699"/>
      <c r="CB188" s="699"/>
      <c r="CC188" s="699"/>
      <c r="CD188" s="699"/>
      <c r="CE188" s="699"/>
      <c r="CF188" s="699"/>
      <c r="CG188" s="699"/>
      <c r="CH188" s="699"/>
      <c r="CI188" s="699"/>
      <c r="CJ188" s="699"/>
      <c r="CK188" s="699"/>
      <c r="CL188" s="699"/>
      <c r="CM188" s="699"/>
      <c r="CN188" s="699"/>
      <c r="CO188" s="699"/>
      <c r="CP188" s="699"/>
      <c r="CQ188" s="699"/>
      <c r="CR188" s="699"/>
      <c r="CS188" s="699"/>
      <c r="CT188" s="699"/>
      <c r="CU188" s="699"/>
    </row>
    <row r="189" spans="1:99" ht="12" hidden="1" customHeight="1" x14ac:dyDescent="0.2">
      <c r="A189" s="699"/>
      <c r="B189" s="699"/>
      <c r="C189" s="699"/>
      <c r="D189" s="699"/>
      <c r="E189" s="699"/>
      <c r="F189" s="699"/>
      <c r="G189" s="699"/>
      <c r="H189" s="699"/>
      <c r="I189" s="699"/>
      <c r="J189" s="699"/>
      <c r="K189" s="699"/>
      <c r="L189" s="699"/>
      <c r="BO189" s="699"/>
      <c r="BP189" s="699"/>
      <c r="BQ189" s="699"/>
      <c r="BR189" s="699"/>
      <c r="BS189" s="699"/>
      <c r="BT189" s="699"/>
      <c r="BU189" s="699"/>
      <c r="BV189" s="699"/>
      <c r="BW189" s="699"/>
      <c r="BX189" s="699"/>
      <c r="BY189" s="699"/>
      <c r="BZ189" s="699"/>
      <c r="CA189" s="699"/>
      <c r="CB189" s="699"/>
      <c r="CC189" s="699"/>
      <c r="CD189" s="699"/>
      <c r="CE189" s="699"/>
      <c r="CF189" s="699"/>
      <c r="CG189" s="699"/>
      <c r="CH189" s="699"/>
      <c r="CI189" s="699"/>
      <c r="CJ189" s="699"/>
      <c r="CK189" s="699"/>
      <c r="CL189" s="699"/>
      <c r="CM189" s="699"/>
      <c r="CN189" s="699"/>
      <c r="CO189" s="699"/>
      <c r="CP189" s="699"/>
      <c r="CQ189" s="699"/>
      <c r="CR189" s="699"/>
      <c r="CS189" s="699"/>
      <c r="CT189" s="699"/>
      <c r="CU189" s="699"/>
    </row>
    <row r="190" spans="1:99" ht="12" hidden="1" customHeight="1" x14ac:dyDescent="0.2">
      <c r="A190" s="699"/>
      <c r="B190" s="699"/>
      <c r="C190" s="699"/>
      <c r="D190" s="699"/>
      <c r="E190" s="699"/>
      <c r="F190" s="699"/>
      <c r="G190" s="699"/>
      <c r="H190" s="699"/>
      <c r="I190" s="699"/>
      <c r="J190" s="699"/>
      <c r="K190" s="699"/>
      <c r="L190" s="699"/>
      <c r="BO190" s="699"/>
      <c r="BP190" s="699"/>
      <c r="BQ190" s="699"/>
      <c r="BR190" s="699"/>
      <c r="BS190" s="699"/>
      <c r="BT190" s="699"/>
      <c r="BU190" s="699"/>
      <c r="BV190" s="699"/>
      <c r="BW190" s="699"/>
      <c r="BX190" s="699"/>
      <c r="BY190" s="699"/>
      <c r="BZ190" s="699"/>
      <c r="CA190" s="699"/>
      <c r="CB190" s="699"/>
      <c r="CC190" s="699"/>
      <c r="CD190" s="699"/>
      <c r="CE190" s="699"/>
      <c r="CF190" s="699"/>
      <c r="CG190" s="699"/>
      <c r="CH190" s="699"/>
      <c r="CI190" s="699"/>
      <c r="CJ190" s="699"/>
      <c r="CK190" s="699"/>
      <c r="CL190" s="699"/>
      <c r="CM190" s="699"/>
      <c r="CN190" s="699"/>
      <c r="CO190" s="699"/>
      <c r="CP190" s="699"/>
      <c r="CQ190" s="699"/>
      <c r="CR190" s="699"/>
      <c r="CS190" s="699"/>
      <c r="CT190" s="699"/>
      <c r="CU190" s="699"/>
    </row>
    <row r="191" spans="1:99" ht="12" hidden="1" customHeight="1" x14ac:dyDescent="0.2">
      <c r="A191" s="699"/>
      <c r="B191" s="699"/>
      <c r="C191" s="699"/>
      <c r="D191" s="699"/>
      <c r="E191" s="699"/>
      <c r="F191" s="699"/>
      <c r="G191" s="699"/>
      <c r="H191" s="699"/>
      <c r="I191" s="699"/>
      <c r="J191" s="699"/>
      <c r="K191" s="699"/>
      <c r="L191" s="699"/>
      <c r="BO191" s="699"/>
      <c r="BP191" s="699"/>
      <c r="BQ191" s="699"/>
      <c r="BR191" s="699"/>
      <c r="BS191" s="699"/>
      <c r="BT191" s="699"/>
      <c r="BU191" s="699"/>
      <c r="BV191" s="699"/>
      <c r="BW191" s="699"/>
      <c r="BX191" s="699"/>
      <c r="BY191" s="699"/>
      <c r="BZ191" s="699"/>
      <c r="CA191" s="699"/>
      <c r="CB191" s="699"/>
      <c r="CC191" s="699"/>
      <c r="CD191" s="699"/>
      <c r="CE191" s="699"/>
      <c r="CF191" s="699"/>
      <c r="CG191" s="699"/>
      <c r="CH191" s="699"/>
      <c r="CI191" s="699"/>
      <c r="CJ191" s="699"/>
      <c r="CK191" s="699"/>
      <c r="CL191" s="699"/>
      <c r="CM191" s="699"/>
      <c r="CN191" s="699"/>
      <c r="CO191" s="699"/>
      <c r="CP191" s="699"/>
      <c r="CQ191" s="699"/>
      <c r="CR191" s="699"/>
      <c r="CS191" s="699"/>
      <c r="CT191" s="699"/>
      <c r="CU191" s="699"/>
    </row>
    <row r="192" spans="1:99" ht="12" hidden="1" customHeight="1" x14ac:dyDescent="0.2">
      <c r="A192" s="699"/>
      <c r="B192" s="699"/>
      <c r="C192" s="699"/>
      <c r="D192" s="699"/>
      <c r="E192" s="699"/>
      <c r="F192" s="699"/>
      <c r="G192" s="699"/>
      <c r="H192" s="699"/>
      <c r="I192" s="699"/>
      <c r="J192" s="699"/>
      <c r="K192" s="699"/>
      <c r="L192" s="699"/>
      <c r="BO192" s="699"/>
      <c r="BP192" s="699"/>
      <c r="BQ192" s="699"/>
      <c r="BR192" s="699"/>
      <c r="BS192" s="699"/>
      <c r="BT192" s="699"/>
      <c r="BU192" s="699"/>
      <c r="BV192" s="699"/>
      <c r="BW192" s="699"/>
      <c r="BX192" s="699"/>
      <c r="BY192" s="699"/>
      <c r="BZ192" s="699"/>
      <c r="CA192" s="699"/>
      <c r="CB192" s="699"/>
      <c r="CC192" s="699"/>
      <c r="CD192" s="699"/>
      <c r="CE192" s="699"/>
      <c r="CF192" s="699"/>
      <c r="CG192" s="699"/>
      <c r="CH192" s="699"/>
      <c r="CI192" s="699"/>
      <c r="CJ192" s="699"/>
      <c r="CK192" s="699"/>
      <c r="CL192" s="699"/>
      <c r="CM192" s="699"/>
      <c r="CN192" s="699"/>
      <c r="CO192" s="699"/>
      <c r="CP192" s="699"/>
      <c r="CQ192" s="699"/>
      <c r="CR192" s="699"/>
      <c r="CS192" s="699"/>
      <c r="CT192" s="699"/>
      <c r="CU192" s="699"/>
    </row>
    <row r="193" spans="1:99" ht="12" hidden="1" customHeight="1" x14ac:dyDescent="0.2">
      <c r="A193" s="699"/>
      <c r="B193" s="699"/>
      <c r="C193" s="699"/>
      <c r="D193" s="699"/>
      <c r="E193" s="699"/>
      <c r="F193" s="699"/>
      <c r="G193" s="699"/>
      <c r="H193" s="699"/>
      <c r="I193" s="699"/>
      <c r="J193" s="699"/>
      <c r="K193" s="699"/>
      <c r="L193" s="699"/>
      <c r="BO193" s="699"/>
      <c r="BP193" s="699"/>
      <c r="BQ193" s="699"/>
      <c r="BR193" s="699"/>
      <c r="BS193" s="699"/>
      <c r="BT193" s="699"/>
      <c r="BU193" s="699"/>
      <c r="BV193" s="699"/>
      <c r="BW193" s="699"/>
      <c r="BX193" s="699"/>
      <c r="BY193" s="699"/>
      <c r="BZ193" s="699"/>
      <c r="CA193" s="699"/>
      <c r="CB193" s="699"/>
      <c r="CC193" s="699"/>
      <c r="CD193" s="699"/>
      <c r="CE193" s="699"/>
      <c r="CF193" s="699"/>
      <c r="CG193" s="699"/>
      <c r="CH193" s="699"/>
      <c r="CI193" s="699"/>
      <c r="CJ193" s="699"/>
      <c r="CK193" s="699"/>
      <c r="CL193" s="699"/>
      <c r="CM193" s="699"/>
      <c r="CN193" s="699"/>
      <c r="CO193" s="699"/>
      <c r="CP193" s="699"/>
      <c r="CQ193" s="699"/>
      <c r="CR193" s="699"/>
      <c r="CS193" s="699"/>
      <c r="CT193" s="699"/>
      <c r="CU193" s="699"/>
    </row>
    <row r="194" spans="1:99" ht="12" hidden="1" customHeight="1" x14ac:dyDescent="0.2">
      <c r="A194" s="699"/>
      <c r="B194" s="699"/>
      <c r="C194" s="699"/>
      <c r="D194" s="699"/>
      <c r="E194" s="699"/>
      <c r="F194" s="699"/>
      <c r="G194" s="699"/>
      <c r="H194" s="699"/>
      <c r="I194" s="699"/>
      <c r="J194" s="699"/>
      <c r="K194" s="699"/>
      <c r="L194" s="699"/>
      <c r="BO194" s="699"/>
      <c r="BP194" s="699"/>
      <c r="BQ194" s="699"/>
      <c r="BR194" s="699"/>
      <c r="BS194" s="699"/>
      <c r="BT194" s="699"/>
      <c r="BU194" s="699"/>
      <c r="BV194" s="699"/>
      <c r="BW194" s="699"/>
      <c r="BX194" s="699"/>
      <c r="BY194" s="699"/>
      <c r="BZ194" s="699"/>
      <c r="CA194" s="699"/>
      <c r="CB194" s="699"/>
      <c r="CC194" s="699"/>
      <c r="CD194" s="699"/>
      <c r="CE194" s="699"/>
      <c r="CF194" s="699"/>
      <c r="CG194" s="699"/>
      <c r="CH194" s="699"/>
      <c r="CI194" s="699"/>
      <c r="CJ194" s="699"/>
      <c r="CK194" s="699"/>
      <c r="CL194" s="699"/>
      <c r="CM194" s="699"/>
      <c r="CN194" s="699"/>
      <c r="CO194" s="699"/>
      <c r="CP194" s="699"/>
      <c r="CQ194" s="699"/>
      <c r="CR194" s="699"/>
      <c r="CS194" s="699"/>
      <c r="CT194" s="699"/>
      <c r="CU194" s="699"/>
    </row>
    <row r="195" spans="1:99" ht="12" hidden="1" customHeight="1" x14ac:dyDescent="0.2">
      <c r="A195" s="699"/>
      <c r="B195" s="699"/>
      <c r="C195" s="699"/>
      <c r="D195" s="699"/>
      <c r="E195" s="699"/>
      <c r="F195" s="699"/>
      <c r="G195" s="699"/>
      <c r="H195" s="699"/>
      <c r="I195" s="699"/>
      <c r="J195" s="699"/>
      <c r="K195" s="699"/>
      <c r="L195" s="699"/>
      <c r="BO195" s="699"/>
      <c r="BP195" s="699"/>
      <c r="BQ195" s="699"/>
      <c r="BR195" s="699"/>
      <c r="BS195" s="699"/>
      <c r="BT195" s="699"/>
      <c r="BU195" s="699"/>
      <c r="BV195" s="699"/>
      <c r="BW195" s="699"/>
      <c r="BX195" s="699"/>
      <c r="BY195" s="699"/>
      <c r="BZ195" s="699"/>
      <c r="CA195" s="699"/>
      <c r="CB195" s="699"/>
      <c r="CC195" s="699"/>
      <c r="CD195" s="699"/>
      <c r="CE195" s="699"/>
      <c r="CF195" s="699"/>
      <c r="CG195" s="699"/>
      <c r="CH195" s="699"/>
      <c r="CI195" s="699"/>
      <c r="CJ195" s="699"/>
      <c r="CK195" s="699"/>
      <c r="CL195" s="699"/>
      <c r="CM195" s="699"/>
      <c r="CN195" s="699"/>
      <c r="CO195" s="699"/>
      <c r="CP195" s="699"/>
      <c r="CQ195" s="699"/>
      <c r="CR195" s="699"/>
      <c r="CS195" s="699"/>
      <c r="CT195" s="699"/>
      <c r="CU195" s="699"/>
    </row>
    <row r="196" spans="1:99" ht="12" hidden="1" customHeight="1" x14ac:dyDescent="0.2">
      <c r="A196" s="699"/>
      <c r="B196" s="699"/>
      <c r="C196" s="699"/>
      <c r="D196" s="699"/>
      <c r="E196" s="699"/>
      <c r="F196" s="699"/>
      <c r="G196" s="699"/>
      <c r="H196" s="699"/>
      <c r="I196" s="699"/>
      <c r="J196" s="699"/>
      <c r="K196" s="699"/>
      <c r="L196" s="699"/>
      <c r="BO196" s="699"/>
      <c r="BP196" s="699"/>
      <c r="BQ196" s="699"/>
      <c r="BR196" s="699"/>
      <c r="BS196" s="699"/>
      <c r="BT196" s="699"/>
      <c r="BU196" s="699"/>
      <c r="BV196" s="699"/>
      <c r="BW196" s="699"/>
      <c r="BX196" s="699"/>
      <c r="BY196" s="699"/>
      <c r="BZ196" s="699"/>
      <c r="CA196" s="699"/>
      <c r="CB196" s="699"/>
      <c r="CC196" s="699"/>
      <c r="CD196" s="699"/>
      <c r="CE196" s="699"/>
      <c r="CF196" s="699"/>
      <c r="CG196" s="699"/>
      <c r="CH196" s="699"/>
      <c r="CI196" s="699"/>
      <c r="CJ196" s="699"/>
      <c r="CK196" s="699"/>
      <c r="CL196" s="699"/>
      <c r="CM196" s="699"/>
      <c r="CN196" s="699"/>
      <c r="CO196" s="699"/>
      <c r="CP196" s="699"/>
      <c r="CQ196" s="699"/>
      <c r="CR196" s="699"/>
      <c r="CS196" s="699"/>
      <c r="CT196" s="699"/>
      <c r="CU196" s="699"/>
    </row>
    <row r="197" spans="1:99" ht="12" hidden="1" customHeight="1" x14ac:dyDescent="0.2">
      <c r="A197" s="699"/>
      <c r="B197" s="699"/>
      <c r="C197" s="699"/>
      <c r="D197" s="699"/>
      <c r="E197" s="699"/>
      <c r="F197" s="699"/>
      <c r="G197" s="699"/>
      <c r="H197" s="699"/>
      <c r="I197" s="699"/>
      <c r="J197" s="699"/>
      <c r="K197" s="699"/>
      <c r="L197" s="699"/>
      <c r="BO197" s="699"/>
      <c r="BP197" s="699"/>
      <c r="BQ197" s="699"/>
      <c r="BR197" s="699"/>
      <c r="BS197" s="699"/>
      <c r="BT197" s="699"/>
      <c r="BU197" s="699"/>
      <c r="BV197" s="699"/>
      <c r="BW197" s="699"/>
      <c r="BX197" s="699"/>
      <c r="BY197" s="699"/>
      <c r="BZ197" s="699"/>
      <c r="CA197" s="699"/>
      <c r="CB197" s="699"/>
      <c r="CC197" s="699"/>
      <c r="CD197" s="699"/>
      <c r="CE197" s="699"/>
      <c r="CF197" s="699"/>
      <c r="CG197" s="699"/>
      <c r="CH197" s="699"/>
      <c r="CI197" s="699"/>
      <c r="CJ197" s="699"/>
      <c r="CK197" s="699"/>
      <c r="CL197" s="699"/>
      <c r="CM197" s="699"/>
      <c r="CN197" s="699"/>
      <c r="CO197" s="699"/>
      <c r="CP197" s="699"/>
      <c r="CQ197" s="699"/>
      <c r="CR197" s="699"/>
      <c r="CS197" s="699"/>
      <c r="CT197" s="699"/>
      <c r="CU197" s="699"/>
    </row>
    <row r="198" spans="1:99" ht="12" hidden="1" customHeight="1" x14ac:dyDescent="0.2">
      <c r="A198" s="699"/>
      <c r="B198" s="699"/>
      <c r="C198" s="699"/>
      <c r="D198" s="699"/>
      <c r="E198" s="699"/>
      <c r="F198" s="699"/>
      <c r="G198" s="699"/>
      <c r="H198" s="699"/>
      <c r="I198" s="699"/>
      <c r="J198" s="699"/>
      <c r="K198" s="699"/>
      <c r="L198" s="699"/>
      <c r="BO198" s="699"/>
      <c r="BP198" s="699"/>
      <c r="BQ198" s="699"/>
      <c r="BR198" s="699"/>
      <c r="BS198" s="699"/>
      <c r="BT198" s="699"/>
      <c r="BU198" s="699"/>
      <c r="BV198" s="699"/>
      <c r="BW198" s="699"/>
      <c r="BX198" s="699"/>
      <c r="BY198" s="699"/>
      <c r="BZ198" s="699"/>
      <c r="CA198" s="699"/>
      <c r="CB198" s="699"/>
      <c r="CC198" s="699"/>
      <c r="CD198" s="699"/>
      <c r="CE198" s="699"/>
      <c r="CF198" s="699"/>
      <c r="CG198" s="699"/>
      <c r="CH198" s="699"/>
      <c r="CI198" s="699"/>
      <c r="CJ198" s="699"/>
      <c r="CK198" s="699"/>
      <c r="CL198" s="699"/>
      <c r="CM198" s="699"/>
      <c r="CN198" s="699"/>
      <c r="CO198" s="699"/>
      <c r="CP198" s="699"/>
      <c r="CQ198" s="699"/>
      <c r="CR198" s="699"/>
      <c r="CS198" s="699"/>
      <c r="CT198" s="699"/>
      <c r="CU198" s="699"/>
    </row>
    <row r="199" spans="1:99" ht="12" hidden="1" customHeight="1" x14ac:dyDescent="0.2">
      <c r="A199" s="699"/>
      <c r="B199" s="699"/>
      <c r="C199" s="699"/>
      <c r="D199" s="699"/>
      <c r="E199" s="699"/>
      <c r="F199" s="699"/>
      <c r="G199" s="699"/>
      <c r="H199" s="699"/>
      <c r="I199" s="699"/>
      <c r="J199" s="699"/>
      <c r="K199" s="699"/>
      <c r="L199" s="699"/>
      <c r="BO199" s="699"/>
      <c r="BP199" s="699"/>
      <c r="BQ199" s="699"/>
      <c r="BR199" s="699"/>
      <c r="BS199" s="699"/>
      <c r="BT199" s="699"/>
      <c r="BU199" s="699"/>
      <c r="BV199" s="699"/>
      <c r="BW199" s="699"/>
      <c r="BX199" s="699"/>
      <c r="BY199" s="699"/>
      <c r="BZ199" s="699"/>
      <c r="CA199" s="699"/>
      <c r="CB199" s="699"/>
      <c r="CC199" s="699"/>
      <c r="CD199" s="699"/>
      <c r="CE199" s="699"/>
      <c r="CF199" s="699"/>
      <c r="CG199" s="699"/>
      <c r="CH199" s="699"/>
      <c r="CI199" s="699"/>
      <c r="CJ199" s="699"/>
      <c r="CK199" s="699"/>
      <c r="CL199" s="699"/>
      <c r="CM199" s="699"/>
      <c r="CN199" s="699"/>
      <c r="CO199" s="699"/>
      <c r="CP199" s="699"/>
      <c r="CQ199" s="699"/>
      <c r="CR199" s="699"/>
      <c r="CS199" s="699"/>
      <c r="CT199" s="699"/>
      <c r="CU199" s="699"/>
    </row>
    <row r="200" spans="1:99" ht="12" hidden="1" customHeight="1" x14ac:dyDescent="0.2">
      <c r="A200" s="699"/>
      <c r="B200" s="699"/>
      <c r="C200" s="699"/>
      <c r="D200" s="699"/>
      <c r="E200" s="699"/>
      <c r="F200" s="699"/>
      <c r="G200" s="699"/>
      <c r="H200" s="699"/>
      <c r="I200" s="699"/>
      <c r="J200" s="699"/>
      <c r="K200" s="699"/>
      <c r="L200" s="699"/>
      <c r="BO200" s="699"/>
      <c r="BP200" s="699"/>
      <c r="BQ200" s="699"/>
      <c r="BR200" s="699"/>
      <c r="BS200" s="699"/>
      <c r="BT200" s="699"/>
      <c r="BU200" s="699"/>
      <c r="BV200" s="699"/>
      <c r="BW200" s="699"/>
      <c r="BX200" s="699"/>
      <c r="BY200" s="699"/>
      <c r="BZ200" s="699"/>
      <c r="CA200" s="699"/>
      <c r="CB200" s="699"/>
      <c r="CC200" s="699"/>
      <c r="CD200" s="699"/>
      <c r="CE200" s="699"/>
      <c r="CF200" s="699"/>
      <c r="CG200" s="699"/>
      <c r="CH200" s="699"/>
      <c r="CI200" s="699"/>
      <c r="CJ200" s="699"/>
      <c r="CK200" s="699"/>
      <c r="CL200" s="699"/>
      <c r="CM200" s="699"/>
      <c r="CN200" s="699"/>
      <c r="CO200" s="699"/>
      <c r="CP200" s="699"/>
      <c r="CQ200" s="699"/>
      <c r="CR200" s="699"/>
      <c r="CS200" s="699"/>
      <c r="CT200" s="699"/>
      <c r="CU200" s="699"/>
    </row>
    <row r="201" spans="1:99" ht="12" hidden="1" customHeight="1" x14ac:dyDescent="0.2">
      <c r="A201" s="699"/>
      <c r="B201" s="699"/>
      <c r="C201" s="699"/>
      <c r="D201" s="699"/>
      <c r="E201" s="699"/>
      <c r="F201" s="699"/>
      <c r="G201" s="699"/>
      <c r="H201" s="699"/>
      <c r="I201" s="699"/>
      <c r="J201" s="699"/>
      <c r="K201" s="699"/>
      <c r="L201" s="699"/>
      <c r="BO201" s="699"/>
      <c r="BP201" s="699"/>
      <c r="BQ201" s="699"/>
      <c r="BR201" s="699"/>
      <c r="BS201" s="699"/>
      <c r="BT201" s="699"/>
      <c r="BU201" s="699"/>
      <c r="BV201" s="699"/>
      <c r="BW201" s="699"/>
      <c r="BX201" s="699"/>
      <c r="BY201" s="699"/>
      <c r="BZ201" s="699"/>
      <c r="CA201" s="699"/>
      <c r="CB201" s="699"/>
      <c r="CC201" s="699"/>
      <c r="CD201" s="699"/>
      <c r="CE201" s="699"/>
      <c r="CF201" s="699"/>
      <c r="CG201" s="699"/>
      <c r="CH201" s="699"/>
      <c r="CI201" s="699"/>
      <c r="CJ201" s="699"/>
      <c r="CK201" s="699"/>
      <c r="CL201" s="699"/>
      <c r="CM201" s="699"/>
      <c r="CN201" s="699"/>
      <c r="CO201" s="699"/>
      <c r="CP201" s="699"/>
      <c r="CQ201" s="699"/>
      <c r="CR201" s="699"/>
      <c r="CS201" s="699"/>
      <c r="CT201" s="699"/>
      <c r="CU201" s="699"/>
    </row>
    <row r="202" spans="1:99" ht="12" hidden="1" customHeight="1" x14ac:dyDescent="0.2">
      <c r="A202" s="699"/>
      <c r="B202" s="699"/>
      <c r="C202" s="699"/>
      <c r="D202" s="699"/>
      <c r="E202" s="699"/>
      <c r="F202" s="699"/>
      <c r="G202" s="699"/>
      <c r="H202" s="699"/>
      <c r="I202" s="699"/>
      <c r="J202" s="699"/>
      <c r="K202" s="699"/>
      <c r="L202" s="699"/>
      <c r="BO202" s="699"/>
      <c r="BP202" s="699"/>
      <c r="BQ202" s="699"/>
      <c r="BR202" s="699"/>
      <c r="BS202" s="699"/>
      <c r="BT202" s="699"/>
      <c r="BU202" s="699"/>
      <c r="BV202" s="699"/>
      <c r="BW202" s="699"/>
      <c r="BX202" s="699"/>
      <c r="BY202" s="699"/>
      <c r="BZ202" s="699"/>
      <c r="CA202" s="699"/>
      <c r="CB202" s="699"/>
      <c r="CC202" s="699"/>
      <c r="CD202" s="699"/>
      <c r="CE202" s="699"/>
      <c r="CF202" s="699"/>
      <c r="CG202" s="699"/>
      <c r="CH202" s="699"/>
      <c r="CI202" s="699"/>
      <c r="CJ202" s="699"/>
      <c r="CK202" s="699"/>
      <c r="CL202" s="699"/>
      <c r="CM202" s="699"/>
      <c r="CN202" s="699"/>
      <c r="CO202" s="699"/>
      <c r="CP202" s="699"/>
      <c r="CQ202" s="699"/>
      <c r="CR202" s="699"/>
      <c r="CS202" s="699"/>
      <c r="CT202" s="699"/>
      <c r="CU202" s="699"/>
    </row>
    <row r="203" spans="1:99" ht="12" hidden="1" customHeight="1" x14ac:dyDescent="0.2">
      <c r="A203" s="699"/>
      <c r="B203" s="699"/>
      <c r="C203" s="699"/>
      <c r="D203" s="699"/>
      <c r="E203" s="699"/>
      <c r="F203" s="699"/>
      <c r="G203" s="699"/>
      <c r="H203" s="699"/>
      <c r="I203" s="699"/>
      <c r="J203" s="699"/>
      <c r="K203" s="699"/>
      <c r="L203" s="699"/>
      <c r="BO203" s="699"/>
      <c r="BP203" s="699"/>
      <c r="BQ203" s="699"/>
      <c r="BR203" s="699"/>
      <c r="BS203" s="699"/>
      <c r="BT203" s="699"/>
      <c r="BU203" s="699"/>
      <c r="BV203" s="699"/>
      <c r="BW203" s="699"/>
      <c r="BX203" s="699"/>
      <c r="BY203" s="699"/>
      <c r="BZ203" s="699"/>
      <c r="CA203" s="699"/>
      <c r="CB203" s="699"/>
      <c r="CC203" s="699"/>
      <c r="CD203" s="699"/>
      <c r="CE203" s="699"/>
      <c r="CF203" s="699"/>
      <c r="CG203" s="699"/>
      <c r="CH203" s="699"/>
      <c r="CI203" s="699"/>
      <c r="CJ203" s="699"/>
      <c r="CK203" s="699"/>
      <c r="CL203" s="699"/>
      <c r="CM203" s="699"/>
      <c r="CN203" s="699"/>
      <c r="CO203" s="699"/>
      <c r="CP203" s="699"/>
      <c r="CQ203" s="699"/>
      <c r="CR203" s="699"/>
      <c r="CS203" s="699"/>
      <c r="CT203" s="699"/>
      <c r="CU203" s="699"/>
    </row>
    <row r="204" spans="1:99" ht="12" hidden="1" customHeight="1" x14ac:dyDescent="0.2">
      <c r="A204" s="699"/>
      <c r="B204" s="699"/>
      <c r="C204" s="699"/>
      <c r="D204" s="699"/>
      <c r="E204" s="699"/>
      <c r="F204" s="699"/>
      <c r="G204" s="699"/>
      <c r="H204" s="699"/>
      <c r="I204" s="699"/>
      <c r="J204" s="699"/>
      <c r="K204" s="699"/>
      <c r="L204" s="699"/>
      <c r="BO204" s="699"/>
      <c r="BP204" s="699"/>
      <c r="BQ204" s="699"/>
      <c r="BR204" s="699"/>
      <c r="BS204" s="699"/>
      <c r="BT204" s="699"/>
      <c r="BU204" s="699"/>
      <c r="BV204" s="699"/>
      <c r="BW204" s="699"/>
      <c r="BX204" s="699"/>
      <c r="BY204" s="699"/>
      <c r="BZ204" s="699"/>
      <c r="CA204" s="699"/>
      <c r="CB204" s="699"/>
      <c r="CC204" s="699"/>
      <c r="CD204" s="699"/>
      <c r="CE204" s="699"/>
      <c r="CF204" s="699"/>
      <c r="CG204" s="699"/>
      <c r="CH204" s="699"/>
      <c r="CI204" s="699"/>
      <c r="CJ204" s="699"/>
      <c r="CK204" s="699"/>
      <c r="CL204" s="699"/>
      <c r="CM204" s="699"/>
      <c r="CN204" s="699"/>
      <c r="CO204" s="699"/>
      <c r="CP204" s="699"/>
      <c r="CQ204" s="699"/>
      <c r="CR204" s="699"/>
      <c r="CS204" s="699"/>
      <c r="CT204" s="699"/>
      <c r="CU204" s="699"/>
    </row>
    <row r="205" spans="1:99" ht="12" hidden="1" customHeight="1" x14ac:dyDescent="0.2">
      <c r="A205" s="699"/>
      <c r="B205" s="699"/>
      <c r="C205" s="699"/>
      <c r="D205" s="699"/>
      <c r="E205" s="699"/>
      <c r="F205" s="699"/>
      <c r="G205" s="699"/>
      <c r="H205" s="699"/>
      <c r="I205" s="699"/>
      <c r="J205" s="699"/>
      <c r="K205" s="699"/>
      <c r="L205" s="699"/>
      <c r="BO205" s="699"/>
      <c r="BP205" s="699"/>
      <c r="BQ205" s="699"/>
      <c r="BR205" s="699"/>
      <c r="BS205" s="699"/>
      <c r="BT205" s="699"/>
      <c r="BU205" s="699"/>
      <c r="BV205" s="699"/>
      <c r="BW205" s="699"/>
      <c r="BX205" s="699"/>
      <c r="BY205" s="699"/>
      <c r="BZ205" s="699"/>
      <c r="CA205" s="699"/>
      <c r="CB205" s="699"/>
      <c r="CC205" s="699"/>
      <c r="CD205" s="699"/>
      <c r="CE205" s="699"/>
      <c r="CF205" s="699"/>
      <c r="CG205" s="699"/>
      <c r="CH205" s="699"/>
      <c r="CI205" s="699"/>
      <c r="CJ205" s="699"/>
      <c r="CK205" s="699"/>
      <c r="CL205" s="699"/>
      <c r="CM205" s="699"/>
      <c r="CN205" s="699"/>
      <c r="CO205" s="699"/>
      <c r="CP205" s="699"/>
      <c r="CQ205" s="699"/>
      <c r="CR205" s="699"/>
      <c r="CS205" s="699"/>
      <c r="CT205" s="699"/>
      <c r="CU205" s="699"/>
    </row>
    <row r="206" spans="1:99" ht="12" hidden="1" customHeight="1" x14ac:dyDescent="0.2">
      <c r="A206" s="699"/>
      <c r="B206" s="699"/>
      <c r="C206" s="699"/>
      <c r="D206" s="699"/>
      <c r="E206" s="699"/>
      <c r="F206" s="699"/>
      <c r="G206" s="699"/>
      <c r="H206" s="699"/>
      <c r="I206" s="699"/>
      <c r="J206" s="699"/>
      <c r="K206" s="699"/>
      <c r="L206" s="699"/>
      <c r="BO206" s="699"/>
      <c r="BP206" s="699"/>
      <c r="BQ206" s="699"/>
      <c r="BR206" s="699"/>
      <c r="BS206" s="699"/>
      <c r="BT206" s="699"/>
      <c r="BU206" s="699"/>
      <c r="BV206" s="699"/>
      <c r="BW206" s="699"/>
      <c r="BX206" s="699"/>
      <c r="BY206" s="699"/>
      <c r="BZ206" s="699"/>
      <c r="CA206" s="699"/>
      <c r="CB206" s="699"/>
      <c r="CC206" s="699"/>
      <c r="CD206" s="699"/>
      <c r="CE206" s="699"/>
      <c r="CF206" s="699"/>
      <c r="CG206" s="699"/>
      <c r="CH206" s="699"/>
      <c r="CI206" s="699"/>
      <c r="CJ206" s="699"/>
      <c r="CK206" s="699"/>
      <c r="CL206" s="699"/>
      <c r="CM206" s="699"/>
      <c r="CN206" s="699"/>
      <c r="CO206" s="699"/>
      <c r="CP206" s="699"/>
      <c r="CQ206" s="699"/>
      <c r="CR206" s="699"/>
      <c r="CS206" s="699"/>
      <c r="CT206" s="699"/>
      <c r="CU206" s="699"/>
    </row>
    <row r="207" spans="1:99" ht="12" hidden="1" customHeight="1" x14ac:dyDescent="0.2">
      <c r="A207" s="699"/>
      <c r="B207" s="699"/>
      <c r="C207" s="699"/>
      <c r="D207" s="699"/>
      <c r="E207" s="699"/>
      <c r="F207" s="699"/>
      <c r="G207" s="699"/>
      <c r="H207" s="699"/>
      <c r="I207" s="699"/>
      <c r="J207" s="699"/>
      <c r="K207" s="699"/>
      <c r="L207" s="699"/>
      <c r="BO207" s="699"/>
      <c r="BP207" s="699"/>
      <c r="BQ207" s="699"/>
      <c r="BR207" s="699"/>
      <c r="BS207" s="699"/>
      <c r="BT207" s="699"/>
      <c r="BU207" s="699"/>
      <c r="BV207" s="699"/>
      <c r="BW207" s="699"/>
      <c r="BX207" s="699"/>
      <c r="BY207" s="699"/>
      <c r="BZ207" s="699"/>
      <c r="CA207" s="699"/>
      <c r="CB207" s="699"/>
      <c r="CC207" s="699"/>
      <c r="CD207" s="699"/>
      <c r="CE207" s="699"/>
      <c r="CF207" s="699"/>
      <c r="CG207" s="699"/>
      <c r="CH207" s="699"/>
      <c r="CI207" s="699"/>
      <c r="CJ207" s="699"/>
      <c r="CK207" s="699"/>
      <c r="CL207" s="699"/>
      <c r="CM207" s="699"/>
      <c r="CN207" s="699"/>
      <c r="CO207" s="699"/>
      <c r="CP207" s="699"/>
      <c r="CQ207" s="699"/>
      <c r="CR207" s="699"/>
      <c r="CS207" s="699"/>
      <c r="CT207" s="699"/>
      <c r="CU207" s="699"/>
    </row>
    <row r="208" spans="1:99" ht="12" hidden="1" customHeight="1" x14ac:dyDescent="0.2">
      <c r="A208" s="699"/>
      <c r="B208" s="699"/>
      <c r="C208" s="699"/>
      <c r="D208" s="699"/>
      <c r="E208" s="699"/>
      <c r="F208" s="699"/>
      <c r="G208" s="699"/>
      <c r="H208" s="699"/>
      <c r="I208" s="699"/>
      <c r="J208" s="699"/>
      <c r="K208" s="699"/>
      <c r="L208" s="699"/>
      <c r="BO208" s="699"/>
      <c r="BP208" s="699"/>
      <c r="BQ208" s="699"/>
      <c r="BR208" s="699"/>
      <c r="BS208" s="699"/>
      <c r="BT208" s="699"/>
      <c r="BU208" s="699"/>
      <c r="BV208" s="699"/>
      <c r="BW208" s="699"/>
      <c r="BX208" s="699"/>
      <c r="BY208" s="699"/>
      <c r="BZ208" s="699"/>
      <c r="CA208" s="699"/>
      <c r="CB208" s="699"/>
      <c r="CC208" s="699"/>
      <c r="CD208" s="699"/>
      <c r="CE208" s="699"/>
      <c r="CF208" s="699"/>
      <c r="CG208" s="699"/>
      <c r="CH208" s="699"/>
      <c r="CI208" s="699"/>
      <c r="CJ208" s="699"/>
      <c r="CK208" s="699"/>
      <c r="CL208" s="699"/>
      <c r="CM208" s="699"/>
      <c r="CN208" s="699"/>
      <c r="CO208" s="699"/>
      <c r="CP208" s="699"/>
      <c r="CQ208" s="699"/>
      <c r="CR208" s="699"/>
      <c r="CS208" s="699"/>
      <c r="CT208" s="699"/>
      <c r="CU208" s="699"/>
    </row>
    <row r="209" spans="1:99" ht="12" hidden="1" customHeight="1" x14ac:dyDescent="0.2">
      <c r="A209" s="699"/>
      <c r="B209" s="699"/>
      <c r="C209" s="699"/>
      <c r="D209" s="699"/>
      <c r="E209" s="699"/>
      <c r="F209" s="699"/>
      <c r="G209" s="699"/>
      <c r="H209" s="699"/>
      <c r="I209" s="699"/>
      <c r="J209" s="699"/>
      <c r="K209" s="699"/>
      <c r="L209" s="699"/>
      <c r="BO209" s="699"/>
      <c r="BP209" s="699"/>
      <c r="BQ209" s="699"/>
      <c r="BR209" s="699"/>
      <c r="BS209" s="699"/>
      <c r="BT209" s="699"/>
      <c r="BU209" s="699"/>
      <c r="BV209" s="699"/>
      <c r="BW209" s="699"/>
      <c r="BX209" s="699"/>
      <c r="BY209" s="699"/>
      <c r="BZ209" s="699"/>
      <c r="CA209" s="699"/>
      <c r="CB209" s="699"/>
      <c r="CC209" s="699"/>
      <c r="CD209" s="699"/>
      <c r="CE209" s="699"/>
      <c r="CF209" s="699"/>
      <c r="CG209" s="699"/>
      <c r="CH209" s="699"/>
      <c r="CI209" s="699"/>
      <c r="CJ209" s="699"/>
      <c r="CK209" s="699"/>
      <c r="CL209" s="699"/>
      <c r="CM209" s="699"/>
      <c r="CN209" s="699"/>
      <c r="CO209" s="699"/>
      <c r="CP209" s="699"/>
      <c r="CQ209" s="699"/>
      <c r="CR209" s="699"/>
      <c r="CS209" s="699"/>
      <c r="CT209" s="699"/>
      <c r="CU209" s="699"/>
    </row>
    <row r="210" spans="1:99" ht="12" hidden="1" customHeight="1" x14ac:dyDescent="0.2">
      <c r="A210" s="699"/>
      <c r="B210" s="699"/>
      <c r="C210" s="699"/>
      <c r="D210" s="699"/>
      <c r="E210" s="699"/>
      <c r="F210" s="699"/>
      <c r="G210" s="699"/>
      <c r="H210" s="699"/>
      <c r="I210" s="699"/>
      <c r="J210" s="699"/>
      <c r="K210" s="699"/>
      <c r="L210" s="699"/>
      <c r="BO210" s="699"/>
      <c r="BP210" s="699"/>
      <c r="BQ210" s="699"/>
      <c r="BR210" s="699"/>
      <c r="BS210" s="699"/>
      <c r="BT210" s="699"/>
      <c r="BU210" s="699"/>
      <c r="BV210" s="699"/>
      <c r="BW210" s="699"/>
      <c r="BX210" s="699"/>
      <c r="BY210" s="699"/>
      <c r="BZ210" s="699"/>
      <c r="CA210" s="699"/>
      <c r="CB210" s="699"/>
      <c r="CC210" s="699"/>
      <c r="CD210" s="699"/>
      <c r="CE210" s="699"/>
      <c r="CF210" s="699"/>
      <c r="CG210" s="699"/>
      <c r="CH210" s="699"/>
      <c r="CI210" s="699"/>
      <c r="CJ210" s="699"/>
      <c r="CK210" s="699"/>
      <c r="CL210" s="699"/>
      <c r="CM210" s="699"/>
      <c r="CN210" s="699"/>
      <c r="CO210" s="699"/>
      <c r="CP210" s="699"/>
      <c r="CQ210" s="699"/>
      <c r="CR210" s="699"/>
      <c r="CS210" s="699"/>
      <c r="CT210" s="699"/>
      <c r="CU210" s="699"/>
    </row>
    <row r="211" spans="1:99" ht="12" hidden="1" customHeight="1" x14ac:dyDescent="0.2">
      <c r="A211" s="699"/>
      <c r="B211" s="699"/>
      <c r="C211" s="699"/>
      <c r="D211" s="699"/>
      <c r="E211" s="699"/>
      <c r="F211" s="699"/>
      <c r="G211" s="699"/>
      <c r="H211" s="699"/>
      <c r="I211" s="699"/>
      <c r="J211" s="699"/>
      <c r="K211" s="699"/>
      <c r="L211" s="699"/>
      <c r="M211" s="699"/>
      <c r="N211" s="699"/>
      <c r="O211" s="699"/>
      <c r="P211" s="699"/>
      <c r="Q211" s="699"/>
      <c r="R211" s="699"/>
      <c r="S211" s="699"/>
      <c r="T211" s="699"/>
      <c r="U211" s="699"/>
      <c r="V211" s="699"/>
      <c r="W211" s="699"/>
      <c r="X211" s="699"/>
      <c r="Y211" s="699"/>
      <c r="Z211" s="699"/>
      <c r="AA211" s="699"/>
      <c r="AB211" s="699"/>
      <c r="AC211" s="699"/>
      <c r="AD211" s="699"/>
      <c r="AE211" s="699"/>
      <c r="AF211" s="699"/>
      <c r="AG211" s="699"/>
      <c r="AH211" s="699"/>
      <c r="AI211" s="699"/>
      <c r="AJ211" s="699"/>
      <c r="AK211" s="699"/>
      <c r="AL211" s="699"/>
      <c r="AM211" s="699"/>
      <c r="AN211" s="699"/>
      <c r="AO211" s="699"/>
      <c r="AP211" s="699"/>
      <c r="AQ211" s="699"/>
      <c r="AR211" s="699"/>
      <c r="AS211" s="699"/>
      <c r="AT211" s="699"/>
      <c r="AU211" s="699"/>
      <c r="AV211" s="699"/>
      <c r="AW211" s="699"/>
      <c r="AX211" s="699"/>
      <c r="AY211" s="699"/>
      <c r="AZ211" s="699"/>
      <c r="BA211" s="699"/>
      <c r="BB211" s="699"/>
      <c r="BC211" s="699"/>
      <c r="BO211" s="699"/>
      <c r="BP211" s="699"/>
      <c r="BQ211" s="699"/>
      <c r="BR211" s="699"/>
      <c r="BS211" s="699"/>
      <c r="BT211" s="699"/>
      <c r="BU211" s="699"/>
      <c r="BV211" s="699"/>
      <c r="BW211" s="699"/>
      <c r="BX211" s="699"/>
      <c r="BY211" s="699"/>
      <c r="BZ211" s="699"/>
      <c r="CA211" s="699"/>
      <c r="CB211" s="699"/>
      <c r="CC211" s="699"/>
      <c r="CD211" s="699"/>
      <c r="CE211" s="699"/>
      <c r="CF211" s="699"/>
      <c r="CG211" s="699"/>
      <c r="CH211" s="699"/>
      <c r="CI211" s="699"/>
      <c r="CJ211" s="699"/>
      <c r="CK211" s="699"/>
      <c r="CL211" s="699"/>
      <c r="CM211" s="699"/>
      <c r="CN211" s="699"/>
      <c r="CO211" s="699"/>
      <c r="CP211" s="699"/>
      <c r="CQ211" s="699"/>
      <c r="CR211" s="699"/>
      <c r="CS211" s="699"/>
      <c r="CT211" s="699"/>
      <c r="CU211" s="699"/>
    </row>
    <row r="212" spans="1:99" ht="12" hidden="1" customHeight="1" x14ac:dyDescent="0.2">
      <c r="A212" s="699"/>
      <c r="B212" s="699"/>
      <c r="C212" s="699"/>
      <c r="D212" s="699"/>
      <c r="E212" s="699"/>
      <c r="F212" s="699"/>
      <c r="G212" s="699"/>
      <c r="H212" s="699"/>
      <c r="I212" s="699"/>
      <c r="J212" s="699"/>
      <c r="K212" s="699"/>
      <c r="L212" s="699"/>
      <c r="M212" s="699"/>
      <c r="N212" s="699"/>
      <c r="O212" s="699"/>
      <c r="P212" s="699"/>
      <c r="Q212" s="699"/>
      <c r="R212" s="699"/>
      <c r="S212" s="699"/>
      <c r="T212" s="699"/>
      <c r="U212" s="699"/>
      <c r="V212" s="699"/>
      <c r="W212" s="699"/>
      <c r="X212" s="699"/>
      <c r="Y212" s="699"/>
      <c r="Z212" s="699"/>
      <c r="AA212" s="699"/>
      <c r="AB212" s="699"/>
      <c r="AC212" s="699"/>
      <c r="AD212" s="699"/>
      <c r="AE212" s="699"/>
      <c r="AF212" s="699"/>
      <c r="AG212" s="699"/>
      <c r="AH212" s="699"/>
      <c r="AI212" s="699"/>
      <c r="AJ212" s="699"/>
      <c r="AK212" s="699"/>
      <c r="AL212" s="699"/>
      <c r="AM212" s="699"/>
      <c r="AN212" s="699"/>
      <c r="AO212" s="699"/>
      <c r="AP212" s="699"/>
      <c r="AQ212" s="699"/>
      <c r="AR212" s="699"/>
      <c r="AS212" s="699"/>
      <c r="AT212" s="699"/>
      <c r="AU212" s="699"/>
      <c r="AV212" s="699"/>
      <c r="AW212" s="699"/>
      <c r="AX212" s="699"/>
      <c r="AY212" s="699"/>
      <c r="AZ212" s="699"/>
      <c r="BA212" s="699"/>
      <c r="BB212" s="699"/>
      <c r="BC212" s="699"/>
      <c r="BO212" s="699"/>
      <c r="BP212" s="699"/>
      <c r="BQ212" s="699"/>
      <c r="BR212" s="699"/>
      <c r="BS212" s="699"/>
      <c r="BT212" s="699"/>
      <c r="BU212" s="699"/>
      <c r="BV212" s="699"/>
      <c r="BW212" s="699"/>
      <c r="BX212" s="699"/>
      <c r="BY212" s="699"/>
      <c r="BZ212" s="699"/>
      <c r="CA212" s="699"/>
      <c r="CB212" s="699"/>
      <c r="CC212" s="699"/>
      <c r="CD212" s="699"/>
      <c r="CE212" s="699"/>
      <c r="CF212" s="699"/>
      <c r="CG212" s="699"/>
      <c r="CH212" s="699"/>
      <c r="CI212" s="699"/>
      <c r="CJ212" s="699"/>
      <c r="CK212" s="699"/>
      <c r="CL212" s="699"/>
      <c r="CM212" s="699"/>
      <c r="CN212" s="699"/>
      <c r="CO212" s="699"/>
      <c r="CP212" s="699"/>
      <c r="CQ212" s="699"/>
      <c r="CR212" s="699"/>
      <c r="CS212" s="699"/>
      <c r="CT212" s="699"/>
      <c r="CU212" s="699"/>
    </row>
    <row r="213" spans="1:99" ht="12" hidden="1" customHeight="1" x14ac:dyDescent="0.2">
      <c r="A213" s="699"/>
      <c r="B213" s="699"/>
      <c r="C213" s="699"/>
      <c r="D213" s="699"/>
      <c r="E213" s="699"/>
      <c r="F213" s="699"/>
      <c r="G213" s="699"/>
      <c r="H213" s="699"/>
      <c r="I213" s="699"/>
      <c r="J213" s="699"/>
      <c r="K213" s="699"/>
      <c r="L213" s="699"/>
      <c r="M213" s="699"/>
      <c r="N213" s="699"/>
      <c r="O213" s="699"/>
      <c r="P213" s="699"/>
      <c r="Q213" s="699"/>
      <c r="R213" s="699"/>
      <c r="S213" s="699"/>
      <c r="T213" s="699"/>
      <c r="U213" s="699"/>
      <c r="V213" s="699"/>
      <c r="W213" s="699"/>
      <c r="X213" s="699"/>
      <c r="Y213" s="699"/>
      <c r="Z213" s="699"/>
      <c r="AA213" s="699"/>
      <c r="AB213" s="699"/>
      <c r="AC213" s="699"/>
      <c r="AD213" s="699"/>
      <c r="AE213" s="699"/>
      <c r="AF213" s="699"/>
      <c r="AG213" s="699"/>
      <c r="AH213" s="699"/>
      <c r="AI213" s="699"/>
      <c r="AJ213" s="699"/>
      <c r="AK213" s="699"/>
      <c r="AL213" s="699"/>
      <c r="AM213" s="699"/>
      <c r="AN213" s="699"/>
      <c r="AO213" s="699"/>
      <c r="AP213" s="699"/>
      <c r="AQ213" s="699"/>
      <c r="AR213" s="699"/>
      <c r="AS213" s="699"/>
      <c r="AT213" s="699"/>
      <c r="AU213" s="699"/>
      <c r="AV213" s="699"/>
      <c r="AW213" s="699"/>
      <c r="AX213" s="699"/>
      <c r="AY213" s="699"/>
      <c r="AZ213" s="699"/>
      <c r="BA213" s="699"/>
      <c r="BB213" s="699"/>
      <c r="BC213" s="699"/>
      <c r="BO213" s="699"/>
      <c r="BP213" s="699"/>
      <c r="BQ213" s="699"/>
      <c r="BR213" s="699"/>
      <c r="BS213" s="699"/>
      <c r="BT213" s="699"/>
      <c r="BU213" s="699"/>
      <c r="BV213" s="699"/>
      <c r="BW213" s="699"/>
      <c r="BX213" s="699"/>
      <c r="BY213" s="699"/>
      <c r="BZ213" s="699"/>
      <c r="CA213" s="699"/>
      <c r="CB213" s="699"/>
      <c r="CC213" s="699"/>
      <c r="CD213" s="699"/>
      <c r="CE213" s="699"/>
      <c r="CF213" s="699"/>
      <c r="CG213" s="699"/>
      <c r="CH213" s="699"/>
      <c r="CI213" s="699"/>
      <c r="CJ213" s="699"/>
      <c r="CK213" s="699"/>
      <c r="CL213" s="699"/>
      <c r="CM213" s="699"/>
      <c r="CN213" s="699"/>
      <c r="CO213" s="699"/>
      <c r="CP213" s="699"/>
      <c r="CQ213" s="699"/>
      <c r="CR213" s="699"/>
      <c r="CS213" s="699"/>
      <c r="CT213" s="699"/>
      <c r="CU213" s="699"/>
    </row>
    <row r="214" spans="1:99" ht="12" hidden="1" customHeight="1" x14ac:dyDescent="0.2">
      <c r="A214" s="699"/>
      <c r="B214" s="699"/>
      <c r="C214" s="699"/>
      <c r="D214" s="699"/>
      <c r="E214" s="699"/>
      <c r="F214" s="699"/>
      <c r="G214" s="699"/>
      <c r="H214" s="699"/>
      <c r="I214" s="699"/>
      <c r="J214" s="699"/>
      <c r="K214" s="699"/>
      <c r="L214" s="699"/>
      <c r="M214" s="699"/>
      <c r="N214" s="699"/>
      <c r="O214" s="699"/>
      <c r="P214" s="699"/>
      <c r="Q214" s="699"/>
      <c r="R214" s="699"/>
      <c r="S214" s="699"/>
      <c r="T214" s="699"/>
      <c r="U214" s="699"/>
      <c r="V214" s="699"/>
      <c r="W214" s="699"/>
      <c r="X214" s="699"/>
      <c r="Y214" s="699"/>
      <c r="Z214" s="699"/>
      <c r="AA214" s="699"/>
      <c r="AB214" s="699"/>
      <c r="AC214" s="699"/>
      <c r="AD214" s="699"/>
      <c r="AE214" s="699"/>
      <c r="AF214" s="699"/>
      <c r="AG214" s="699"/>
      <c r="AH214" s="699"/>
      <c r="AI214" s="699"/>
      <c r="AJ214" s="699"/>
      <c r="AK214" s="699"/>
      <c r="AL214" s="699"/>
      <c r="AM214" s="699"/>
      <c r="AN214" s="699"/>
      <c r="AO214" s="699"/>
      <c r="AP214" s="699"/>
      <c r="AQ214" s="699"/>
      <c r="AR214" s="699"/>
      <c r="AS214" s="699"/>
      <c r="AT214" s="699"/>
      <c r="AU214" s="699"/>
      <c r="AV214" s="699"/>
      <c r="AW214" s="699"/>
      <c r="AX214" s="699"/>
      <c r="AY214" s="699"/>
      <c r="AZ214" s="699"/>
      <c r="BA214" s="699"/>
      <c r="BB214" s="699"/>
      <c r="BC214" s="699"/>
      <c r="BO214" s="699"/>
      <c r="BP214" s="699"/>
      <c r="BQ214" s="699"/>
      <c r="BR214" s="699"/>
      <c r="BS214" s="699"/>
      <c r="BT214" s="699"/>
      <c r="BU214" s="699"/>
      <c r="BV214" s="699"/>
      <c r="BW214" s="699"/>
      <c r="BX214" s="699"/>
      <c r="BY214" s="699"/>
      <c r="BZ214" s="699"/>
      <c r="CA214" s="699"/>
      <c r="CB214" s="699"/>
      <c r="CC214" s="699"/>
      <c r="CD214" s="699"/>
      <c r="CE214" s="699"/>
      <c r="CF214" s="699"/>
      <c r="CG214" s="699"/>
      <c r="CH214" s="699"/>
      <c r="CI214" s="699"/>
      <c r="CJ214" s="699"/>
      <c r="CK214" s="699"/>
      <c r="CL214" s="699"/>
      <c r="CM214" s="699"/>
      <c r="CN214" s="699"/>
      <c r="CO214" s="699"/>
      <c r="CP214" s="699"/>
      <c r="CQ214" s="699"/>
      <c r="CR214" s="699"/>
      <c r="CS214" s="699"/>
      <c r="CT214" s="699"/>
      <c r="CU214" s="699"/>
    </row>
    <row r="215" spans="1:99" ht="12" hidden="1" customHeight="1" x14ac:dyDescent="0.2">
      <c r="A215" s="699"/>
      <c r="B215" s="699"/>
      <c r="C215" s="699"/>
      <c r="D215" s="699"/>
      <c r="E215" s="699"/>
      <c r="F215" s="699"/>
      <c r="G215" s="699"/>
      <c r="H215" s="699"/>
      <c r="I215" s="699"/>
      <c r="J215" s="699"/>
      <c r="K215" s="699"/>
      <c r="L215" s="699"/>
      <c r="M215" s="699"/>
      <c r="N215" s="699"/>
      <c r="O215" s="699"/>
      <c r="P215" s="699"/>
      <c r="Q215" s="699"/>
      <c r="R215" s="699"/>
      <c r="S215" s="699"/>
      <c r="T215" s="699"/>
      <c r="U215" s="699"/>
      <c r="V215" s="699"/>
      <c r="W215" s="699"/>
      <c r="X215" s="699"/>
      <c r="Y215" s="699"/>
      <c r="Z215" s="699"/>
      <c r="AA215" s="699"/>
      <c r="AB215" s="699"/>
      <c r="AC215" s="699"/>
      <c r="AD215" s="699"/>
      <c r="AE215" s="699"/>
      <c r="AF215" s="699"/>
      <c r="AG215" s="699"/>
      <c r="AH215" s="699"/>
      <c r="AI215" s="699"/>
      <c r="AJ215" s="699"/>
      <c r="AK215" s="699"/>
      <c r="AL215" s="699"/>
      <c r="AM215" s="699"/>
      <c r="AN215" s="699"/>
      <c r="AO215" s="699"/>
      <c r="AP215" s="699"/>
      <c r="AQ215" s="699"/>
      <c r="AR215" s="699"/>
      <c r="AS215" s="699"/>
      <c r="AT215" s="699"/>
      <c r="AU215" s="699"/>
      <c r="AV215" s="699"/>
      <c r="AW215" s="699"/>
      <c r="AX215" s="699"/>
      <c r="AY215" s="699"/>
      <c r="AZ215" s="699"/>
      <c r="BA215" s="699"/>
      <c r="BB215" s="699"/>
      <c r="BC215" s="699"/>
      <c r="BD215" s="699"/>
      <c r="BO215" s="699"/>
      <c r="BP215" s="699"/>
      <c r="BQ215" s="699"/>
      <c r="BR215" s="699"/>
      <c r="BS215" s="699"/>
      <c r="BT215" s="699"/>
      <c r="BU215" s="699"/>
      <c r="BV215" s="699"/>
      <c r="BW215" s="699"/>
      <c r="BX215" s="699"/>
      <c r="BY215" s="699"/>
      <c r="BZ215" s="699"/>
      <c r="CA215" s="699"/>
      <c r="CB215" s="699"/>
      <c r="CC215" s="699"/>
      <c r="CD215" s="699"/>
      <c r="CE215" s="699"/>
      <c r="CF215" s="699"/>
      <c r="CG215" s="699"/>
      <c r="CH215" s="699"/>
      <c r="CI215" s="699"/>
      <c r="CJ215" s="699"/>
      <c r="CK215" s="699"/>
      <c r="CL215" s="699"/>
      <c r="CM215" s="699"/>
      <c r="CN215" s="699"/>
      <c r="CO215" s="699"/>
      <c r="CP215" s="699"/>
      <c r="CQ215" s="699"/>
      <c r="CR215" s="699"/>
      <c r="CS215" s="699"/>
      <c r="CT215" s="699"/>
      <c r="CU215" s="699"/>
    </row>
    <row r="216" spans="1:99" ht="12" hidden="1" customHeight="1" x14ac:dyDescent="0.2">
      <c r="A216" s="699"/>
      <c r="B216" s="699"/>
      <c r="C216" s="699"/>
      <c r="D216" s="699"/>
      <c r="E216" s="699"/>
      <c r="F216" s="699"/>
      <c r="G216" s="699"/>
      <c r="H216" s="699"/>
      <c r="I216" s="699"/>
      <c r="J216" s="699"/>
      <c r="K216" s="699"/>
      <c r="L216" s="699"/>
      <c r="M216" s="699"/>
      <c r="N216" s="699"/>
      <c r="O216" s="699"/>
      <c r="P216" s="699"/>
      <c r="Q216" s="699"/>
      <c r="R216" s="699"/>
      <c r="S216" s="699"/>
      <c r="T216" s="699"/>
      <c r="U216" s="699"/>
      <c r="V216" s="699"/>
      <c r="W216" s="699"/>
      <c r="X216" s="699"/>
      <c r="Y216" s="699"/>
      <c r="Z216" s="699"/>
      <c r="AA216" s="699"/>
      <c r="AB216" s="699"/>
      <c r="AC216" s="699"/>
      <c r="AD216" s="699"/>
      <c r="AE216" s="699"/>
      <c r="AF216" s="699"/>
      <c r="AG216" s="699"/>
      <c r="AH216" s="699"/>
      <c r="AI216" s="699"/>
      <c r="AJ216" s="699"/>
      <c r="AK216" s="699"/>
      <c r="AL216" s="699"/>
      <c r="AM216" s="699"/>
      <c r="AN216" s="699"/>
      <c r="AO216" s="699"/>
      <c r="AP216" s="699"/>
      <c r="AQ216" s="699"/>
      <c r="AR216" s="699"/>
      <c r="AS216" s="699"/>
      <c r="AT216" s="699"/>
      <c r="AU216" s="699"/>
      <c r="AV216" s="699"/>
      <c r="AW216" s="699"/>
      <c r="AX216" s="699"/>
      <c r="AY216" s="699"/>
      <c r="AZ216" s="699"/>
      <c r="BA216" s="699"/>
      <c r="BB216" s="699"/>
      <c r="BC216" s="699"/>
      <c r="BD216" s="699"/>
      <c r="BE216" s="699"/>
      <c r="BF216" s="699"/>
      <c r="BG216" s="699"/>
      <c r="BH216" s="699"/>
      <c r="BI216" s="699"/>
      <c r="BJ216" s="699"/>
      <c r="BK216" s="699"/>
      <c r="BL216" s="699"/>
      <c r="BM216" s="699"/>
      <c r="BN216" s="699"/>
      <c r="BO216" s="699"/>
      <c r="BP216" s="699"/>
      <c r="BQ216" s="699"/>
      <c r="BR216" s="699"/>
      <c r="BS216" s="699"/>
      <c r="BT216" s="699"/>
      <c r="BU216" s="699"/>
      <c r="BV216" s="699"/>
      <c r="BW216" s="699"/>
      <c r="BX216" s="699"/>
      <c r="BY216" s="699"/>
      <c r="BZ216" s="699"/>
      <c r="CA216" s="699"/>
      <c r="CB216" s="699"/>
      <c r="CC216" s="699"/>
      <c r="CD216" s="699"/>
      <c r="CE216" s="699"/>
      <c r="CF216" s="699"/>
      <c r="CG216" s="699"/>
      <c r="CH216" s="699"/>
      <c r="CI216" s="699"/>
      <c r="CJ216" s="699"/>
      <c r="CK216" s="699"/>
      <c r="CL216" s="699"/>
      <c r="CM216" s="699"/>
      <c r="CN216" s="699"/>
      <c r="CO216" s="699"/>
      <c r="CP216" s="699"/>
      <c r="CQ216" s="699"/>
      <c r="CR216" s="699"/>
      <c r="CS216" s="699"/>
      <c r="CT216" s="699"/>
      <c r="CU216" s="699"/>
    </row>
    <row r="217" spans="1:99" ht="12" hidden="1" customHeight="1" x14ac:dyDescent="0.2">
      <c r="A217" s="699"/>
      <c r="B217" s="699"/>
      <c r="C217" s="699"/>
      <c r="D217" s="699"/>
      <c r="E217" s="699"/>
      <c r="F217" s="699"/>
      <c r="G217" s="699"/>
      <c r="H217" s="699"/>
      <c r="I217" s="699"/>
      <c r="J217" s="699"/>
      <c r="K217" s="699"/>
      <c r="L217" s="699"/>
      <c r="M217" s="699"/>
      <c r="N217" s="699"/>
      <c r="O217" s="699"/>
      <c r="P217" s="699"/>
      <c r="Q217" s="699"/>
      <c r="R217" s="699"/>
      <c r="S217" s="699"/>
      <c r="T217" s="699"/>
      <c r="U217" s="699"/>
      <c r="V217" s="699"/>
      <c r="W217" s="699"/>
      <c r="X217" s="699"/>
      <c r="Y217" s="699"/>
      <c r="Z217" s="699"/>
      <c r="AA217" s="699"/>
      <c r="AB217" s="699"/>
      <c r="AC217" s="699"/>
      <c r="AD217" s="699"/>
      <c r="AE217" s="699"/>
      <c r="AF217" s="699"/>
      <c r="AG217" s="699"/>
      <c r="AH217" s="699"/>
      <c r="AI217" s="699"/>
      <c r="AJ217" s="699"/>
      <c r="AK217" s="699"/>
      <c r="AL217" s="699"/>
      <c r="AM217" s="699"/>
      <c r="AN217" s="699"/>
      <c r="AO217" s="699"/>
      <c r="AP217" s="699"/>
      <c r="AQ217" s="699"/>
      <c r="AR217" s="699"/>
      <c r="AS217" s="699"/>
      <c r="AT217" s="699"/>
      <c r="AU217" s="699"/>
      <c r="AV217" s="699"/>
      <c r="AW217" s="699"/>
      <c r="AX217" s="699"/>
      <c r="AY217" s="699"/>
      <c r="AZ217" s="699"/>
      <c r="BA217" s="699"/>
      <c r="BB217" s="699"/>
      <c r="BC217" s="699"/>
      <c r="BD217" s="699"/>
      <c r="BE217" s="699"/>
      <c r="BF217" s="699"/>
      <c r="BG217" s="699"/>
      <c r="BH217" s="699"/>
      <c r="BI217" s="699"/>
      <c r="BJ217" s="699"/>
      <c r="BK217" s="699"/>
      <c r="BL217" s="699"/>
      <c r="BM217" s="699"/>
      <c r="BN217" s="699"/>
      <c r="BO217" s="699"/>
      <c r="BP217" s="699"/>
      <c r="BQ217" s="699"/>
      <c r="BR217" s="699"/>
      <c r="BS217" s="699"/>
      <c r="BT217" s="699"/>
      <c r="BU217" s="699"/>
      <c r="BV217" s="699"/>
      <c r="BW217" s="699"/>
      <c r="BX217" s="699"/>
      <c r="BY217" s="699"/>
      <c r="BZ217" s="699"/>
      <c r="CA217" s="699"/>
      <c r="CB217" s="699"/>
      <c r="CC217" s="699"/>
      <c r="CD217" s="699"/>
      <c r="CE217" s="699"/>
      <c r="CF217" s="699"/>
      <c r="CG217" s="699"/>
      <c r="CH217" s="699"/>
      <c r="CI217" s="699"/>
      <c r="CJ217" s="699"/>
      <c r="CK217" s="699"/>
      <c r="CL217" s="699"/>
      <c r="CM217" s="699"/>
      <c r="CN217" s="699"/>
      <c r="CO217" s="699"/>
      <c r="CP217" s="699"/>
      <c r="CQ217" s="699"/>
      <c r="CR217" s="699"/>
      <c r="CS217" s="699"/>
      <c r="CT217" s="699"/>
      <c r="CU217" s="699"/>
    </row>
    <row r="218" spans="1:99" ht="12" hidden="1" customHeight="1" x14ac:dyDescent="0.2">
      <c r="A218" s="699"/>
      <c r="B218" s="699"/>
      <c r="C218" s="699"/>
      <c r="D218" s="699"/>
      <c r="E218" s="699"/>
      <c r="F218" s="699"/>
      <c r="G218" s="699"/>
      <c r="H218" s="699"/>
      <c r="I218" s="699"/>
      <c r="J218" s="699"/>
      <c r="K218" s="699"/>
      <c r="L218" s="699"/>
      <c r="M218" s="699"/>
      <c r="N218" s="699"/>
      <c r="O218" s="699"/>
      <c r="P218" s="699"/>
      <c r="Q218" s="699"/>
      <c r="R218" s="699"/>
      <c r="S218" s="699"/>
      <c r="T218" s="699"/>
      <c r="U218" s="699"/>
      <c r="V218" s="699"/>
      <c r="W218" s="699"/>
      <c r="X218" s="699"/>
      <c r="Y218" s="699"/>
      <c r="Z218" s="699"/>
      <c r="AA218" s="699"/>
      <c r="AB218" s="699"/>
      <c r="AC218" s="699"/>
      <c r="AD218" s="699"/>
      <c r="AE218" s="699"/>
      <c r="AF218" s="699"/>
      <c r="AG218" s="699"/>
      <c r="AH218" s="699"/>
      <c r="AI218" s="699"/>
      <c r="AJ218" s="699"/>
      <c r="AK218" s="699"/>
      <c r="AL218" s="699"/>
      <c r="AM218" s="699"/>
      <c r="AN218" s="699"/>
      <c r="AO218" s="699"/>
      <c r="AP218" s="699"/>
      <c r="AQ218" s="699"/>
      <c r="AR218" s="699"/>
      <c r="AS218" s="699"/>
      <c r="AT218" s="699"/>
      <c r="AU218" s="699"/>
      <c r="AV218" s="699"/>
      <c r="AW218" s="699"/>
      <c r="AX218" s="699"/>
      <c r="AY218" s="699"/>
      <c r="AZ218" s="699"/>
      <c r="BA218" s="699"/>
      <c r="BB218" s="699"/>
      <c r="BC218" s="699"/>
      <c r="BD218" s="699"/>
      <c r="BE218" s="699"/>
      <c r="BF218" s="699"/>
      <c r="BG218" s="699"/>
      <c r="BH218" s="699"/>
      <c r="BI218" s="699"/>
      <c r="BJ218" s="699"/>
      <c r="BK218" s="699"/>
      <c r="BL218" s="699"/>
      <c r="BM218" s="699"/>
      <c r="BN218" s="699"/>
      <c r="BO218" s="699"/>
      <c r="BP218" s="699"/>
      <c r="BQ218" s="699"/>
      <c r="BR218" s="699"/>
      <c r="BS218" s="699"/>
      <c r="BT218" s="699"/>
      <c r="BU218" s="699"/>
      <c r="BV218" s="699"/>
      <c r="BW218" s="699"/>
      <c r="BX218" s="699"/>
      <c r="BY218" s="699"/>
      <c r="BZ218" s="699"/>
      <c r="CA218" s="699"/>
      <c r="CB218" s="699"/>
      <c r="CC218" s="699"/>
      <c r="CD218" s="699"/>
      <c r="CE218" s="699"/>
      <c r="CF218" s="699"/>
      <c r="CG218" s="699"/>
      <c r="CH218" s="699"/>
      <c r="CI218" s="699"/>
      <c r="CJ218" s="699"/>
      <c r="CK218" s="699"/>
      <c r="CL218" s="699"/>
      <c r="CM218" s="699"/>
      <c r="CN218" s="699"/>
      <c r="CO218" s="699"/>
      <c r="CP218" s="699"/>
      <c r="CQ218" s="699"/>
      <c r="CR218" s="699"/>
      <c r="CS218" s="699"/>
      <c r="CT218" s="699"/>
      <c r="CU218" s="699"/>
    </row>
    <row r="219" spans="1:99" ht="12" hidden="1" customHeight="1" x14ac:dyDescent="0.2">
      <c r="A219" s="699"/>
      <c r="B219" s="699"/>
      <c r="C219" s="699"/>
      <c r="D219" s="699"/>
      <c r="E219" s="699"/>
      <c r="F219" s="699"/>
      <c r="G219" s="699"/>
      <c r="H219" s="699"/>
      <c r="I219" s="699"/>
      <c r="J219" s="699"/>
      <c r="K219" s="699"/>
      <c r="L219" s="699"/>
      <c r="M219" s="699"/>
      <c r="N219" s="699"/>
      <c r="O219" s="699"/>
      <c r="P219" s="699"/>
      <c r="Q219" s="699"/>
      <c r="R219" s="699"/>
      <c r="S219" s="699"/>
      <c r="T219" s="699"/>
      <c r="U219" s="699"/>
      <c r="V219" s="699"/>
      <c r="W219" s="699"/>
      <c r="X219" s="699"/>
      <c r="Y219" s="699"/>
      <c r="Z219" s="699"/>
      <c r="AA219" s="699"/>
      <c r="AB219" s="699"/>
      <c r="AC219" s="699"/>
      <c r="AD219" s="699"/>
      <c r="AE219" s="699"/>
      <c r="AF219" s="699"/>
      <c r="AG219" s="699"/>
      <c r="AH219" s="699"/>
      <c r="AI219" s="699"/>
      <c r="AJ219" s="699"/>
      <c r="AK219" s="699"/>
      <c r="AL219" s="699"/>
      <c r="AM219" s="699"/>
      <c r="AN219" s="699"/>
      <c r="AO219" s="699"/>
      <c r="AP219" s="699"/>
      <c r="AQ219" s="699"/>
      <c r="AR219" s="699"/>
      <c r="AS219" s="699"/>
      <c r="AT219" s="699"/>
      <c r="AU219" s="699"/>
      <c r="AV219" s="699"/>
      <c r="AW219" s="699"/>
      <c r="AX219" s="699"/>
      <c r="AY219" s="699"/>
      <c r="AZ219" s="699"/>
      <c r="BA219" s="699"/>
      <c r="BB219" s="699"/>
      <c r="BC219" s="699"/>
      <c r="BD219" s="699"/>
      <c r="BE219" s="699"/>
      <c r="BF219" s="699"/>
      <c r="BG219" s="699"/>
      <c r="BH219" s="699"/>
      <c r="BI219" s="699"/>
      <c r="BJ219" s="699"/>
      <c r="BK219" s="699"/>
      <c r="BL219" s="699"/>
      <c r="BM219" s="699"/>
      <c r="BN219" s="699"/>
      <c r="BO219" s="699"/>
      <c r="BP219" s="699"/>
      <c r="BQ219" s="699"/>
      <c r="BR219" s="699"/>
      <c r="BS219" s="699"/>
      <c r="BT219" s="699"/>
      <c r="BU219" s="699"/>
      <c r="BV219" s="699"/>
      <c r="BW219" s="699"/>
      <c r="BX219" s="699"/>
      <c r="BY219" s="699"/>
      <c r="BZ219" s="699"/>
      <c r="CA219" s="699"/>
      <c r="CB219" s="699"/>
      <c r="CC219" s="699"/>
      <c r="CD219" s="699"/>
      <c r="CE219" s="699"/>
      <c r="CF219" s="699"/>
      <c r="CG219" s="699"/>
      <c r="CH219" s="699"/>
      <c r="CI219" s="699"/>
      <c r="CJ219" s="699"/>
      <c r="CK219" s="699"/>
      <c r="CL219" s="699"/>
      <c r="CM219" s="699"/>
      <c r="CN219" s="699"/>
      <c r="CO219" s="699"/>
      <c r="CP219" s="699"/>
      <c r="CQ219" s="699"/>
      <c r="CR219" s="699"/>
      <c r="CS219" s="699"/>
      <c r="CT219" s="699"/>
      <c r="CU219" s="699"/>
    </row>
    <row r="220" spans="1:99" ht="12" hidden="1" customHeight="1" x14ac:dyDescent="0.2">
      <c r="A220" s="699"/>
      <c r="B220" s="699"/>
      <c r="C220" s="699"/>
      <c r="D220" s="699"/>
      <c r="E220" s="699"/>
      <c r="F220" s="699"/>
      <c r="G220" s="699"/>
      <c r="H220" s="699"/>
      <c r="I220" s="699"/>
      <c r="J220" s="699"/>
      <c r="K220" s="699"/>
      <c r="L220" s="699"/>
      <c r="M220" s="699"/>
      <c r="N220" s="699"/>
      <c r="O220" s="699"/>
      <c r="P220" s="699"/>
      <c r="Q220" s="699"/>
      <c r="R220" s="699"/>
      <c r="S220" s="699"/>
      <c r="T220" s="699"/>
      <c r="U220" s="699"/>
      <c r="V220" s="699"/>
      <c r="W220" s="699"/>
      <c r="X220" s="699"/>
      <c r="Y220" s="699"/>
      <c r="Z220" s="699"/>
      <c r="AA220" s="699"/>
      <c r="AB220" s="699"/>
      <c r="AC220" s="699"/>
      <c r="AD220" s="699"/>
      <c r="AE220" s="699"/>
      <c r="AF220" s="699"/>
      <c r="AG220" s="699"/>
      <c r="AH220" s="699"/>
      <c r="AI220" s="699"/>
      <c r="AJ220" s="699"/>
      <c r="AK220" s="699"/>
      <c r="AL220" s="699"/>
      <c r="AM220" s="699"/>
      <c r="AN220" s="699"/>
      <c r="AO220" s="699"/>
      <c r="AP220" s="699"/>
      <c r="AQ220" s="699"/>
      <c r="AR220" s="699"/>
      <c r="AS220" s="699"/>
      <c r="AT220" s="699"/>
      <c r="AU220" s="699"/>
      <c r="AV220" s="699"/>
      <c r="AW220" s="699"/>
      <c r="AX220" s="699"/>
      <c r="AY220" s="699"/>
      <c r="AZ220" s="699"/>
      <c r="BA220" s="699"/>
      <c r="BB220" s="699"/>
      <c r="BC220" s="699"/>
      <c r="BD220" s="699"/>
      <c r="BE220" s="699"/>
      <c r="BF220" s="699"/>
      <c r="BG220" s="699"/>
      <c r="BH220" s="699"/>
      <c r="BI220" s="699"/>
      <c r="BJ220" s="699"/>
      <c r="BK220" s="699"/>
      <c r="BL220" s="699"/>
      <c r="BM220" s="699"/>
      <c r="BN220" s="699"/>
      <c r="BO220" s="699"/>
      <c r="BP220" s="699"/>
      <c r="BQ220" s="699"/>
      <c r="BR220" s="699"/>
      <c r="BS220" s="699"/>
      <c r="BT220" s="699"/>
      <c r="BU220" s="699"/>
      <c r="BV220" s="699"/>
      <c r="BW220" s="699"/>
      <c r="BX220" s="699"/>
      <c r="BY220" s="699"/>
      <c r="BZ220" s="699"/>
      <c r="CA220" s="699"/>
      <c r="CB220" s="699"/>
      <c r="CC220" s="699"/>
      <c r="CD220" s="699"/>
      <c r="CE220" s="699"/>
      <c r="CF220" s="699"/>
      <c r="CG220" s="699"/>
      <c r="CH220" s="699"/>
      <c r="CI220" s="699"/>
      <c r="CJ220" s="699"/>
      <c r="CK220" s="699"/>
      <c r="CL220" s="699"/>
      <c r="CM220" s="699"/>
      <c r="CN220" s="699"/>
      <c r="CO220" s="699"/>
      <c r="CP220" s="699"/>
      <c r="CQ220" s="699"/>
      <c r="CR220" s="699"/>
      <c r="CS220" s="699"/>
      <c r="CT220" s="699"/>
      <c r="CU220" s="699"/>
    </row>
    <row r="221" spans="1:99" ht="12" hidden="1" customHeight="1" x14ac:dyDescent="0.2">
      <c r="A221" s="699"/>
      <c r="B221" s="699"/>
      <c r="C221" s="699"/>
      <c r="D221" s="699"/>
      <c r="E221" s="699"/>
      <c r="F221" s="699"/>
      <c r="G221" s="699"/>
      <c r="H221" s="699"/>
      <c r="I221" s="699"/>
      <c r="J221" s="699"/>
      <c r="K221" s="699"/>
      <c r="L221" s="699"/>
      <c r="M221" s="699"/>
      <c r="N221" s="699"/>
      <c r="O221" s="699"/>
      <c r="P221" s="699"/>
      <c r="Q221" s="699"/>
      <c r="R221" s="699"/>
      <c r="S221" s="699"/>
      <c r="T221" s="699"/>
      <c r="U221" s="699"/>
      <c r="V221" s="699"/>
      <c r="W221" s="699"/>
      <c r="X221" s="699"/>
      <c r="Y221" s="699"/>
      <c r="Z221" s="699"/>
      <c r="AA221" s="699"/>
      <c r="AB221" s="699"/>
      <c r="AC221" s="699"/>
      <c r="AD221" s="699"/>
      <c r="AE221" s="699"/>
      <c r="AF221" s="699"/>
      <c r="AG221" s="699"/>
      <c r="AH221" s="699"/>
      <c r="AI221" s="699"/>
      <c r="AJ221" s="699"/>
      <c r="AK221" s="699"/>
      <c r="AL221" s="699"/>
      <c r="AM221" s="699"/>
      <c r="AN221" s="699"/>
      <c r="AO221" s="699"/>
      <c r="AP221" s="699"/>
      <c r="AQ221" s="699"/>
      <c r="AR221" s="699"/>
      <c r="AS221" s="699"/>
      <c r="AT221" s="699"/>
      <c r="AU221" s="699"/>
      <c r="AV221" s="699"/>
      <c r="AW221" s="699"/>
      <c r="AX221" s="699"/>
      <c r="AY221" s="699"/>
      <c r="AZ221" s="699"/>
      <c r="BA221" s="699"/>
      <c r="BB221" s="699"/>
      <c r="BC221" s="699"/>
      <c r="BD221" s="699"/>
      <c r="BE221" s="699"/>
      <c r="BF221" s="699"/>
      <c r="BG221" s="699"/>
      <c r="BH221" s="699"/>
      <c r="BI221" s="699"/>
      <c r="BJ221" s="699"/>
      <c r="BK221" s="699"/>
      <c r="BL221" s="699"/>
      <c r="BM221" s="699"/>
      <c r="BN221" s="699"/>
      <c r="BO221" s="699"/>
      <c r="BP221" s="699"/>
      <c r="BQ221" s="699"/>
      <c r="BR221" s="699"/>
      <c r="BS221" s="699"/>
      <c r="BT221" s="699"/>
      <c r="BU221" s="699"/>
      <c r="BV221" s="699"/>
      <c r="BW221" s="699"/>
      <c r="BX221" s="699"/>
      <c r="BY221" s="699"/>
      <c r="BZ221" s="699"/>
      <c r="CA221" s="699"/>
      <c r="CB221" s="699"/>
      <c r="CC221" s="699"/>
      <c r="CD221" s="699"/>
      <c r="CE221" s="699"/>
      <c r="CF221" s="699"/>
      <c r="CG221" s="699"/>
      <c r="CH221" s="699"/>
      <c r="CI221" s="699"/>
      <c r="CJ221" s="699"/>
      <c r="CK221" s="699"/>
      <c r="CL221" s="699"/>
      <c r="CM221" s="699"/>
      <c r="CN221" s="699"/>
      <c r="CO221" s="699"/>
      <c r="CP221" s="699"/>
      <c r="CQ221" s="699"/>
      <c r="CR221" s="699"/>
      <c r="CS221" s="699"/>
      <c r="CT221" s="699"/>
      <c r="CU221" s="699"/>
    </row>
    <row r="222" spans="1:99" ht="12" hidden="1" customHeight="1" x14ac:dyDescent="0.2">
      <c r="A222" s="699"/>
      <c r="B222" s="699"/>
      <c r="C222" s="699"/>
      <c r="D222" s="699"/>
      <c r="E222" s="699"/>
      <c r="F222" s="699"/>
      <c r="G222" s="699"/>
      <c r="H222" s="699"/>
      <c r="I222" s="699"/>
      <c r="J222" s="699"/>
      <c r="K222" s="699"/>
      <c r="L222" s="699"/>
      <c r="M222" s="699"/>
      <c r="N222" s="699"/>
      <c r="O222" s="699"/>
      <c r="P222" s="699"/>
      <c r="Q222" s="699"/>
      <c r="R222" s="699"/>
      <c r="S222" s="699"/>
      <c r="T222" s="699"/>
      <c r="U222" s="699"/>
      <c r="V222" s="699"/>
      <c r="W222" s="699"/>
      <c r="X222" s="699"/>
      <c r="Y222" s="699"/>
      <c r="Z222" s="699"/>
      <c r="AA222" s="699"/>
      <c r="AB222" s="699"/>
      <c r="AC222" s="699"/>
      <c r="AD222" s="699"/>
      <c r="AE222" s="699"/>
      <c r="AF222" s="699"/>
      <c r="AG222" s="699"/>
      <c r="AH222" s="699"/>
      <c r="AI222" s="699"/>
      <c r="AJ222" s="699"/>
      <c r="AK222" s="699"/>
      <c r="AL222" s="699"/>
      <c r="AM222" s="699"/>
      <c r="AN222" s="699"/>
      <c r="AO222" s="699"/>
      <c r="AP222" s="699"/>
      <c r="AQ222" s="699"/>
      <c r="AR222" s="699"/>
      <c r="AS222" s="699"/>
      <c r="AT222" s="699"/>
      <c r="AU222" s="699"/>
      <c r="AV222" s="699"/>
      <c r="AW222" s="699"/>
      <c r="AX222" s="699"/>
      <c r="AY222" s="699"/>
      <c r="AZ222" s="699"/>
      <c r="BA222" s="699"/>
      <c r="BB222" s="699"/>
      <c r="BC222" s="699"/>
      <c r="BD222" s="699"/>
      <c r="BE222" s="699"/>
      <c r="BF222" s="699"/>
      <c r="BG222" s="699"/>
      <c r="BH222" s="699"/>
      <c r="BI222" s="699"/>
      <c r="BJ222" s="699"/>
      <c r="BK222" s="699"/>
      <c r="BL222" s="699"/>
      <c r="BM222" s="699"/>
      <c r="BN222" s="699"/>
      <c r="BO222" s="699"/>
      <c r="BP222" s="699"/>
      <c r="BQ222" s="699"/>
      <c r="BR222" s="699"/>
      <c r="BS222" s="699"/>
      <c r="BT222" s="699"/>
      <c r="BU222" s="699"/>
      <c r="BV222" s="699"/>
      <c r="BW222" s="699"/>
      <c r="BX222" s="699"/>
      <c r="BY222" s="699"/>
      <c r="BZ222" s="699"/>
      <c r="CA222" s="699"/>
      <c r="CB222" s="699"/>
      <c r="CC222" s="699"/>
      <c r="CD222" s="699"/>
      <c r="CE222" s="699"/>
      <c r="CF222" s="699"/>
      <c r="CG222" s="699"/>
      <c r="CH222" s="699"/>
      <c r="CI222" s="699"/>
      <c r="CJ222" s="699"/>
      <c r="CK222" s="699"/>
      <c r="CL222" s="699"/>
      <c r="CM222" s="699"/>
      <c r="CN222" s="699"/>
      <c r="CO222" s="699"/>
      <c r="CP222" s="699"/>
      <c r="CQ222" s="699"/>
      <c r="CR222" s="699"/>
      <c r="CS222" s="699"/>
      <c r="CT222" s="699"/>
      <c r="CU222" s="699"/>
    </row>
    <row r="223" spans="1:99" ht="12" hidden="1" customHeight="1" x14ac:dyDescent="0.2">
      <c r="A223" s="699"/>
      <c r="B223" s="699"/>
      <c r="C223" s="699"/>
      <c r="D223" s="699"/>
      <c r="E223" s="699"/>
      <c r="F223" s="699"/>
      <c r="G223" s="699"/>
      <c r="H223" s="699"/>
      <c r="I223" s="699"/>
      <c r="J223" s="699"/>
      <c r="K223" s="699"/>
      <c r="L223" s="699"/>
      <c r="M223" s="699"/>
      <c r="N223" s="699"/>
      <c r="O223" s="699"/>
      <c r="P223" s="699"/>
      <c r="Q223" s="699"/>
      <c r="R223" s="699"/>
      <c r="S223" s="699"/>
      <c r="T223" s="699"/>
      <c r="U223" s="699"/>
      <c r="V223" s="699"/>
      <c r="W223" s="699"/>
      <c r="X223" s="699"/>
      <c r="Y223" s="699"/>
      <c r="Z223" s="699"/>
      <c r="AA223" s="699"/>
      <c r="AB223" s="699"/>
      <c r="AC223" s="699"/>
      <c r="AD223" s="699"/>
      <c r="AE223" s="699"/>
      <c r="AF223" s="699"/>
      <c r="AG223" s="699"/>
      <c r="AH223" s="699"/>
      <c r="AI223" s="699"/>
      <c r="AJ223" s="699"/>
      <c r="AK223" s="699"/>
      <c r="AL223" s="699"/>
      <c r="AM223" s="699"/>
      <c r="AN223" s="699"/>
      <c r="AO223" s="699"/>
      <c r="AP223" s="699"/>
      <c r="AQ223" s="699"/>
      <c r="AR223" s="699"/>
      <c r="AS223" s="699"/>
      <c r="AT223" s="699"/>
      <c r="AU223" s="699"/>
      <c r="AV223" s="699"/>
      <c r="AW223" s="699"/>
      <c r="AX223" s="699"/>
      <c r="AY223" s="699"/>
      <c r="AZ223" s="699"/>
      <c r="BA223" s="699"/>
      <c r="BB223" s="699"/>
      <c r="BC223" s="699"/>
      <c r="BD223" s="699"/>
      <c r="BE223" s="699"/>
      <c r="BF223" s="699"/>
      <c r="BG223" s="699"/>
      <c r="BH223" s="699"/>
      <c r="BI223" s="699"/>
      <c r="BJ223" s="699"/>
      <c r="BK223" s="699"/>
      <c r="BL223" s="699"/>
      <c r="BM223" s="699"/>
      <c r="BN223" s="699"/>
      <c r="BO223" s="699"/>
      <c r="BP223" s="699"/>
      <c r="BQ223" s="699"/>
      <c r="BR223" s="699"/>
      <c r="BS223" s="699"/>
      <c r="BT223" s="699"/>
      <c r="BU223" s="699"/>
      <c r="BV223" s="699"/>
      <c r="BW223" s="699"/>
      <c r="BX223" s="699"/>
      <c r="BY223" s="699"/>
      <c r="BZ223" s="699"/>
      <c r="CA223" s="699"/>
      <c r="CB223" s="699"/>
      <c r="CC223" s="699"/>
      <c r="CD223" s="699"/>
      <c r="CE223" s="699"/>
      <c r="CF223" s="699"/>
      <c r="CG223" s="699"/>
      <c r="CH223" s="699"/>
      <c r="CI223" s="699"/>
      <c r="CJ223" s="699"/>
      <c r="CK223" s="699"/>
      <c r="CL223" s="699"/>
      <c r="CM223" s="699"/>
      <c r="CN223" s="699"/>
      <c r="CO223" s="699"/>
      <c r="CP223" s="699"/>
      <c r="CQ223" s="699"/>
      <c r="CR223" s="699"/>
      <c r="CS223" s="699"/>
      <c r="CT223" s="699"/>
      <c r="CU223" s="699"/>
    </row>
    <row r="224" spans="1:99" ht="12" hidden="1" customHeight="1" x14ac:dyDescent="0.2">
      <c r="A224" s="699"/>
      <c r="B224" s="699"/>
      <c r="C224" s="699"/>
      <c r="D224" s="699"/>
      <c r="E224" s="699"/>
      <c r="F224" s="699"/>
      <c r="G224" s="699"/>
      <c r="H224" s="699"/>
      <c r="I224" s="699"/>
      <c r="J224" s="699"/>
      <c r="K224" s="699"/>
      <c r="L224" s="699"/>
      <c r="M224" s="699"/>
      <c r="N224" s="699"/>
      <c r="O224" s="699"/>
      <c r="P224" s="699"/>
      <c r="Q224" s="699"/>
      <c r="R224" s="699"/>
      <c r="S224" s="699"/>
      <c r="T224" s="699"/>
      <c r="U224" s="699"/>
      <c r="V224" s="699"/>
      <c r="W224" s="699"/>
      <c r="X224" s="699"/>
      <c r="Y224" s="699"/>
      <c r="Z224" s="699"/>
      <c r="AA224" s="699"/>
      <c r="AB224" s="699"/>
      <c r="AC224" s="699"/>
      <c r="AD224" s="699"/>
      <c r="AE224" s="699"/>
      <c r="AF224" s="699"/>
      <c r="AG224" s="699"/>
      <c r="AH224" s="699"/>
      <c r="AI224" s="699"/>
      <c r="AJ224" s="699"/>
      <c r="AK224" s="699"/>
      <c r="AL224" s="699"/>
      <c r="AM224" s="699"/>
      <c r="AN224" s="699"/>
      <c r="AO224" s="699"/>
      <c r="AP224" s="699"/>
      <c r="AQ224" s="699"/>
      <c r="AR224" s="699"/>
      <c r="AS224" s="699"/>
      <c r="AT224" s="699"/>
      <c r="AU224" s="699"/>
      <c r="AV224" s="699"/>
      <c r="AW224" s="699"/>
      <c r="AX224" s="699"/>
      <c r="AY224" s="699"/>
      <c r="AZ224" s="699"/>
      <c r="BA224" s="699"/>
      <c r="BB224" s="699"/>
      <c r="BC224" s="699"/>
      <c r="BD224" s="699"/>
      <c r="BE224" s="699"/>
      <c r="BF224" s="699"/>
      <c r="BG224" s="699"/>
      <c r="BH224" s="699"/>
      <c r="BI224" s="699"/>
      <c r="BJ224" s="699"/>
      <c r="BK224" s="699"/>
      <c r="BL224" s="699"/>
      <c r="BM224" s="699"/>
      <c r="BN224" s="699"/>
      <c r="BO224" s="699"/>
      <c r="BP224" s="699"/>
      <c r="BQ224" s="699"/>
      <c r="BR224" s="699"/>
      <c r="BS224" s="699"/>
      <c r="BT224" s="699"/>
      <c r="BU224" s="699"/>
      <c r="BV224" s="699"/>
      <c r="BW224" s="699"/>
      <c r="BX224" s="699"/>
      <c r="BY224" s="699"/>
      <c r="BZ224" s="699"/>
      <c r="CA224" s="699"/>
      <c r="CB224" s="699"/>
      <c r="CC224" s="699"/>
      <c r="CD224" s="699"/>
      <c r="CE224" s="699"/>
      <c r="CF224" s="699"/>
      <c r="CG224" s="699"/>
      <c r="CH224" s="699"/>
      <c r="CI224" s="699"/>
      <c r="CJ224" s="699"/>
      <c r="CK224" s="699"/>
      <c r="CL224" s="699"/>
      <c r="CM224" s="699"/>
      <c r="CN224" s="699"/>
      <c r="CO224" s="699"/>
      <c r="CP224" s="699"/>
      <c r="CQ224" s="699"/>
      <c r="CR224" s="699"/>
      <c r="CS224" s="699"/>
      <c r="CT224" s="699"/>
      <c r="CU224" s="699"/>
    </row>
    <row r="225" spans="1:99" ht="12" hidden="1" customHeight="1" x14ac:dyDescent="0.2">
      <c r="A225" s="699"/>
      <c r="BD225" s="699"/>
      <c r="BE225" s="699"/>
      <c r="BF225" s="699"/>
      <c r="BG225" s="699"/>
      <c r="BH225" s="699"/>
      <c r="BI225" s="699"/>
      <c r="BJ225" s="699"/>
      <c r="BK225" s="699"/>
      <c r="BL225" s="699"/>
      <c r="BM225" s="699"/>
      <c r="BN225" s="699"/>
      <c r="BO225" s="699"/>
      <c r="BP225" s="699"/>
      <c r="BQ225" s="699"/>
      <c r="BR225" s="699"/>
      <c r="BS225" s="699"/>
      <c r="BT225" s="699"/>
      <c r="BU225" s="699"/>
      <c r="BV225" s="699"/>
      <c r="BW225" s="699"/>
      <c r="BX225" s="699"/>
      <c r="BY225" s="699"/>
      <c r="BZ225" s="699"/>
      <c r="CA225" s="699"/>
      <c r="CB225" s="699"/>
      <c r="CC225" s="699"/>
      <c r="CD225" s="699"/>
      <c r="CE225" s="699"/>
      <c r="CF225" s="699"/>
      <c r="CG225" s="699"/>
      <c r="CH225" s="699"/>
      <c r="CI225" s="699"/>
      <c r="CJ225" s="699"/>
      <c r="CK225" s="699"/>
      <c r="CL225" s="699"/>
      <c r="CM225" s="699"/>
      <c r="CN225" s="699"/>
      <c r="CO225" s="699"/>
      <c r="CP225" s="699"/>
      <c r="CQ225" s="699"/>
      <c r="CR225" s="699"/>
      <c r="CS225" s="699"/>
      <c r="CT225" s="699"/>
      <c r="CU225" s="699"/>
    </row>
    <row r="226" spans="1:99" ht="12" hidden="1" customHeight="1" x14ac:dyDescent="0.2">
      <c r="A226" s="699"/>
      <c r="BD226" s="699"/>
      <c r="BE226" s="699"/>
      <c r="BF226" s="699"/>
      <c r="BG226" s="699"/>
      <c r="BH226" s="699"/>
      <c r="BI226" s="699"/>
      <c r="BJ226" s="699"/>
      <c r="BK226" s="699"/>
      <c r="BL226" s="699"/>
      <c r="BM226" s="699"/>
      <c r="BN226" s="699"/>
      <c r="BO226" s="699"/>
      <c r="BP226" s="699"/>
      <c r="BQ226" s="699"/>
      <c r="BR226" s="699"/>
      <c r="BS226" s="699"/>
      <c r="BT226" s="699"/>
      <c r="BU226" s="699"/>
      <c r="BV226" s="699"/>
      <c r="BW226" s="699"/>
      <c r="BX226" s="699"/>
      <c r="BY226" s="699"/>
      <c r="BZ226" s="699"/>
      <c r="CA226" s="699"/>
      <c r="CB226" s="699"/>
      <c r="CC226" s="699"/>
      <c r="CD226" s="699"/>
      <c r="CE226" s="699"/>
      <c r="CF226" s="699"/>
      <c r="CG226" s="699"/>
      <c r="CH226" s="699"/>
      <c r="CI226" s="699"/>
      <c r="CJ226" s="699"/>
      <c r="CK226" s="699"/>
      <c r="CL226" s="699"/>
      <c r="CM226" s="699"/>
      <c r="CN226" s="699"/>
      <c r="CO226" s="699"/>
      <c r="CP226" s="699"/>
      <c r="CQ226" s="699"/>
      <c r="CR226" s="699"/>
      <c r="CS226" s="699"/>
      <c r="CT226" s="699"/>
      <c r="CU226" s="699"/>
    </row>
    <row r="227" spans="1:99" ht="12" hidden="1" customHeight="1" x14ac:dyDescent="0.2">
      <c r="A227" s="699"/>
      <c r="BD227" s="699"/>
      <c r="BE227" s="699"/>
      <c r="BF227" s="699"/>
      <c r="BG227" s="699"/>
      <c r="BH227" s="699"/>
      <c r="BI227" s="699"/>
      <c r="BJ227" s="699"/>
      <c r="BK227" s="699"/>
      <c r="BL227" s="699"/>
      <c r="BM227" s="699"/>
      <c r="BN227" s="699"/>
      <c r="BO227" s="699"/>
      <c r="BP227" s="699"/>
      <c r="BQ227" s="699"/>
      <c r="BR227" s="699"/>
      <c r="BS227" s="699"/>
      <c r="BT227" s="699"/>
      <c r="BU227" s="699"/>
      <c r="BV227" s="699"/>
      <c r="BW227" s="699"/>
      <c r="BX227" s="699"/>
      <c r="BY227" s="699"/>
      <c r="BZ227" s="699"/>
      <c r="CA227" s="699"/>
      <c r="CB227" s="699"/>
      <c r="CC227" s="699"/>
      <c r="CD227" s="699"/>
      <c r="CE227" s="699"/>
      <c r="CF227" s="699"/>
      <c r="CG227" s="699"/>
      <c r="CH227" s="699"/>
      <c r="CI227" s="699"/>
      <c r="CJ227" s="699"/>
      <c r="CK227" s="699"/>
      <c r="CL227" s="699"/>
      <c r="CM227" s="699"/>
      <c r="CN227" s="699"/>
      <c r="CO227" s="699"/>
      <c r="CP227" s="699"/>
      <c r="CQ227" s="699"/>
      <c r="CR227" s="699"/>
      <c r="CS227" s="699"/>
      <c r="CT227" s="699"/>
      <c r="CU227" s="699"/>
    </row>
    <row r="228" spans="1:99" ht="12" hidden="1" customHeight="1" x14ac:dyDescent="0.2">
      <c r="BD228" s="699"/>
      <c r="BE228" s="699"/>
      <c r="BF228" s="699"/>
      <c r="BG228" s="699"/>
      <c r="BH228" s="699"/>
      <c r="BI228" s="699"/>
      <c r="BJ228" s="699"/>
      <c r="BK228" s="699"/>
      <c r="BL228" s="699"/>
      <c r="BM228" s="699"/>
      <c r="BN228" s="699"/>
      <c r="BO228" s="699"/>
      <c r="BP228" s="699"/>
      <c r="BQ228" s="699"/>
      <c r="BR228" s="699"/>
      <c r="BS228" s="699"/>
      <c r="BT228" s="699"/>
      <c r="BU228" s="699"/>
      <c r="BV228" s="699"/>
      <c r="BW228" s="699"/>
      <c r="BX228" s="699"/>
      <c r="BY228" s="699"/>
      <c r="BZ228" s="699"/>
      <c r="CA228" s="699"/>
      <c r="CB228" s="699"/>
      <c r="CC228" s="699"/>
      <c r="CD228" s="699"/>
      <c r="CE228" s="699"/>
      <c r="CF228" s="699"/>
      <c r="CG228" s="699"/>
      <c r="CH228" s="699"/>
      <c r="CI228" s="699"/>
      <c r="CJ228" s="699"/>
      <c r="CK228" s="699"/>
      <c r="CL228" s="699"/>
      <c r="CM228" s="699"/>
      <c r="CN228" s="699"/>
      <c r="CO228" s="699"/>
      <c r="CP228" s="699"/>
      <c r="CQ228" s="699"/>
      <c r="CR228" s="699"/>
      <c r="CS228" s="699"/>
      <c r="CT228" s="699"/>
      <c r="CU228" s="699"/>
    </row>
    <row r="229" spans="1:99" ht="12" hidden="1" customHeight="1" x14ac:dyDescent="0.2">
      <c r="BE229" s="699"/>
      <c r="BF229" s="699"/>
      <c r="BG229" s="699"/>
      <c r="BH229" s="699"/>
      <c r="BI229" s="699"/>
      <c r="BJ229" s="699"/>
      <c r="BK229" s="699"/>
      <c r="BL229" s="699"/>
      <c r="BM229" s="699"/>
      <c r="BN229" s="699"/>
      <c r="BO229" s="699"/>
      <c r="BP229" s="699"/>
      <c r="BQ229" s="699"/>
      <c r="BR229" s="699"/>
      <c r="BS229" s="699"/>
      <c r="BT229" s="699"/>
      <c r="BU229" s="699"/>
      <c r="BV229" s="699"/>
      <c r="BW229" s="699"/>
      <c r="BX229" s="699"/>
      <c r="BY229" s="699"/>
      <c r="BZ229" s="699"/>
      <c r="CA229" s="699"/>
      <c r="CB229" s="699"/>
      <c r="CC229" s="699"/>
      <c r="CD229" s="699"/>
      <c r="CE229" s="699"/>
      <c r="CF229" s="699"/>
      <c r="CG229" s="699"/>
      <c r="CH229" s="699"/>
      <c r="CI229" s="699"/>
      <c r="CJ229" s="699"/>
      <c r="CK229" s="699"/>
      <c r="CL229" s="699"/>
      <c r="CM229" s="699"/>
      <c r="CN229" s="699"/>
      <c r="CO229" s="699"/>
      <c r="CP229" s="699"/>
      <c r="CQ229" s="699"/>
      <c r="CR229" s="699"/>
      <c r="CS229" s="699"/>
      <c r="CT229" s="699"/>
      <c r="CU229" s="699"/>
    </row>
    <row r="230" spans="1:99" ht="12" hidden="1" customHeight="1" x14ac:dyDescent="0.2"/>
    <row r="231" spans="1:99" ht="12" hidden="1" customHeight="1" x14ac:dyDescent="0.2"/>
    <row r="232" spans="1:99" ht="12" hidden="1" customHeight="1" x14ac:dyDescent="0.2"/>
    <row r="233" spans="1:99" ht="12" hidden="1" customHeight="1" x14ac:dyDescent="0.2"/>
    <row r="234" spans="1:99" ht="12" hidden="1" customHeight="1" x14ac:dyDescent="0.2"/>
    <row r="235" spans="1:99" ht="12" hidden="1" customHeight="1" x14ac:dyDescent="0.2"/>
    <row r="236" spans="1:99" ht="12" hidden="1" customHeight="1" x14ac:dyDescent="0.2"/>
    <row r="237" spans="1:99" ht="12" hidden="1" customHeight="1" x14ac:dyDescent="0.2"/>
    <row r="238" spans="1:99" ht="12" hidden="1" customHeight="1" x14ac:dyDescent="0.2"/>
    <row r="239" spans="1:99" ht="12" hidden="1" customHeight="1" x14ac:dyDescent="0.2"/>
    <row r="240" spans="1:99" ht="12" hidden="1" customHeight="1" x14ac:dyDescent="0.2"/>
    <row r="241" spans="1:1" ht="12" hidden="1" customHeight="1" x14ac:dyDescent="0.2"/>
    <row r="242" spans="1:1" ht="12" hidden="1" customHeight="1" x14ac:dyDescent="0.2"/>
    <row r="243" spans="1:1" ht="12" hidden="1" customHeight="1" x14ac:dyDescent="0.2"/>
    <row r="244" spans="1:1" ht="12" hidden="1" customHeight="1" x14ac:dyDescent="0.2">
      <c r="A244" s="712"/>
    </row>
  </sheetData>
  <sheetProtection selectLockedCells="1"/>
  <mergeCells count="714">
    <mergeCell ref="B2:AC3"/>
    <mergeCell ref="AE2:AV3"/>
    <mergeCell ref="AX2:BH3"/>
    <mergeCell ref="BJ2:BT3"/>
    <mergeCell ref="BV2:CM3"/>
    <mergeCell ref="B6:X7"/>
    <mergeCell ref="Z6:BA7"/>
    <mergeCell ref="BC6:BQ7"/>
    <mergeCell ref="BS6:CM7"/>
    <mergeCell ref="AV10:BA11"/>
    <mergeCell ref="BC10:BM11"/>
    <mergeCell ref="BO10:BZ11"/>
    <mergeCell ref="CB10:CM11"/>
    <mergeCell ref="B14:AE15"/>
    <mergeCell ref="AG14:BC15"/>
    <mergeCell ref="BE14:CU15"/>
    <mergeCell ref="B10:D11"/>
    <mergeCell ref="F10:T11"/>
    <mergeCell ref="V10:AA11"/>
    <mergeCell ref="AC10:AH11"/>
    <mergeCell ref="AJ10:AN11"/>
    <mergeCell ref="AP10:AT11"/>
    <mergeCell ref="BY16:CC18"/>
    <mergeCell ref="CE16:CI18"/>
    <mergeCell ref="CK16:CO18"/>
    <mergeCell ref="CQ16:CU18"/>
    <mergeCell ref="B19:G20"/>
    <mergeCell ref="I19:M21"/>
    <mergeCell ref="O19:S21"/>
    <mergeCell ref="U19:Y21"/>
    <mergeCell ref="AA19:AE21"/>
    <mergeCell ref="AG19:AK21"/>
    <mergeCell ref="AM16:AQ18"/>
    <mergeCell ref="AS16:AW18"/>
    <mergeCell ref="AY16:BC18"/>
    <mergeCell ref="BE16:BP18"/>
    <mergeCell ref="BQ16:BS18"/>
    <mergeCell ref="BT16:BX18"/>
    <mergeCell ref="B16:G18"/>
    <mergeCell ref="I16:M18"/>
    <mergeCell ref="O16:S18"/>
    <mergeCell ref="U16:Y18"/>
    <mergeCell ref="AA16:AE18"/>
    <mergeCell ref="AG16:AK18"/>
    <mergeCell ref="CQ19:CU20"/>
    <mergeCell ref="B21:G21"/>
    <mergeCell ref="CQ21:CU22"/>
    <mergeCell ref="BE21:BP22"/>
    <mergeCell ref="BQ21:BS22"/>
    <mergeCell ref="BU21:BW22"/>
    <mergeCell ref="BY21:CC22"/>
    <mergeCell ref="CD21:CD22"/>
    <mergeCell ref="CE21:CI22"/>
    <mergeCell ref="CJ21:CJ22"/>
    <mergeCell ref="CK21:CO22"/>
    <mergeCell ref="U23:Y25"/>
    <mergeCell ref="AA23:AE25"/>
    <mergeCell ref="AG23:AK25"/>
    <mergeCell ref="AM23:AQ25"/>
    <mergeCell ref="AS23:AW25"/>
    <mergeCell ref="CE23:CI24"/>
    <mergeCell ref="CP19:CP20"/>
    <mergeCell ref="AM19:AQ21"/>
    <mergeCell ref="AS19:AW21"/>
    <mergeCell ref="AY19:BC21"/>
    <mergeCell ref="BE19:BP20"/>
    <mergeCell ref="BQ19:BS20"/>
    <mergeCell ref="BU19:BW20"/>
    <mergeCell ref="CP21:CP22"/>
    <mergeCell ref="BY19:CC20"/>
    <mergeCell ref="CD19:CD20"/>
    <mergeCell ref="CE19:CI20"/>
    <mergeCell ref="CJ19:CJ20"/>
    <mergeCell ref="CK19:CO20"/>
    <mergeCell ref="CJ23:CJ24"/>
    <mergeCell ref="CK23:CO24"/>
    <mergeCell ref="CP23:CP24"/>
    <mergeCell ref="CQ23:CU24"/>
    <mergeCell ref="B25:G25"/>
    <mergeCell ref="BE25:BP26"/>
    <mergeCell ref="BQ25:BS26"/>
    <mergeCell ref="BU25:BW26"/>
    <mergeCell ref="BY25:CC26"/>
    <mergeCell ref="AY23:BC25"/>
    <mergeCell ref="BE23:BP24"/>
    <mergeCell ref="BQ23:BS24"/>
    <mergeCell ref="BU23:BW24"/>
    <mergeCell ref="BY23:CC24"/>
    <mergeCell ref="CD23:CD24"/>
    <mergeCell ref="CD25:CD26"/>
    <mergeCell ref="CE25:CI26"/>
    <mergeCell ref="CJ25:CJ26"/>
    <mergeCell ref="CK25:CO26"/>
    <mergeCell ref="CP25:CP26"/>
    <mergeCell ref="CQ25:CU26"/>
    <mergeCell ref="B23:G24"/>
    <mergeCell ref="I23:M25"/>
    <mergeCell ref="O23:S25"/>
    <mergeCell ref="B27:G28"/>
    <mergeCell ref="I27:M29"/>
    <mergeCell ref="O27:S29"/>
    <mergeCell ref="U27:Y29"/>
    <mergeCell ref="AA27:AE29"/>
    <mergeCell ref="CP27:CP28"/>
    <mergeCell ref="CQ27:CU28"/>
    <mergeCell ref="B29:G29"/>
    <mergeCell ref="BE29:BP30"/>
    <mergeCell ref="BQ29:BS30"/>
    <mergeCell ref="BU29:BW30"/>
    <mergeCell ref="BY29:CC30"/>
    <mergeCell ref="CD29:CD30"/>
    <mergeCell ref="CE29:CI30"/>
    <mergeCell ref="CJ29:CJ30"/>
    <mergeCell ref="BU27:BW28"/>
    <mergeCell ref="BY27:CC28"/>
    <mergeCell ref="CD27:CD28"/>
    <mergeCell ref="CE27:CI28"/>
    <mergeCell ref="CJ27:CJ28"/>
    <mergeCell ref="CK27:CO28"/>
    <mergeCell ref="AG27:AK29"/>
    <mergeCell ref="AM27:AQ29"/>
    <mergeCell ref="AS27:AW29"/>
    <mergeCell ref="AY27:BC29"/>
    <mergeCell ref="BE27:BP28"/>
    <mergeCell ref="BQ27:BS28"/>
    <mergeCell ref="CK29:CO30"/>
    <mergeCell ref="CP29:CP30"/>
    <mergeCell ref="CQ29:CU30"/>
    <mergeCell ref="B31:G32"/>
    <mergeCell ref="I31:M33"/>
    <mergeCell ref="O31:S33"/>
    <mergeCell ref="U31:Y33"/>
    <mergeCell ref="AA31:AE33"/>
    <mergeCell ref="AG31:AK33"/>
    <mergeCell ref="AM31:AQ33"/>
    <mergeCell ref="CD31:CD32"/>
    <mergeCell ref="CE31:CI32"/>
    <mergeCell ref="CJ31:CJ32"/>
    <mergeCell ref="CK31:CO32"/>
    <mergeCell ref="CP31:CP32"/>
    <mergeCell ref="CQ31:CU32"/>
    <mergeCell ref="AS31:AW33"/>
    <mergeCell ref="AY31:BC33"/>
    <mergeCell ref="BE31:BP32"/>
    <mergeCell ref="BQ31:BS32"/>
    <mergeCell ref="BU31:BW32"/>
    <mergeCell ref="BY31:CC32"/>
    <mergeCell ref="CE33:CI34"/>
    <mergeCell ref="CJ33:CJ34"/>
    <mergeCell ref="CK33:CO34"/>
    <mergeCell ref="CP33:CP34"/>
    <mergeCell ref="CQ33:CU34"/>
    <mergeCell ref="B35:G36"/>
    <mergeCell ref="I35:M37"/>
    <mergeCell ref="O35:S37"/>
    <mergeCell ref="U35:Y37"/>
    <mergeCell ref="AA35:AE37"/>
    <mergeCell ref="B33:G33"/>
    <mergeCell ref="BE33:BP34"/>
    <mergeCell ref="BQ33:BS34"/>
    <mergeCell ref="BU33:BW34"/>
    <mergeCell ref="BY33:CC34"/>
    <mergeCell ref="CD33:CD34"/>
    <mergeCell ref="CP35:CP36"/>
    <mergeCell ref="CQ35:CU36"/>
    <mergeCell ref="B37:G37"/>
    <mergeCell ref="BE37:BP38"/>
    <mergeCell ref="BQ37:BS38"/>
    <mergeCell ref="BU37:BW38"/>
    <mergeCell ref="BY37:CC38"/>
    <mergeCell ref="AG35:AK37"/>
    <mergeCell ref="AM35:AQ37"/>
    <mergeCell ref="AS35:AW37"/>
    <mergeCell ref="AY35:BC37"/>
    <mergeCell ref="BE35:BP36"/>
    <mergeCell ref="BQ35:BS36"/>
    <mergeCell ref="CK37:CO38"/>
    <mergeCell ref="CP37:CP38"/>
    <mergeCell ref="CQ37:CU38"/>
    <mergeCell ref="CD37:CD38"/>
    <mergeCell ref="CE37:CI38"/>
    <mergeCell ref="CJ37:CJ38"/>
    <mergeCell ref="BU35:BW36"/>
    <mergeCell ref="BY35:CC36"/>
    <mergeCell ref="CD35:CD36"/>
    <mergeCell ref="CE35:CI36"/>
    <mergeCell ref="CJ35:CJ36"/>
    <mergeCell ref="CK35:CO36"/>
    <mergeCell ref="B39:G40"/>
    <mergeCell ref="I39:M41"/>
    <mergeCell ref="O39:S41"/>
    <mergeCell ref="U39:Y41"/>
    <mergeCell ref="AA39:AE41"/>
    <mergeCell ref="AG39:AK41"/>
    <mergeCell ref="AM39:AQ41"/>
    <mergeCell ref="CD39:CD40"/>
    <mergeCell ref="CE39:CI40"/>
    <mergeCell ref="B41:G41"/>
    <mergeCell ref="CJ39:CJ40"/>
    <mergeCell ref="CK39:CO40"/>
    <mergeCell ref="CP39:CP40"/>
    <mergeCell ref="CQ39:CU40"/>
    <mergeCell ref="AS39:AW41"/>
    <mergeCell ref="AY39:BC41"/>
    <mergeCell ref="BE39:BP40"/>
    <mergeCell ref="BQ39:BS40"/>
    <mergeCell ref="BU39:BW40"/>
    <mergeCell ref="BY39:CC40"/>
    <mergeCell ref="CK41:CO42"/>
    <mergeCell ref="CP41:CP42"/>
    <mergeCell ref="CQ41:CU42"/>
    <mergeCell ref="BE41:BK42"/>
    <mergeCell ref="BL41:BP42"/>
    <mergeCell ref="BQ41:BS42"/>
    <mergeCell ref="BU41:BW42"/>
    <mergeCell ref="BY41:CC42"/>
    <mergeCell ref="B43:BC44"/>
    <mergeCell ref="BE43:BP44"/>
    <mergeCell ref="BQ43:BS44"/>
    <mergeCell ref="BU43:BW44"/>
    <mergeCell ref="BY43:CC44"/>
    <mergeCell ref="CD43:CD44"/>
    <mergeCell ref="CD41:CD42"/>
    <mergeCell ref="CE41:CI42"/>
    <mergeCell ref="CJ41:CJ42"/>
    <mergeCell ref="CE43:CI44"/>
    <mergeCell ref="CJ43:CJ44"/>
    <mergeCell ref="CK43:CO44"/>
    <mergeCell ref="CP43:CP44"/>
    <mergeCell ref="CQ43:CU44"/>
    <mergeCell ref="BE45:BP46"/>
    <mergeCell ref="BQ45:BS46"/>
    <mergeCell ref="BU45:BW46"/>
    <mergeCell ref="BY45:CC46"/>
    <mergeCell ref="CD45:CD46"/>
    <mergeCell ref="CE47:CI48"/>
    <mergeCell ref="CJ47:CJ48"/>
    <mergeCell ref="CK47:CO48"/>
    <mergeCell ref="CP47:CP48"/>
    <mergeCell ref="CQ47:CU48"/>
    <mergeCell ref="CJ45:CJ46"/>
    <mergeCell ref="CK45:CO46"/>
    <mergeCell ref="CP45:CP46"/>
    <mergeCell ref="CQ45:CU46"/>
    <mergeCell ref="B48:G48"/>
    <mergeCell ref="Y48:AD48"/>
    <mergeCell ref="AK46:AT48"/>
    <mergeCell ref="BE47:BP48"/>
    <mergeCell ref="BQ47:BS48"/>
    <mergeCell ref="BU47:BW48"/>
    <mergeCell ref="BY47:CC48"/>
    <mergeCell ref="CD47:CD48"/>
    <mergeCell ref="CE45:CI46"/>
    <mergeCell ref="B46:G47"/>
    <mergeCell ref="I46:L48"/>
    <mergeCell ref="N46:W48"/>
    <mergeCell ref="Y46:AD47"/>
    <mergeCell ref="AF46:AI48"/>
    <mergeCell ref="CK49:CO50"/>
    <mergeCell ref="CP49:CP50"/>
    <mergeCell ref="CQ49:CU50"/>
    <mergeCell ref="B51:G52"/>
    <mergeCell ref="I51:L53"/>
    <mergeCell ref="M51:M53"/>
    <mergeCell ref="N51:Q53"/>
    <mergeCell ref="R51:R53"/>
    <mergeCell ref="S51:V53"/>
    <mergeCell ref="W51:W53"/>
    <mergeCell ref="BQ49:BS50"/>
    <mergeCell ref="BU49:BW50"/>
    <mergeCell ref="BY49:CC50"/>
    <mergeCell ref="CD49:CD50"/>
    <mergeCell ref="CE49:CI50"/>
    <mergeCell ref="CJ49:CJ50"/>
    <mergeCell ref="I49:L49"/>
    <mergeCell ref="N49:W49"/>
    <mergeCell ref="AF49:AI49"/>
    <mergeCell ref="AK49:AT49"/>
    <mergeCell ref="AW49:BC50"/>
    <mergeCell ref="BE49:BP50"/>
    <mergeCell ref="CK51:CO52"/>
    <mergeCell ref="CP51:CP52"/>
    <mergeCell ref="CQ51:CU52"/>
    <mergeCell ref="B53:G53"/>
    <mergeCell ref="BE53:BP54"/>
    <mergeCell ref="BQ53:BS54"/>
    <mergeCell ref="BU53:BW54"/>
    <mergeCell ref="BY53:CC54"/>
    <mergeCell ref="CD53:CD54"/>
    <mergeCell ref="CE53:CI54"/>
    <mergeCell ref="BQ51:BS52"/>
    <mergeCell ref="BU51:BW52"/>
    <mergeCell ref="BY51:CC52"/>
    <mergeCell ref="CD51:CD52"/>
    <mergeCell ref="CE51:CI52"/>
    <mergeCell ref="CJ51:CJ52"/>
    <mergeCell ref="X51:AA53"/>
    <mergeCell ref="AB51:AB53"/>
    <mergeCell ref="AC51:AF53"/>
    <mergeCell ref="AI51:AR53"/>
    <mergeCell ref="AT51:BC53"/>
    <mergeCell ref="BE51:BP52"/>
    <mergeCell ref="AT54:BC55"/>
    <mergeCell ref="BE56:CU57"/>
    <mergeCell ref="B57:U58"/>
    <mergeCell ref="V58:AA58"/>
    <mergeCell ref="AB58:AF58"/>
    <mergeCell ref="AG58:AK58"/>
    <mergeCell ref="AL58:AP58"/>
    <mergeCell ref="AQ58:BC58"/>
    <mergeCell ref="CJ53:CJ54"/>
    <mergeCell ref="CK53:CO54"/>
    <mergeCell ref="CP53:CP54"/>
    <mergeCell ref="CQ53:CU54"/>
    <mergeCell ref="I54:L55"/>
    <mergeCell ref="N54:Q55"/>
    <mergeCell ref="S54:V55"/>
    <mergeCell ref="W54:AB55"/>
    <mergeCell ref="AC54:AF55"/>
    <mergeCell ref="AI54:AR55"/>
    <mergeCell ref="BE59:BL61"/>
    <mergeCell ref="BN59:BQ61"/>
    <mergeCell ref="BS59:BZ61"/>
    <mergeCell ref="CB59:CU61"/>
    <mergeCell ref="B62:I62"/>
    <mergeCell ref="J62:BC62"/>
    <mergeCell ref="B59:U61"/>
    <mergeCell ref="V59:AA61"/>
    <mergeCell ref="AB59:AF61"/>
    <mergeCell ref="AG59:AK61"/>
    <mergeCell ref="AL59:AP61"/>
    <mergeCell ref="AQ59:BC61"/>
    <mergeCell ref="B63:I65"/>
    <mergeCell ref="J63:BC65"/>
    <mergeCell ref="BE63:BJ66"/>
    <mergeCell ref="BK63:CU66"/>
    <mergeCell ref="B67:U68"/>
    <mergeCell ref="V68:AA68"/>
    <mergeCell ref="AB68:AF68"/>
    <mergeCell ref="AG68:BC68"/>
    <mergeCell ref="BE68:BJ71"/>
    <mergeCell ref="BK68:CU71"/>
    <mergeCell ref="B69:U71"/>
    <mergeCell ref="V69:AA71"/>
    <mergeCell ref="AB69:AF71"/>
    <mergeCell ref="AG69:BC71"/>
    <mergeCell ref="B73:BC74"/>
    <mergeCell ref="BE73:BJ76"/>
    <mergeCell ref="AZ76:BC78"/>
    <mergeCell ref="B78:J78"/>
    <mergeCell ref="AA78:AH78"/>
    <mergeCell ref="BE78:CU79"/>
    <mergeCell ref="B79:K80"/>
    <mergeCell ref="L79:O80"/>
    <mergeCell ref="Q79:T80"/>
    <mergeCell ref="U79:Z80"/>
    <mergeCell ref="AA79:AH80"/>
    <mergeCell ref="AJ79:AO80"/>
    <mergeCell ref="BK73:CU76"/>
    <mergeCell ref="B76:J77"/>
    <mergeCell ref="L76:O78"/>
    <mergeCell ref="P76:P78"/>
    <mergeCell ref="Q76:T78"/>
    <mergeCell ref="U76:U78"/>
    <mergeCell ref="V76:Y78"/>
    <mergeCell ref="AA76:AH77"/>
    <mergeCell ref="AJ76:AN78"/>
    <mergeCell ref="AP76:AX78"/>
    <mergeCell ref="BE83:BN84"/>
    <mergeCell ref="BP83:BY84"/>
    <mergeCell ref="CA83:CJ84"/>
    <mergeCell ref="CL83:CU84"/>
    <mergeCell ref="B84:J84"/>
    <mergeCell ref="AA84:AN84"/>
    <mergeCell ref="AA82:AN83"/>
    <mergeCell ref="AP82:AS84"/>
    <mergeCell ref="AT82:AT84"/>
    <mergeCell ref="AU82:AX84"/>
    <mergeCell ref="AY82:AY84"/>
    <mergeCell ref="AZ82:BC84"/>
    <mergeCell ref="BE81:BN82"/>
    <mergeCell ref="BP81:BY82"/>
    <mergeCell ref="CA81:CJ82"/>
    <mergeCell ref="CL81:CU82"/>
    <mergeCell ref="B82:J83"/>
    <mergeCell ref="L82:O84"/>
    <mergeCell ref="P82:P84"/>
    <mergeCell ref="Q82:T84"/>
    <mergeCell ref="U82:U84"/>
    <mergeCell ref="V82:Y84"/>
    <mergeCell ref="BP85:BY86"/>
    <mergeCell ref="CA85:CJ86"/>
    <mergeCell ref="CL85:CU86"/>
    <mergeCell ref="BE87:BN88"/>
    <mergeCell ref="BP87:BY88"/>
    <mergeCell ref="CA87:CJ88"/>
    <mergeCell ref="CL87:CU88"/>
    <mergeCell ref="B85:K86"/>
    <mergeCell ref="L85:O86"/>
    <mergeCell ref="P85:U86"/>
    <mergeCell ref="V85:Y86"/>
    <mergeCell ref="AP85:AS86"/>
    <mergeCell ref="AT85:AY86"/>
    <mergeCell ref="B88:U89"/>
    <mergeCell ref="V89:AA89"/>
    <mergeCell ref="AB89:AP89"/>
    <mergeCell ref="AQ89:BC89"/>
    <mergeCell ref="AQ90:BC92"/>
    <mergeCell ref="AZ85:BC86"/>
    <mergeCell ref="B97:H98"/>
    <mergeCell ref="I97:S98"/>
    <mergeCell ref="U97:U98"/>
    <mergeCell ref="V97:V98"/>
    <mergeCell ref="W97:W98"/>
    <mergeCell ref="X97:X98"/>
    <mergeCell ref="BE85:BN86"/>
    <mergeCell ref="BE91:CU92"/>
    <mergeCell ref="B93:I93"/>
    <mergeCell ref="J93:BC93"/>
    <mergeCell ref="B94:I96"/>
    <mergeCell ref="J94:BC96"/>
    <mergeCell ref="BE94:BY95"/>
    <mergeCell ref="CA94:CU95"/>
    <mergeCell ref="AI97:AI98"/>
    <mergeCell ref="AJ97:AJ98"/>
    <mergeCell ref="AK97:AK98"/>
    <mergeCell ref="AM97:AM98"/>
    <mergeCell ref="Y97:Y98"/>
    <mergeCell ref="AA97:AA98"/>
    <mergeCell ref="AB97:AB98"/>
    <mergeCell ref="AC97:AC98"/>
    <mergeCell ref="AD97:AD98"/>
    <mergeCell ref="AE97:AE98"/>
    <mergeCell ref="BB97:BB98"/>
    <mergeCell ref="BC97:BC98"/>
    <mergeCell ref="BE97:BY99"/>
    <mergeCell ref="CA97:CU99"/>
    <mergeCell ref="B90:U92"/>
    <mergeCell ref="V90:AA92"/>
    <mergeCell ref="AB90:AP92"/>
    <mergeCell ref="B100:U101"/>
    <mergeCell ref="V101:AA101"/>
    <mergeCell ref="AB101:AP101"/>
    <mergeCell ref="AQ101:BC101"/>
    <mergeCell ref="BE101:BY102"/>
    <mergeCell ref="CA101:CU102"/>
    <mergeCell ref="AU97:AU98"/>
    <mergeCell ref="AV97:AV98"/>
    <mergeCell ref="AW97:AW98"/>
    <mergeCell ref="AY97:AY98"/>
    <mergeCell ref="AZ97:AZ98"/>
    <mergeCell ref="BA97:BA98"/>
    <mergeCell ref="AN97:AN98"/>
    <mergeCell ref="AO97:AO98"/>
    <mergeCell ref="AP97:AP98"/>
    <mergeCell ref="AQ97:AQ98"/>
    <mergeCell ref="AS97:AS98"/>
    <mergeCell ref="AT97:AT98"/>
    <mergeCell ref="AG97:AG98"/>
    <mergeCell ref="AH97:AH98"/>
    <mergeCell ref="B102:U104"/>
    <mergeCell ref="V102:AA104"/>
    <mergeCell ref="AB102:AP104"/>
    <mergeCell ref="AQ102:BC104"/>
    <mergeCell ref="BE104:BY106"/>
    <mergeCell ref="CA104:CU106"/>
    <mergeCell ref="B105:I105"/>
    <mergeCell ref="J105:BC105"/>
    <mergeCell ref="B106:I108"/>
    <mergeCell ref="J106:BC108"/>
    <mergeCell ref="AB109:AB110"/>
    <mergeCell ref="AC109:AC110"/>
    <mergeCell ref="AD109:AD110"/>
    <mergeCell ref="AE109:AE110"/>
    <mergeCell ref="AG109:AG110"/>
    <mergeCell ref="AH109:AH110"/>
    <mergeCell ref="BE108:BY109"/>
    <mergeCell ref="CA108:CU109"/>
    <mergeCell ref="B109:H110"/>
    <mergeCell ref="I109:S110"/>
    <mergeCell ref="U109:U110"/>
    <mergeCell ref="V109:V110"/>
    <mergeCell ref="W109:W110"/>
    <mergeCell ref="X109:X110"/>
    <mergeCell ref="Y109:Y110"/>
    <mergeCell ref="AA109:AA110"/>
    <mergeCell ref="BE111:BY113"/>
    <mergeCell ref="CA111:CU113"/>
    <mergeCell ref="B112:U113"/>
    <mergeCell ref="V113:AA113"/>
    <mergeCell ref="AB113:AP113"/>
    <mergeCell ref="AQ113:BC113"/>
    <mergeCell ref="AW109:AW110"/>
    <mergeCell ref="AY109:AY110"/>
    <mergeCell ref="AZ109:AZ110"/>
    <mergeCell ref="BA109:BA110"/>
    <mergeCell ref="BB109:BB110"/>
    <mergeCell ref="BC109:BC110"/>
    <mergeCell ref="AP109:AP110"/>
    <mergeCell ref="AQ109:AQ110"/>
    <mergeCell ref="AS109:AS110"/>
    <mergeCell ref="AT109:AT110"/>
    <mergeCell ref="AU109:AU110"/>
    <mergeCell ref="AV109:AV110"/>
    <mergeCell ref="AI109:AI110"/>
    <mergeCell ref="AJ109:AJ110"/>
    <mergeCell ref="AK109:AK110"/>
    <mergeCell ref="AM109:AM110"/>
    <mergeCell ref="AN109:AN110"/>
    <mergeCell ref="AO109:AO110"/>
    <mergeCell ref="B117:I117"/>
    <mergeCell ref="J117:BC117"/>
    <mergeCell ref="B118:I120"/>
    <mergeCell ref="J118:BC120"/>
    <mergeCell ref="BE118:BY120"/>
    <mergeCell ref="CA118:CU120"/>
    <mergeCell ref="B114:U116"/>
    <mergeCell ref="V114:AA116"/>
    <mergeCell ref="AB114:AP116"/>
    <mergeCell ref="AQ114:BC116"/>
    <mergeCell ref="BE115:BY116"/>
    <mergeCell ref="CA115:CU116"/>
    <mergeCell ref="CA122:CU123"/>
    <mergeCell ref="B124:U125"/>
    <mergeCell ref="V125:AA125"/>
    <mergeCell ref="AB125:AP125"/>
    <mergeCell ref="AQ125:BC125"/>
    <mergeCell ref="BE125:BY127"/>
    <mergeCell ref="CA125:CU127"/>
    <mergeCell ref="AU121:AU122"/>
    <mergeCell ref="AV121:AV122"/>
    <mergeCell ref="AW121:AW122"/>
    <mergeCell ref="AY121:AY122"/>
    <mergeCell ref="AZ121:AZ122"/>
    <mergeCell ref="BA121:BA122"/>
    <mergeCell ref="AN121:AN122"/>
    <mergeCell ref="AO121:AO122"/>
    <mergeCell ref="AP121:AP122"/>
    <mergeCell ref="AQ121:AQ122"/>
    <mergeCell ref="AS121:AS122"/>
    <mergeCell ref="AT121:AT122"/>
    <mergeCell ref="AG121:AG122"/>
    <mergeCell ref="AH121:AH122"/>
    <mergeCell ref="AI121:AI122"/>
    <mergeCell ref="AJ121:AJ122"/>
    <mergeCell ref="AK121:AK122"/>
    <mergeCell ref="BE122:BY123"/>
    <mergeCell ref="AM121:AM122"/>
    <mergeCell ref="Y121:Y122"/>
    <mergeCell ref="AA121:AA122"/>
    <mergeCell ref="AB121:AB122"/>
    <mergeCell ref="AC121:AC122"/>
    <mergeCell ref="AD121:AD122"/>
    <mergeCell ref="AE121:AE122"/>
    <mergeCell ref="B121:H122"/>
    <mergeCell ref="I121:S122"/>
    <mergeCell ref="U121:U122"/>
    <mergeCell ref="V121:V122"/>
    <mergeCell ref="W121:W122"/>
    <mergeCell ref="X121:X122"/>
    <mergeCell ref="BB133:BB134"/>
    <mergeCell ref="BC133:BC134"/>
    <mergeCell ref="B126:U128"/>
    <mergeCell ref="V126:AA128"/>
    <mergeCell ref="AB126:AP128"/>
    <mergeCell ref="AQ126:BC128"/>
    <mergeCell ref="B129:I129"/>
    <mergeCell ref="J129:BC129"/>
    <mergeCell ref="BB121:BB122"/>
    <mergeCell ref="BC121:BC122"/>
    <mergeCell ref="AD133:AD134"/>
    <mergeCell ref="AE133:AE134"/>
    <mergeCell ref="AG133:AG134"/>
    <mergeCell ref="AH133:AH134"/>
    <mergeCell ref="CA129:CU130"/>
    <mergeCell ref="B130:I132"/>
    <mergeCell ref="J130:BC132"/>
    <mergeCell ref="BE132:BY134"/>
    <mergeCell ref="CA132:CU134"/>
    <mergeCell ref="B133:H134"/>
    <mergeCell ref="I133:S134"/>
    <mergeCell ref="U133:U134"/>
    <mergeCell ref="V133:V134"/>
    <mergeCell ref="AI133:AI134"/>
    <mergeCell ref="AJ133:AJ134"/>
    <mergeCell ref="W133:W134"/>
    <mergeCell ref="X133:X134"/>
    <mergeCell ref="Y133:Y134"/>
    <mergeCell ref="AA133:AA134"/>
    <mergeCell ref="AB133:AB134"/>
    <mergeCell ref="AC133:AC134"/>
    <mergeCell ref="BE129:BY130"/>
    <mergeCell ref="AZ133:AZ134"/>
    <mergeCell ref="BA133:BA134"/>
    <mergeCell ref="AS133:AS134"/>
    <mergeCell ref="AT133:AT134"/>
    <mergeCell ref="AU133:AU134"/>
    <mergeCell ref="AV133:AV134"/>
    <mergeCell ref="AW133:AW134"/>
    <mergeCell ref="AY133:AY134"/>
    <mergeCell ref="AK133:AK134"/>
    <mergeCell ref="AM133:AM134"/>
    <mergeCell ref="AN133:AN134"/>
    <mergeCell ref="AO133:AO134"/>
    <mergeCell ref="AP133:AP134"/>
    <mergeCell ref="AQ133:AQ134"/>
    <mergeCell ref="BE137:BY138"/>
    <mergeCell ref="CA137:CU138"/>
    <mergeCell ref="B138:U140"/>
    <mergeCell ref="V138:AA140"/>
    <mergeCell ref="AB138:AP140"/>
    <mergeCell ref="AQ138:BC140"/>
    <mergeCell ref="BE140:BO142"/>
    <mergeCell ref="B141:I141"/>
    <mergeCell ref="J141:BC141"/>
    <mergeCell ref="BP141:BY142"/>
    <mergeCell ref="B136:U137"/>
    <mergeCell ref="V137:AA137"/>
    <mergeCell ref="AB137:AP137"/>
    <mergeCell ref="AQ137:BC137"/>
    <mergeCell ref="Y145:Y146"/>
    <mergeCell ref="AA145:AA146"/>
    <mergeCell ref="AB145:AB146"/>
    <mergeCell ref="AC145:AC146"/>
    <mergeCell ref="AD145:AD146"/>
    <mergeCell ref="AE145:AE146"/>
    <mergeCell ref="CA141:CJ142"/>
    <mergeCell ref="CL141:CT142"/>
    <mergeCell ref="B142:I144"/>
    <mergeCell ref="J142:BC144"/>
    <mergeCell ref="B145:H146"/>
    <mergeCell ref="I145:S146"/>
    <mergeCell ref="U145:U146"/>
    <mergeCell ref="V145:V146"/>
    <mergeCell ref="W145:W146"/>
    <mergeCell ref="X145:X146"/>
    <mergeCell ref="AN145:AN146"/>
    <mergeCell ref="AO145:AO146"/>
    <mergeCell ref="AP145:AP146"/>
    <mergeCell ref="AQ145:AQ146"/>
    <mergeCell ref="AS145:AS146"/>
    <mergeCell ref="AT145:AT146"/>
    <mergeCell ref="AG145:AG146"/>
    <mergeCell ref="AH145:AH146"/>
    <mergeCell ref="AI145:AI146"/>
    <mergeCell ref="AJ145:AJ146"/>
    <mergeCell ref="AK145:AK146"/>
    <mergeCell ref="AM145:AM146"/>
    <mergeCell ref="BB145:BB146"/>
    <mergeCell ref="BC145:BC146"/>
    <mergeCell ref="CA145:CJ146"/>
    <mergeCell ref="CL145:CT146"/>
    <mergeCell ref="BE146:BO147"/>
    <mergeCell ref="BP146:BY147"/>
    <mergeCell ref="AU145:AU146"/>
    <mergeCell ref="AV145:AV146"/>
    <mergeCell ref="AW145:AW146"/>
    <mergeCell ref="AY145:AY146"/>
    <mergeCell ref="AZ145:AZ146"/>
    <mergeCell ref="BA145:BA146"/>
    <mergeCell ref="B148:U149"/>
    <mergeCell ref="V149:AA149"/>
    <mergeCell ref="AB149:AP149"/>
    <mergeCell ref="AQ149:BC149"/>
    <mergeCell ref="CA149:CJ150"/>
    <mergeCell ref="CL149:CT150"/>
    <mergeCell ref="B150:U152"/>
    <mergeCell ref="V150:AA152"/>
    <mergeCell ref="AB150:AP152"/>
    <mergeCell ref="AQ150:BC152"/>
    <mergeCell ref="BE151:BO152"/>
    <mergeCell ref="BP151:BY152"/>
    <mergeCell ref="B153:I153"/>
    <mergeCell ref="J153:BC153"/>
    <mergeCell ref="CA153:CJ154"/>
    <mergeCell ref="CL153:CT154"/>
    <mergeCell ref="B154:I156"/>
    <mergeCell ref="J154:BC156"/>
    <mergeCell ref="BE156:BO157"/>
    <mergeCell ref="BP156:BY157"/>
    <mergeCell ref="Y157:Y158"/>
    <mergeCell ref="AA157:AA158"/>
    <mergeCell ref="AB157:AB158"/>
    <mergeCell ref="AC157:AC158"/>
    <mergeCell ref="AD157:AD158"/>
    <mergeCell ref="AE157:AE158"/>
    <mergeCell ref="B157:H158"/>
    <mergeCell ref="I157:S158"/>
    <mergeCell ref="U157:U158"/>
    <mergeCell ref="V157:V158"/>
    <mergeCell ref="W157:W158"/>
    <mergeCell ref="X157:X158"/>
    <mergeCell ref="AN157:AN158"/>
    <mergeCell ref="AO157:AO158"/>
    <mergeCell ref="AP157:AP158"/>
    <mergeCell ref="AQ157:AQ158"/>
    <mergeCell ref="AS157:AS158"/>
    <mergeCell ref="AT157:AT158"/>
    <mergeCell ref="AG157:AG158"/>
    <mergeCell ref="AH157:AH158"/>
    <mergeCell ref="AI157:AI158"/>
    <mergeCell ref="AJ157:AJ158"/>
    <mergeCell ref="AK157:AK158"/>
    <mergeCell ref="AM157:AM158"/>
    <mergeCell ref="BB157:BB158"/>
    <mergeCell ref="BC157:BC158"/>
    <mergeCell ref="CA157:CJ158"/>
    <mergeCell ref="CL157:CT158"/>
    <mergeCell ref="AU157:AU158"/>
    <mergeCell ref="AV157:AV158"/>
    <mergeCell ref="AW157:AW158"/>
    <mergeCell ref="AY157:AY158"/>
    <mergeCell ref="AZ157:AZ158"/>
    <mergeCell ref="BA157:BA158"/>
  </mergeCells>
  <conditionalFormatting sqref="I19:M21">
    <cfRule type="expression" dxfId="32" priority="18">
      <formula>IF($U19="",FALSE,IF($U19&lt;$N19,TRUE,FALSE))</formula>
    </cfRule>
    <cfRule type="expression" dxfId="31" priority="19">
      <formula>IF($U19="",FALSE,IF($U19&gt;$N19,TRUE,FALSE))</formula>
    </cfRule>
  </conditionalFormatting>
  <conditionalFormatting sqref="I23:M25">
    <cfRule type="expression" dxfId="30" priority="16">
      <formula>IF($U23="",FALSE,IF($U23&lt;$N23,TRUE,FALSE))</formula>
    </cfRule>
    <cfRule type="expression" dxfId="29" priority="17">
      <formula>IF($U23="",FALSE,IF($U23&gt;$N23,TRUE,FALSE))</formula>
    </cfRule>
  </conditionalFormatting>
  <conditionalFormatting sqref="I27:M29">
    <cfRule type="expression" dxfId="28" priority="14">
      <formula>IF($U27="",FALSE,IF($U27&lt;$N27,TRUE,FALSE))</formula>
    </cfRule>
    <cfRule type="expression" dxfId="27" priority="15">
      <formula>IF($U27="",FALSE,IF($U27&gt;$N27,TRUE,FALSE))</formula>
    </cfRule>
  </conditionalFormatting>
  <conditionalFormatting sqref="I31:M33">
    <cfRule type="expression" dxfId="26" priority="12">
      <formula>IF($U31="",FALSE,IF($U31&lt;$N31,TRUE,FALSE))</formula>
    </cfRule>
    <cfRule type="expression" dxfId="25" priority="13">
      <formula>IF($U31="",FALSE,IF($U31&gt;$N31,TRUE,FALSE))</formula>
    </cfRule>
  </conditionalFormatting>
  <conditionalFormatting sqref="I35:M37">
    <cfRule type="expression" dxfId="24" priority="10">
      <formula>IF($U35="",FALSE,IF($U35&lt;$N35,TRUE,FALSE))</formula>
    </cfRule>
    <cfRule type="expression" dxfId="23" priority="11">
      <formula>IF($U35="",FALSE,IF($U35&gt;$N35,TRUE,FALSE))</formula>
    </cfRule>
  </conditionalFormatting>
  <conditionalFormatting sqref="I39:M41">
    <cfRule type="expression" dxfId="22" priority="8">
      <formula>IF($U39="",FALSE,IF($U39&lt;$N39,TRUE,FALSE))</formula>
    </cfRule>
    <cfRule type="expression" dxfId="21" priority="9">
      <formula>IF($U39="",FALSE,IF($U39&gt;$N39,TRUE,FALSE))</formula>
    </cfRule>
  </conditionalFormatting>
  <conditionalFormatting sqref="N19">
    <cfRule type="expression" dxfId="20" priority="7">
      <formula>IF($U19="",TRUE,IF($U19=$N19,TRUE,FALSE))</formula>
    </cfRule>
  </conditionalFormatting>
  <conditionalFormatting sqref="N23">
    <cfRule type="expression" dxfId="19" priority="6">
      <formula>IF($U23="",TRUE,IF($U23=$N23,TRUE,FALSE))</formula>
    </cfRule>
  </conditionalFormatting>
  <conditionalFormatting sqref="N27">
    <cfRule type="expression" dxfId="18" priority="5">
      <formula>IF($U27="",TRUE,IF($U27=$N27,TRUE,FALSE))</formula>
    </cfRule>
  </conditionalFormatting>
  <conditionalFormatting sqref="N31">
    <cfRule type="expression" dxfId="17" priority="4">
      <formula>IF($U31="",TRUE,IF($U31=$N31,TRUE,FALSE))</formula>
    </cfRule>
  </conditionalFormatting>
  <conditionalFormatting sqref="N35">
    <cfRule type="expression" dxfId="16" priority="3">
      <formula>IF($U35="",TRUE,IF($U35=$N35,TRUE,FALSE))</formula>
    </cfRule>
  </conditionalFormatting>
  <conditionalFormatting sqref="N39">
    <cfRule type="expression" dxfId="15" priority="2">
      <formula>IF($U39="",TRUE,IF($U39=$N39,TRUE,FALSE))</formula>
    </cfRule>
  </conditionalFormatting>
  <dataValidations count="1">
    <dataValidation type="whole" errorStyle="information" allowBlank="1" showInputMessage="1" showErrorMessage="1" errorTitle="Out of Range" sqref="U39:Y41 U35:Y37 U31:Y33 U27:Y29 U23:Y25 U19:Y21">
      <formula1>1</formula1>
      <formula2>30</formula2>
    </dataValidation>
  </dataValidations>
  <printOptions horizontalCentered="1"/>
  <pageMargins left="0.19685039370078741" right="0.19685039370078741" top="0.19685039370078741" bottom="0.19685039370078741" header="0" footer="0"/>
  <pageSetup scale="40" orientation="portrait" r:id="rId1"/>
  <headerFooter scaleWithDoc="0" alignWithMargins="0"/>
  <drawing r:id="rId2"/>
  <extLst>
    <ext xmlns:x14="http://schemas.microsoft.com/office/spreadsheetml/2009/9/main" uri="{78C0D931-6437-407d-A8EE-F0AAD7539E65}">
      <x14:conditionalFormattings>
        <x14:conditionalFormatting xmlns:xm="http://schemas.microsoft.com/office/excel/2006/main">
          <x14:cfRule type="expression" priority="20" id="{557A74B6-AC4E-4EB6-8B47-1AA94CD309DD}">
            <xm:f>IF('C:\Users\PalikhovAV\Desktop\[ForgedAnvil D&amp;D 5E Character Generator v1.11.xlsm]Start'!#REF!,TRUE,FALSE)</xm:f>
            <x14:dxf>
              <font>
                <color theme="0"/>
              </font>
              <fill>
                <patternFill>
                  <bgColor theme="8"/>
                </patternFill>
              </fill>
            </x14:dxf>
          </x14:cfRule>
          <xm:sqref>B14:AE15 B19:G21 B23:G25 B27:G29 B31:G33 B35:G37 B39:G41 BE91</xm:sqref>
        </x14:conditionalFormatting>
        <x14:conditionalFormatting xmlns:xm="http://schemas.microsoft.com/office/excel/2006/main">
          <x14:cfRule type="expression" priority="21" id="{03A4721E-0513-4FC1-80DB-8F8690501147}">
            <xm:f>IF('C:\Users\PalikhovAV\Desktop\[ForgedAnvil D&amp;D 5E Character Generator v1.11.xlsm]Start'!#REF!,TRUE,FALSE)</xm:f>
            <x14:dxf>
              <font>
                <color theme="0"/>
              </font>
              <fill>
                <patternFill>
                  <bgColor theme="7"/>
                </patternFill>
              </fill>
            </x14:dxf>
          </x14:cfRule>
          <xm:sqref>AG14:BC15 CA137 BE137</xm:sqref>
        </x14:conditionalFormatting>
        <x14:conditionalFormatting xmlns:xm="http://schemas.microsoft.com/office/excel/2006/main">
          <x14:cfRule type="expression" priority="22" id="{6F624B12-4EF8-4D4D-8ECC-4DB68A4A5249}">
            <xm:f>IF('C:\Users\PalikhovAV\Desktop\[ForgedAnvil D&amp;D 5E Character Generator v1.11.xlsm]Start'!#REF!,TRUE,FALSE)</xm:f>
            <x14:dxf>
              <font>
                <color theme="0"/>
              </font>
              <fill>
                <patternFill>
                  <bgColor theme="5"/>
                </patternFill>
              </fill>
            </x14:dxf>
          </x14:cfRule>
          <xm:sqref>BE14:CU15 BE56 BE59 BS59 BE78</xm:sqref>
        </x14:conditionalFormatting>
        <x14:conditionalFormatting xmlns:xm="http://schemas.microsoft.com/office/excel/2006/main">
          <x14:cfRule type="expression" priority="23" id="{D7D82C4B-ADE8-47F2-8049-60D38D611272}">
            <xm:f>IF('C:\Users\PalikhovAV\Desktop\[ForgedAnvil D&amp;D 5E Character Generator v1.11.xlsm]Start'!#REF!,TRUE,FALSE)</xm:f>
            <x14:dxf>
              <font>
                <color theme="0"/>
              </font>
              <fill>
                <patternFill>
                  <bgColor theme="9"/>
                </patternFill>
              </fill>
            </x14:dxf>
          </x14:cfRule>
          <xm:sqref>B51:G53 B43 B46:G48 Y46:AD48</xm:sqref>
        </x14:conditionalFormatting>
        <x14:conditionalFormatting xmlns:xm="http://schemas.microsoft.com/office/excel/2006/main">
          <x14:cfRule type="expression" priority="24" id="{7198BFCF-9C67-4C34-AC17-F60F019729D5}">
            <xm:f>IF('C:\Users\PalikhovAV\Desktop\[ForgedAnvil D&amp;D 5E Character Generator v1.11.xlsm]Start'!#REF!,TRUE,FALSE)</xm:f>
            <x14:dxf>
              <font>
                <color theme="0"/>
              </font>
              <fill>
                <patternFill>
                  <bgColor rgb="FF7030A0"/>
                </patternFill>
              </fill>
            </x14:dxf>
          </x14:cfRule>
          <xm:sqref>AP76 AA76 B73 B78 B76 AA84 AA82 B82 B84</xm:sqref>
        </x14:conditionalFormatting>
        <x14:conditionalFormatting xmlns:xm="http://schemas.microsoft.com/office/excel/2006/main">
          <x14:cfRule type="expression" priority="25" id="{E9546B1E-C4CD-4E89-9FE3-3542465783F6}">
            <xm:f>IF('C:\Users\PalikhovAV\Desktop\[ForgedAnvil D&amp;D 5E Character Generator v1.11.xlsm]Start'!#REF!,TRUE,FALSE)</xm:f>
            <x14:dxf>
              <font>
                <b/>
                <i val="0"/>
                <color theme="0"/>
              </font>
              <fill>
                <patternFill>
                  <bgColor theme="9"/>
                </patternFill>
              </fill>
            </x14:dxf>
          </x14:cfRule>
          <xm:sqref>B57:U58 V58:BC58 B62:BC62 B67:U68 V68:BC68</xm:sqref>
        </x14:conditionalFormatting>
        <x14:conditionalFormatting xmlns:xm="http://schemas.microsoft.com/office/excel/2006/main">
          <x14:cfRule type="expression" priority="26" id="{A9828311-BEFE-45A3-ACAB-9880A78CC28E}">
            <xm:f>IF('C:\Users\PalikhovAV\Desktop\[ForgedAnvil D&amp;D 5E Character Generator v1.11.xlsm]Start'!#REF!,TRUE,FALSE)</xm:f>
            <x14:dxf>
              <border>
                <left style="thin">
                  <color theme="9"/>
                </left>
                <right style="thin">
                  <color theme="9"/>
                </right>
                <top style="thin">
                  <color theme="9"/>
                </top>
                <bottom style="thin">
                  <color theme="9"/>
                </bottom>
                <vertical/>
                <horizontal/>
              </border>
            </x14:dxf>
          </x14:cfRule>
          <xm:sqref>B57:U58 B59:BC65 B69:BC71 B67:U68 V58:BC58 V68:BC68</xm:sqref>
        </x14:conditionalFormatting>
        <x14:conditionalFormatting xmlns:xm="http://schemas.microsoft.com/office/excel/2006/main">
          <x14:cfRule type="expression" priority="27" id="{201E254D-C1BF-46D2-8EA8-AC009E0EE5AF}">
            <xm:f>IF('C:\Users\PalikhovAV\Desktop\[ForgedAnvil D&amp;D 5E Character Generator v1.11.xlsm]Start'!#REF!,TRUE,FALSE)</xm:f>
            <x14:dxf>
              <border>
                <left style="thin">
                  <color rgb="FFC00000"/>
                </left>
                <right style="thin">
                  <color rgb="FFC00000"/>
                </right>
                <top style="thin">
                  <color rgb="FFC00000"/>
                </top>
                <bottom style="thin">
                  <color rgb="FFC00000"/>
                </bottom>
                <vertical/>
                <horizontal/>
              </border>
            </x14:dxf>
          </x14:cfRule>
          <xm:sqref>B88:U89 V89:BC89 B90:BC96 B100:U101 V101:BC101 B112:U113 V113:BC113 B124:U125 V125:BC125 B136:U137 V137:BC137 B148:U149 V149:BC149 B102:BC108 B114:BC120 B126:BC132 B138:BC144 B150:BC156</xm:sqref>
        </x14:conditionalFormatting>
        <x14:conditionalFormatting xmlns:xm="http://schemas.microsoft.com/office/excel/2006/main">
          <x14:cfRule type="expression" priority="28" id="{E43BE450-6D36-441C-B288-B66620D742A5}">
            <xm:f>IF('C:\Users\PalikhovAV\Desktop\[ForgedAnvil D&amp;D 5E Character Generator v1.11.xlsm]Start'!#REF!,TRUE,FALSE)</xm:f>
            <x14:dxf>
              <font>
                <b/>
                <i val="0"/>
                <color theme="0"/>
              </font>
              <fill>
                <patternFill>
                  <bgColor rgb="FFC00000"/>
                </patternFill>
              </fill>
            </x14:dxf>
          </x14:cfRule>
          <xm:sqref>V89 B93 B88 AB89 AQ89 J93 V101 B100 AB101 AQ101 V113 B112 AB113 AQ113 V125 B124 AB125 AQ125 V137 B136 AB137 AQ137 V149 B148 AB149 AQ149 B105 J105 B117 J117 B129 J129 B141 J141 B153 J153</xm:sqref>
        </x14:conditionalFormatting>
        <x14:conditionalFormatting xmlns:xm="http://schemas.microsoft.com/office/excel/2006/main">
          <x14:cfRule type="expression" priority="1" id="{64A6F71F-C0C1-4861-B355-F03C26A17E87}">
            <xm:f>IF('C:\Users\PalikhovAV\Desktop\[ForgedAnvil D&amp;D 5E Character Generator v1.11.xlsm]Start'!#REF!,TRUE,FALSE)</xm:f>
            <x14:dxf>
              <font>
                <color theme="0"/>
              </font>
              <fill>
                <patternFill>
                  <bgColor rgb="FF7030A0"/>
                </patternFill>
              </fill>
            </x14:dxf>
          </x14:cfRule>
          <xm:sqref>AA78</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BH69"/>
  <sheetViews>
    <sheetView topLeftCell="AK1" workbookViewId="0">
      <selection activeCell="C1" sqref="C1:C2"/>
    </sheetView>
  </sheetViews>
  <sheetFormatPr defaultRowHeight="15" x14ac:dyDescent="0.25"/>
  <cols>
    <col min="1" max="1" width="9.140625" style="203"/>
    <col min="2" max="2" width="9.85546875" style="203" bestFit="1" customWidth="1"/>
    <col min="3" max="3" width="16.140625" style="203" bestFit="1" customWidth="1"/>
    <col min="4" max="20" width="9.140625" style="203"/>
    <col min="21" max="21" width="8.5703125" style="203" customWidth="1"/>
    <col min="22" max="56" width="9.140625" style="203"/>
    <col min="57" max="57" width="9.140625" style="211"/>
    <col min="58" max="16384" width="9.140625" style="203"/>
  </cols>
  <sheetData>
    <row r="1" spans="1:60" x14ac:dyDescent="0.25">
      <c r="A1" s="1315" t="s">
        <v>62</v>
      </c>
      <c r="B1" s="1317" t="s">
        <v>7038</v>
      </c>
      <c r="C1" s="1317" t="s">
        <v>63</v>
      </c>
      <c r="D1" s="1320" t="s">
        <v>6946</v>
      </c>
      <c r="E1" s="1306" t="s">
        <v>3885</v>
      </c>
      <c r="F1" s="1307"/>
      <c r="G1" s="1307"/>
      <c r="H1" s="1307"/>
      <c r="I1" s="1307"/>
      <c r="J1" s="1307"/>
      <c r="K1" s="1307"/>
      <c r="L1" s="1307"/>
      <c r="M1" s="1308"/>
      <c r="N1" s="1322" t="s">
        <v>6946</v>
      </c>
      <c r="O1" s="1311" t="s">
        <v>3887</v>
      </c>
      <c r="P1" s="1311"/>
      <c r="Q1" s="1311"/>
      <c r="R1" s="1311"/>
      <c r="S1" s="1310"/>
      <c r="T1" s="1322" t="s">
        <v>6946</v>
      </c>
      <c r="U1" s="1311" t="s">
        <v>3886</v>
      </c>
      <c r="V1" s="1311"/>
      <c r="W1" s="1311"/>
      <c r="X1" s="1310"/>
      <c r="Y1" s="1319" t="s">
        <v>3888</v>
      </c>
      <c r="Z1" s="1307"/>
      <c r="AA1" s="1307"/>
      <c r="AB1" s="1307"/>
      <c r="AC1" s="1308"/>
      <c r="AD1" s="1309" t="s">
        <v>620</v>
      </c>
      <c r="AE1" s="1310"/>
      <c r="AF1" s="1309" t="s">
        <v>3889</v>
      </c>
      <c r="AG1" s="1311"/>
      <c r="AH1" s="1311"/>
      <c r="AI1" s="1310"/>
      <c r="AJ1" s="1309" t="s">
        <v>3890</v>
      </c>
      <c r="AK1" s="1310"/>
      <c r="AL1" s="1309" t="s">
        <v>3891</v>
      </c>
      <c r="AM1" s="1311"/>
      <c r="AN1" s="1310"/>
      <c r="AO1" s="1309" t="s">
        <v>3892</v>
      </c>
      <c r="AP1" s="1310"/>
      <c r="AQ1" s="1313" t="s">
        <v>3893</v>
      </c>
      <c r="AR1" s="1314"/>
      <c r="AS1" s="1314"/>
      <c r="AT1" s="1312" t="s">
        <v>3894</v>
      </c>
      <c r="AU1" s="1311"/>
      <c r="AV1" s="1310"/>
      <c r="AW1" s="1312" t="s">
        <v>626</v>
      </c>
      <c r="AX1" s="1311"/>
      <c r="AY1" s="1310"/>
      <c r="AZ1" s="1312" t="s">
        <v>3895</v>
      </c>
      <c r="BA1" s="1311"/>
      <c r="BB1" s="1311"/>
      <c r="BC1" s="1311"/>
      <c r="BD1" s="1310"/>
      <c r="BE1" s="535" t="s">
        <v>3896</v>
      </c>
      <c r="BF1" s="1306" t="s">
        <v>3897</v>
      </c>
      <c r="BG1" s="1307"/>
      <c r="BH1" s="1308"/>
    </row>
    <row r="2" spans="1:60" ht="15.75" thickBot="1" x14ac:dyDescent="0.3">
      <c r="A2" s="1316"/>
      <c r="B2" s="1318"/>
      <c r="C2" s="1318"/>
      <c r="D2" s="1321"/>
      <c r="E2" s="534">
        <v>1</v>
      </c>
      <c r="F2" s="532">
        <v>2</v>
      </c>
      <c r="G2" s="532">
        <v>3</v>
      </c>
      <c r="H2" s="532">
        <v>4</v>
      </c>
      <c r="I2" s="532">
        <v>5</v>
      </c>
      <c r="J2" s="532">
        <v>6</v>
      </c>
      <c r="K2" s="532">
        <v>7</v>
      </c>
      <c r="L2" s="532">
        <v>8</v>
      </c>
      <c r="M2" s="533">
        <v>9</v>
      </c>
      <c r="N2" s="1323"/>
      <c r="O2" s="532">
        <v>1</v>
      </c>
      <c r="P2" s="532">
        <v>2</v>
      </c>
      <c r="Q2" s="532">
        <v>3</v>
      </c>
      <c r="R2" s="532">
        <v>4</v>
      </c>
      <c r="S2" s="533">
        <v>5</v>
      </c>
      <c r="T2" s="1323"/>
      <c r="U2" s="532">
        <v>1</v>
      </c>
      <c r="V2" s="532">
        <v>2</v>
      </c>
      <c r="W2" s="532">
        <v>3</v>
      </c>
      <c r="X2" s="533">
        <v>4</v>
      </c>
      <c r="Y2" s="536" t="s">
        <v>2310</v>
      </c>
      <c r="Z2" s="532" t="s">
        <v>2311</v>
      </c>
      <c r="AA2" s="532" t="s">
        <v>2313</v>
      </c>
      <c r="AB2" s="532" t="s">
        <v>2314</v>
      </c>
      <c r="AC2" s="533" t="s">
        <v>2315</v>
      </c>
      <c r="AD2" s="534" t="s">
        <v>2310</v>
      </c>
      <c r="AE2" s="533" t="s">
        <v>2316</v>
      </c>
      <c r="AF2" s="534" t="s">
        <v>2310</v>
      </c>
      <c r="AG2" s="532" t="s">
        <v>2317</v>
      </c>
      <c r="AH2" s="532" t="s">
        <v>2318</v>
      </c>
      <c r="AI2" s="533" t="s">
        <v>2319</v>
      </c>
      <c r="AJ2" s="534" t="s">
        <v>2310</v>
      </c>
      <c r="AK2" s="533" t="s">
        <v>2311</v>
      </c>
      <c r="AL2" s="534" t="s">
        <v>2326</v>
      </c>
      <c r="AM2" s="532" t="s">
        <v>2274</v>
      </c>
      <c r="AN2" s="533" t="s">
        <v>2327</v>
      </c>
      <c r="AO2" s="534" t="s">
        <v>2276</v>
      </c>
      <c r="AP2" s="533" t="s">
        <v>2275</v>
      </c>
      <c r="AQ2" s="537" t="s">
        <v>2311</v>
      </c>
      <c r="AR2" s="538" t="s">
        <v>5359</v>
      </c>
      <c r="AS2" s="538" t="s">
        <v>5360</v>
      </c>
      <c r="AT2" s="536" t="s">
        <v>2310</v>
      </c>
      <c r="AU2" s="532" t="s">
        <v>2311</v>
      </c>
      <c r="AV2" s="533" t="s">
        <v>2280</v>
      </c>
      <c r="AW2" s="536" t="s">
        <v>2310</v>
      </c>
      <c r="AX2" s="532" t="s">
        <v>2311</v>
      </c>
      <c r="AY2" s="533" t="s">
        <v>2341</v>
      </c>
      <c r="AZ2" s="536" t="s">
        <v>2310</v>
      </c>
      <c r="BA2" s="532" t="s">
        <v>2311</v>
      </c>
      <c r="BB2" s="532" t="s">
        <v>2312</v>
      </c>
      <c r="BC2" s="532" t="s">
        <v>2342</v>
      </c>
      <c r="BD2" s="533" t="s">
        <v>2343</v>
      </c>
      <c r="BE2" s="539" t="s">
        <v>2310</v>
      </c>
      <c r="BF2" s="534" t="s">
        <v>2344</v>
      </c>
      <c r="BG2" s="532" t="s">
        <v>2345</v>
      </c>
      <c r="BH2" s="533" t="s">
        <v>2346</v>
      </c>
    </row>
    <row r="3" spans="1:60" ht="15.75" thickBot="1" x14ac:dyDescent="0.3">
      <c r="A3" s="269"/>
      <c r="B3" s="270"/>
      <c r="C3" s="504"/>
      <c r="D3" s="511"/>
      <c r="E3" s="272"/>
      <c r="F3" s="272"/>
      <c r="G3" s="272"/>
      <c r="H3" s="272"/>
      <c r="I3" s="272"/>
      <c r="J3" s="272"/>
      <c r="K3" s="272"/>
      <c r="L3" s="272"/>
      <c r="M3" s="273"/>
      <c r="N3" s="506"/>
      <c r="O3" s="271"/>
      <c r="P3" s="272"/>
      <c r="Q3" s="272"/>
      <c r="R3" s="272"/>
      <c r="S3" s="273"/>
      <c r="T3" s="507"/>
      <c r="U3" s="271"/>
      <c r="V3" s="272"/>
      <c r="W3" s="272"/>
      <c r="X3" s="273"/>
      <c r="Y3" s="203" t="s">
        <v>4178</v>
      </c>
      <c r="Z3" s="203" t="s">
        <v>4179</v>
      </c>
      <c r="AA3" s="203" t="s">
        <v>4180</v>
      </c>
      <c r="AB3" s="203" t="s">
        <v>4181</v>
      </c>
      <c r="AC3" s="203" t="s">
        <v>4182</v>
      </c>
      <c r="AD3" s="203" t="s">
        <v>4183</v>
      </c>
      <c r="AE3" s="203" t="s">
        <v>4184</v>
      </c>
      <c r="AF3" s="203" t="s">
        <v>4185</v>
      </c>
      <c r="AG3" s="203" t="s">
        <v>4186</v>
      </c>
      <c r="AH3" s="203" t="s">
        <v>4187</v>
      </c>
      <c r="AI3" s="274"/>
      <c r="AJ3" s="203" t="s">
        <v>4188</v>
      </c>
      <c r="AK3" s="203" t="s">
        <v>4189</v>
      </c>
      <c r="AL3" s="203" t="s">
        <v>4190</v>
      </c>
      <c r="AM3" s="203" t="s">
        <v>4191</v>
      </c>
      <c r="AN3" s="203" t="s">
        <v>4192</v>
      </c>
      <c r="AO3" s="203" t="s">
        <v>4193</v>
      </c>
      <c r="AP3" s="203" t="s">
        <v>4194</v>
      </c>
      <c r="AQ3" s="203" t="s">
        <v>4195</v>
      </c>
      <c r="AR3" s="203" t="s">
        <v>4415</v>
      </c>
      <c r="AT3" s="203" t="s">
        <v>4196</v>
      </c>
      <c r="AU3" s="203" t="s">
        <v>4197</v>
      </c>
      <c r="AV3" s="203" t="s">
        <v>4198</v>
      </c>
      <c r="AW3" s="203" t="s">
        <v>4199</v>
      </c>
      <c r="AX3" s="203" t="s">
        <v>4200</v>
      </c>
      <c r="AY3" s="203" t="s">
        <v>4201</v>
      </c>
      <c r="AZ3" s="203" t="s">
        <v>4202</v>
      </c>
      <c r="BA3" s="203" t="s">
        <v>4203</v>
      </c>
      <c r="BB3" s="203" t="s">
        <v>4204</v>
      </c>
      <c r="BC3" s="275" t="s">
        <v>4206</v>
      </c>
      <c r="BD3" s="203" t="s">
        <v>4206</v>
      </c>
      <c r="BE3" s="203" t="s">
        <v>4207</v>
      </c>
      <c r="BF3" s="211" t="s">
        <v>4208</v>
      </c>
      <c r="BG3" s="203" t="s">
        <v>4209</v>
      </c>
      <c r="BH3" s="203" t="s">
        <v>4210</v>
      </c>
    </row>
    <row r="4" spans="1:60" x14ac:dyDescent="0.25">
      <c r="A4" s="209">
        <v>1</v>
      </c>
      <c r="B4" s="210">
        <v>0</v>
      </c>
      <c r="C4" s="505">
        <v>2</v>
      </c>
      <c r="D4" s="237">
        <v>1</v>
      </c>
      <c r="E4" s="233">
        <v>2</v>
      </c>
      <c r="F4" s="222">
        <v>0</v>
      </c>
      <c r="G4" s="222">
        <v>0</v>
      </c>
      <c r="H4" s="222">
        <v>0</v>
      </c>
      <c r="I4" s="222">
        <v>0</v>
      </c>
      <c r="J4" s="222">
        <v>0</v>
      </c>
      <c r="K4" s="222">
        <v>0</v>
      </c>
      <c r="L4" s="222">
        <v>0</v>
      </c>
      <c r="M4" s="218">
        <v>0</v>
      </c>
      <c r="N4" s="512">
        <v>0</v>
      </c>
      <c r="O4" s="509">
        <v>0</v>
      </c>
      <c r="P4" s="509">
        <v>0</v>
      </c>
      <c r="Q4" s="509">
        <v>0</v>
      </c>
      <c r="R4" s="509">
        <v>0</v>
      </c>
      <c r="S4" s="510">
        <v>0</v>
      </c>
      <c r="T4" s="508">
        <v>0</v>
      </c>
      <c r="U4" s="509">
        <v>0</v>
      </c>
      <c r="V4" s="509">
        <v>0</v>
      </c>
      <c r="W4" s="509">
        <v>0</v>
      </c>
      <c r="X4" s="510">
        <v>0</v>
      </c>
      <c r="Y4" s="229">
        <v>2</v>
      </c>
      <c r="Z4" s="225">
        <v>4</v>
      </c>
      <c r="AA4" s="226">
        <v>1</v>
      </c>
      <c r="AB4" s="226" t="s">
        <v>136</v>
      </c>
      <c r="AC4" s="213">
        <v>0</v>
      </c>
      <c r="AD4" s="224">
        <v>3</v>
      </c>
      <c r="AE4" s="227">
        <v>1</v>
      </c>
      <c r="AF4" s="224">
        <v>2</v>
      </c>
      <c r="AG4" s="214"/>
      <c r="AH4" s="214"/>
      <c r="AI4" s="213"/>
      <c r="AJ4" s="215"/>
      <c r="AK4" s="216"/>
      <c r="AL4" s="228" t="s">
        <v>1125</v>
      </c>
      <c r="AM4" s="226" t="s">
        <v>120</v>
      </c>
      <c r="AN4" s="213"/>
      <c r="AO4" s="228">
        <v>1</v>
      </c>
      <c r="AP4" s="227">
        <v>5</v>
      </c>
      <c r="AQ4" s="219"/>
      <c r="AR4" s="310">
        <v>1</v>
      </c>
      <c r="AS4" s="310">
        <v>1</v>
      </c>
      <c r="AT4" s="212">
        <v>0</v>
      </c>
      <c r="AU4" s="220">
        <v>0</v>
      </c>
      <c r="AV4" s="227" t="s">
        <v>136</v>
      </c>
      <c r="AW4" s="229">
        <v>4</v>
      </c>
      <c r="AX4" s="225">
        <v>2</v>
      </c>
      <c r="AY4" s="227" t="s">
        <v>1125</v>
      </c>
      <c r="AZ4" s="229">
        <v>2</v>
      </c>
      <c r="BA4" s="225">
        <v>2</v>
      </c>
      <c r="BB4" s="225">
        <v>1</v>
      </c>
      <c r="BC4" s="226">
        <v>0</v>
      </c>
      <c r="BD4" s="227">
        <v>1</v>
      </c>
      <c r="BE4" s="230">
        <v>3</v>
      </c>
      <c r="BF4" s="228">
        <v>2</v>
      </c>
      <c r="BG4" s="226">
        <v>2</v>
      </c>
      <c r="BH4" s="213"/>
    </row>
    <row r="5" spans="1:60" x14ac:dyDescent="0.25">
      <c r="A5" s="204">
        <v>2</v>
      </c>
      <c r="B5" s="206">
        <v>300</v>
      </c>
      <c r="C5" s="411">
        <v>2</v>
      </c>
      <c r="D5" s="237">
        <v>1</v>
      </c>
      <c r="E5" s="233">
        <v>3</v>
      </c>
      <c r="F5" s="222">
        <v>0</v>
      </c>
      <c r="G5" s="222">
        <v>0</v>
      </c>
      <c r="H5" s="222">
        <v>0</v>
      </c>
      <c r="I5" s="222">
        <v>0</v>
      </c>
      <c r="J5" s="222">
        <v>0</v>
      </c>
      <c r="K5" s="222">
        <v>0</v>
      </c>
      <c r="L5" s="222">
        <v>0</v>
      </c>
      <c r="M5" s="218">
        <v>0</v>
      </c>
      <c r="N5" s="232">
        <v>1</v>
      </c>
      <c r="O5" s="233">
        <v>2</v>
      </c>
      <c r="P5" s="222">
        <v>0</v>
      </c>
      <c r="Q5" s="222">
        <v>0</v>
      </c>
      <c r="R5" s="222">
        <v>0</v>
      </c>
      <c r="S5" s="218">
        <v>0</v>
      </c>
      <c r="T5" s="217">
        <v>0</v>
      </c>
      <c r="U5" s="222">
        <v>0</v>
      </c>
      <c r="V5" s="222">
        <v>0</v>
      </c>
      <c r="W5" s="222">
        <v>0</v>
      </c>
      <c r="X5" s="218">
        <v>0</v>
      </c>
      <c r="Y5" s="232">
        <v>2</v>
      </c>
      <c r="Z5" s="233">
        <v>5</v>
      </c>
      <c r="AA5" s="234">
        <v>1</v>
      </c>
      <c r="AB5" s="234" t="s">
        <v>136</v>
      </c>
      <c r="AC5" s="231" t="s">
        <v>136</v>
      </c>
      <c r="AD5" s="237">
        <v>3</v>
      </c>
      <c r="AE5" s="231">
        <v>1</v>
      </c>
      <c r="AF5" s="237">
        <v>2</v>
      </c>
      <c r="AG5" s="238" t="s">
        <v>2320</v>
      </c>
      <c r="AH5" s="234">
        <v>1</v>
      </c>
      <c r="AI5" s="231" t="s">
        <v>2321</v>
      </c>
      <c r="AJ5" s="217"/>
      <c r="AK5" s="218"/>
      <c r="AL5" s="236">
        <v>2</v>
      </c>
      <c r="AM5" s="234" t="s">
        <v>120</v>
      </c>
      <c r="AN5" s="231" t="s">
        <v>2328</v>
      </c>
      <c r="AO5" s="236">
        <v>1</v>
      </c>
      <c r="AP5" s="231">
        <v>5</v>
      </c>
      <c r="AQ5" s="239">
        <v>2</v>
      </c>
      <c r="AR5" s="311">
        <v>1</v>
      </c>
      <c r="AS5" s="311">
        <v>1</v>
      </c>
      <c r="AT5" s="221">
        <v>0</v>
      </c>
      <c r="AU5" s="222">
        <v>0</v>
      </c>
      <c r="AV5" s="231" t="s">
        <v>136</v>
      </c>
      <c r="AW5" s="232">
        <v>4</v>
      </c>
      <c r="AX5" s="233">
        <v>3</v>
      </c>
      <c r="AY5" s="231">
        <v>2</v>
      </c>
      <c r="AZ5" s="232">
        <v>2</v>
      </c>
      <c r="BA5" s="233">
        <v>3</v>
      </c>
      <c r="BB5" s="233">
        <v>2</v>
      </c>
      <c r="BC5" s="234">
        <v>2</v>
      </c>
      <c r="BD5" s="231">
        <v>1</v>
      </c>
      <c r="BE5" s="235">
        <v>3</v>
      </c>
      <c r="BF5" s="236">
        <v>2</v>
      </c>
      <c r="BG5" s="234">
        <v>2</v>
      </c>
      <c r="BH5" s="223"/>
    </row>
    <row r="6" spans="1:60" x14ac:dyDescent="0.25">
      <c r="A6" s="204">
        <v>3</v>
      </c>
      <c r="B6" s="206">
        <v>900</v>
      </c>
      <c r="C6" s="411">
        <v>2</v>
      </c>
      <c r="D6" s="237">
        <v>2</v>
      </c>
      <c r="E6" s="233">
        <v>4</v>
      </c>
      <c r="F6" s="233">
        <v>2</v>
      </c>
      <c r="G6" s="222">
        <v>0</v>
      </c>
      <c r="H6" s="222">
        <v>0</v>
      </c>
      <c r="I6" s="222">
        <v>0</v>
      </c>
      <c r="J6" s="222">
        <v>0</v>
      </c>
      <c r="K6" s="222">
        <v>0</v>
      </c>
      <c r="L6" s="222">
        <v>0</v>
      </c>
      <c r="M6" s="218">
        <v>0</v>
      </c>
      <c r="N6" s="232">
        <v>1</v>
      </c>
      <c r="O6" s="233">
        <v>3</v>
      </c>
      <c r="P6" s="222">
        <v>0</v>
      </c>
      <c r="Q6" s="222">
        <v>0</v>
      </c>
      <c r="R6" s="222">
        <v>0</v>
      </c>
      <c r="S6" s="218">
        <v>0</v>
      </c>
      <c r="T6" s="237">
        <v>1</v>
      </c>
      <c r="U6" s="233">
        <v>2</v>
      </c>
      <c r="V6" s="222">
        <v>0</v>
      </c>
      <c r="W6" s="222">
        <v>0</v>
      </c>
      <c r="X6" s="218">
        <v>0</v>
      </c>
      <c r="Y6" s="232">
        <v>2</v>
      </c>
      <c r="Z6" s="233">
        <v>6</v>
      </c>
      <c r="AA6" s="234">
        <v>1</v>
      </c>
      <c r="AB6" s="234" t="s">
        <v>136</v>
      </c>
      <c r="AC6" s="231" t="s">
        <v>136</v>
      </c>
      <c r="AD6" s="237">
        <v>3</v>
      </c>
      <c r="AE6" s="231">
        <v>1</v>
      </c>
      <c r="AF6" s="237">
        <v>2</v>
      </c>
      <c r="AG6" s="238" t="s">
        <v>2320</v>
      </c>
      <c r="AH6" s="234">
        <v>1</v>
      </c>
      <c r="AI6" s="231" t="s">
        <v>2321</v>
      </c>
      <c r="AJ6" s="237">
        <v>2</v>
      </c>
      <c r="AK6" s="240">
        <v>3</v>
      </c>
      <c r="AL6" s="236">
        <v>3</v>
      </c>
      <c r="AM6" s="234" t="s">
        <v>120</v>
      </c>
      <c r="AN6" s="231" t="s">
        <v>2328</v>
      </c>
      <c r="AO6" s="236">
        <v>1</v>
      </c>
      <c r="AP6" s="231">
        <v>5</v>
      </c>
      <c r="AQ6" s="239">
        <v>3</v>
      </c>
      <c r="AR6" s="311">
        <v>1</v>
      </c>
      <c r="AS6" s="311">
        <v>1</v>
      </c>
      <c r="AT6" s="232">
        <v>3</v>
      </c>
      <c r="AU6" s="233">
        <v>3</v>
      </c>
      <c r="AV6" s="231" t="s">
        <v>133</v>
      </c>
      <c r="AW6" s="232">
        <v>4</v>
      </c>
      <c r="AX6" s="233">
        <v>4</v>
      </c>
      <c r="AY6" s="231">
        <v>3</v>
      </c>
      <c r="AZ6" s="232">
        <v>2</v>
      </c>
      <c r="BA6" s="233">
        <v>4</v>
      </c>
      <c r="BB6" s="233">
        <v>2</v>
      </c>
      <c r="BC6" s="234">
        <v>2</v>
      </c>
      <c r="BD6" s="231">
        <v>2</v>
      </c>
      <c r="BE6" s="235">
        <v>3</v>
      </c>
      <c r="BF6" s="236">
        <v>3</v>
      </c>
      <c r="BG6" s="234">
        <v>2</v>
      </c>
      <c r="BH6" s="223"/>
    </row>
    <row r="7" spans="1:60" x14ac:dyDescent="0.25">
      <c r="A7" s="204">
        <v>4</v>
      </c>
      <c r="B7" s="206">
        <v>2700</v>
      </c>
      <c r="C7" s="411">
        <v>2</v>
      </c>
      <c r="D7" s="237">
        <v>2</v>
      </c>
      <c r="E7" s="233">
        <v>4</v>
      </c>
      <c r="F7" s="233">
        <v>3</v>
      </c>
      <c r="G7" s="222">
        <v>0</v>
      </c>
      <c r="H7" s="222">
        <v>0</v>
      </c>
      <c r="I7" s="222">
        <v>0</v>
      </c>
      <c r="J7" s="222">
        <v>0</v>
      </c>
      <c r="K7" s="222">
        <v>0</v>
      </c>
      <c r="L7" s="222">
        <v>0</v>
      </c>
      <c r="M7" s="218">
        <v>0</v>
      </c>
      <c r="N7" s="232">
        <v>1</v>
      </c>
      <c r="O7" s="233">
        <v>3</v>
      </c>
      <c r="P7" s="222">
        <v>0</v>
      </c>
      <c r="Q7" s="222">
        <v>0</v>
      </c>
      <c r="R7" s="222">
        <v>0</v>
      </c>
      <c r="S7" s="218">
        <v>0</v>
      </c>
      <c r="T7" s="237">
        <v>1</v>
      </c>
      <c r="U7" s="233">
        <v>3</v>
      </c>
      <c r="V7" s="222">
        <v>0</v>
      </c>
      <c r="W7" s="222">
        <v>0</v>
      </c>
      <c r="X7" s="218">
        <v>0</v>
      </c>
      <c r="Y7" s="232">
        <v>3</v>
      </c>
      <c r="Z7" s="233">
        <v>7</v>
      </c>
      <c r="AA7" s="234">
        <v>1</v>
      </c>
      <c r="AB7" s="234" t="s">
        <v>136</v>
      </c>
      <c r="AC7" s="231" t="s">
        <v>136</v>
      </c>
      <c r="AD7" s="237">
        <v>4</v>
      </c>
      <c r="AE7" s="231">
        <v>1</v>
      </c>
      <c r="AF7" s="237">
        <v>3</v>
      </c>
      <c r="AG7" s="238" t="s">
        <v>2322</v>
      </c>
      <c r="AH7" s="234">
        <v>1</v>
      </c>
      <c r="AI7" s="231" t="s">
        <v>2323</v>
      </c>
      <c r="AJ7" s="237">
        <v>2</v>
      </c>
      <c r="AK7" s="240">
        <v>4</v>
      </c>
      <c r="AL7" s="236">
        <v>4</v>
      </c>
      <c r="AM7" s="234" t="s">
        <v>120</v>
      </c>
      <c r="AN7" s="231" t="s">
        <v>2328</v>
      </c>
      <c r="AO7" s="236">
        <v>1</v>
      </c>
      <c r="AP7" s="231">
        <v>5</v>
      </c>
      <c r="AQ7" s="239">
        <v>3</v>
      </c>
      <c r="AR7" s="311">
        <v>1</v>
      </c>
      <c r="AS7" s="311">
        <v>1</v>
      </c>
      <c r="AT7" s="232">
        <v>3</v>
      </c>
      <c r="AU7" s="233">
        <v>4</v>
      </c>
      <c r="AV7" s="231" t="s">
        <v>133</v>
      </c>
      <c r="AW7" s="232">
        <v>5</v>
      </c>
      <c r="AX7" s="233">
        <v>5</v>
      </c>
      <c r="AY7" s="231">
        <v>4</v>
      </c>
      <c r="AZ7" s="232">
        <v>3</v>
      </c>
      <c r="BA7" s="233">
        <v>5</v>
      </c>
      <c r="BB7" s="233">
        <v>2</v>
      </c>
      <c r="BC7" s="234">
        <v>2</v>
      </c>
      <c r="BD7" s="231">
        <v>2</v>
      </c>
      <c r="BE7" s="235">
        <v>4</v>
      </c>
      <c r="BF7" s="236">
        <v>3</v>
      </c>
      <c r="BG7" s="234">
        <v>2</v>
      </c>
      <c r="BH7" s="223"/>
    </row>
    <row r="8" spans="1:60" x14ac:dyDescent="0.25">
      <c r="A8" s="204">
        <v>5</v>
      </c>
      <c r="B8" s="206">
        <v>6500</v>
      </c>
      <c r="C8" s="411">
        <v>3</v>
      </c>
      <c r="D8" s="237">
        <v>3</v>
      </c>
      <c r="E8" s="233">
        <v>4</v>
      </c>
      <c r="F8" s="233">
        <v>3</v>
      </c>
      <c r="G8" s="233">
        <v>2</v>
      </c>
      <c r="H8" s="222">
        <v>0</v>
      </c>
      <c r="I8" s="222">
        <v>0</v>
      </c>
      <c r="J8" s="222">
        <v>0</v>
      </c>
      <c r="K8" s="222">
        <v>0</v>
      </c>
      <c r="L8" s="222">
        <v>0</v>
      </c>
      <c r="M8" s="218">
        <v>0</v>
      </c>
      <c r="N8" s="232">
        <v>2</v>
      </c>
      <c r="O8" s="233">
        <v>4</v>
      </c>
      <c r="P8" s="233">
        <v>2</v>
      </c>
      <c r="Q8" s="222">
        <v>0</v>
      </c>
      <c r="R8" s="222">
        <v>0</v>
      </c>
      <c r="S8" s="218">
        <v>0</v>
      </c>
      <c r="T8" s="237">
        <v>1</v>
      </c>
      <c r="U8" s="233">
        <v>3</v>
      </c>
      <c r="V8" s="222">
        <v>0</v>
      </c>
      <c r="W8" s="222">
        <v>0</v>
      </c>
      <c r="X8" s="218">
        <v>0</v>
      </c>
      <c r="Y8" s="232">
        <v>3</v>
      </c>
      <c r="Z8" s="233">
        <v>8</v>
      </c>
      <c r="AA8" s="234">
        <v>1</v>
      </c>
      <c r="AB8" s="234" t="s">
        <v>126</v>
      </c>
      <c r="AC8" s="231" t="s">
        <v>136</v>
      </c>
      <c r="AD8" s="237">
        <v>4</v>
      </c>
      <c r="AE8" s="231">
        <v>1</v>
      </c>
      <c r="AF8" s="237">
        <v>3</v>
      </c>
      <c r="AG8" s="238" t="s">
        <v>2322</v>
      </c>
      <c r="AH8" s="234">
        <v>1</v>
      </c>
      <c r="AI8" s="231" t="s">
        <v>2323</v>
      </c>
      <c r="AJ8" s="237">
        <v>2</v>
      </c>
      <c r="AK8" s="240">
        <v>4</v>
      </c>
      <c r="AL8" s="236">
        <v>5</v>
      </c>
      <c r="AM8" s="234" t="s">
        <v>136</v>
      </c>
      <c r="AN8" s="231" t="s">
        <v>2328</v>
      </c>
      <c r="AO8" s="236">
        <v>1</v>
      </c>
      <c r="AP8" s="231">
        <v>5</v>
      </c>
      <c r="AQ8" s="239">
        <v>4</v>
      </c>
      <c r="AR8" s="311">
        <v>1</v>
      </c>
      <c r="AS8" s="311">
        <v>1</v>
      </c>
      <c r="AT8" s="232">
        <v>3</v>
      </c>
      <c r="AU8" s="233">
        <v>4</v>
      </c>
      <c r="AV8" s="231" t="s">
        <v>2333</v>
      </c>
      <c r="AW8" s="232">
        <v>5</v>
      </c>
      <c r="AX8" s="233">
        <v>6</v>
      </c>
      <c r="AY8" s="231">
        <v>5</v>
      </c>
      <c r="AZ8" s="232">
        <v>3</v>
      </c>
      <c r="BA8" s="233">
        <v>6</v>
      </c>
      <c r="BB8" s="233">
        <v>2</v>
      </c>
      <c r="BC8" s="234">
        <v>3</v>
      </c>
      <c r="BD8" s="231">
        <v>3</v>
      </c>
      <c r="BE8" s="235">
        <v>4</v>
      </c>
      <c r="BF8" s="236">
        <v>3</v>
      </c>
      <c r="BG8" s="234">
        <v>2</v>
      </c>
      <c r="BH8" s="223"/>
    </row>
    <row r="9" spans="1:60" x14ac:dyDescent="0.25">
      <c r="A9" s="204">
        <v>6</v>
      </c>
      <c r="B9" s="206">
        <v>14000</v>
      </c>
      <c r="C9" s="411">
        <v>3</v>
      </c>
      <c r="D9" s="237">
        <v>3</v>
      </c>
      <c r="E9" s="233">
        <v>4</v>
      </c>
      <c r="F9" s="233">
        <v>3</v>
      </c>
      <c r="G9" s="233">
        <v>3</v>
      </c>
      <c r="H9" s="222">
        <v>0</v>
      </c>
      <c r="I9" s="222">
        <v>0</v>
      </c>
      <c r="J9" s="222">
        <v>0</v>
      </c>
      <c r="K9" s="222">
        <v>0</v>
      </c>
      <c r="L9" s="222">
        <v>0</v>
      </c>
      <c r="M9" s="218">
        <v>0</v>
      </c>
      <c r="N9" s="232">
        <v>2</v>
      </c>
      <c r="O9" s="233">
        <v>4</v>
      </c>
      <c r="P9" s="233">
        <v>2</v>
      </c>
      <c r="Q9" s="222">
        <v>0</v>
      </c>
      <c r="R9" s="222">
        <v>0</v>
      </c>
      <c r="S9" s="218">
        <v>0</v>
      </c>
      <c r="T9" s="237">
        <v>1</v>
      </c>
      <c r="U9" s="233">
        <v>3</v>
      </c>
      <c r="V9" s="222">
        <v>0</v>
      </c>
      <c r="W9" s="222">
        <v>0</v>
      </c>
      <c r="X9" s="218">
        <v>0</v>
      </c>
      <c r="Y9" s="232">
        <v>3</v>
      </c>
      <c r="Z9" s="233">
        <v>9</v>
      </c>
      <c r="AA9" s="234">
        <v>1</v>
      </c>
      <c r="AB9" s="234" t="s">
        <v>126</v>
      </c>
      <c r="AC9" s="231" t="s">
        <v>136</v>
      </c>
      <c r="AD9" s="237">
        <v>4</v>
      </c>
      <c r="AE9" s="231">
        <v>2</v>
      </c>
      <c r="AF9" s="237">
        <v>3</v>
      </c>
      <c r="AG9" s="238" t="s">
        <v>2322</v>
      </c>
      <c r="AH9" s="234">
        <v>0</v>
      </c>
      <c r="AI9" s="231" t="s">
        <v>2323</v>
      </c>
      <c r="AJ9" s="237">
        <v>2</v>
      </c>
      <c r="AK9" s="240">
        <v>4</v>
      </c>
      <c r="AL9" s="236">
        <v>6</v>
      </c>
      <c r="AM9" s="234" t="s">
        <v>136</v>
      </c>
      <c r="AN9" s="231" t="s">
        <v>2329</v>
      </c>
      <c r="AO9" s="236">
        <v>1</v>
      </c>
      <c r="AP9" s="231">
        <v>5</v>
      </c>
      <c r="AQ9" s="239">
        <v>4</v>
      </c>
      <c r="AR9" s="311">
        <v>2</v>
      </c>
      <c r="AS9" s="311">
        <v>2</v>
      </c>
      <c r="AT9" s="232">
        <v>3</v>
      </c>
      <c r="AU9" s="233">
        <v>4</v>
      </c>
      <c r="AV9" s="231" t="s">
        <v>2333</v>
      </c>
      <c r="AW9" s="232">
        <v>5</v>
      </c>
      <c r="AX9" s="233">
        <v>7</v>
      </c>
      <c r="AY9" s="231">
        <v>6</v>
      </c>
      <c r="AZ9" s="232">
        <v>3</v>
      </c>
      <c r="BA9" s="233">
        <v>7</v>
      </c>
      <c r="BB9" s="233">
        <v>2</v>
      </c>
      <c r="BC9" s="234">
        <v>3</v>
      </c>
      <c r="BD9" s="231">
        <v>3</v>
      </c>
      <c r="BE9" s="235">
        <v>4</v>
      </c>
      <c r="BF9" s="236">
        <v>4</v>
      </c>
      <c r="BG9" s="234">
        <v>2</v>
      </c>
      <c r="BH9" s="223"/>
    </row>
    <row r="10" spans="1:60" x14ac:dyDescent="0.25">
      <c r="A10" s="204">
        <v>7</v>
      </c>
      <c r="B10" s="206">
        <v>23000</v>
      </c>
      <c r="C10" s="411">
        <v>3</v>
      </c>
      <c r="D10" s="237">
        <v>4</v>
      </c>
      <c r="E10" s="233">
        <v>4</v>
      </c>
      <c r="F10" s="233">
        <v>3</v>
      </c>
      <c r="G10" s="233">
        <v>3</v>
      </c>
      <c r="H10" s="233">
        <v>1</v>
      </c>
      <c r="I10" s="222">
        <v>0</v>
      </c>
      <c r="J10" s="222">
        <v>0</v>
      </c>
      <c r="K10" s="222">
        <v>0</v>
      </c>
      <c r="L10" s="222">
        <v>0</v>
      </c>
      <c r="M10" s="218">
        <v>0</v>
      </c>
      <c r="N10" s="232">
        <v>2</v>
      </c>
      <c r="O10" s="233">
        <v>4</v>
      </c>
      <c r="P10" s="233">
        <v>3</v>
      </c>
      <c r="Q10" s="222">
        <v>0</v>
      </c>
      <c r="R10" s="222">
        <v>0</v>
      </c>
      <c r="S10" s="218">
        <v>0</v>
      </c>
      <c r="T10" s="237">
        <v>2</v>
      </c>
      <c r="U10" s="233">
        <v>4</v>
      </c>
      <c r="V10" s="233">
        <v>2</v>
      </c>
      <c r="W10" s="222">
        <v>0</v>
      </c>
      <c r="X10" s="218">
        <v>0</v>
      </c>
      <c r="Y10" s="232">
        <v>3</v>
      </c>
      <c r="Z10" s="233">
        <v>10</v>
      </c>
      <c r="AA10" s="234">
        <v>1</v>
      </c>
      <c r="AB10" s="234" t="s">
        <v>126</v>
      </c>
      <c r="AC10" s="231" t="s">
        <v>136</v>
      </c>
      <c r="AD10" s="237">
        <v>4</v>
      </c>
      <c r="AE10" s="231">
        <v>2</v>
      </c>
      <c r="AF10" s="237">
        <v>3</v>
      </c>
      <c r="AG10" s="238" t="s">
        <v>2322</v>
      </c>
      <c r="AH10" s="234">
        <v>0</v>
      </c>
      <c r="AI10" s="231" t="s">
        <v>2323</v>
      </c>
      <c r="AJ10" s="237">
        <v>2</v>
      </c>
      <c r="AK10" s="240">
        <v>5</v>
      </c>
      <c r="AL10" s="236">
        <v>7</v>
      </c>
      <c r="AM10" s="234" t="s">
        <v>136</v>
      </c>
      <c r="AN10" s="231" t="s">
        <v>2329</v>
      </c>
      <c r="AO10" s="236">
        <v>1</v>
      </c>
      <c r="AP10" s="231">
        <v>5</v>
      </c>
      <c r="AQ10" s="239">
        <v>5</v>
      </c>
      <c r="AR10" s="311">
        <v>2</v>
      </c>
      <c r="AS10" s="311">
        <v>2</v>
      </c>
      <c r="AT10" s="232">
        <v>3</v>
      </c>
      <c r="AU10" s="233">
        <v>5</v>
      </c>
      <c r="AV10" s="231" t="s">
        <v>2334</v>
      </c>
      <c r="AW10" s="232">
        <v>5</v>
      </c>
      <c r="AX10" s="233">
        <v>8</v>
      </c>
      <c r="AY10" s="231">
        <v>7</v>
      </c>
      <c r="AZ10" s="232">
        <v>3</v>
      </c>
      <c r="BA10" s="233">
        <v>8</v>
      </c>
      <c r="BB10" s="233">
        <v>2</v>
      </c>
      <c r="BC10" s="234">
        <v>4</v>
      </c>
      <c r="BD10" s="231">
        <v>4</v>
      </c>
      <c r="BE10" s="235">
        <v>4</v>
      </c>
      <c r="BF10" s="236">
        <v>4</v>
      </c>
      <c r="BG10" s="234">
        <v>2</v>
      </c>
      <c r="BH10" s="223"/>
    </row>
    <row r="11" spans="1:60" x14ac:dyDescent="0.25">
      <c r="A11" s="204">
        <v>8</v>
      </c>
      <c r="B11" s="206">
        <v>34000</v>
      </c>
      <c r="C11" s="411">
        <v>3</v>
      </c>
      <c r="D11" s="237">
        <v>4</v>
      </c>
      <c r="E11" s="233">
        <v>4</v>
      </c>
      <c r="F11" s="233">
        <v>3</v>
      </c>
      <c r="G11" s="233">
        <v>3</v>
      </c>
      <c r="H11" s="233">
        <v>2</v>
      </c>
      <c r="I11" s="222">
        <v>0</v>
      </c>
      <c r="J11" s="222">
        <v>0</v>
      </c>
      <c r="K11" s="222">
        <v>0</v>
      </c>
      <c r="L11" s="222">
        <v>0</v>
      </c>
      <c r="M11" s="218">
        <v>0</v>
      </c>
      <c r="N11" s="232">
        <v>2</v>
      </c>
      <c r="O11" s="233">
        <v>4</v>
      </c>
      <c r="P11" s="233">
        <v>3</v>
      </c>
      <c r="Q11" s="222">
        <v>0</v>
      </c>
      <c r="R11" s="222">
        <v>0</v>
      </c>
      <c r="S11" s="218">
        <v>0</v>
      </c>
      <c r="T11" s="237">
        <v>2</v>
      </c>
      <c r="U11" s="233">
        <v>4</v>
      </c>
      <c r="V11" s="233">
        <v>2</v>
      </c>
      <c r="W11" s="222">
        <v>0</v>
      </c>
      <c r="X11" s="218">
        <v>0</v>
      </c>
      <c r="Y11" s="232">
        <v>3</v>
      </c>
      <c r="Z11" s="233">
        <v>11</v>
      </c>
      <c r="AA11" s="234">
        <v>1</v>
      </c>
      <c r="AB11" s="234" t="s">
        <v>126</v>
      </c>
      <c r="AC11" s="231" t="s">
        <v>136</v>
      </c>
      <c r="AD11" s="237">
        <v>4</v>
      </c>
      <c r="AE11" s="231">
        <v>2</v>
      </c>
      <c r="AF11" s="237">
        <v>3</v>
      </c>
      <c r="AG11" s="234">
        <v>1</v>
      </c>
      <c r="AH11" s="234">
        <v>0</v>
      </c>
      <c r="AI11" s="231" t="s">
        <v>1117</v>
      </c>
      <c r="AJ11" s="237">
        <v>2</v>
      </c>
      <c r="AK11" s="240">
        <v>6</v>
      </c>
      <c r="AL11" s="236">
        <v>8</v>
      </c>
      <c r="AM11" s="234" t="s">
        <v>136</v>
      </c>
      <c r="AN11" s="231" t="s">
        <v>2329</v>
      </c>
      <c r="AO11" s="236">
        <v>1</v>
      </c>
      <c r="AP11" s="231">
        <v>5</v>
      </c>
      <c r="AQ11" s="239">
        <v>5</v>
      </c>
      <c r="AR11" s="311">
        <v>2</v>
      </c>
      <c r="AS11" s="311">
        <v>2</v>
      </c>
      <c r="AT11" s="232">
        <v>3</v>
      </c>
      <c r="AU11" s="233">
        <v>6</v>
      </c>
      <c r="AV11" s="231" t="s">
        <v>2334</v>
      </c>
      <c r="AW11" s="232">
        <v>5</v>
      </c>
      <c r="AX11" s="233">
        <v>9</v>
      </c>
      <c r="AY11" s="231">
        <v>8</v>
      </c>
      <c r="AZ11" s="232">
        <v>3</v>
      </c>
      <c r="BA11" s="233">
        <v>9</v>
      </c>
      <c r="BB11" s="233">
        <v>2</v>
      </c>
      <c r="BC11" s="234">
        <v>4</v>
      </c>
      <c r="BD11" s="231">
        <v>4</v>
      </c>
      <c r="BE11" s="235">
        <v>4</v>
      </c>
      <c r="BF11" s="236">
        <v>4</v>
      </c>
      <c r="BG11" s="234">
        <v>2</v>
      </c>
      <c r="BH11" s="223"/>
    </row>
    <row r="12" spans="1:60" x14ac:dyDescent="0.25">
      <c r="A12" s="204">
        <v>9</v>
      </c>
      <c r="B12" s="206">
        <v>48000</v>
      </c>
      <c r="C12" s="411">
        <v>4</v>
      </c>
      <c r="D12" s="237">
        <v>5</v>
      </c>
      <c r="E12" s="233">
        <v>4</v>
      </c>
      <c r="F12" s="233">
        <v>3</v>
      </c>
      <c r="G12" s="233">
        <v>3</v>
      </c>
      <c r="H12" s="233">
        <v>3</v>
      </c>
      <c r="I12" s="233">
        <v>1</v>
      </c>
      <c r="J12" s="222">
        <v>0</v>
      </c>
      <c r="K12" s="222">
        <v>0</v>
      </c>
      <c r="L12" s="222">
        <v>0</v>
      </c>
      <c r="M12" s="218">
        <v>0</v>
      </c>
      <c r="N12" s="232">
        <v>3</v>
      </c>
      <c r="O12" s="233">
        <v>4</v>
      </c>
      <c r="P12" s="233">
        <v>3</v>
      </c>
      <c r="Q12" s="233">
        <v>2</v>
      </c>
      <c r="R12" s="222">
        <v>0</v>
      </c>
      <c r="S12" s="218">
        <v>0</v>
      </c>
      <c r="T12" s="237">
        <v>2</v>
      </c>
      <c r="U12" s="233">
        <v>4</v>
      </c>
      <c r="V12" s="233">
        <v>2</v>
      </c>
      <c r="W12" s="222">
        <v>0</v>
      </c>
      <c r="X12" s="218">
        <v>0</v>
      </c>
      <c r="Y12" s="232">
        <v>3</v>
      </c>
      <c r="Z12" s="233">
        <v>12</v>
      </c>
      <c r="AA12" s="234">
        <v>1</v>
      </c>
      <c r="AB12" s="234" t="s">
        <v>126</v>
      </c>
      <c r="AC12" s="231" t="s">
        <v>126</v>
      </c>
      <c r="AD12" s="237">
        <v>4</v>
      </c>
      <c r="AE12" s="231">
        <v>2</v>
      </c>
      <c r="AF12" s="237">
        <v>3</v>
      </c>
      <c r="AG12" s="234">
        <v>1</v>
      </c>
      <c r="AH12" s="234">
        <v>0</v>
      </c>
      <c r="AI12" s="231" t="s">
        <v>1117</v>
      </c>
      <c r="AJ12" s="237">
        <v>2</v>
      </c>
      <c r="AK12" s="240">
        <v>6</v>
      </c>
      <c r="AL12" s="236">
        <v>9</v>
      </c>
      <c r="AM12" s="234" t="s">
        <v>136</v>
      </c>
      <c r="AN12" s="231" t="s">
        <v>2329</v>
      </c>
      <c r="AO12" s="236">
        <v>1</v>
      </c>
      <c r="AP12" s="231">
        <v>5</v>
      </c>
      <c r="AQ12" s="239">
        <v>6</v>
      </c>
      <c r="AR12" s="311">
        <v>2</v>
      </c>
      <c r="AS12" s="311">
        <v>2</v>
      </c>
      <c r="AT12" s="232">
        <v>3</v>
      </c>
      <c r="AU12" s="233">
        <v>6</v>
      </c>
      <c r="AV12" s="231" t="s">
        <v>2335</v>
      </c>
      <c r="AW12" s="232">
        <v>5</v>
      </c>
      <c r="AX12" s="233">
        <v>10</v>
      </c>
      <c r="AY12" s="231">
        <v>9</v>
      </c>
      <c r="AZ12" s="232">
        <v>3</v>
      </c>
      <c r="BA12" s="233">
        <v>10</v>
      </c>
      <c r="BB12" s="233">
        <v>2</v>
      </c>
      <c r="BC12" s="234">
        <v>5</v>
      </c>
      <c r="BD12" s="231">
        <v>5</v>
      </c>
      <c r="BE12" s="235">
        <v>4</v>
      </c>
      <c r="BF12" s="236">
        <v>4</v>
      </c>
      <c r="BG12" s="234">
        <v>3</v>
      </c>
      <c r="BH12" s="241" t="s">
        <v>2347</v>
      </c>
    </row>
    <row r="13" spans="1:60" x14ac:dyDescent="0.25">
      <c r="A13" s="204">
        <v>10</v>
      </c>
      <c r="B13" s="206">
        <v>64000</v>
      </c>
      <c r="C13" s="411">
        <v>4</v>
      </c>
      <c r="D13" s="237">
        <v>5</v>
      </c>
      <c r="E13" s="233">
        <v>4</v>
      </c>
      <c r="F13" s="233">
        <v>3</v>
      </c>
      <c r="G13" s="233">
        <v>3</v>
      </c>
      <c r="H13" s="233">
        <v>3</v>
      </c>
      <c r="I13" s="233">
        <v>2</v>
      </c>
      <c r="J13" s="222">
        <v>0</v>
      </c>
      <c r="K13" s="222">
        <v>0</v>
      </c>
      <c r="L13" s="222">
        <v>0</v>
      </c>
      <c r="M13" s="218">
        <v>0</v>
      </c>
      <c r="N13" s="232">
        <v>3</v>
      </c>
      <c r="O13" s="233">
        <v>4</v>
      </c>
      <c r="P13" s="233">
        <v>3</v>
      </c>
      <c r="Q13" s="233">
        <v>2</v>
      </c>
      <c r="R13" s="222">
        <v>0</v>
      </c>
      <c r="S13" s="218">
        <v>0</v>
      </c>
      <c r="T13" s="237">
        <v>2</v>
      </c>
      <c r="U13" s="233">
        <v>4</v>
      </c>
      <c r="V13" s="233">
        <v>3</v>
      </c>
      <c r="W13" s="222">
        <v>0</v>
      </c>
      <c r="X13" s="218">
        <v>0</v>
      </c>
      <c r="Y13" s="232">
        <v>4</v>
      </c>
      <c r="Z13" s="233">
        <v>14</v>
      </c>
      <c r="AA13" s="234">
        <v>1</v>
      </c>
      <c r="AB13" s="234" t="s">
        <v>128</v>
      </c>
      <c r="AC13" s="231" t="s">
        <v>126</v>
      </c>
      <c r="AD13" s="237">
        <v>5</v>
      </c>
      <c r="AE13" s="231">
        <v>2</v>
      </c>
      <c r="AF13" s="237">
        <v>4</v>
      </c>
      <c r="AG13" s="234">
        <v>1</v>
      </c>
      <c r="AH13" s="234">
        <v>0</v>
      </c>
      <c r="AI13" s="231" t="s">
        <v>1117</v>
      </c>
      <c r="AJ13" s="237">
        <v>3</v>
      </c>
      <c r="AK13" s="240">
        <v>7</v>
      </c>
      <c r="AL13" s="236">
        <v>10</v>
      </c>
      <c r="AM13" s="234" t="s">
        <v>136</v>
      </c>
      <c r="AN13" s="231" t="s">
        <v>2330</v>
      </c>
      <c r="AO13" s="236">
        <v>1</v>
      </c>
      <c r="AP13" s="231">
        <v>5</v>
      </c>
      <c r="AQ13" s="239">
        <v>6</v>
      </c>
      <c r="AR13" s="311">
        <v>2</v>
      </c>
      <c r="AS13" s="311">
        <v>3</v>
      </c>
      <c r="AT13" s="232">
        <v>4</v>
      </c>
      <c r="AU13" s="233">
        <v>7</v>
      </c>
      <c r="AV13" s="231" t="s">
        <v>2335</v>
      </c>
      <c r="AW13" s="232">
        <v>6</v>
      </c>
      <c r="AX13" s="233">
        <v>11</v>
      </c>
      <c r="AY13" s="231">
        <v>10</v>
      </c>
      <c r="AZ13" s="232">
        <v>4</v>
      </c>
      <c r="BA13" s="233">
        <v>10</v>
      </c>
      <c r="BB13" s="233">
        <v>2</v>
      </c>
      <c r="BC13" s="234">
        <v>5</v>
      </c>
      <c r="BD13" s="231">
        <v>5</v>
      </c>
      <c r="BE13" s="235">
        <v>5</v>
      </c>
      <c r="BF13" s="236">
        <v>4</v>
      </c>
      <c r="BG13" s="234">
        <v>3</v>
      </c>
      <c r="BH13" s="241" t="s">
        <v>2347</v>
      </c>
    </row>
    <row r="14" spans="1:60" x14ac:dyDescent="0.25">
      <c r="A14" s="204">
        <v>11</v>
      </c>
      <c r="B14" s="206">
        <v>85000</v>
      </c>
      <c r="C14" s="411">
        <v>4</v>
      </c>
      <c r="D14" s="237">
        <v>6</v>
      </c>
      <c r="E14" s="233">
        <v>4</v>
      </c>
      <c r="F14" s="233">
        <v>3</v>
      </c>
      <c r="G14" s="233">
        <v>3</v>
      </c>
      <c r="H14" s="233">
        <v>3</v>
      </c>
      <c r="I14" s="233">
        <v>2</v>
      </c>
      <c r="J14" s="233">
        <v>1</v>
      </c>
      <c r="K14" s="222">
        <v>0</v>
      </c>
      <c r="L14" s="222">
        <v>0</v>
      </c>
      <c r="M14" s="218">
        <v>0</v>
      </c>
      <c r="N14" s="232">
        <v>3</v>
      </c>
      <c r="O14" s="233">
        <v>4</v>
      </c>
      <c r="P14" s="233">
        <v>3</v>
      </c>
      <c r="Q14" s="233">
        <v>3</v>
      </c>
      <c r="R14" s="222">
        <v>0</v>
      </c>
      <c r="S14" s="218">
        <v>0</v>
      </c>
      <c r="T14" s="237">
        <v>2</v>
      </c>
      <c r="U14" s="233">
        <v>4</v>
      </c>
      <c r="V14" s="233">
        <v>3</v>
      </c>
      <c r="W14" s="222">
        <v>0</v>
      </c>
      <c r="X14" s="218">
        <v>0</v>
      </c>
      <c r="Y14" s="232">
        <v>4</v>
      </c>
      <c r="Z14" s="233">
        <v>15</v>
      </c>
      <c r="AA14" s="234">
        <v>1</v>
      </c>
      <c r="AB14" s="234" t="s">
        <v>128</v>
      </c>
      <c r="AC14" s="231" t="s">
        <v>126</v>
      </c>
      <c r="AD14" s="237">
        <v>5</v>
      </c>
      <c r="AE14" s="231">
        <v>2</v>
      </c>
      <c r="AF14" s="237">
        <v>4</v>
      </c>
      <c r="AG14" s="234">
        <v>1</v>
      </c>
      <c r="AH14" s="234">
        <v>0</v>
      </c>
      <c r="AI14" s="231" t="s">
        <v>1117</v>
      </c>
      <c r="AJ14" s="237">
        <v>3</v>
      </c>
      <c r="AK14" s="240">
        <v>8</v>
      </c>
      <c r="AL14" s="236">
        <v>11</v>
      </c>
      <c r="AM14" s="234" t="s">
        <v>126</v>
      </c>
      <c r="AN14" s="231" t="s">
        <v>2330</v>
      </c>
      <c r="AO14" s="236">
        <v>1</v>
      </c>
      <c r="AP14" s="231">
        <v>5</v>
      </c>
      <c r="AQ14" s="239">
        <v>7</v>
      </c>
      <c r="AR14" s="311">
        <v>2</v>
      </c>
      <c r="AS14" s="311">
        <v>3</v>
      </c>
      <c r="AT14" s="232">
        <v>4</v>
      </c>
      <c r="AU14" s="233">
        <v>8</v>
      </c>
      <c r="AV14" s="231" t="s">
        <v>2336</v>
      </c>
      <c r="AW14" s="232">
        <v>6</v>
      </c>
      <c r="AX14" s="233">
        <v>12</v>
      </c>
      <c r="AY14" s="231">
        <v>11</v>
      </c>
      <c r="AZ14" s="232">
        <v>4</v>
      </c>
      <c r="BA14" s="233">
        <v>11</v>
      </c>
      <c r="BB14" s="233">
        <v>3</v>
      </c>
      <c r="BC14" s="234">
        <v>5</v>
      </c>
      <c r="BD14" s="231">
        <v>5</v>
      </c>
      <c r="BE14" s="235">
        <v>5</v>
      </c>
      <c r="BF14" s="236">
        <v>4</v>
      </c>
      <c r="BG14" s="234">
        <v>3</v>
      </c>
      <c r="BH14" s="241" t="s">
        <v>2347</v>
      </c>
    </row>
    <row r="15" spans="1:60" x14ac:dyDescent="0.25">
      <c r="A15" s="204">
        <v>12</v>
      </c>
      <c r="B15" s="206">
        <v>100000</v>
      </c>
      <c r="C15" s="411">
        <v>4</v>
      </c>
      <c r="D15" s="237">
        <v>6</v>
      </c>
      <c r="E15" s="233">
        <v>4</v>
      </c>
      <c r="F15" s="233">
        <v>3</v>
      </c>
      <c r="G15" s="233">
        <v>3</v>
      </c>
      <c r="H15" s="233">
        <v>3</v>
      </c>
      <c r="I15" s="233">
        <v>2</v>
      </c>
      <c r="J15" s="233">
        <v>1</v>
      </c>
      <c r="K15" s="222">
        <v>0</v>
      </c>
      <c r="L15" s="222">
        <v>0</v>
      </c>
      <c r="M15" s="218">
        <v>0</v>
      </c>
      <c r="N15" s="232">
        <v>3</v>
      </c>
      <c r="O15" s="233">
        <v>4</v>
      </c>
      <c r="P15" s="233">
        <v>3</v>
      </c>
      <c r="Q15" s="233">
        <v>3</v>
      </c>
      <c r="R15" s="222">
        <v>0</v>
      </c>
      <c r="S15" s="218">
        <v>0</v>
      </c>
      <c r="T15" s="237">
        <v>2</v>
      </c>
      <c r="U15" s="233">
        <v>4</v>
      </c>
      <c r="V15" s="233">
        <v>3</v>
      </c>
      <c r="W15" s="222">
        <v>0</v>
      </c>
      <c r="X15" s="218">
        <v>0</v>
      </c>
      <c r="Y15" s="232">
        <v>4</v>
      </c>
      <c r="Z15" s="233">
        <v>15</v>
      </c>
      <c r="AA15" s="234">
        <v>1</v>
      </c>
      <c r="AB15" s="234" t="s">
        <v>128</v>
      </c>
      <c r="AC15" s="231" t="s">
        <v>126</v>
      </c>
      <c r="AD15" s="237">
        <v>5</v>
      </c>
      <c r="AE15" s="231">
        <v>2</v>
      </c>
      <c r="AF15" s="237">
        <v>4</v>
      </c>
      <c r="AG15" s="234">
        <v>1</v>
      </c>
      <c r="AH15" s="234">
        <v>0</v>
      </c>
      <c r="AI15" s="231" t="s">
        <v>1117</v>
      </c>
      <c r="AJ15" s="237">
        <v>3</v>
      </c>
      <c r="AK15" s="240">
        <v>8</v>
      </c>
      <c r="AL15" s="236">
        <v>12</v>
      </c>
      <c r="AM15" s="234" t="s">
        <v>126</v>
      </c>
      <c r="AN15" s="231" t="s">
        <v>2330</v>
      </c>
      <c r="AO15" s="236">
        <v>1</v>
      </c>
      <c r="AP15" s="231">
        <v>5</v>
      </c>
      <c r="AQ15" s="239">
        <v>7</v>
      </c>
      <c r="AR15" s="311">
        <v>2</v>
      </c>
      <c r="AS15" s="311">
        <v>3</v>
      </c>
      <c r="AT15" s="232">
        <v>4</v>
      </c>
      <c r="AU15" s="233">
        <v>8</v>
      </c>
      <c r="AV15" s="231" t="s">
        <v>2336</v>
      </c>
      <c r="AW15" s="232">
        <v>6</v>
      </c>
      <c r="AX15" s="233">
        <v>12</v>
      </c>
      <c r="AY15" s="231">
        <v>12</v>
      </c>
      <c r="AZ15" s="232">
        <v>4</v>
      </c>
      <c r="BA15" s="233">
        <v>11</v>
      </c>
      <c r="BB15" s="233">
        <v>3</v>
      </c>
      <c r="BC15" s="234">
        <v>6</v>
      </c>
      <c r="BD15" s="231">
        <v>5</v>
      </c>
      <c r="BE15" s="235">
        <v>5</v>
      </c>
      <c r="BF15" s="236">
        <v>5</v>
      </c>
      <c r="BG15" s="234">
        <v>3</v>
      </c>
      <c r="BH15" s="241" t="s">
        <v>2347</v>
      </c>
    </row>
    <row r="16" spans="1:60" x14ac:dyDescent="0.25">
      <c r="A16" s="204">
        <v>13</v>
      </c>
      <c r="B16" s="206">
        <v>120000</v>
      </c>
      <c r="C16" s="411">
        <v>5</v>
      </c>
      <c r="D16" s="237">
        <v>7</v>
      </c>
      <c r="E16" s="233">
        <v>4</v>
      </c>
      <c r="F16" s="233">
        <v>3</v>
      </c>
      <c r="G16" s="233">
        <v>3</v>
      </c>
      <c r="H16" s="233">
        <v>3</v>
      </c>
      <c r="I16" s="233">
        <v>2</v>
      </c>
      <c r="J16" s="233">
        <v>1</v>
      </c>
      <c r="K16" s="233">
        <v>1</v>
      </c>
      <c r="L16" s="222">
        <v>0</v>
      </c>
      <c r="M16" s="218">
        <v>0</v>
      </c>
      <c r="N16" s="232">
        <v>4</v>
      </c>
      <c r="O16" s="233">
        <v>4</v>
      </c>
      <c r="P16" s="233">
        <v>3</v>
      </c>
      <c r="Q16" s="233">
        <v>3</v>
      </c>
      <c r="R16" s="233">
        <v>1</v>
      </c>
      <c r="S16" s="218">
        <v>0</v>
      </c>
      <c r="T16" s="237">
        <v>3</v>
      </c>
      <c r="U16" s="233">
        <v>4</v>
      </c>
      <c r="V16" s="233">
        <v>3</v>
      </c>
      <c r="W16" s="233">
        <v>2</v>
      </c>
      <c r="X16" s="218">
        <v>0</v>
      </c>
      <c r="Y16" s="232">
        <v>4</v>
      </c>
      <c r="Z16" s="233">
        <v>16</v>
      </c>
      <c r="AA16" s="234">
        <v>1</v>
      </c>
      <c r="AB16" s="234" t="s">
        <v>128</v>
      </c>
      <c r="AC16" s="231" t="s">
        <v>128</v>
      </c>
      <c r="AD16" s="237">
        <v>5</v>
      </c>
      <c r="AE16" s="231">
        <v>2</v>
      </c>
      <c r="AF16" s="237">
        <v>4</v>
      </c>
      <c r="AG16" s="234">
        <v>1</v>
      </c>
      <c r="AH16" s="234">
        <v>0</v>
      </c>
      <c r="AI16" s="231" t="s">
        <v>1117</v>
      </c>
      <c r="AJ16" s="237">
        <v>3</v>
      </c>
      <c r="AK16" s="240">
        <v>9</v>
      </c>
      <c r="AL16" s="236">
        <v>13</v>
      </c>
      <c r="AM16" s="234" t="s">
        <v>126</v>
      </c>
      <c r="AN16" s="231" t="s">
        <v>2330</v>
      </c>
      <c r="AO16" s="236">
        <v>1</v>
      </c>
      <c r="AP16" s="231">
        <v>5</v>
      </c>
      <c r="AQ16" s="239">
        <v>8</v>
      </c>
      <c r="AR16" s="311">
        <v>2</v>
      </c>
      <c r="AS16" s="311">
        <v>3</v>
      </c>
      <c r="AT16" s="232">
        <v>4</v>
      </c>
      <c r="AU16" s="233">
        <v>9</v>
      </c>
      <c r="AV16" s="231" t="s">
        <v>2337</v>
      </c>
      <c r="AW16" s="232">
        <v>6</v>
      </c>
      <c r="AX16" s="233">
        <v>13</v>
      </c>
      <c r="AY16" s="231">
        <v>13</v>
      </c>
      <c r="AZ16" s="232">
        <v>4</v>
      </c>
      <c r="BA16" s="233">
        <v>12</v>
      </c>
      <c r="BB16" s="233">
        <v>3</v>
      </c>
      <c r="BC16" s="234">
        <v>6</v>
      </c>
      <c r="BD16" s="231">
        <v>5</v>
      </c>
      <c r="BE16" s="235">
        <v>5</v>
      </c>
      <c r="BF16" s="236">
        <v>5</v>
      </c>
      <c r="BG16" s="234">
        <v>3</v>
      </c>
      <c r="BH16" s="241" t="s">
        <v>2348</v>
      </c>
    </row>
    <row r="17" spans="1:60" x14ac:dyDescent="0.25">
      <c r="A17" s="204">
        <v>14</v>
      </c>
      <c r="B17" s="206">
        <v>140000</v>
      </c>
      <c r="C17" s="411">
        <v>5</v>
      </c>
      <c r="D17" s="237">
        <v>7</v>
      </c>
      <c r="E17" s="233">
        <v>4</v>
      </c>
      <c r="F17" s="233">
        <v>3</v>
      </c>
      <c r="G17" s="233">
        <v>3</v>
      </c>
      <c r="H17" s="233">
        <v>3</v>
      </c>
      <c r="I17" s="233">
        <v>2</v>
      </c>
      <c r="J17" s="233">
        <v>1</v>
      </c>
      <c r="K17" s="233">
        <v>1</v>
      </c>
      <c r="L17" s="222">
        <v>0</v>
      </c>
      <c r="M17" s="218">
        <v>0</v>
      </c>
      <c r="N17" s="232">
        <v>4</v>
      </c>
      <c r="O17" s="233">
        <v>4</v>
      </c>
      <c r="P17" s="233">
        <v>3</v>
      </c>
      <c r="Q17" s="233">
        <v>3</v>
      </c>
      <c r="R17" s="233">
        <v>1</v>
      </c>
      <c r="S17" s="218">
        <v>0</v>
      </c>
      <c r="T17" s="237">
        <v>3</v>
      </c>
      <c r="U17" s="233">
        <v>4</v>
      </c>
      <c r="V17" s="233">
        <v>3</v>
      </c>
      <c r="W17" s="233">
        <v>2</v>
      </c>
      <c r="X17" s="218">
        <v>0</v>
      </c>
      <c r="Y17" s="232">
        <v>4</v>
      </c>
      <c r="Z17" s="233">
        <v>18</v>
      </c>
      <c r="AA17" s="234">
        <v>1</v>
      </c>
      <c r="AB17" s="234" t="s">
        <v>128</v>
      </c>
      <c r="AC17" s="231" t="s">
        <v>128</v>
      </c>
      <c r="AD17" s="237">
        <v>5</v>
      </c>
      <c r="AE17" s="231">
        <v>2</v>
      </c>
      <c r="AF17" s="237">
        <v>4</v>
      </c>
      <c r="AG17" s="234">
        <v>1</v>
      </c>
      <c r="AH17" s="234">
        <v>0</v>
      </c>
      <c r="AI17" s="231" t="s">
        <v>1117</v>
      </c>
      <c r="AJ17" s="237">
        <v>3</v>
      </c>
      <c r="AK17" s="240">
        <v>10</v>
      </c>
      <c r="AL17" s="236">
        <v>14</v>
      </c>
      <c r="AM17" s="234" t="s">
        <v>126</v>
      </c>
      <c r="AN17" s="231" t="s">
        <v>2331</v>
      </c>
      <c r="AO17" s="236">
        <v>1</v>
      </c>
      <c r="AP17" s="231">
        <v>5</v>
      </c>
      <c r="AQ17" s="239">
        <v>8</v>
      </c>
      <c r="AR17" s="311">
        <v>3</v>
      </c>
      <c r="AS17" s="311">
        <v>3</v>
      </c>
      <c r="AT17" s="232">
        <v>4</v>
      </c>
      <c r="AU17" s="233">
        <v>10</v>
      </c>
      <c r="AV17" s="231" t="s">
        <v>2337</v>
      </c>
      <c r="AW17" s="232">
        <v>6</v>
      </c>
      <c r="AX17" s="233">
        <v>13</v>
      </c>
      <c r="AY17" s="231">
        <v>14</v>
      </c>
      <c r="AZ17" s="232">
        <v>4</v>
      </c>
      <c r="BA17" s="233">
        <v>12</v>
      </c>
      <c r="BB17" s="233">
        <v>3</v>
      </c>
      <c r="BC17" s="234">
        <v>6</v>
      </c>
      <c r="BD17" s="231">
        <v>5</v>
      </c>
      <c r="BE17" s="235">
        <v>5</v>
      </c>
      <c r="BF17" s="236">
        <v>5</v>
      </c>
      <c r="BG17" s="234">
        <v>3</v>
      </c>
      <c r="BH17" s="241" t="s">
        <v>2348</v>
      </c>
    </row>
    <row r="18" spans="1:60" x14ac:dyDescent="0.25">
      <c r="A18" s="204">
        <v>15</v>
      </c>
      <c r="B18" s="206">
        <v>165000</v>
      </c>
      <c r="C18" s="411">
        <v>5</v>
      </c>
      <c r="D18" s="237">
        <v>8</v>
      </c>
      <c r="E18" s="233">
        <v>4</v>
      </c>
      <c r="F18" s="233">
        <v>3</v>
      </c>
      <c r="G18" s="233">
        <v>3</v>
      </c>
      <c r="H18" s="233">
        <v>3</v>
      </c>
      <c r="I18" s="233">
        <v>2</v>
      </c>
      <c r="J18" s="233">
        <v>1</v>
      </c>
      <c r="K18" s="233">
        <v>1</v>
      </c>
      <c r="L18" s="233">
        <v>1</v>
      </c>
      <c r="M18" s="218">
        <v>0</v>
      </c>
      <c r="N18" s="232">
        <v>4</v>
      </c>
      <c r="O18" s="233">
        <v>4</v>
      </c>
      <c r="P18" s="233">
        <v>3</v>
      </c>
      <c r="Q18" s="233">
        <v>3</v>
      </c>
      <c r="R18" s="233">
        <v>2</v>
      </c>
      <c r="S18" s="218">
        <v>0</v>
      </c>
      <c r="T18" s="237">
        <v>3</v>
      </c>
      <c r="U18" s="233">
        <v>4</v>
      </c>
      <c r="V18" s="233">
        <v>3</v>
      </c>
      <c r="W18" s="233">
        <v>2</v>
      </c>
      <c r="X18" s="218">
        <v>0</v>
      </c>
      <c r="Y18" s="232">
        <v>4</v>
      </c>
      <c r="Z18" s="233">
        <v>19</v>
      </c>
      <c r="AA18" s="234">
        <v>1</v>
      </c>
      <c r="AB18" s="234" t="s">
        <v>131</v>
      </c>
      <c r="AC18" s="231" t="s">
        <v>128</v>
      </c>
      <c r="AD18" s="237">
        <v>5</v>
      </c>
      <c r="AE18" s="231">
        <v>2</v>
      </c>
      <c r="AF18" s="237">
        <v>4</v>
      </c>
      <c r="AG18" s="234">
        <v>1</v>
      </c>
      <c r="AH18" s="234">
        <v>0</v>
      </c>
      <c r="AI18" s="231" t="s">
        <v>1117</v>
      </c>
      <c r="AJ18" s="237">
        <v>3</v>
      </c>
      <c r="AK18" s="240">
        <v>10</v>
      </c>
      <c r="AL18" s="236">
        <v>15</v>
      </c>
      <c r="AM18" s="234" t="s">
        <v>126</v>
      </c>
      <c r="AN18" s="231" t="s">
        <v>2331</v>
      </c>
      <c r="AO18" s="236">
        <v>1</v>
      </c>
      <c r="AP18" s="231">
        <v>5</v>
      </c>
      <c r="AQ18" s="239">
        <v>9</v>
      </c>
      <c r="AR18" s="311">
        <v>3</v>
      </c>
      <c r="AS18" s="311">
        <v>3</v>
      </c>
      <c r="AT18" s="232">
        <v>4</v>
      </c>
      <c r="AU18" s="233">
        <v>10</v>
      </c>
      <c r="AV18" s="231" t="s">
        <v>2338</v>
      </c>
      <c r="AW18" s="232">
        <v>6</v>
      </c>
      <c r="AX18" s="233">
        <v>14</v>
      </c>
      <c r="AY18" s="231">
        <v>15</v>
      </c>
      <c r="AZ18" s="232">
        <v>4</v>
      </c>
      <c r="BA18" s="233">
        <v>13</v>
      </c>
      <c r="BB18" s="233">
        <v>3</v>
      </c>
      <c r="BC18" s="234">
        <v>7</v>
      </c>
      <c r="BD18" s="231">
        <v>5</v>
      </c>
      <c r="BE18" s="235">
        <v>5</v>
      </c>
      <c r="BF18" s="236">
        <v>5</v>
      </c>
      <c r="BG18" s="234">
        <v>3</v>
      </c>
      <c r="BH18" s="241" t="s">
        <v>2348</v>
      </c>
    </row>
    <row r="19" spans="1:60" x14ac:dyDescent="0.25">
      <c r="A19" s="204">
        <v>16</v>
      </c>
      <c r="B19" s="206">
        <v>195000</v>
      </c>
      <c r="C19" s="411">
        <v>5</v>
      </c>
      <c r="D19" s="237">
        <v>8</v>
      </c>
      <c r="E19" s="233">
        <v>4</v>
      </c>
      <c r="F19" s="233">
        <v>3</v>
      </c>
      <c r="G19" s="233">
        <v>3</v>
      </c>
      <c r="H19" s="233">
        <v>3</v>
      </c>
      <c r="I19" s="233">
        <v>2</v>
      </c>
      <c r="J19" s="233">
        <v>1</v>
      </c>
      <c r="K19" s="233">
        <v>1</v>
      </c>
      <c r="L19" s="233">
        <v>1</v>
      </c>
      <c r="M19" s="218">
        <v>0</v>
      </c>
      <c r="N19" s="232">
        <v>4</v>
      </c>
      <c r="O19" s="233">
        <v>4</v>
      </c>
      <c r="P19" s="233">
        <v>3</v>
      </c>
      <c r="Q19" s="233">
        <v>3</v>
      </c>
      <c r="R19" s="233">
        <v>2</v>
      </c>
      <c r="S19" s="218">
        <v>0</v>
      </c>
      <c r="T19" s="237">
        <v>3</v>
      </c>
      <c r="U19" s="233">
        <v>4</v>
      </c>
      <c r="V19" s="233">
        <v>3</v>
      </c>
      <c r="W19" s="233">
        <v>3</v>
      </c>
      <c r="X19" s="218">
        <v>0</v>
      </c>
      <c r="Y19" s="232">
        <v>4</v>
      </c>
      <c r="Z19" s="233">
        <v>19</v>
      </c>
      <c r="AA19" s="234">
        <v>1</v>
      </c>
      <c r="AB19" s="234" t="s">
        <v>131</v>
      </c>
      <c r="AC19" s="231" t="s">
        <v>128</v>
      </c>
      <c r="AD19" s="237">
        <v>5</v>
      </c>
      <c r="AE19" s="231">
        <v>2</v>
      </c>
      <c r="AF19" s="237">
        <v>4</v>
      </c>
      <c r="AG19" s="234">
        <v>1</v>
      </c>
      <c r="AH19" s="234">
        <v>0</v>
      </c>
      <c r="AI19" s="231" t="s">
        <v>1117</v>
      </c>
      <c r="AJ19" s="237">
        <v>3</v>
      </c>
      <c r="AK19" s="240">
        <v>11</v>
      </c>
      <c r="AL19" s="236">
        <v>16</v>
      </c>
      <c r="AM19" s="234" t="s">
        <v>126</v>
      </c>
      <c r="AN19" s="231" t="s">
        <v>2331</v>
      </c>
      <c r="AO19" s="236">
        <v>1</v>
      </c>
      <c r="AP19" s="231">
        <v>5</v>
      </c>
      <c r="AQ19" s="239">
        <v>9</v>
      </c>
      <c r="AR19" s="311">
        <v>3</v>
      </c>
      <c r="AS19" s="311">
        <v>3</v>
      </c>
      <c r="AT19" s="232">
        <v>4</v>
      </c>
      <c r="AU19" s="233">
        <v>11</v>
      </c>
      <c r="AV19" s="231" t="s">
        <v>2338</v>
      </c>
      <c r="AW19" s="232">
        <v>6</v>
      </c>
      <c r="AX19" s="233">
        <v>14</v>
      </c>
      <c r="AY19" s="231">
        <v>16</v>
      </c>
      <c r="AZ19" s="232">
        <v>4</v>
      </c>
      <c r="BA19" s="233">
        <v>13</v>
      </c>
      <c r="BB19" s="233">
        <v>3</v>
      </c>
      <c r="BC19" s="234">
        <v>7</v>
      </c>
      <c r="BD19" s="231">
        <v>5</v>
      </c>
      <c r="BE19" s="235">
        <v>5</v>
      </c>
      <c r="BF19" s="236">
        <v>5</v>
      </c>
      <c r="BG19" s="234">
        <v>4</v>
      </c>
      <c r="BH19" s="241" t="s">
        <v>2348</v>
      </c>
    </row>
    <row r="20" spans="1:60" x14ac:dyDescent="0.25">
      <c r="A20" s="204">
        <v>17</v>
      </c>
      <c r="B20" s="206">
        <v>225000</v>
      </c>
      <c r="C20" s="411">
        <v>6</v>
      </c>
      <c r="D20" s="237">
        <v>9</v>
      </c>
      <c r="E20" s="233">
        <v>4</v>
      </c>
      <c r="F20" s="233">
        <v>3</v>
      </c>
      <c r="G20" s="233">
        <v>3</v>
      </c>
      <c r="H20" s="233">
        <v>3</v>
      </c>
      <c r="I20" s="233">
        <v>2</v>
      </c>
      <c r="J20" s="233">
        <v>1</v>
      </c>
      <c r="K20" s="233">
        <v>1</v>
      </c>
      <c r="L20" s="233">
        <v>1</v>
      </c>
      <c r="M20" s="240">
        <v>1</v>
      </c>
      <c r="N20" s="232">
        <v>5</v>
      </c>
      <c r="O20" s="233">
        <v>4</v>
      </c>
      <c r="P20" s="233">
        <v>3</v>
      </c>
      <c r="Q20" s="233">
        <v>3</v>
      </c>
      <c r="R20" s="233">
        <v>3</v>
      </c>
      <c r="S20" s="240">
        <v>1</v>
      </c>
      <c r="T20" s="237">
        <v>3</v>
      </c>
      <c r="U20" s="233">
        <v>4</v>
      </c>
      <c r="V20" s="233">
        <v>3</v>
      </c>
      <c r="W20" s="233">
        <v>3</v>
      </c>
      <c r="X20" s="218">
        <v>0</v>
      </c>
      <c r="Y20" s="232">
        <v>4</v>
      </c>
      <c r="Z20" s="233">
        <v>20</v>
      </c>
      <c r="AA20" s="234">
        <v>1</v>
      </c>
      <c r="AB20" s="234" t="s">
        <v>131</v>
      </c>
      <c r="AC20" s="231" t="s">
        <v>131</v>
      </c>
      <c r="AD20" s="237">
        <v>5</v>
      </c>
      <c r="AE20" s="231">
        <v>2</v>
      </c>
      <c r="AF20" s="237">
        <v>4</v>
      </c>
      <c r="AG20" s="234">
        <v>1</v>
      </c>
      <c r="AH20" s="234">
        <v>0</v>
      </c>
      <c r="AI20" s="231" t="s">
        <v>1117</v>
      </c>
      <c r="AJ20" s="237">
        <v>3</v>
      </c>
      <c r="AK20" s="240">
        <v>11</v>
      </c>
      <c r="AL20" s="236">
        <v>17</v>
      </c>
      <c r="AM20" s="234" t="s">
        <v>128</v>
      </c>
      <c r="AN20" s="231" t="s">
        <v>2331</v>
      </c>
      <c r="AO20" s="236">
        <v>1</v>
      </c>
      <c r="AP20" s="231">
        <v>5</v>
      </c>
      <c r="AQ20" s="239">
        <v>10</v>
      </c>
      <c r="AR20" s="311">
        <v>3</v>
      </c>
      <c r="AS20" s="311">
        <v>3</v>
      </c>
      <c r="AT20" s="232">
        <v>4</v>
      </c>
      <c r="AU20" s="233">
        <v>11</v>
      </c>
      <c r="AV20" s="231" t="s">
        <v>2339</v>
      </c>
      <c r="AW20" s="232">
        <v>6</v>
      </c>
      <c r="AX20" s="233">
        <v>15</v>
      </c>
      <c r="AY20" s="231">
        <v>17</v>
      </c>
      <c r="AZ20" s="232">
        <v>4</v>
      </c>
      <c r="BA20" s="233">
        <v>14</v>
      </c>
      <c r="BB20" s="233">
        <v>4</v>
      </c>
      <c r="BC20" s="234">
        <v>7</v>
      </c>
      <c r="BD20" s="231">
        <v>5</v>
      </c>
      <c r="BE20" s="235">
        <v>5</v>
      </c>
      <c r="BF20" s="236">
        <v>6</v>
      </c>
      <c r="BG20" s="234">
        <v>4</v>
      </c>
      <c r="BH20" s="241" t="s">
        <v>2349</v>
      </c>
    </row>
    <row r="21" spans="1:60" x14ac:dyDescent="0.25">
      <c r="A21" s="204">
        <v>18</v>
      </c>
      <c r="B21" s="206">
        <v>265000</v>
      </c>
      <c r="C21" s="411">
        <v>6</v>
      </c>
      <c r="D21" s="237">
        <v>9</v>
      </c>
      <c r="E21" s="233">
        <v>4</v>
      </c>
      <c r="F21" s="233">
        <v>3</v>
      </c>
      <c r="G21" s="233">
        <v>3</v>
      </c>
      <c r="H21" s="233">
        <v>3</v>
      </c>
      <c r="I21" s="233">
        <v>3</v>
      </c>
      <c r="J21" s="233">
        <v>1</v>
      </c>
      <c r="K21" s="233">
        <v>1</v>
      </c>
      <c r="L21" s="233">
        <v>1</v>
      </c>
      <c r="M21" s="240">
        <v>1</v>
      </c>
      <c r="N21" s="232">
        <v>5</v>
      </c>
      <c r="O21" s="233">
        <v>4</v>
      </c>
      <c r="P21" s="233">
        <v>3</v>
      </c>
      <c r="Q21" s="233">
        <v>3</v>
      </c>
      <c r="R21" s="233">
        <v>3</v>
      </c>
      <c r="S21" s="240">
        <v>1</v>
      </c>
      <c r="T21" s="237">
        <v>3</v>
      </c>
      <c r="U21" s="233">
        <v>4</v>
      </c>
      <c r="V21" s="233">
        <v>3</v>
      </c>
      <c r="W21" s="233">
        <v>3</v>
      </c>
      <c r="X21" s="218">
        <v>0</v>
      </c>
      <c r="Y21" s="232">
        <v>4</v>
      </c>
      <c r="Z21" s="233">
        <v>22</v>
      </c>
      <c r="AA21" s="234">
        <v>1</v>
      </c>
      <c r="AB21" s="234" t="s">
        <v>131</v>
      </c>
      <c r="AC21" s="231" t="s">
        <v>131</v>
      </c>
      <c r="AD21" s="237">
        <v>5</v>
      </c>
      <c r="AE21" s="231">
        <v>3</v>
      </c>
      <c r="AF21" s="237">
        <v>4</v>
      </c>
      <c r="AG21" s="234">
        <v>1</v>
      </c>
      <c r="AH21" s="234">
        <v>0</v>
      </c>
      <c r="AI21" s="231" t="s">
        <v>1117</v>
      </c>
      <c r="AJ21" s="237">
        <v>3</v>
      </c>
      <c r="AK21" s="240">
        <v>11</v>
      </c>
      <c r="AL21" s="236">
        <v>18</v>
      </c>
      <c r="AM21" s="234" t="s">
        <v>128</v>
      </c>
      <c r="AN21" s="231" t="s">
        <v>2332</v>
      </c>
      <c r="AO21" s="236">
        <v>1</v>
      </c>
      <c r="AP21" s="231">
        <v>5</v>
      </c>
      <c r="AQ21" s="239">
        <v>10</v>
      </c>
      <c r="AR21" s="311">
        <v>3</v>
      </c>
      <c r="AS21" s="311">
        <v>3</v>
      </c>
      <c r="AT21" s="232">
        <v>4</v>
      </c>
      <c r="AU21" s="233">
        <v>11</v>
      </c>
      <c r="AV21" s="231" t="s">
        <v>2339</v>
      </c>
      <c r="AW21" s="232">
        <v>6</v>
      </c>
      <c r="AX21" s="233">
        <v>15</v>
      </c>
      <c r="AY21" s="231">
        <v>18</v>
      </c>
      <c r="AZ21" s="232">
        <v>4</v>
      </c>
      <c r="BA21" s="233">
        <v>14</v>
      </c>
      <c r="BB21" s="233">
        <v>4</v>
      </c>
      <c r="BC21" s="234">
        <v>8</v>
      </c>
      <c r="BD21" s="231">
        <v>5</v>
      </c>
      <c r="BE21" s="235">
        <v>5</v>
      </c>
      <c r="BF21" s="236">
        <v>6</v>
      </c>
      <c r="BG21" s="234">
        <v>4</v>
      </c>
      <c r="BH21" s="241" t="s">
        <v>2349</v>
      </c>
    </row>
    <row r="22" spans="1:60" x14ac:dyDescent="0.25">
      <c r="A22" s="204">
        <v>19</v>
      </c>
      <c r="B22" s="206">
        <v>305000</v>
      </c>
      <c r="C22" s="411">
        <v>6</v>
      </c>
      <c r="D22" s="237">
        <v>9</v>
      </c>
      <c r="E22" s="233">
        <v>4</v>
      </c>
      <c r="F22" s="233">
        <v>3</v>
      </c>
      <c r="G22" s="233">
        <v>3</v>
      </c>
      <c r="H22" s="233">
        <v>3</v>
      </c>
      <c r="I22" s="233">
        <v>3</v>
      </c>
      <c r="J22" s="233">
        <v>2</v>
      </c>
      <c r="K22" s="233">
        <v>1</v>
      </c>
      <c r="L22" s="233">
        <v>1</v>
      </c>
      <c r="M22" s="240">
        <v>1</v>
      </c>
      <c r="N22" s="232">
        <v>5</v>
      </c>
      <c r="O22" s="233">
        <v>4</v>
      </c>
      <c r="P22" s="233">
        <v>3</v>
      </c>
      <c r="Q22" s="233">
        <v>3</v>
      </c>
      <c r="R22" s="233">
        <v>3</v>
      </c>
      <c r="S22" s="240">
        <v>2</v>
      </c>
      <c r="T22" s="237">
        <v>4</v>
      </c>
      <c r="U22" s="233">
        <v>4</v>
      </c>
      <c r="V22" s="233">
        <v>3</v>
      </c>
      <c r="W22" s="233">
        <v>3</v>
      </c>
      <c r="X22" s="240">
        <v>1</v>
      </c>
      <c r="Y22" s="232">
        <v>4</v>
      </c>
      <c r="Z22" s="233">
        <v>22</v>
      </c>
      <c r="AA22" s="234">
        <v>1</v>
      </c>
      <c r="AB22" s="234" t="s">
        <v>131</v>
      </c>
      <c r="AC22" s="231" t="s">
        <v>131</v>
      </c>
      <c r="AD22" s="237">
        <v>5</v>
      </c>
      <c r="AE22" s="231">
        <v>3</v>
      </c>
      <c r="AF22" s="237">
        <v>4</v>
      </c>
      <c r="AG22" s="234">
        <v>1</v>
      </c>
      <c r="AH22" s="234">
        <v>0</v>
      </c>
      <c r="AI22" s="231" t="s">
        <v>1117</v>
      </c>
      <c r="AJ22" s="237">
        <v>3</v>
      </c>
      <c r="AK22" s="240">
        <v>12</v>
      </c>
      <c r="AL22" s="236">
        <v>19</v>
      </c>
      <c r="AM22" s="234" t="s">
        <v>128</v>
      </c>
      <c r="AN22" s="231" t="s">
        <v>2332</v>
      </c>
      <c r="AO22" s="236">
        <v>1</v>
      </c>
      <c r="AP22" s="231">
        <v>5</v>
      </c>
      <c r="AQ22" s="239">
        <v>11</v>
      </c>
      <c r="AR22" s="311">
        <v>3</v>
      </c>
      <c r="AS22" s="311">
        <v>3</v>
      </c>
      <c r="AT22" s="232">
        <v>4</v>
      </c>
      <c r="AU22" s="233">
        <v>12</v>
      </c>
      <c r="AV22" s="231" t="s">
        <v>2340</v>
      </c>
      <c r="AW22" s="232">
        <v>6</v>
      </c>
      <c r="AX22" s="233">
        <v>15</v>
      </c>
      <c r="AY22" s="231">
        <v>19</v>
      </c>
      <c r="AZ22" s="232">
        <v>4</v>
      </c>
      <c r="BA22" s="233">
        <v>15</v>
      </c>
      <c r="BB22" s="233">
        <v>4</v>
      </c>
      <c r="BC22" s="234">
        <v>8</v>
      </c>
      <c r="BD22" s="231">
        <v>5</v>
      </c>
      <c r="BE22" s="235">
        <v>5</v>
      </c>
      <c r="BF22" s="236">
        <v>6</v>
      </c>
      <c r="BG22" s="234">
        <v>4</v>
      </c>
      <c r="BH22" s="241" t="s">
        <v>2349</v>
      </c>
    </row>
    <row r="23" spans="1:60" ht="15.75" thickBot="1" x14ac:dyDescent="0.3">
      <c r="A23" s="205">
        <v>20</v>
      </c>
      <c r="B23" s="207">
        <v>355000</v>
      </c>
      <c r="C23" s="309">
        <v>6</v>
      </c>
      <c r="D23" s="245">
        <v>9</v>
      </c>
      <c r="E23" s="243">
        <v>4</v>
      </c>
      <c r="F23" s="243">
        <v>3</v>
      </c>
      <c r="G23" s="243">
        <v>3</v>
      </c>
      <c r="H23" s="243">
        <v>3</v>
      </c>
      <c r="I23" s="243">
        <v>3</v>
      </c>
      <c r="J23" s="243">
        <v>2</v>
      </c>
      <c r="K23" s="243">
        <v>2</v>
      </c>
      <c r="L23" s="243">
        <v>1</v>
      </c>
      <c r="M23" s="244">
        <v>1</v>
      </c>
      <c r="N23" s="242">
        <v>5</v>
      </c>
      <c r="O23" s="243">
        <v>4</v>
      </c>
      <c r="P23" s="243">
        <v>3</v>
      </c>
      <c r="Q23" s="243">
        <v>3</v>
      </c>
      <c r="R23" s="243">
        <v>3</v>
      </c>
      <c r="S23" s="244">
        <v>2</v>
      </c>
      <c r="T23" s="245">
        <v>4</v>
      </c>
      <c r="U23" s="243">
        <v>4</v>
      </c>
      <c r="V23" s="243">
        <v>3</v>
      </c>
      <c r="W23" s="243">
        <v>3</v>
      </c>
      <c r="X23" s="244">
        <v>1</v>
      </c>
      <c r="Y23" s="242">
        <v>4</v>
      </c>
      <c r="Z23" s="243">
        <v>22</v>
      </c>
      <c r="AA23" s="246">
        <v>1</v>
      </c>
      <c r="AB23" s="246" t="s">
        <v>131</v>
      </c>
      <c r="AC23" s="247" t="s">
        <v>131</v>
      </c>
      <c r="AD23" s="245">
        <v>5</v>
      </c>
      <c r="AE23" s="247">
        <v>3</v>
      </c>
      <c r="AF23" s="245">
        <v>4</v>
      </c>
      <c r="AG23" s="246">
        <v>1</v>
      </c>
      <c r="AH23" s="246">
        <v>0</v>
      </c>
      <c r="AI23" s="247" t="s">
        <v>1117</v>
      </c>
      <c r="AJ23" s="245">
        <v>3</v>
      </c>
      <c r="AK23" s="244">
        <v>13</v>
      </c>
      <c r="AL23" s="248">
        <v>20</v>
      </c>
      <c r="AM23" s="246" t="s">
        <v>128</v>
      </c>
      <c r="AN23" s="247" t="s">
        <v>2332</v>
      </c>
      <c r="AO23" s="248">
        <v>1</v>
      </c>
      <c r="AP23" s="247">
        <v>5</v>
      </c>
      <c r="AQ23" s="249">
        <v>11</v>
      </c>
      <c r="AR23" s="311">
        <v>3</v>
      </c>
      <c r="AS23" s="312">
        <v>3</v>
      </c>
      <c r="AT23" s="242">
        <v>4</v>
      </c>
      <c r="AU23" s="243">
        <v>13</v>
      </c>
      <c r="AV23" s="247" t="s">
        <v>2340</v>
      </c>
      <c r="AW23" s="242">
        <v>6</v>
      </c>
      <c r="AX23" s="243">
        <v>15</v>
      </c>
      <c r="AY23" s="247">
        <v>20</v>
      </c>
      <c r="AZ23" s="242">
        <v>4</v>
      </c>
      <c r="BA23" s="243">
        <v>15</v>
      </c>
      <c r="BB23" s="243">
        <v>4</v>
      </c>
      <c r="BC23" s="246">
        <v>8</v>
      </c>
      <c r="BD23" s="247">
        <v>5</v>
      </c>
      <c r="BE23" s="250">
        <v>5</v>
      </c>
      <c r="BF23" s="248" t="s">
        <v>2350</v>
      </c>
      <c r="BG23" s="246">
        <v>4</v>
      </c>
      <c r="BH23" s="251" t="s">
        <v>2349</v>
      </c>
    </row>
    <row r="24" spans="1:60" x14ac:dyDescent="0.25">
      <c r="BE24" s="203"/>
    </row>
    <row r="26" spans="1:60" x14ac:dyDescent="0.25">
      <c r="C26" s="203" t="s">
        <v>4591</v>
      </c>
      <c r="E26" s="203" t="s">
        <v>6173</v>
      </c>
      <c r="G26" t="s">
        <v>4483</v>
      </c>
      <c r="H26"/>
      <c r="I26" t="s">
        <v>6860</v>
      </c>
    </row>
    <row r="27" spans="1:60" x14ac:dyDescent="0.25">
      <c r="C27" s="203" t="s">
        <v>4570</v>
      </c>
      <c r="E27" s="203" t="s">
        <v>6174</v>
      </c>
      <c r="G27" t="s">
        <v>4484</v>
      </c>
      <c r="H27"/>
      <c r="I27" t="s">
        <v>6861</v>
      </c>
    </row>
    <row r="28" spans="1:60" x14ac:dyDescent="0.25">
      <c r="C28" s="203" t="s">
        <v>4606</v>
      </c>
      <c r="E28" s="203" t="s">
        <v>6175</v>
      </c>
      <c r="G28" t="s">
        <v>4485</v>
      </c>
      <c r="H28"/>
      <c r="I28" t="s">
        <v>6862</v>
      </c>
    </row>
    <row r="29" spans="1:60" x14ac:dyDescent="0.25">
      <c r="C29" s="203" t="s">
        <v>4434</v>
      </c>
      <c r="E29" s="203" t="s">
        <v>6176</v>
      </c>
      <c r="G29" t="s">
        <v>4486</v>
      </c>
      <c r="H29"/>
      <c r="I29" t="s">
        <v>6863</v>
      </c>
    </row>
    <row r="30" spans="1:60" x14ac:dyDescent="0.25">
      <c r="C30" s="203" t="s">
        <v>4435</v>
      </c>
      <c r="E30" s="203" t="s">
        <v>6177</v>
      </c>
      <c r="G30" t="s">
        <v>4487</v>
      </c>
      <c r="H30"/>
      <c r="I30" t="s">
        <v>6864</v>
      </c>
    </row>
    <row r="31" spans="1:60" x14ac:dyDescent="0.25">
      <c r="C31" s="203" t="s">
        <v>4602</v>
      </c>
      <c r="E31" s="203" t="s">
        <v>6178</v>
      </c>
      <c r="G31" t="s">
        <v>4488</v>
      </c>
      <c r="H31"/>
      <c r="I31" t="s">
        <v>6865</v>
      </c>
    </row>
    <row r="32" spans="1:60" x14ac:dyDescent="0.25">
      <c r="C32" s="203" t="s">
        <v>4557</v>
      </c>
      <c r="E32" s="203" t="s">
        <v>6179</v>
      </c>
      <c r="G32" t="s">
        <v>4489</v>
      </c>
      <c r="H32"/>
      <c r="I32" t="s">
        <v>6866</v>
      </c>
      <c r="J32" s="203" t="s">
        <v>1106</v>
      </c>
    </row>
    <row r="33" spans="3:10" x14ac:dyDescent="0.25">
      <c r="C33" s="203" t="s">
        <v>4549</v>
      </c>
      <c r="E33" s="203" t="s">
        <v>6180</v>
      </c>
      <c r="G33" t="s">
        <v>4490</v>
      </c>
      <c r="H33"/>
      <c r="I33" t="s">
        <v>6867</v>
      </c>
      <c r="J33" s="203" t="s">
        <v>6904</v>
      </c>
    </row>
    <row r="34" spans="3:10" x14ac:dyDescent="0.25">
      <c r="C34" s="203" t="s">
        <v>4561</v>
      </c>
      <c r="E34" s="203" t="s">
        <v>6181</v>
      </c>
      <c r="G34" t="s">
        <v>4491</v>
      </c>
      <c r="H34"/>
      <c r="I34" t="s">
        <v>6868</v>
      </c>
      <c r="J34" s="203" t="s">
        <v>54</v>
      </c>
    </row>
    <row r="35" spans="3:10" x14ac:dyDescent="0.25">
      <c r="G35" t="s">
        <v>4492</v>
      </c>
      <c r="H35"/>
      <c r="I35" t="s">
        <v>6869</v>
      </c>
      <c r="J35" s="203" t="s">
        <v>54</v>
      </c>
    </row>
    <row r="36" spans="3:10" x14ac:dyDescent="0.25">
      <c r="G36" t="s">
        <v>4493</v>
      </c>
      <c r="H36"/>
      <c r="I36" t="s">
        <v>6870</v>
      </c>
      <c r="J36" s="203" t="s">
        <v>1109</v>
      </c>
    </row>
    <row r="37" spans="3:10" x14ac:dyDescent="0.25">
      <c r="G37" t="s">
        <v>4494</v>
      </c>
      <c r="H37"/>
      <c r="I37" t="s">
        <v>6871</v>
      </c>
    </row>
    <row r="38" spans="3:10" x14ac:dyDescent="0.25">
      <c r="G38" t="s">
        <v>4495</v>
      </c>
      <c r="H38"/>
      <c r="I38" t="s">
        <v>6872</v>
      </c>
    </row>
    <row r="39" spans="3:10" x14ac:dyDescent="0.25">
      <c r="G39"/>
      <c r="H39"/>
      <c r="I39" t="s">
        <v>6873</v>
      </c>
    </row>
    <row r="40" spans="3:10" x14ac:dyDescent="0.25">
      <c r="G40"/>
      <c r="H40"/>
      <c r="I40" t="s">
        <v>6874</v>
      </c>
    </row>
    <row r="41" spans="3:10" x14ac:dyDescent="0.25">
      <c r="G41"/>
      <c r="H41"/>
      <c r="I41" t="s">
        <v>6875</v>
      </c>
      <c r="J41" s="203" t="s">
        <v>1101</v>
      </c>
    </row>
    <row r="42" spans="3:10" x14ac:dyDescent="0.25">
      <c r="G42"/>
      <c r="H42"/>
      <c r="I42" t="s">
        <v>6876</v>
      </c>
      <c r="J42" s="203" t="s">
        <v>1102</v>
      </c>
    </row>
    <row r="43" spans="3:10" x14ac:dyDescent="0.25">
      <c r="G43"/>
      <c r="H43"/>
      <c r="I43" t="s">
        <v>6877</v>
      </c>
    </row>
    <row r="44" spans="3:10" x14ac:dyDescent="0.25">
      <c r="G44"/>
      <c r="H44"/>
      <c r="I44" t="s">
        <v>6878</v>
      </c>
    </row>
    <row r="45" spans="3:10" x14ac:dyDescent="0.25">
      <c r="G45"/>
      <c r="H45"/>
      <c r="I45" t="s">
        <v>6879</v>
      </c>
      <c r="J45" s="203" t="s">
        <v>54</v>
      </c>
    </row>
    <row r="46" spans="3:10" x14ac:dyDescent="0.25">
      <c r="G46"/>
      <c r="H46"/>
      <c r="I46" t="s">
        <v>6880</v>
      </c>
      <c r="J46" s="203" t="s">
        <v>3522</v>
      </c>
    </row>
    <row r="47" spans="3:10" x14ac:dyDescent="0.25">
      <c r="G47"/>
      <c r="H47"/>
      <c r="I47" t="s">
        <v>6881</v>
      </c>
    </row>
    <row r="48" spans="3:10" x14ac:dyDescent="0.25">
      <c r="G48"/>
      <c r="H48"/>
      <c r="I48" t="s">
        <v>6882</v>
      </c>
    </row>
    <row r="49" spans="7:9" x14ac:dyDescent="0.25">
      <c r="G49"/>
      <c r="H49"/>
      <c r="I49" t="s">
        <v>6883</v>
      </c>
    </row>
    <row r="50" spans="7:9" x14ac:dyDescent="0.25">
      <c r="G50"/>
      <c r="H50"/>
      <c r="I50" t="s">
        <v>6884</v>
      </c>
    </row>
    <row r="51" spans="7:9" x14ac:dyDescent="0.25">
      <c r="G51"/>
      <c r="H51"/>
      <c r="I51" t="s">
        <v>6885</v>
      </c>
    </row>
    <row r="52" spans="7:9" x14ac:dyDescent="0.25">
      <c r="G52"/>
      <c r="H52"/>
      <c r="I52" t="s">
        <v>6886</v>
      </c>
    </row>
    <row r="53" spans="7:9" x14ac:dyDescent="0.25">
      <c r="G53"/>
      <c r="H53"/>
      <c r="I53" t="s">
        <v>6887</v>
      </c>
    </row>
    <row r="54" spans="7:9" x14ac:dyDescent="0.25">
      <c r="G54"/>
      <c r="H54"/>
      <c r="I54" t="s">
        <v>6888</v>
      </c>
    </row>
    <row r="55" spans="7:9" x14ac:dyDescent="0.25">
      <c r="G55"/>
      <c r="H55"/>
      <c r="I55" t="s">
        <v>6889</v>
      </c>
    </row>
    <row r="56" spans="7:9" x14ac:dyDescent="0.25">
      <c r="G56"/>
      <c r="H56"/>
      <c r="I56" t="s">
        <v>6890</v>
      </c>
    </row>
    <row r="57" spans="7:9" x14ac:dyDescent="0.25">
      <c r="G57"/>
      <c r="H57"/>
      <c r="I57" t="s">
        <v>6891</v>
      </c>
    </row>
    <row r="58" spans="7:9" x14ac:dyDescent="0.25">
      <c r="G58"/>
      <c r="H58"/>
      <c r="I58" t="s">
        <v>6892</v>
      </c>
    </row>
    <row r="59" spans="7:9" x14ac:dyDescent="0.25">
      <c r="G59"/>
      <c r="H59"/>
      <c r="I59" t="s">
        <v>6893</v>
      </c>
    </row>
    <row r="60" spans="7:9" x14ac:dyDescent="0.25">
      <c r="G60"/>
      <c r="H60"/>
      <c r="I60" t="s">
        <v>6894</v>
      </c>
    </row>
    <row r="61" spans="7:9" x14ac:dyDescent="0.25">
      <c r="G61"/>
      <c r="H61"/>
      <c r="I61" t="s">
        <v>6895</v>
      </c>
    </row>
    <row r="62" spans="7:9" x14ac:dyDescent="0.25">
      <c r="G62"/>
      <c r="H62"/>
      <c r="I62" t="s">
        <v>6896</v>
      </c>
    </row>
    <row r="63" spans="7:9" x14ac:dyDescent="0.25">
      <c r="G63"/>
      <c r="H63"/>
      <c r="I63" t="s">
        <v>6897</v>
      </c>
    </row>
    <row r="64" spans="7:9" x14ac:dyDescent="0.25">
      <c r="G64"/>
      <c r="H64"/>
      <c r="I64" t="s">
        <v>6898</v>
      </c>
    </row>
    <row r="65" spans="7:9" x14ac:dyDescent="0.25">
      <c r="G65"/>
      <c r="H65"/>
      <c r="I65" t="s">
        <v>6899</v>
      </c>
    </row>
    <row r="66" spans="7:9" x14ac:dyDescent="0.25">
      <c r="G66"/>
      <c r="H66"/>
      <c r="I66" t="s">
        <v>6900</v>
      </c>
    </row>
    <row r="67" spans="7:9" x14ac:dyDescent="0.25">
      <c r="G67"/>
      <c r="H67"/>
      <c r="I67" t="s">
        <v>6901</v>
      </c>
    </row>
    <row r="68" spans="7:9" x14ac:dyDescent="0.25">
      <c r="G68"/>
      <c r="H68"/>
      <c r="I68" t="s">
        <v>6902</v>
      </c>
    </row>
    <row r="69" spans="7:9" x14ac:dyDescent="0.25">
      <c r="G69"/>
      <c r="H69"/>
      <c r="I69" t="s">
        <v>6903</v>
      </c>
    </row>
  </sheetData>
  <mergeCells count="20">
    <mergeCell ref="AF1:AI1"/>
    <mergeCell ref="A1:A2"/>
    <mergeCell ref="B1:B2"/>
    <mergeCell ref="C1:C2"/>
    <mergeCell ref="E1:M1"/>
    <mergeCell ref="U1:X1"/>
    <mergeCell ref="O1:S1"/>
    <mergeCell ref="Y1:AC1"/>
    <mergeCell ref="AD1:AE1"/>
    <mergeCell ref="D1:D2"/>
    <mergeCell ref="N1:N2"/>
    <mergeCell ref="T1:T2"/>
    <mergeCell ref="BF1:BH1"/>
    <mergeCell ref="AJ1:AK1"/>
    <mergeCell ref="AL1:AN1"/>
    <mergeCell ref="AO1:AP1"/>
    <mergeCell ref="AT1:AV1"/>
    <mergeCell ref="AW1:AY1"/>
    <mergeCell ref="AZ1:BD1"/>
    <mergeCell ref="AQ1:AS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4"/>
  <dimension ref="A1:BI104"/>
  <sheetViews>
    <sheetView workbookViewId="0">
      <pane xSplit="5" ySplit="1" topLeftCell="K38" activePane="bottomRight" state="frozen"/>
      <selection activeCell="C780" sqref="C780"/>
      <selection pane="topRight" activeCell="C780" sqref="C780"/>
      <selection pane="bottomLeft" activeCell="C780" sqref="C780"/>
      <selection pane="bottomRight" activeCell="B62" sqref="B62"/>
    </sheetView>
  </sheetViews>
  <sheetFormatPr defaultColWidth="8.85546875" defaultRowHeight="12.75" outlineLevelCol="1" x14ac:dyDescent="0.2"/>
  <cols>
    <col min="1" max="1" width="4" style="5" customWidth="1"/>
    <col min="2" max="2" width="7" style="5" bestFit="1" customWidth="1"/>
    <col min="3" max="4" width="7" style="5" customWidth="1"/>
    <col min="5" max="5" width="14.7109375" style="5" bestFit="1" customWidth="1"/>
    <col min="6" max="7" width="14.7109375" style="5" customWidth="1"/>
    <col min="8" max="8" width="14.7109375" style="5" customWidth="1" outlineLevel="1"/>
    <col min="9" max="9" width="26.5703125" style="5" customWidth="1" outlineLevel="1"/>
    <col min="10" max="10" width="3.42578125" style="5" customWidth="1" outlineLevel="1"/>
    <col min="11" max="12" width="4.42578125" style="5" customWidth="1" outlineLevel="1"/>
    <col min="13" max="13" width="4" style="5" customWidth="1" outlineLevel="1"/>
    <col min="14" max="14" width="4.28515625" style="5" customWidth="1" outlineLevel="1"/>
    <col min="15" max="16" width="4.42578125" style="5" customWidth="1" outlineLevel="1"/>
    <col min="17" max="17" width="18.28515625" style="5" customWidth="1" outlineLevel="1"/>
    <col min="18" max="23" width="5.7109375" style="5" customWidth="1" outlineLevel="1"/>
    <col min="24" max="25" width="5" style="5" customWidth="1" outlineLevel="1"/>
    <col min="26" max="26" width="6.85546875" style="5" customWidth="1" outlineLevel="1"/>
    <col min="27" max="28" width="10.42578125" style="5" customWidth="1" outlineLevel="1"/>
    <col min="29" max="32" width="10.7109375" style="5" customWidth="1" outlineLevel="1"/>
    <col min="33" max="34" width="10.7109375" style="5" customWidth="1"/>
    <col min="35" max="35" width="82.85546875" style="5" bestFit="1" customWidth="1"/>
    <col min="36" max="44" width="20.7109375" style="5" customWidth="1"/>
    <col min="45" max="45" width="70.5703125" style="5" bestFit="1" customWidth="1"/>
    <col min="46" max="51" width="10.7109375" style="5" customWidth="1"/>
    <col min="52" max="52" width="12.140625" style="5" customWidth="1"/>
    <col min="53" max="53" width="41.42578125" style="5" bestFit="1" customWidth="1"/>
    <col min="54" max="54" width="11.85546875" style="5" bestFit="1" customWidth="1"/>
    <col min="55" max="55" width="15.5703125" style="5" bestFit="1" customWidth="1"/>
    <col min="56" max="56" width="12.42578125" style="5" bestFit="1" customWidth="1"/>
    <col min="57" max="57" width="9.7109375" style="5" bestFit="1" customWidth="1"/>
    <col min="58" max="58" width="22.5703125" style="5" bestFit="1" customWidth="1"/>
    <col min="59" max="60" width="10.7109375" style="5" customWidth="1"/>
    <col min="61" max="16384" width="8.85546875" style="5"/>
  </cols>
  <sheetData>
    <row r="1" spans="1:61" s="1" customFormat="1" ht="25.5" x14ac:dyDescent="0.2">
      <c r="A1" s="573"/>
      <c r="B1" s="574" t="s">
        <v>1</v>
      </c>
      <c r="C1" s="575"/>
      <c r="D1" s="576"/>
      <c r="E1" s="577" t="s">
        <v>10</v>
      </c>
      <c r="F1" s="576" t="s">
        <v>5141</v>
      </c>
      <c r="G1" s="576" t="s">
        <v>5142</v>
      </c>
      <c r="H1" s="576" t="s">
        <v>5143</v>
      </c>
      <c r="I1" s="578"/>
      <c r="J1" s="575" t="s">
        <v>3</v>
      </c>
      <c r="K1" s="579" t="s">
        <v>4</v>
      </c>
      <c r="L1" s="579" t="s">
        <v>5</v>
      </c>
      <c r="M1" s="579" t="s">
        <v>6</v>
      </c>
      <c r="N1" s="579" t="s">
        <v>7</v>
      </c>
      <c r="O1" s="580" t="s">
        <v>8</v>
      </c>
      <c r="P1" s="581"/>
      <c r="Q1" s="581" t="s">
        <v>569</v>
      </c>
      <c r="R1" s="575" t="s">
        <v>3</v>
      </c>
      <c r="S1" s="579" t="s">
        <v>4</v>
      </c>
      <c r="T1" s="579" t="s">
        <v>5</v>
      </c>
      <c r="U1" s="579" t="s">
        <v>6</v>
      </c>
      <c r="V1" s="579" t="s">
        <v>7</v>
      </c>
      <c r="W1" s="580" t="s">
        <v>8</v>
      </c>
      <c r="X1" s="581" t="s">
        <v>11</v>
      </c>
      <c r="Y1" s="581" t="s">
        <v>12</v>
      </c>
      <c r="Z1" s="581" t="s">
        <v>13</v>
      </c>
      <c r="AA1" s="581" t="s">
        <v>14</v>
      </c>
      <c r="AB1" s="581" t="s">
        <v>588</v>
      </c>
      <c r="AC1" s="575" t="s">
        <v>4139</v>
      </c>
      <c r="AD1" s="579"/>
      <c r="AE1" s="579"/>
      <c r="AF1" s="579" t="s">
        <v>94</v>
      </c>
      <c r="AG1" s="580" t="s">
        <v>0</v>
      </c>
      <c r="AH1" s="581" t="s">
        <v>15</v>
      </c>
      <c r="AI1" s="578" t="s">
        <v>4150</v>
      </c>
      <c r="AJ1" s="575" t="s">
        <v>16</v>
      </c>
      <c r="AK1" s="579" t="s">
        <v>17</v>
      </c>
      <c r="AL1" s="579" t="s">
        <v>18</v>
      </c>
      <c r="AM1" s="579" t="s">
        <v>19</v>
      </c>
      <c r="AN1" s="579" t="s">
        <v>2211</v>
      </c>
      <c r="AO1" s="580" t="s">
        <v>4149</v>
      </c>
      <c r="AP1" s="575" t="s">
        <v>64</v>
      </c>
      <c r="AQ1" s="580" t="s">
        <v>65</v>
      </c>
      <c r="AR1" s="581" t="s">
        <v>1099</v>
      </c>
      <c r="AS1" s="578" t="s">
        <v>5103</v>
      </c>
      <c r="AT1" s="575" t="s">
        <v>20</v>
      </c>
      <c r="AU1" s="579" t="s">
        <v>21</v>
      </c>
      <c r="AV1" s="579" t="s">
        <v>22</v>
      </c>
      <c r="AW1" s="579" t="s">
        <v>23</v>
      </c>
      <c r="AX1" s="579" t="s">
        <v>24</v>
      </c>
      <c r="AY1" s="580" t="s">
        <v>25</v>
      </c>
      <c r="AZ1" s="581" t="s">
        <v>26</v>
      </c>
      <c r="BA1" s="581"/>
      <c r="BB1" s="581" t="s">
        <v>27</v>
      </c>
      <c r="BC1" s="581" t="s">
        <v>28</v>
      </c>
      <c r="BD1" s="581" t="s">
        <v>29</v>
      </c>
      <c r="BE1" s="581" t="s">
        <v>30</v>
      </c>
      <c r="BF1" s="582" t="s">
        <v>4954</v>
      </c>
      <c r="BG1" s="581" t="s">
        <v>31</v>
      </c>
      <c r="BH1" s="581" t="s">
        <v>32</v>
      </c>
      <c r="BI1" s="581" t="s">
        <v>3855</v>
      </c>
    </row>
    <row r="2" spans="1:61" s="1" customFormat="1" x14ac:dyDescent="0.2">
      <c r="A2" s="610">
        <v>1</v>
      </c>
      <c r="B2" s="610" t="s">
        <v>33</v>
      </c>
      <c r="C2" s="619">
        <f>IF(COUNTIF($B$2:B2,B2)=1,1,0)</f>
        <v>1</v>
      </c>
      <c r="D2" s="619">
        <f>IF(Race=B2,1,0)</f>
        <v>0</v>
      </c>
      <c r="E2" s="615" t="s">
        <v>34</v>
      </c>
      <c r="F2" s="615"/>
      <c r="G2" s="615" t="s">
        <v>7139</v>
      </c>
      <c r="H2" s="615"/>
      <c r="I2" s="615" t="str">
        <f t="shared" ref="I2:I51" si="0">SUBSTITUTE(IFERROR(LEFT(TRIM(IF(J2&lt;&gt;0,"Strength: +"&amp;J2&amp;", ","")&amp;" "&amp;IF(K2&lt;&gt;0,"Dexterity: +"&amp;K2&amp;", ","")&amp;" "&amp;IF(L2&lt;&gt;0,"Constitution: +"&amp;L2&amp;", ","")&amp;" "&amp;IF(M2&lt;&gt;0,"Intelligence: +"&amp;M2&amp;", ","")&amp;" "&amp;IF(N2&lt;&gt;0,"Wisdom: +"&amp;N2&amp;", ","")&amp;" "&amp;IF(O2&lt;&gt;0,"Charisma: +"&amp;O2&amp;", ","")),LEN(TRIM(IF(J2&lt;&gt;0,"Strength: +"&amp;J2&amp;", ","")&amp;" "&amp;IF(K2&lt;&gt;0,"Dexterity: +"&amp;K2&amp;", ","")&amp;" "&amp;IF(L2&lt;&gt;0,"Constitution: +"&amp;L2&amp;", ","")&amp;" "&amp;IF(M2&lt;&gt;0,"Intelligence: +"&amp;M2&amp;", ","")&amp;" "&amp;IF(N2&lt;&gt;0,"Wisdom: +"&amp;N2&amp;", ","")&amp;" "&amp;IF(O2&lt;&gt;0,"Charisma: +"&amp;O2&amp;", ","")))-1),""),"+-","-")</f>
        <v>Constitution: +2, Wisdom: +1</v>
      </c>
      <c r="J2" s="611">
        <v>0</v>
      </c>
      <c r="K2" s="611">
        <v>0</v>
      </c>
      <c r="L2" s="612">
        <v>2</v>
      </c>
      <c r="M2" s="611">
        <v>0</v>
      </c>
      <c r="N2" s="612">
        <v>1</v>
      </c>
      <c r="O2" s="611">
        <v>0</v>
      </c>
      <c r="P2" s="611"/>
      <c r="Q2" s="613"/>
      <c r="R2" s="613"/>
      <c r="S2" s="613"/>
      <c r="T2" s="613"/>
      <c r="U2" s="613"/>
      <c r="V2" s="613"/>
      <c r="W2" s="613"/>
      <c r="X2" s="610" t="s">
        <v>602</v>
      </c>
      <c r="Y2" s="610">
        <v>10</v>
      </c>
      <c r="Z2" s="610">
        <v>25</v>
      </c>
      <c r="AA2" s="610">
        <v>60</v>
      </c>
      <c r="AB2" s="614"/>
      <c r="AC2" s="610" t="s">
        <v>5983</v>
      </c>
      <c r="AD2" s="610"/>
      <c r="AE2" s="610"/>
      <c r="AF2" s="610" t="s">
        <v>5985</v>
      </c>
      <c r="AG2" s="610" t="s">
        <v>7075</v>
      </c>
      <c r="AH2" s="617" t="s">
        <v>5987</v>
      </c>
      <c r="AI2" s="618" t="str">
        <f>IFERROR(LEFT(IF(AJ2="","",AJ2&amp;", ")&amp;IF(AK2="","",AK2&amp;", ")&amp;IF(AL2="","",AL2&amp;", ")&amp;IF(AM2="","",AM2&amp;", ")&amp;IF(AN2="","",AN2&amp;", ")&amp;IF(AO2="","",AO2&amp;", "),LEN(IF(AJ2="","",AJ2&amp;", ")&amp;IF(AK2="","",AK2&amp;", ")&amp;IF(AL2="","",AL2&amp;", ")&amp;IF(AM2="","",AM2&amp;", ")&amp;IF(AN2="","",AN2&amp;", ")&amp;IF(AO2="","",AO2&amp;", "))-2),"")</f>
        <v>Darkvision, Dwarven Resilience, Dwarven Combat Training, Stonecunning, Dwarven Toughness</v>
      </c>
      <c r="AJ2" s="610" t="s">
        <v>14</v>
      </c>
      <c r="AK2" s="610" t="s">
        <v>574</v>
      </c>
      <c r="AL2" s="610" t="s">
        <v>5413</v>
      </c>
      <c r="AM2" s="610" t="s">
        <v>2199</v>
      </c>
      <c r="AN2" s="610" t="s">
        <v>575</v>
      </c>
      <c r="AO2" s="614"/>
      <c r="AP2" s="614"/>
      <c r="AQ2" s="614"/>
      <c r="AR2" s="614"/>
      <c r="AS2" s="618" t="str">
        <f>IFERROR(LEFT(IF(AT2="","",AT2&amp;", ")&amp;IF(AU2="","",AU2&amp;", ")&amp;IF(AV2="","",AV2&amp;", ")&amp;IF(AW2="","",AW2&amp;", ")&amp;IF(AX2="","",AX2&amp;", ")&amp;IF(AY2="","",AY2&amp;", ")&amp;IF(AP2="","",AP2&amp;", ")&amp;IF(AQ2="","",AQ2&amp;", "),LEN(IF(AT2="","",AT2&amp;", ")&amp;IF(AU2="","",AU2&amp;", ")&amp;IF(AV2="","",AV2&amp;", ")&amp;IF(AW2="","",AW2&amp;", ")&amp;IF(AX2="","",AX2&amp;", ")&amp;IF(AY2="","",AY2&amp;", ")&amp;IF(AP2="","",AP2&amp;", ")&amp;IF(AQ2="","",AQ2&amp;", "))-2),"")</f>
        <v>Battleaxe, Handaxe, Throwing Hammer, Warhammer</v>
      </c>
      <c r="AT2" s="615" t="s">
        <v>35</v>
      </c>
      <c r="AU2" s="610" t="s">
        <v>36</v>
      </c>
      <c r="AV2" s="610" t="s">
        <v>37</v>
      </c>
      <c r="AW2" s="610" t="s">
        <v>38</v>
      </c>
      <c r="AX2" s="614"/>
      <c r="AY2" s="614"/>
      <c r="AZ2" s="610">
        <v>1</v>
      </c>
      <c r="BA2" s="610" t="s">
        <v>33</v>
      </c>
      <c r="BB2" s="610" t="s">
        <v>39</v>
      </c>
      <c r="BC2" s="610" t="s">
        <v>40</v>
      </c>
      <c r="BD2" s="610" t="s">
        <v>41</v>
      </c>
      <c r="BE2" s="614"/>
      <c r="BF2" s="618" t="str">
        <f>IFERROR(LEFT(IF(BG2="","",BG2&amp;", ")&amp;IF(BH2="","",BH2&amp;", ")&amp;IF(BI2="","",BI2&amp;", ")&amp;IF(BJ2="","",BJ2&amp;", "),LEN(IF(BG2="","",BG2&amp;", ")&amp;IF(BH2="","",BH2&amp;", ")&amp;IF(BI2="","",BI2&amp;", "))-2),"")</f>
        <v>Common, Dwarvish</v>
      </c>
      <c r="BG2" s="610" t="s">
        <v>43</v>
      </c>
      <c r="BH2" s="610" t="s">
        <v>42</v>
      </c>
      <c r="BI2" s="610"/>
    </row>
    <row r="3" spans="1:61" s="1" customFormat="1" x14ac:dyDescent="0.2">
      <c r="A3" s="610">
        <v>2</v>
      </c>
      <c r="B3" s="610" t="s">
        <v>33</v>
      </c>
      <c r="C3" s="619">
        <f>IF(COUNTIF($B$2:B3,B3)=1,1,0)</f>
        <v>0</v>
      </c>
      <c r="D3" s="619">
        <f>IF(Race=B3,1+COUNTIF($D$2:D2,"&gt;0"),0)</f>
        <v>0</v>
      </c>
      <c r="E3" s="615" t="s">
        <v>44</v>
      </c>
      <c r="F3" s="615"/>
      <c r="G3" s="615" t="s">
        <v>7140</v>
      </c>
      <c r="H3" s="615"/>
      <c r="I3" s="615" t="str">
        <f t="shared" si="0"/>
        <v>Strength: +2, Constitution: +2</v>
      </c>
      <c r="J3" s="612">
        <v>2</v>
      </c>
      <c r="K3" s="611">
        <v>0</v>
      </c>
      <c r="L3" s="612">
        <v>2</v>
      </c>
      <c r="M3" s="611">
        <v>0</v>
      </c>
      <c r="N3" s="611">
        <v>0</v>
      </c>
      <c r="O3" s="611">
        <v>0</v>
      </c>
      <c r="P3" s="611"/>
      <c r="Q3" s="613"/>
      <c r="R3" s="613"/>
      <c r="S3" s="613"/>
      <c r="T3" s="613"/>
      <c r="U3" s="613"/>
      <c r="V3" s="613"/>
      <c r="W3" s="613"/>
      <c r="X3" s="610" t="s">
        <v>602</v>
      </c>
      <c r="Y3" s="610">
        <v>10</v>
      </c>
      <c r="Z3" s="610">
        <v>25</v>
      </c>
      <c r="AA3" s="610">
        <v>60</v>
      </c>
      <c r="AB3" s="614"/>
      <c r="AC3" s="610" t="s">
        <v>5984</v>
      </c>
      <c r="AD3" s="610"/>
      <c r="AE3" s="610"/>
      <c r="AF3" s="610" t="s">
        <v>5986</v>
      </c>
      <c r="AG3" s="610" t="s">
        <v>7075</v>
      </c>
      <c r="AH3" s="617" t="s">
        <v>5987</v>
      </c>
      <c r="AI3" s="618" t="str">
        <f t="shared" ref="AI3:AI53" si="1">IFERROR(LEFT(IF(AJ3="","",AJ3&amp;", ")&amp;IF(AK3="","",AK3&amp;", ")&amp;IF(AL3="","",AL3&amp;", ")&amp;IF(AM3="","",AM3&amp;", ")&amp;IF(AN3="","",AN3&amp;", ")&amp;IF(AO3="","",AO3&amp;", "),LEN(IF(AJ3="","",AJ3&amp;", ")&amp;IF(AK3="","",AK3&amp;", ")&amp;IF(AL3="","",AL3&amp;", ")&amp;IF(AM3="","",AM3&amp;", ")&amp;IF(AN3="","",AN3&amp;", ")&amp;IF(AO3="","",AO3&amp;", "))-2),"")</f>
        <v>Darkvision, Dwarven Resilience, Dwarven Combat Training, Stonecunning, Dwarven Armor Training</v>
      </c>
      <c r="AJ3" s="610" t="s">
        <v>14</v>
      </c>
      <c r="AK3" s="610" t="s">
        <v>574</v>
      </c>
      <c r="AL3" s="610" t="s">
        <v>5413</v>
      </c>
      <c r="AM3" s="610" t="s">
        <v>2199</v>
      </c>
      <c r="AN3" s="610" t="s">
        <v>2200</v>
      </c>
      <c r="AO3" s="614"/>
      <c r="AP3" s="614"/>
      <c r="AQ3" s="614"/>
      <c r="AR3" s="614"/>
      <c r="AS3" s="618" t="str">
        <f t="shared" ref="AS3:AS53" si="2">IFERROR(LEFT(IF(AT3="","",AT3&amp;", ")&amp;IF(AU3="","",AU3&amp;", ")&amp;IF(AV3="","",AV3&amp;", ")&amp;IF(AW3="","",AW3&amp;", ")&amp;IF(AX3="","",AX3&amp;", ")&amp;IF(AY3="","",AY3&amp;", ")&amp;IF(AP3="","",AP3&amp;", ")&amp;IF(AQ3="","",AQ3&amp;", "),LEN(IF(AT3="","",AT3&amp;", ")&amp;IF(AU3="","",AU3&amp;", ")&amp;IF(AV3="","",AV3&amp;", ")&amp;IF(AW3="","",AW3&amp;", ")&amp;IF(AX3="","",AX3&amp;", ")&amp;IF(AY3="","",AY3&amp;", ")&amp;IF(AP3="","",AP3&amp;", ")&amp;IF(AQ3="","",AQ3&amp;", "))-2),"")</f>
        <v>Battleaxe, Handaxe, Throwing Hammer, Warhammer, Light armor, Medium armor</v>
      </c>
      <c r="AT3" s="615" t="s">
        <v>35</v>
      </c>
      <c r="AU3" s="610" t="s">
        <v>36</v>
      </c>
      <c r="AV3" s="610" t="s">
        <v>37</v>
      </c>
      <c r="AW3" s="610" t="s">
        <v>38</v>
      </c>
      <c r="AX3" s="610" t="s">
        <v>45</v>
      </c>
      <c r="AY3" s="610" t="s">
        <v>46</v>
      </c>
      <c r="AZ3" s="610">
        <v>1</v>
      </c>
      <c r="BA3" s="610" t="s">
        <v>33</v>
      </c>
      <c r="BB3" s="610" t="s">
        <v>39</v>
      </c>
      <c r="BC3" s="610" t="s">
        <v>40</v>
      </c>
      <c r="BD3" s="610" t="s">
        <v>41</v>
      </c>
      <c r="BE3" s="614"/>
      <c r="BF3" s="618" t="str">
        <f t="shared" ref="BF3:BF66" si="3">IFERROR(LEFT(IF(BG3="","",BG3&amp;", ")&amp;IF(BH3="","",BH3&amp;", ")&amp;IF(BI3="","",BI3&amp;", ")&amp;IF(BJ3="","",BJ3&amp;", "),LEN(IF(BG3="","",BG3&amp;", ")&amp;IF(BH3="","",BH3&amp;", ")&amp;IF(BI3="","",BI3&amp;", "))-2),"")</f>
        <v>Common, Dwarvish</v>
      </c>
      <c r="BG3" s="610" t="s">
        <v>43</v>
      </c>
      <c r="BH3" s="610" t="s">
        <v>42</v>
      </c>
      <c r="BI3" s="610"/>
    </row>
    <row r="4" spans="1:61" s="1" customFormat="1" ht="15" x14ac:dyDescent="0.25">
      <c r="A4" s="610">
        <v>3</v>
      </c>
      <c r="B4" s="615" t="s">
        <v>47</v>
      </c>
      <c r="C4" s="619">
        <f>IF(COUNTIF($B$2:B4,B4)=1,1+COUNTIF($C$2:C3,"&gt;0"),0)</f>
        <v>2</v>
      </c>
      <c r="D4" s="619">
        <f>IF(Race=B4,1+COUNTIF($D$2:D3,"&gt;0"),0)</f>
        <v>1</v>
      </c>
      <c r="E4" s="615" t="s">
        <v>48</v>
      </c>
      <c r="F4" s="615"/>
      <c r="G4" s="615" t="s">
        <v>7134</v>
      </c>
      <c r="H4" s="615"/>
      <c r="I4" s="615" t="str">
        <f t="shared" si="0"/>
        <v>Dexterity: +2, Intelligence: +1</v>
      </c>
      <c r="J4" s="611">
        <v>0</v>
      </c>
      <c r="K4" s="612">
        <v>2</v>
      </c>
      <c r="L4" s="611">
        <v>0</v>
      </c>
      <c r="M4" s="612">
        <v>1</v>
      </c>
      <c r="N4" s="611">
        <v>0</v>
      </c>
      <c r="O4" s="611">
        <v>0</v>
      </c>
      <c r="P4" s="611"/>
      <c r="Q4" s="613"/>
      <c r="R4" s="613"/>
      <c r="S4" s="613"/>
      <c r="T4" s="613"/>
      <c r="U4" s="613"/>
      <c r="V4" s="613"/>
      <c r="W4" s="613"/>
      <c r="X4" s="610" t="s">
        <v>602</v>
      </c>
      <c r="Y4" s="610">
        <v>10</v>
      </c>
      <c r="Z4" s="610">
        <v>30</v>
      </c>
      <c r="AA4" s="610">
        <v>60</v>
      </c>
      <c r="AB4" s="614"/>
      <c r="AC4" s="610" t="s">
        <v>5979</v>
      </c>
      <c r="AD4" s="610"/>
      <c r="AE4" s="610"/>
      <c r="AF4" s="610" t="s">
        <v>5982</v>
      </c>
      <c r="AG4" s="610" t="s">
        <v>7077</v>
      </c>
      <c r="AH4" s="617" t="s">
        <v>5988</v>
      </c>
      <c r="AI4" s="618" t="str">
        <f t="shared" si="1"/>
        <v>Darkvision, Fey Ancestry, Trance, Elf Weapon Training, Innate Spellcasting (Elf), Keen Senses</v>
      </c>
      <c r="AJ4" s="610" t="s">
        <v>14</v>
      </c>
      <c r="AK4" s="610" t="s">
        <v>571</v>
      </c>
      <c r="AL4" s="610" t="s">
        <v>572</v>
      </c>
      <c r="AM4" s="615" t="s">
        <v>2201</v>
      </c>
      <c r="AN4" s="519" t="s">
        <v>6043</v>
      </c>
      <c r="AO4" s="610" t="s">
        <v>2210</v>
      </c>
      <c r="AP4" s="610" t="s">
        <v>49</v>
      </c>
      <c r="AQ4" s="614"/>
      <c r="AR4" s="614"/>
      <c r="AS4" s="618" t="str">
        <f t="shared" si="2"/>
        <v>Longsword, Shortsword, Shortbow, Longbow, Perception</v>
      </c>
      <c r="AT4" s="610" t="s">
        <v>50</v>
      </c>
      <c r="AU4" s="610" t="s">
        <v>51</v>
      </c>
      <c r="AV4" s="610" t="s">
        <v>52</v>
      </c>
      <c r="AW4" s="610" t="s">
        <v>53</v>
      </c>
      <c r="AX4" s="610"/>
      <c r="AY4" s="614"/>
      <c r="AZ4" s="614"/>
      <c r="BA4" s="610" t="str">
        <f t="shared" ref="BA4:BA48" si="4">SUBSTITUTE(TRIM(IF(BB4="","",BB4&amp;", ")&amp;IF(BC4="","",BC4&amp;", ")&amp;IF(BD4="","",BD4&amp;", ")),", , ",", ")</f>
        <v/>
      </c>
      <c r="BB4" s="614"/>
      <c r="BC4" s="614"/>
      <c r="BD4" s="614"/>
      <c r="BE4" s="610">
        <v>1</v>
      </c>
      <c r="BF4" s="618" t="str">
        <f t="shared" si="3"/>
        <v>Common, Elvish</v>
      </c>
      <c r="BG4" s="610" t="s">
        <v>43</v>
      </c>
      <c r="BH4" s="610" t="s">
        <v>54</v>
      </c>
      <c r="BI4" s="610"/>
    </row>
    <row r="5" spans="1:61" s="1" customFormat="1" x14ac:dyDescent="0.2">
      <c r="A5" s="610">
        <v>4</v>
      </c>
      <c r="B5" s="615" t="s">
        <v>47</v>
      </c>
      <c r="C5" s="619">
        <f>IF(COUNTIF($B$2:B5,B5)=1,1+COUNTIF($C$2:C4,"&gt;0"),0)</f>
        <v>0</v>
      </c>
      <c r="D5" s="619">
        <f>IF(Race=B5,1+COUNTIF($D$2:D4,"&gt;0"),0)</f>
        <v>2</v>
      </c>
      <c r="E5" s="615" t="s">
        <v>55</v>
      </c>
      <c r="F5" s="615"/>
      <c r="G5" s="615" t="s">
        <v>7135</v>
      </c>
      <c r="H5" s="615"/>
      <c r="I5" s="615" t="str">
        <f t="shared" si="0"/>
        <v>Dexterity: +2, Wisdom: +1</v>
      </c>
      <c r="J5" s="611">
        <v>0</v>
      </c>
      <c r="K5" s="612">
        <v>2</v>
      </c>
      <c r="L5" s="611">
        <v>0</v>
      </c>
      <c r="M5" s="611">
        <v>0</v>
      </c>
      <c r="N5" s="612">
        <v>1</v>
      </c>
      <c r="O5" s="611">
        <v>0</v>
      </c>
      <c r="P5" s="611"/>
      <c r="Q5" s="613"/>
      <c r="R5" s="613"/>
      <c r="S5" s="613"/>
      <c r="T5" s="613"/>
      <c r="U5" s="613"/>
      <c r="V5" s="613"/>
      <c r="W5" s="613"/>
      <c r="X5" s="610" t="s">
        <v>602</v>
      </c>
      <c r="Y5" s="610">
        <v>10</v>
      </c>
      <c r="Z5" s="610">
        <v>35</v>
      </c>
      <c r="AA5" s="610">
        <v>60</v>
      </c>
      <c r="AB5" s="614"/>
      <c r="AC5" s="610" t="s">
        <v>5979</v>
      </c>
      <c r="AD5" s="610"/>
      <c r="AE5" s="610"/>
      <c r="AF5" s="610" t="s">
        <v>5981</v>
      </c>
      <c r="AG5" s="610" t="s">
        <v>7077</v>
      </c>
      <c r="AH5" s="617" t="s">
        <v>5988</v>
      </c>
      <c r="AI5" s="618" t="str">
        <f t="shared" si="1"/>
        <v>Darkvision, Fey Ancestry, Trance, Elf Weapon Training, Mask of the Wild, Keen Senses</v>
      </c>
      <c r="AJ5" s="610" t="s">
        <v>14</v>
      </c>
      <c r="AK5" s="610" t="s">
        <v>571</v>
      </c>
      <c r="AL5" s="610" t="s">
        <v>572</v>
      </c>
      <c r="AM5" s="615" t="s">
        <v>2201</v>
      </c>
      <c r="AN5" s="610" t="s">
        <v>577</v>
      </c>
      <c r="AO5" s="610" t="s">
        <v>2210</v>
      </c>
      <c r="AP5" s="610" t="s">
        <v>49</v>
      </c>
      <c r="AQ5" s="614"/>
      <c r="AR5" s="614"/>
      <c r="AS5" s="618" t="str">
        <f t="shared" si="2"/>
        <v>Longsword, Shortsword, Shortbow, Longbow, Perception</v>
      </c>
      <c r="AT5" s="610" t="s">
        <v>50</v>
      </c>
      <c r="AU5" s="610" t="s">
        <v>51</v>
      </c>
      <c r="AV5" s="610" t="s">
        <v>52</v>
      </c>
      <c r="AW5" s="610" t="s">
        <v>53</v>
      </c>
      <c r="AX5" s="610"/>
      <c r="AY5" s="614"/>
      <c r="AZ5" s="614"/>
      <c r="BA5" s="610" t="str">
        <f t="shared" si="4"/>
        <v/>
      </c>
      <c r="BB5" s="614"/>
      <c r="BC5" s="614"/>
      <c r="BD5" s="614"/>
      <c r="BE5" s="614"/>
      <c r="BF5" s="618" t="str">
        <f t="shared" si="3"/>
        <v>Common, Elvish</v>
      </c>
      <c r="BG5" s="610" t="s">
        <v>43</v>
      </c>
      <c r="BH5" s="610" t="s">
        <v>54</v>
      </c>
      <c r="BI5" s="610"/>
    </row>
    <row r="6" spans="1:61" s="1" customFormat="1" x14ac:dyDescent="0.2">
      <c r="A6" s="610">
        <v>5</v>
      </c>
      <c r="B6" s="615" t="s">
        <v>56</v>
      </c>
      <c r="C6" s="619">
        <f>IF(COUNTIF($B$2:B6,B6)=1,1+COUNTIF($C$2:C5,"&gt;0"),0)</f>
        <v>3</v>
      </c>
      <c r="D6" s="619">
        <f>IF(Race=B6,1+COUNTIF($D$2:D5,"&gt;0"),0)</f>
        <v>0</v>
      </c>
      <c r="E6" s="615" t="s">
        <v>57</v>
      </c>
      <c r="F6" s="615"/>
      <c r="G6" s="615" t="s">
        <v>7137</v>
      </c>
      <c r="H6" s="615"/>
      <c r="I6" s="615" t="str">
        <f t="shared" si="0"/>
        <v>Dexterity: +2, Charisma: +1</v>
      </c>
      <c r="J6" s="611">
        <v>0</v>
      </c>
      <c r="K6" s="611">
        <v>2</v>
      </c>
      <c r="L6" s="611">
        <v>0</v>
      </c>
      <c r="M6" s="611">
        <v>0</v>
      </c>
      <c r="N6" s="611">
        <v>0</v>
      </c>
      <c r="O6" s="611">
        <v>1</v>
      </c>
      <c r="P6" s="611"/>
      <c r="Q6" s="613"/>
      <c r="R6" s="613"/>
      <c r="S6" s="613"/>
      <c r="T6" s="613"/>
      <c r="U6" s="613"/>
      <c r="V6" s="613"/>
      <c r="W6" s="613"/>
      <c r="X6" s="610" t="s">
        <v>603</v>
      </c>
      <c r="Y6" s="610">
        <v>10</v>
      </c>
      <c r="Z6" s="610">
        <v>30</v>
      </c>
      <c r="AA6" s="614"/>
      <c r="AB6" s="614"/>
      <c r="AC6" s="610" t="s">
        <v>5977</v>
      </c>
      <c r="AD6" s="610"/>
      <c r="AE6" s="610"/>
      <c r="AF6" s="610" t="s">
        <v>5975</v>
      </c>
      <c r="AG6" s="610" t="s">
        <v>7076</v>
      </c>
      <c r="AH6" s="617" t="s">
        <v>5989</v>
      </c>
      <c r="AI6" s="618" t="str">
        <f t="shared" si="1"/>
        <v>Lucky, Brave, Halfling Nimbleness, Naturally Stealthy</v>
      </c>
      <c r="AJ6" s="610" t="s">
        <v>2174</v>
      </c>
      <c r="AK6" s="610" t="s">
        <v>573</v>
      </c>
      <c r="AL6" s="610" t="s">
        <v>2202</v>
      </c>
      <c r="AM6" s="615" t="s">
        <v>2203</v>
      </c>
      <c r="AN6" s="610"/>
      <c r="AO6" s="610"/>
      <c r="AP6" s="610"/>
      <c r="AQ6" s="610"/>
      <c r="AR6" s="610"/>
      <c r="AS6" s="618" t="str">
        <f t="shared" si="2"/>
        <v/>
      </c>
      <c r="AT6" s="610"/>
      <c r="AU6" s="610"/>
      <c r="AV6" s="610"/>
      <c r="AW6" s="610"/>
      <c r="AX6" s="610"/>
      <c r="AY6" s="610"/>
      <c r="AZ6" s="610"/>
      <c r="BA6" s="610" t="str">
        <f t="shared" si="4"/>
        <v/>
      </c>
      <c r="BB6" s="610"/>
      <c r="BC6" s="610"/>
      <c r="BD6" s="610"/>
      <c r="BE6" s="610"/>
      <c r="BF6" s="618" t="str">
        <f t="shared" si="3"/>
        <v>Common, Halfling</v>
      </c>
      <c r="BG6" s="610" t="s">
        <v>43</v>
      </c>
      <c r="BH6" s="610" t="s">
        <v>56</v>
      </c>
      <c r="BI6" s="610"/>
    </row>
    <row r="7" spans="1:61" s="1" customFormat="1" x14ac:dyDescent="0.2">
      <c r="A7" s="610">
        <v>6</v>
      </c>
      <c r="B7" s="615" t="s">
        <v>56</v>
      </c>
      <c r="C7" s="619">
        <f>IF(COUNTIF($B$2:B7,B7)=1,1+COUNTIF($C$2:C5,"&gt;0"),0)</f>
        <v>0</v>
      </c>
      <c r="D7" s="619">
        <f>IF(Race=B7,1+COUNTIF($D$2:D6,"&gt;0"),0)</f>
        <v>0</v>
      </c>
      <c r="E7" s="615" t="s">
        <v>58</v>
      </c>
      <c r="F7" s="615"/>
      <c r="G7" s="615" t="s">
        <v>7138</v>
      </c>
      <c r="H7" s="615"/>
      <c r="I7" s="615" t="str">
        <f t="shared" si="0"/>
        <v>Dexterity: +2, Constitution: +1</v>
      </c>
      <c r="J7" s="611">
        <v>0</v>
      </c>
      <c r="K7" s="612">
        <v>2</v>
      </c>
      <c r="L7" s="611">
        <v>1</v>
      </c>
      <c r="M7" s="611">
        <v>0</v>
      </c>
      <c r="N7" s="611">
        <v>0</v>
      </c>
      <c r="O7" s="612">
        <v>0</v>
      </c>
      <c r="P7" s="612"/>
      <c r="Q7" s="613"/>
      <c r="R7" s="613"/>
      <c r="S7" s="613"/>
      <c r="T7" s="613"/>
      <c r="U7" s="613"/>
      <c r="V7" s="613"/>
      <c r="W7" s="613"/>
      <c r="X7" s="610" t="s">
        <v>603</v>
      </c>
      <c r="Y7" s="610">
        <v>10</v>
      </c>
      <c r="Z7" s="610">
        <v>25</v>
      </c>
      <c r="AA7" s="614"/>
      <c r="AB7" s="614"/>
      <c r="AC7" s="610" t="s">
        <v>5977</v>
      </c>
      <c r="AD7" s="610"/>
      <c r="AE7" s="610"/>
      <c r="AF7" s="610" t="s">
        <v>5975</v>
      </c>
      <c r="AG7" s="610" t="s">
        <v>7076</v>
      </c>
      <c r="AH7" s="617" t="s">
        <v>5989</v>
      </c>
      <c r="AI7" s="618" t="str">
        <f t="shared" si="1"/>
        <v>Lucky, Brave, Halfling Nimbleness, Stout Resilience</v>
      </c>
      <c r="AJ7" s="610" t="s">
        <v>2174</v>
      </c>
      <c r="AK7" s="610" t="s">
        <v>573</v>
      </c>
      <c r="AL7" s="610" t="s">
        <v>2202</v>
      </c>
      <c r="AM7" s="610" t="s">
        <v>2204</v>
      </c>
      <c r="AN7" s="610"/>
      <c r="AO7" s="610"/>
      <c r="AP7" s="610"/>
      <c r="AQ7" s="610"/>
      <c r="AR7" s="610"/>
      <c r="AS7" s="618" t="str">
        <f t="shared" si="2"/>
        <v/>
      </c>
      <c r="AT7" s="610"/>
      <c r="AU7" s="610"/>
      <c r="AV7" s="610"/>
      <c r="AW7" s="610"/>
      <c r="AX7" s="610"/>
      <c r="AY7" s="610"/>
      <c r="AZ7" s="610"/>
      <c r="BA7" s="610" t="str">
        <f t="shared" si="4"/>
        <v/>
      </c>
      <c r="BB7" s="610"/>
      <c r="BC7" s="610"/>
      <c r="BD7" s="610"/>
      <c r="BE7" s="610"/>
      <c r="BF7" s="618" t="str">
        <f t="shared" si="3"/>
        <v>Common, Halfling</v>
      </c>
      <c r="BG7" s="610" t="s">
        <v>43</v>
      </c>
      <c r="BH7" s="610" t="s">
        <v>56</v>
      </c>
      <c r="BI7" s="610"/>
    </row>
    <row r="8" spans="1:61" s="1" customFormat="1" x14ac:dyDescent="0.2">
      <c r="A8" s="610">
        <v>7</v>
      </c>
      <c r="B8" s="615" t="s">
        <v>59</v>
      </c>
      <c r="C8" s="619">
        <f>IF(COUNTIF($B$2:B8,B8)=1,1+COUNTIF($C$2:C7,"&gt;0"),0)</f>
        <v>4</v>
      </c>
      <c r="D8" s="619">
        <f>IF(Race=B8,1+COUNTIF($D$2:D7,"&gt;0"),0)</f>
        <v>0</v>
      </c>
      <c r="E8" s="615" t="s">
        <v>1083</v>
      </c>
      <c r="F8" s="615"/>
      <c r="G8" s="620" t="s">
        <v>7093</v>
      </c>
      <c r="H8" s="615"/>
      <c r="I8" s="615" t="str">
        <f t="shared" si="0"/>
        <v>Strength: +1, Dexterity: +1, Constitution: +1, Intelligence: +1, Wisdom: +1, Charisma: +1</v>
      </c>
      <c r="J8" s="611">
        <v>1</v>
      </c>
      <c r="K8" s="612">
        <v>1</v>
      </c>
      <c r="L8" s="612">
        <v>1</v>
      </c>
      <c r="M8" s="611">
        <v>1</v>
      </c>
      <c r="N8" s="611">
        <v>1</v>
      </c>
      <c r="O8" s="612">
        <v>1</v>
      </c>
      <c r="P8" s="612"/>
      <c r="Q8" s="613"/>
      <c r="R8" s="613"/>
      <c r="S8" s="613"/>
      <c r="T8" s="613"/>
      <c r="U8" s="613"/>
      <c r="V8" s="613"/>
      <c r="W8" s="613"/>
      <c r="X8" s="610" t="s">
        <v>602</v>
      </c>
      <c r="Y8" s="610">
        <v>10</v>
      </c>
      <c r="Z8" s="610">
        <v>25</v>
      </c>
      <c r="AA8" s="614"/>
      <c r="AB8" s="614"/>
      <c r="AC8" s="610" t="s">
        <v>5976</v>
      </c>
      <c r="AD8" s="610"/>
      <c r="AE8" s="610"/>
      <c r="AF8" s="610" t="s">
        <v>5971</v>
      </c>
      <c r="AG8" s="610" t="s">
        <v>7092</v>
      </c>
      <c r="AH8" s="617" t="s">
        <v>5990</v>
      </c>
      <c r="AI8" s="618" t="str">
        <f t="shared" si="1"/>
        <v/>
      </c>
      <c r="AJ8" s="610"/>
      <c r="AK8" s="610"/>
      <c r="AL8" s="615"/>
      <c r="AM8" s="610"/>
      <c r="AN8" s="610"/>
      <c r="AO8" s="610"/>
      <c r="AP8" s="610"/>
      <c r="AQ8" s="610"/>
      <c r="AR8" s="610">
        <v>1</v>
      </c>
      <c r="AS8" s="618" t="str">
        <f t="shared" si="2"/>
        <v/>
      </c>
      <c r="AT8" s="610"/>
      <c r="AU8" s="610"/>
      <c r="AV8" s="610"/>
      <c r="AW8" s="610"/>
      <c r="AX8" s="610"/>
      <c r="AY8" s="610"/>
      <c r="AZ8" s="610"/>
      <c r="BA8" s="610" t="str">
        <f t="shared" si="4"/>
        <v/>
      </c>
      <c r="BB8" s="610"/>
      <c r="BC8" s="610"/>
      <c r="BD8" s="610"/>
      <c r="BE8" s="610"/>
      <c r="BF8" s="618" t="str">
        <f t="shared" si="3"/>
        <v>Common</v>
      </c>
      <c r="BG8" s="610" t="s">
        <v>43</v>
      </c>
      <c r="BH8" s="610"/>
      <c r="BI8" s="610"/>
    </row>
    <row r="9" spans="1:61" s="1" customFormat="1" x14ac:dyDescent="0.2">
      <c r="A9" s="610">
        <v>8</v>
      </c>
      <c r="B9" s="615" t="s">
        <v>59</v>
      </c>
      <c r="C9" s="619">
        <f>IF(COUNTIF($B$2:B9,B9)=1,1+COUNTIF($C$2:C8,"&gt;0"),0)</f>
        <v>0</v>
      </c>
      <c r="D9" s="619">
        <f>IF(Race=B9,1+COUNTIF($D$2:D8,"&gt;0"),0)</f>
        <v>0</v>
      </c>
      <c r="E9" s="615" t="s">
        <v>1084</v>
      </c>
      <c r="F9" s="615"/>
      <c r="G9" s="620" t="s">
        <v>7094</v>
      </c>
      <c r="H9" s="615"/>
      <c r="I9" s="615" t="str">
        <f t="shared" si="0"/>
        <v>Strength: +1, Dexterity: +1, Constitution: +1, Intelligence: +1, Wisdom: +1, Charisma: +1</v>
      </c>
      <c r="J9" s="612">
        <v>1</v>
      </c>
      <c r="K9" s="612">
        <v>1</v>
      </c>
      <c r="L9" s="612">
        <v>1</v>
      </c>
      <c r="M9" s="612">
        <v>1</v>
      </c>
      <c r="N9" s="612">
        <v>1</v>
      </c>
      <c r="O9" s="612">
        <v>1</v>
      </c>
      <c r="P9" s="612"/>
      <c r="Q9" s="613"/>
      <c r="R9" s="613"/>
      <c r="S9" s="613"/>
      <c r="T9" s="613"/>
      <c r="U9" s="613"/>
      <c r="V9" s="613"/>
      <c r="W9" s="613"/>
      <c r="X9" s="610" t="s">
        <v>602</v>
      </c>
      <c r="Y9" s="610">
        <v>10</v>
      </c>
      <c r="Z9" s="615">
        <v>30</v>
      </c>
      <c r="AA9" s="614"/>
      <c r="AB9" s="614"/>
      <c r="AC9" s="610" t="s">
        <v>5976</v>
      </c>
      <c r="AD9" s="610"/>
      <c r="AE9" s="610"/>
      <c r="AF9" s="610" t="s">
        <v>5971</v>
      </c>
      <c r="AG9" s="610" t="s">
        <v>7078</v>
      </c>
      <c r="AH9" s="617" t="s">
        <v>5990</v>
      </c>
      <c r="AI9" s="618" t="str">
        <f t="shared" si="1"/>
        <v/>
      </c>
      <c r="AJ9" s="610"/>
      <c r="AK9" s="610"/>
      <c r="AL9" s="610"/>
      <c r="AM9" s="610"/>
      <c r="AN9" s="610"/>
      <c r="AO9" s="610"/>
      <c r="AP9" s="610"/>
      <c r="AQ9" s="610"/>
      <c r="AR9" s="610">
        <v>1</v>
      </c>
      <c r="AS9" s="618" t="str">
        <f t="shared" si="2"/>
        <v/>
      </c>
      <c r="AT9" s="610"/>
      <c r="AU9" s="610"/>
      <c r="AV9" s="610"/>
      <c r="AW9" s="610"/>
      <c r="AX9" s="610"/>
      <c r="AY9" s="610"/>
      <c r="AZ9" s="610"/>
      <c r="BA9" s="610" t="str">
        <f t="shared" si="4"/>
        <v/>
      </c>
      <c r="BB9" s="610"/>
      <c r="BC9" s="610"/>
      <c r="BD9" s="610"/>
      <c r="BE9" s="610">
        <v>1</v>
      </c>
      <c r="BF9" s="618" t="str">
        <f t="shared" si="3"/>
        <v>Common</v>
      </c>
      <c r="BG9" s="610" t="s">
        <v>43</v>
      </c>
      <c r="BH9" s="610"/>
      <c r="BI9" s="610"/>
    </row>
    <row r="10" spans="1:61" x14ac:dyDescent="0.2">
      <c r="A10" s="610">
        <v>9</v>
      </c>
      <c r="B10" s="615" t="s">
        <v>59</v>
      </c>
      <c r="C10" s="619">
        <f>IF(COUNTIF($B$2:B10,B10)=1,1+COUNTIF($C$2:C9,"&gt;0"),0)</f>
        <v>0</v>
      </c>
      <c r="D10" s="619">
        <f>IF(Race=B10,1+COUNTIF($D$2:D9,"&gt;0"),0)</f>
        <v>0</v>
      </c>
      <c r="E10" s="610" t="s">
        <v>1085</v>
      </c>
      <c r="F10" s="610"/>
      <c r="G10" s="610" t="s">
        <v>7079</v>
      </c>
      <c r="H10" s="610"/>
      <c r="I10" s="615" t="str">
        <f t="shared" si="0"/>
        <v>Strength: +1, Dexterity: +1, Constitution: +1, Intelligence: +1, Wisdom: +1, Charisma: +1</v>
      </c>
      <c r="J10" s="611">
        <v>1</v>
      </c>
      <c r="K10" s="611">
        <v>1</v>
      </c>
      <c r="L10" s="611">
        <v>1</v>
      </c>
      <c r="M10" s="611">
        <v>1</v>
      </c>
      <c r="N10" s="611">
        <v>1</v>
      </c>
      <c r="O10" s="611">
        <v>1</v>
      </c>
      <c r="P10" s="611"/>
      <c r="Q10" s="616"/>
      <c r="R10" s="616"/>
      <c r="S10" s="616"/>
      <c r="T10" s="616"/>
      <c r="U10" s="616"/>
      <c r="V10" s="616"/>
      <c r="W10" s="616"/>
      <c r="X10" s="610" t="s">
        <v>602</v>
      </c>
      <c r="Y10" s="610">
        <v>10</v>
      </c>
      <c r="Z10" s="610">
        <v>30</v>
      </c>
      <c r="AA10" s="614"/>
      <c r="AB10" s="614"/>
      <c r="AC10" s="610" t="s">
        <v>5976</v>
      </c>
      <c r="AD10" s="610"/>
      <c r="AE10" s="610"/>
      <c r="AF10" s="610" t="s">
        <v>5971</v>
      </c>
      <c r="AG10" s="610" t="s">
        <v>7080</v>
      </c>
      <c r="AH10" s="617" t="s">
        <v>5990</v>
      </c>
      <c r="AI10" s="618" t="str">
        <f t="shared" si="1"/>
        <v/>
      </c>
      <c r="AJ10" s="610"/>
      <c r="AK10" s="610"/>
      <c r="AL10" s="610"/>
      <c r="AM10" s="610"/>
      <c r="AN10" s="610"/>
      <c r="AO10" s="610"/>
      <c r="AP10" s="610"/>
      <c r="AQ10" s="610"/>
      <c r="AR10" s="610">
        <v>1</v>
      </c>
      <c r="AS10" s="618" t="str">
        <f t="shared" si="2"/>
        <v/>
      </c>
      <c r="AT10" s="610"/>
      <c r="AU10" s="610"/>
      <c r="AV10" s="610"/>
      <c r="AW10" s="610"/>
      <c r="AX10" s="610"/>
      <c r="AY10" s="610"/>
      <c r="AZ10" s="610"/>
      <c r="BA10" s="610" t="str">
        <f t="shared" si="4"/>
        <v/>
      </c>
      <c r="BB10" s="610"/>
      <c r="BC10" s="610"/>
      <c r="BD10" s="610"/>
      <c r="BE10" s="610"/>
      <c r="BF10" s="618" t="str">
        <f t="shared" si="3"/>
        <v>Common</v>
      </c>
      <c r="BG10" s="610" t="s">
        <v>43</v>
      </c>
      <c r="BH10" s="610"/>
      <c r="BI10" s="610"/>
    </row>
    <row r="11" spans="1:61" x14ac:dyDescent="0.2">
      <c r="A11" s="610">
        <v>10</v>
      </c>
      <c r="B11" s="615" t="s">
        <v>59</v>
      </c>
      <c r="C11" s="619">
        <f>IF(COUNTIF($B$2:B11,B11)=1,1+COUNTIF($C$2:C10,"&gt;0"),0)</f>
        <v>0</v>
      </c>
      <c r="D11" s="619">
        <f>IF(Race=B11,1+COUNTIF($D$2:D10,"&gt;0"),0)</f>
        <v>0</v>
      </c>
      <c r="E11" s="610" t="s">
        <v>1086</v>
      </c>
      <c r="F11" s="610"/>
      <c r="G11" s="610" t="s">
        <v>7081</v>
      </c>
      <c r="H11" s="610"/>
      <c r="I11" s="615" t="str">
        <f t="shared" si="0"/>
        <v>Strength: +1, Dexterity: +1, Constitution: +1, Intelligence: +1, Wisdom: +1, Charisma: +1</v>
      </c>
      <c r="J11" s="612">
        <v>1</v>
      </c>
      <c r="K11" s="611">
        <v>1</v>
      </c>
      <c r="L11" s="612">
        <v>1</v>
      </c>
      <c r="M11" s="611">
        <v>1</v>
      </c>
      <c r="N11" s="611">
        <v>1</v>
      </c>
      <c r="O11" s="611">
        <v>1</v>
      </c>
      <c r="P11" s="611"/>
      <c r="Q11" s="613"/>
      <c r="R11" s="613"/>
      <c r="S11" s="613"/>
      <c r="T11" s="613"/>
      <c r="U11" s="613"/>
      <c r="V11" s="613"/>
      <c r="W11" s="613"/>
      <c r="X11" s="610" t="s">
        <v>602</v>
      </c>
      <c r="Y11" s="610">
        <v>10</v>
      </c>
      <c r="Z11" s="610">
        <v>30</v>
      </c>
      <c r="AA11" s="614"/>
      <c r="AB11" s="614"/>
      <c r="AC11" s="610" t="s">
        <v>5976</v>
      </c>
      <c r="AD11" s="610"/>
      <c r="AE11" s="610"/>
      <c r="AF11" s="610" t="s">
        <v>5971</v>
      </c>
      <c r="AG11" s="610" t="s">
        <v>7082</v>
      </c>
      <c r="AH11" s="617" t="s">
        <v>5990</v>
      </c>
      <c r="AI11" s="618" t="str">
        <f t="shared" si="1"/>
        <v/>
      </c>
      <c r="AJ11" s="610"/>
      <c r="AK11" s="610"/>
      <c r="AL11" s="610"/>
      <c r="AM11" s="610"/>
      <c r="AN11" s="610"/>
      <c r="AO11" s="610"/>
      <c r="AP11" s="610"/>
      <c r="AQ11" s="610"/>
      <c r="AR11" s="610">
        <v>1</v>
      </c>
      <c r="AS11" s="618" t="str">
        <f t="shared" si="2"/>
        <v/>
      </c>
      <c r="AT11" s="610"/>
      <c r="AU11" s="610"/>
      <c r="AV11" s="610"/>
      <c r="AW11" s="610"/>
      <c r="AX11" s="610"/>
      <c r="AY11" s="610"/>
      <c r="AZ11" s="610"/>
      <c r="BA11" s="610" t="str">
        <f t="shared" si="4"/>
        <v/>
      </c>
      <c r="BB11" s="610"/>
      <c r="BC11" s="610"/>
      <c r="BD11" s="610"/>
      <c r="BE11" s="610"/>
      <c r="BF11" s="618" t="str">
        <f t="shared" si="3"/>
        <v>Common</v>
      </c>
      <c r="BG11" s="610" t="s">
        <v>43</v>
      </c>
      <c r="BH11" s="610"/>
      <c r="BI11" s="610"/>
    </row>
    <row r="12" spans="1:61" x14ac:dyDescent="0.2">
      <c r="A12" s="610">
        <v>11</v>
      </c>
      <c r="B12" s="615" t="s">
        <v>59</v>
      </c>
      <c r="C12" s="619">
        <f>IF(COUNTIF($B$2:B12,B12)=1,1+COUNTIF($C$2:C11,"&gt;0"),0)</f>
        <v>0</v>
      </c>
      <c r="D12" s="619">
        <f>IF(Race=B12,1+COUNTIF($D$2:D11,"&gt;0"),0)</f>
        <v>0</v>
      </c>
      <c r="E12" s="610" t="s">
        <v>1087</v>
      </c>
      <c r="F12" s="610"/>
      <c r="G12" s="620" t="s">
        <v>7083</v>
      </c>
      <c r="H12" s="610"/>
      <c r="I12" s="615" t="str">
        <f t="shared" si="0"/>
        <v>Strength: +1, Dexterity: +1, Constitution: +1, Intelligence: +1, Wisdom: +1, Charisma: +1</v>
      </c>
      <c r="J12" s="611">
        <v>1</v>
      </c>
      <c r="K12" s="611">
        <v>1</v>
      </c>
      <c r="L12" s="611">
        <v>1</v>
      </c>
      <c r="M12" s="611">
        <v>1</v>
      </c>
      <c r="N12" s="611">
        <v>1</v>
      </c>
      <c r="O12" s="611">
        <v>1</v>
      </c>
      <c r="P12" s="611"/>
      <c r="Q12" s="613"/>
      <c r="R12" s="613"/>
      <c r="S12" s="613"/>
      <c r="T12" s="613"/>
      <c r="U12" s="613"/>
      <c r="V12" s="613"/>
      <c r="W12" s="613"/>
      <c r="X12" s="610" t="s">
        <v>602</v>
      </c>
      <c r="Y12" s="610">
        <v>10</v>
      </c>
      <c r="Z12" s="610">
        <v>30</v>
      </c>
      <c r="AA12" s="614"/>
      <c r="AB12" s="614"/>
      <c r="AC12" s="610" t="s">
        <v>5976</v>
      </c>
      <c r="AD12" s="610"/>
      <c r="AE12" s="610"/>
      <c r="AF12" s="610" t="s">
        <v>5971</v>
      </c>
      <c r="AG12" s="610" t="s">
        <v>7084</v>
      </c>
      <c r="AH12" s="617" t="s">
        <v>5990</v>
      </c>
      <c r="AI12" s="618" t="str">
        <f t="shared" si="1"/>
        <v/>
      </c>
      <c r="AJ12" s="610"/>
      <c r="AK12" s="610"/>
      <c r="AL12" s="610"/>
      <c r="AM12" s="610"/>
      <c r="AN12" s="610"/>
      <c r="AO12" s="610"/>
      <c r="AP12" s="610"/>
      <c r="AQ12" s="610"/>
      <c r="AR12" s="610">
        <v>1</v>
      </c>
      <c r="AS12" s="618" t="str">
        <f t="shared" si="2"/>
        <v/>
      </c>
      <c r="AT12" s="610"/>
      <c r="AU12" s="610"/>
      <c r="AV12" s="610"/>
      <c r="AW12" s="610"/>
      <c r="AX12" s="610"/>
      <c r="AY12" s="610"/>
      <c r="AZ12" s="610"/>
      <c r="BA12" s="610" t="str">
        <f t="shared" si="4"/>
        <v/>
      </c>
      <c r="BB12" s="610"/>
      <c r="BC12" s="610"/>
      <c r="BD12" s="610"/>
      <c r="BE12" s="610"/>
      <c r="BF12" s="618" t="str">
        <f t="shared" si="3"/>
        <v>Common</v>
      </c>
      <c r="BG12" s="610" t="s">
        <v>43</v>
      </c>
      <c r="BH12" s="610"/>
      <c r="BI12" s="610"/>
    </row>
    <row r="13" spans="1:61" x14ac:dyDescent="0.2">
      <c r="A13" s="610">
        <v>12</v>
      </c>
      <c r="B13" s="615" t="s">
        <v>59</v>
      </c>
      <c r="C13" s="619">
        <f>IF(COUNTIF($B$2:B13,B13)=1,1+COUNTIF($C$2:C12,"&gt;0"),0)</f>
        <v>0</v>
      </c>
      <c r="D13" s="619">
        <f>IF(Race=B13,1+COUNTIF($D$2:D12,"&gt;0"),0)</f>
        <v>0</v>
      </c>
      <c r="E13" s="610" t="s">
        <v>1088</v>
      </c>
      <c r="F13" s="610"/>
      <c r="G13" s="610" t="s">
        <v>7085</v>
      </c>
      <c r="H13" s="610"/>
      <c r="I13" s="615" t="str">
        <f t="shared" si="0"/>
        <v>Strength: +1, Dexterity: +1, Constitution: +1, Intelligence: +1, Wisdom: +1, Charisma: +1</v>
      </c>
      <c r="J13" s="611">
        <v>1</v>
      </c>
      <c r="K13" s="611">
        <v>1</v>
      </c>
      <c r="L13" s="611">
        <v>1</v>
      </c>
      <c r="M13" s="611">
        <v>1</v>
      </c>
      <c r="N13" s="611">
        <v>1</v>
      </c>
      <c r="O13" s="611">
        <v>1</v>
      </c>
      <c r="P13" s="611"/>
      <c r="Q13" s="613"/>
      <c r="R13" s="613"/>
      <c r="S13" s="613"/>
      <c r="T13" s="613"/>
      <c r="U13" s="613"/>
      <c r="V13" s="613"/>
      <c r="W13" s="613"/>
      <c r="X13" s="610" t="s">
        <v>602</v>
      </c>
      <c r="Y13" s="610">
        <v>10</v>
      </c>
      <c r="Z13" s="610">
        <v>30</v>
      </c>
      <c r="AA13" s="614"/>
      <c r="AB13" s="614"/>
      <c r="AC13" s="610" t="s">
        <v>5976</v>
      </c>
      <c r="AD13" s="610"/>
      <c r="AE13" s="610"/>
      <c r="AF13" s="610" t="s">
        <v>5971</v>
      </c>
      <c r="AG13" s="610" t="s">
        <v>7086</v>
      </c>
      <c r="AH13" s="617" t="s">
        <v>5990</v>
      </c>
      <c r="AI13" s="618" t="str">
        <f t="shared" si="1"/>
        <v/>
      </c>
      <c r="AJ13" s="610"/>
      <c r="AK13" s="610"/>
      <c r="AL13" s="610"/>
      <c r="AM13" s="610"/>
      <c r="AN13" s="610"/>
      <c r="AO13" s="610"/>
      <c r="AP13" s="610"/>
      <c r="AQ13" s="610"/>
      <c r="AR13" s="610">
        <v>1</v>
      </c>
      <c r="AS13" s="618" t="str">
        <f t="shared" si="2"/>
        <v/>
      </c>
      <c r="AT13" s="610"/>
      <c r="AU13" s="610"/>
      <c r="AV13" s="610"/>
      <c r="AW13" s="610"/>
      <c r="AX13" s="610"/>
      <c r="AY13" s="610"/>
      <c r="AZ13" s="610"/>
      <c r="BA13" s="610" t="str">
        <f t="shared" si="4"/>
        <v/>
      </c>
      <c r="BB13" s="610"/>
      <c r="BC13" s="610"/>
      <c r="BD13" s="610"/>
      <c r="BE13" s="610"/>
      <c r="BF13" s="618" t="str">
        <f t="shared" si="3"/>
        <v>Common</v>
      </c>
      <c r="BG13" s="610" t="s">
        <v>43</v>
      </c>
      <c r="BH13" s="610"/>
      <c r="BI13" s="610"/>
    </row>
    <row r="14" spans="1:61" x14ac:dyDescent="0.2">
      <c r="A14" s="610">
        <v>13</v>
      </c>
      <c r="B14" s="615" t="s">
        <v>59</v>
      </c>
      <c r="C14" s="619">
        <f>IF(COUNTIF($B$2:B14,B14)=1,1+COUNTIF($C$2:C13,"&gt;0"),0)</f>
        <v>0</v>
      </c>
      <c r="D14" s="619">
        <f>IF(Race=B14,1+COUNTIF($D$2:D13,"&gt;0"),0)</f>
        <v>0</v>
      </c>
      <c r="E14" s="610" t="s">
        <v>1089</v>
      </c>
      <c r="F14" s="610"/>
      <c r="G14" s="620" t="s">
        <v>7088</v>
      </c>
      <c r="H14" s="610"/>
      <c r="I14" s="615" t="str">
        <f t="shared" si="0"/>
        <v>Strength: +1, Dexterity: +1, Constitution: +1, Intelligence: +1, Wisdom: +1, Charisma: +1</v>
      </c>
      <c r="J14" s="611">
        <v>1</v>
      </c>
      <c r="K14" s="611">
        <v>1</v>
      </c>
      <c r="L14" s="611">
        <v>1</v>
      </c>
      <c r="M14" s="611">
        <v>1</v>
      </c>
      <c r="N14" s="611">
        <v>1</v>
      </c>
      <c r="O14" s="611">
        <v>1</v>
      </c>
      <c r="P14" s="611"/>
      <c r="Q14" s="613"/>
      <c r="R14" s="613"/>
      <c r="S14" s="613"/>
      <c r="T14" s="613"/>
      <c r="U14" s="613"/>
      <c r="V14" s="613"/>
      <c r="W14" s="613"/>
      <c r="X14" s="610" t="s">
        <v>602</v>
      </c>
      <c r="Y14" s="610">
        <v>10</v>
      </c>
      <c r="Z14" s="610">
        <v>30</v>
      </c>
      <c r="AA14" s="614"/>
      <c r="AB14" s="614"/>
      <c r="AC14" s="610" t="s">
        <v>5976</v>
      </c>
      <c r="AD14" s="610"/>
      <c r="AE14" s="610"/>
      <c r="AF14" s="610" t="s">
        <v>5971</v>
      </c>
      <c r="AG14" s="610" t="s">
        <v>7087</v>
      </c>
      <c r="AH14" s="617" t="s">
        <v>5990</v>
      </c>
      <c r="AI14" s="618" t="str">
        <f t="shared" si="1"/>
        <v/>
      </c>
      <c r="AJ14" s="610"/>
      <c r="AK14" s="610"/>
      <c r="AL14" s="610"/>
      <c r="AM14" s="610"/>
      <c r="AN14" s="610"/>
      <c r="AO14" s="610"/>
      <c r="AP14" s="610"/>
      <c r="AQ14" s="610"/>
      <c r="AR14" s="610">
        <v>1</v>
      </c>
      <c r="AS14" s="618" t="str">
        <f t="shared" si="2"/>
        <v/>
      </c>
      <c r="AT14" s="610"/>
      <c r="AU14" s="610"/>
      <c r="AV14" s="610"/>
      <c r="AW14" s="610"/>
      <c r="AX14" s="610"/>
      <c r="AY14" s="610"/>
      <c r="AZ14" s="610"/>
      <c r="BA14" s="610" t="str">
        <f t="shared" si="4"/>
        <v/>
      </c>
      <c r="BB14" s="610"/>
      <c r="BC14" s="610"/>
      <c r="BD14" s="610"/>
      <c r="BE14" s="610"/>
      <c r="BF14" s="618" t="str">
        <f t="shared" si="3"/>
        <v>Common</v>
      </c>
      <c r="BG14" s="610" t="s">
        <v>43</v>
      </c>
      <c r="BH14" s="610"/>
      <c r="BI14" s="610"/>
    </row>
    <row r="15" spans="1:61" x14ac:dyDescent="0.2">
      <c r="A15" s="610">
        <v>14</v>
      </c>
      <c r="B15" s="615" t="s">
        <v>59</v>
      </c>
      <c r="C15" s="619">
        <f>IF(COUNTIF($B$2:B15,B15)=1,1+COUNTIF($C$2:C14,"&gt;0"),0)</f>
        <v>0</v>
      </c>
      <c r="D15" s="619">
        <f>IF(Race=B15,1+COUNTIF($D$2:D14,"&gt;0"),0)</f>
        <v>0</v>
      </c>
      <c r="E15" s="610" t="s">
        <v>1090</v>
      </c>
      <c r="F15" s="610"/>
      <c r="G15" s="610" t="s">
        <v>7089</v>
      </c>
      <c r="H15" s="610"/>
      <c r="I15" s="615" t="str">
        <f t="shared" si="0"/>
        <v>Strength: +1, Dexterity: +1, Constitution: +1, Intelligence: +1, Wisdom: +1, Charisma: +1</v>
      </c>
      <c r="J15" s="611">
        <v>1</v>
      </c>
      <c r="K15" s="611">
        <v>1</v>
      </c>
      <c r="L15" s="611">
        <v>1</v>
      </c>
      <c r="M15" s="611">
        <v>1</v>
      </c>
      <c r="N15" s="611">
        <v>1</v>
      </c>
      <c r="O15" s="611">
        <v>1</v>
      </c>
      <c r="P15" s="611"/>
      <c r="Q15" s="613"/>
      <c r="R15" s="613"/>
      <c r="S15" s="613"/>
      <c r="T15" s="613"/>
      <c r="U15" s="613"/>
      <c r="V15" s="613"/>
      <c r="W15" s="613"/>
      <c r="X15" s="610" t="s">
        <v>602</v>
      </c>
      <c r="Y15" s="610">
        <v>10</v>
      </c>
      <c r="Z15" s="610">
        <v>30</v>
      </c>
      <c r="AA15" s="614"/>
      <c r="AB15" s="614"/>
      <c r="AC15" s="610" t="s">
        <v>5976</v>
      </c>
      <c r="AD15" s="610"/>
      <c r="AE15" s="610"/>
      <c r="AF15" s="610" t="s">
        <v>5971</v>
      </c>
      <c r="AG15" s="610"/>
      <c r="AH15" s="617" t="s">
        <v>5990</v>
      </c>
      <c r="AI15" s="618" t="str">
        <f t="shared" si="1"/>
        <v/>
      </c>
      <c r="AJ15" s="610"/>
      <c r="AK15" s="610"/>
      <c r="AL15" s="610"/>
      <c r="AM15" s="610"/>
      <c r="AN15" s="610"/>
      <c r="AO15" s="610"/>
      <c r="AP15" s="610"/>
      <c r="AQ15" s="610"/>
      <c r="AR15" s="610">
        <v>1</v>
      </c>
      <c r="AS15" s="618" t="str">
        <f t="shared" si="2"/>
        <v/>
      </c>
      <c r="AT15" s="610"/>
      <c r="AU15" s="610"/>
      <c r="AV15" s="610"/>
      <c r="AW15" s="610"/>
      <c r="AX15" s="610"/>
      <c r="AY15" s="610"/>
      <c r="AZ15" s="610"/>
      <c r="BA15" s="610" t="str">
        <f t="shared" si="4"/>
        <v/>
      </c>
      <c r="BB15" s="610"/>
      <c r="BC15" s="610"/>
      <c r="BD15" s="610"/>
      <c r="BE15" s="610"/>
      <c r="BF15" s="618" t="str">
        <f t="shared" si="3"/>
        <v>Common</v>
      </c>
      <c r="BG15" s="610" t="s">
        <v>43</v>
      </c>
      <c r="BH15" s="610"/>
      <c r="BI15" s="610"/>
    </row>
    <row r="16" spans="1:61" x14ac:dyDescent="0.2">
      <c r="A16" s="610">
        <v>15</v>
      </c>
      <c r="B16" s="615" t="s">
        <v>59</v>
      </c>
      <c r="C16" s="619">
        <f>IF(COUNTIF($B$2:B16,B16)=1,1+COUNTIF($C$2:C15,"&gt;0"),0)</f>
        <v>0</v>
      </c>
      <c r="D16" s="619">
        <f>IF(Race=B16,1+COUNTIF($D$2:D15,"&gt;0"),0)</f>
        <v>0</v>
      </c>
      <c r="E16" s="610" t="s">
        <v>1091</v>
      </c>
      <c r="F16" s="610"/>
      <c r="G16" s="620" t="s">
        <v>7090</v>
      </c>
      <c r="H16" s="610"/>
      <c r="I16" s="615" t="str">
        <f t="shared" si="0"/>
        <v>Strength: +1, Dexterity: +1, Constitution: +1, Intelligence: +1, Wisdom: +1, Charisma: +1</v>
      </c>
      <c r="J16" s="611">
        <v>1</v>
      </c>
      <c r="K16" s="611">
        <v>1</v>
      </c>
      <c r="L16" s="611">
        <v>1</v>
      </c>
      <c r="M16" s="611">
        <v>1</v>
      </c>
      <c r="N16" s="611">
        <v>1</v>
      </c>
      <c r="O16" s="611">
        <v>1</v>
      </c>
      <c r="P16" s="611"/>
      <c r="Q16" s="613"/>
      <c r="R16" s="613"/>
      <c r="S16" s="613"/>
      <c r="T16" s="613"/>
      <c r="U16" s="613"/>
      <c r="V16" s="613"/>
      <c r="W16" s="613"/>
      <c r="X16" s="610" t="s">
        <v>602</v>
      </c>
      <c r="Y16" s="610">
        <v>10</v>
      </c>
      <c r="Z16" s="610">
        <v>30</v>
      </c>
      <c r="AA16" s="614"/>
      <c r="AB16" s="614"/>
      <c r="AC16" s="610" t="s">
        <v>5976</v>
      </c>
      <c r="AD16" s="610"/>
      <c r="AE16" s="610"/>
      <c r="AF16" s="610" t="s">
        <v>5971</v>
      </c>
      <c r="AG16" s="610" t="s">
        <v>7091</v>
      </c>
      <c r="AH16" s="617" t="s">
        <v>5990</v>
      </c>
      <c r="AI16" s="618" t="str">
        <f t="shared" si="1"/>
        <v/>
      </c>
      <c r="AJ16" s="610"/>
      <c r="AK16" s="610"/>
      <c r="AL16" s="610"/>
      <c r="AM16" s="610"/>
      <c r="AN16" s="610"/>
      <c r="AO16" s="610"/>
      <c r="AP16" s="610"/>
      <c r="AQ16" s="610"/>
      <c r="AR16" s="610">
        <v>1</v>
      </c>
      <c r="AS16" s="618" t="str">
        <f t="shared" si="2"/>
        <v/>
      </c>
      <c r="AT16" s="610"/>
      <c r="AU16" s="610"/>
      <c r="AV16" s="610"/>
      <c r="AW16" s="610"/>
      <c r="AX16" s="610"/>
      <c r="AY16" s="610"/>
      <c r="AZ16" s="610"/>
      <c r="BA16" s="610" t="str">
        <f t="shared" si="4"/>
        <v/>
      </c>
      <c r="BB16" s="610"/>
      <c r="BC16" s="610"/>
      <c r="BD16" s="610"/>
      <c r="BE16" s="610"/>
      <c r="BF16" s="618" t="str">
        <f t="shared" si="3"/>
        <v>Common</v>
      </c>
      <c r="BG16" s="610" t="s">
        <v>43</v>
      </c>
      <c r="BH16" s="610"/>
      <c r="BI16" s="610"/>
    </row>
    <row r="17" spans="1:61" x14ac:dyDescent="0.2">
      <c r="A17" s="610">
        <v>16</v>
      </c>
      <c r="B17" s="615" t="s">
        <v>59</v>
      </c>
      <c r="C17" s="619">
        <f>IF(COUNTIF($B$2:B17,B17)=1,1+COUNTIF($C$2:C16,"&gt;0"),0)</f>
        <v>0</v>
      </c>
      <c r="D17" s="619">
        <f>IF(Race=B17,1+COUNTIF($D$2:D16,"&gt;0"),0)</f>
        <v>0</v>
      </c>
      <c r="E17" s="610" t="s">
        <v>1092</v>
      </c>
      <c r="F17" s="610"/>
      <c r="G17" s="610"/>
      <c r="H17" s="610"/>
      <c r="I17" s="615" t="str">
        <f t="shared" si="0"/>
        <v/>
      </c>
      <c r="J17" s="611">
        <v>0</v>
      </c>
      <c r="K17" s="611">
        <v>0</v>
      </c>
      <c r="L17" s="611">
        <v>0</v>
      </c>
      <c r="M17" s="611">
        <v>0</v>
      </c>
      <c r="N17" s="611">
        <v>0</v>
      </c>
      <c r="O17" s="611">
        <v>0</v>
      </c>
      <c r="P17" s="611"/>
      <c r="Q17" s="611">
        <v>2</v>
      </c>
      <c r="R17" s="612" t="s">
        <v>587</v>
      </c>
      <c r="S17" s="612" t="s">
        <v>587</v>
      </c>
      <c r="T17" s="612" t="s">
        <v>587</v>
      </c>
      <c r="U17" s="612" t="s">
        <v>587</v>
      </c>
      <c r="V17" s="612" t="s">
        <v>587</v>
      </c>
      <c r="W17" s="612" t="s">
        <v>587</v>
      </c>
      <c r="X17" s="610" t="s">
        <v>602</v>
      </c>
      <c r="Y17" s="610">
        <v>10</v>
      </c>
      <c r="Z17" s="610">
        <v>30</v>
      </c>
      <c r="AA17" s="614"/>
      <c r="AB17" s="614"/>
      <c r="AC17" s="610" t="s">
        <v>5976</v>
      </c>
      <c r="AD17" s="610"/>
      <c r="AE17" s="610"/>
      <c r="AF17" s="610" t="s">
        <v>5971</v>
      </c>
      <c r="AG17" s="610"/>
      <c r="AH17" s="617" t="s">
        <v>5990</v>
      </c>
      <c r="AI17" s="618" t="str">
        <f t="shared" si="1"/>
        <v>Bonus Feat</v>
      </c>
      <c r="AJ17" s="615" t="s">
        <v>2297</v>
      </c>
      <c r="AK17" s="610"/>
      <c r="AL17" s="610"/>
      <c r="AM17" s="610"/>
      <c r="AN17" s="610"/>
      <c r="AO17" s="610"/>
      <c r="AP17" s="610"/>
      <c r="AQ17" s="610"/>
      <c r="AR17" s="610">
        <v>1</v>
      </c>
      <c r="AS17" s="618" t="str">
        <f t="shared" si="2"/>
        <v/>
      </c>
      <c r="AT17" s="610"/>
      <c r="AU17" s="610"/>
      <c r="AV17" s="610"/>
      <c r="AW17" s="610"/>
      <c r="AX17" s="610"/>
      <c r="AY17" s="610"/>
      <c r="AZ17" s="610"/>
      <c r="BA17" s="610" t="str">
        <f t="shared" si="4"/>
        <v/>
      </c>
      <c r="BB17" s="610"/>
      <c r="BC17" s="610"/>
      <c r="BD17" s="610"/>
      <c r="BE17" s="610">
        <v>1</v>
      </c>
      <c r="BF17" s="618" t="str">
        <f t="shared" si="3"/>
        <v>Common</v>
      </c>
      <c r="BG17" s="610" t="s">
        <v>43</v>
      </c>
      <c r="BH17" s="610"/>
      <c r="BI17" s="610"/>
    </row>
    <row r="18" spans="1:61" x14ac:dyDescent="0.2">
      <c r="A18" s="610">
        <v>17</v>
      </c>
      <c r="B18" s="610" t="s">
        <v>583</v>
      </c>
      <c r="C18" s="619">
        <f>IF(COUNTIF($B$2:B18,B18)=1,1+COUNTIF($C$2:C17,"&gt;0"),0)</f>
        <v>5</v>
      </c>
      <c r="D18" s="619">
        <f>IF(Race=B18,1+COUNTIF($D$2:D17,"&gt;0"),0)</f>
        <v>0</v>
      </c>
      <c r="E18" s="610" t="s">
        <v>1093</v>
      </c>
      <c r="F18" s="610" t="s">
        <v>7097</v>
      </c>
      <c r="G18" s="610" t="s">
        <v>7098</v>
      </c>
      <c r="H18" s="610"/>
      <c r="I18" s="615" t="str">
        <f t="shared" si="0"/>
        <v>Intelligence: +2</v>
      </c>
      <c r="J18" s="611">
        <v>0</v>
      </c>
      <c r="K18" s="611">
        <v>0</v>
      </c>
      <c r="L18" s="611">
        <v>0</v>
      </c>
      <c r="M18" s="611">
        <v>2</v>
      </c>
      <c r="N18" s="611">
        <v>0</v>
      </c>
      <c r="O18" s="611">
        <v>0</v>
      </c>
      <c r="P18" s="611"/>
      <c r="Q18" s="613"/>
      <c r="R18" s="613"/>
      <c r="S18" s="613"/>
      <c r="T18" s="613"/>
      <c r="U18" s="613"/>
      <c r="V18" s="613"/>
      <c r="W18" s="613"/>
      <c r="X18" s="610" t="s">
        <v>603</v>
      </c>
      <c r="Y18" s="610">
        <v>10</v>
      </c>
      <c r="Z18" s="610">
        <v>25</v>
      </c>
      <c r="AA18" s="614"/>
      <c r="AB18" s="614"/>
      <c r="AC18" s="610" t="s">
        <v>5974</v>
      </c>
      <c r="AD18" s="610"/>
      <c r="AE18" s="610"/>
      <c r="AF18" s="610" t="s">
        <v>5975</v>
      </c>
      <c r="AG18" s="610" t="s">
        <v>7096</v>
      </c>
      <c r="AH18" s="617" t="s">
        <v>5992</v>
      </c>
      <c r="AI18" s="618" t="str">
        <f t="shared" si="1"/>
        <v>Darkvision, Gnome Cunning, Natural Illusionist, Speak with Small Beasts</v>
      </c>
      <c r="AJ18" s="610" t="s">
        <v>14</v>
      </c>
      <c r="AK18" s="610" t="s">
        <v>2205</v>
      </c>
      <c r="AL18" s="610" t="s">
        <v>2206</v>
      </c>
      <c r="AM18" s="610" t="s">
        <v>2207</v>
      </c>
      <c r="AN18" s="610"/>
      <c r="AO18" s="610"/>
      <c r="AP18" s="610"/>
      <c r="AQ18" s="610"/>
      <c r="AR18" s="610"/>
      <c r="AS18" s="618" t="str">
        <f t="shared" si="2"/>
        <v/>
      </c>
      <c r="AT18" s="610"/>
      <c r="AU18" s="610"/>
      <c r="AV18" s="610"/>
      <c r="AW18" s="610"/>
      <c r="AX18" s="610"/>
      <c r="AY18" s="610"/>
      <c r="AZ18" s="610"/>
      <c r="BA18" s="610" t="s">
        <v>583</v>
      </c>
      <c r="BB18" s="610" t="s">
        <v>1127</v>
      </c>
      <c r="BC18" s="610"/>
      <c r="BD18" s="610"/>
      <c r="BE18" s="610"/>
      <c r="BF18" s="618" t="str">
        <f t="shared" si="3"/>
        <v>Common, Gnomish</v>
      </c>
      <c r="BG18" s="610" t="s">
        <v>43</v>
      </c>
      <c r="BH18" s="610" t="s">
        <v>1101</v>
      </c>
      <c r="BI18" s="610"/>
    </row>
    <row r="19" spans="1:61" x14ac:dyDescent="0.2">
      <c r="A19" s="610">
        <v>18</v>
      </c>
      <c r="B19" s="610" t="s">
        <v>583</v>
      </c>
      <c r="C19" s="619">
        <f>IF(COUNTIF($B$2:B19,B19)=1,1+COUNTIF($C$2:C18,"&gt;0"),0)</f>
        <v>0</v>
      </c>
      <c r="D19" s="619">
        <f>IF(Race=B19,1+COUNTIF($D$2:D18,"&gt;0"),0)</f>
        <v>0</v>
      </c>
      <c r="E19" s="610" t="s">
        <v>1094</v>
      </c>
      <c r="F19" s="610"/>
      <c r="G19" s="610" t="s">
        <v>7097</v>
      </c>
      <c r="H19" s="610"/>
      <c r="I19" s="615" t="str">
        <f t="shared" si="0"/>
        <v>Intelligence: +2</v>
      </c>
      <c r="J19" s="611">
        <v>0</v>
      </c>
      <c r="K19" s="611">
        <v>0</v>
      </c>
      <c r="L19" s="611">
        <v>0</v>
      </c>
      <c r="M19" s="611">
        <v>2</v>
      </c>
      <c r="N19" s="611">
        <v>0</v>
      </c>
      <c r="O19" s="611">
        <v>0</v>
      </c>
      <c r="P19" s="611"/>
      <c r="Q19" s="613"/>
      <c r="R19" s="613"/>
      <c r="S19" s="613"/>
      <c r="T19" s="613"/>
      <c r="U19" s="613"/>
      <c r="V19" s="613"/>
      <c r="W19" s="613"/>
      <c r="X19" s="610" t="s">
        <v>603</v>
      </c>
      <c r="Y19" s="610">
        <v>10</v>
      </c>
      <c r="Z19" s="610">
        <v>25</v>
      </c>
      <c r="AA19" s="614"/>
      <c r="AB19" s="614"/>
      <c r="AC19" s="610" t="s">
        <v>5974</v>
      </c>
      <c r="AD19" s="610"/>
      <c r="AE19" s="610"/>
      <c r="AF19" s="610" t="s">
        <v>5975</v>
      </c>
      <c r="AG19" s="610" t="s">
        <v>7096</v>
      </c>
      <c r="AH19" s="617" t="s">
        <v>5992</v>
      </c>
      <c r="AI19" s="618" t="str">
        <f t="shared" si="1"/>
        <v>Darkvision, Artificer's Lore, Tinker</v>
      </c>
      <c r="AJ19" s="610" t="s">
        <v>14</v>
      </c>
      <c r="AK19" s="610" t="s">
        <v>2208</v>
      </c>
      <c r="AL19" s="610" t="s">
        <v>2209</v>
      </c>
      <c r="AM19" s="610"/>
      <c r="AN19" s="610"/>
      <c r="AO19" s="610"/>
      <c r="AP19" s="610"/>
      <c r="AQ19" s="610"/>
      <c r="AR19" s="610"/>
      <c r="AS19" s="618" t="str">
        <f t="shared" si="2"/>
        <v/>
      </c>
      <c r="AT19" s="610"/>
      <c r="AU19" s="610"/>
      <c r="AV19" s="610"/>
      <c r="AW19" s="610"/>
      <c r="AX19" s="610"/>
      <c r="AY19" s="610"/>
      <c r="AZ19" s="610"/>
      <c r="BA19" s="610" t="str">
        <f t="shared" si="4"/>
        <v/>
      </c>
      <c r="BB19" s="610"/>
      <c r="BC19" s="610"/>
      <c r="BD19" s="610"/>
      <c r="BE19" s="610"/>
      <c r="BF19" s="618" t="str">
        <f t="shared" si="3"/>
        <v>Common, Gnomish</v>
      </c>
      <c r="BG19" s="610" t="s">
        <v>43</v>
      </c>
      <c r="BH19" s="610" t="s">
        <v>1101</v>
      </c>
      <c r="BI19" s="610"/>
    </row>
    <row r="20" spans="1:61" x14ac:dyDescent="0.2">
      <c r="A20" s="610">
        <v>19</v>
      </c>
      <c r="B20" s="610" t="s">
        <v>1095</v>
      </c>
      <c r="C20" s="619">
        <f>IF(COUNTIF($B$2:B20,B20)=1,1+COUNTIF($C$2:C19,"&gt;0"),0)</f>
        <v>6</v>
      </c>
      <c r="D20" s="619">
        <f>IF(Race=B20,1+COUNTIF($D$2:D19,"&gt;0"),0)</f>
        <v>0</v>
      </c>
      <c r="E20" s="610" t="s">
        <v>1095</v>
      </c>
      <c r="F20" s="610" t="s">
        <v>7099</v>
      </c>
      <c r="G20" s="610"/>
      <c r="H20" s="610"/>
      <c r="I20" s="615" t="str">
        <f t="shared" si="0"/>
        <v>Charisma: +2</v>
      </c>
      <c r="J20" s="611">
        <v>0</v>
      </c>
      <c r="K20" s="611">
        <v>0</v>
      </c>
      <c r="L20" s="611">
        <v>0</v>
      </c>
      <c r="M20" s="611">
        <v>0</v>
      </c>
      <c r="N20" s="611">
        <v>0</v>
      </c>
      <c r="O20" s="611">
        <v>2</v>
      </c>
      <c r="P20" s="611"/>
      <c r="Q20" s="611">
        <v>2</v>
      </c>
      <c r="R20" s="612" t="s">
        <v>587</v>
      </c>
      <c r="S20" s="612" t="s">
        <v>587</v>
      </c>
      <c r="T20" s="612" t="s">
        <v>587</v>
      </c>
      <c r="U20" s="612" t="s">
        <v>587</v>
      </c>
      <c r="V20" s="612" t="s">
        <v>587</v>
      </c>
      <c r="W20" s="612" t="s">
        <v>618</v>
      </c>
      <c r="X20" s="610" t="s">
        <v>602</v>
      </c>
      <c r="Y20" s="610">
        <v>10</v>
      </c>
      <c r="Z20" s="610">
        <v>30</v>
      </c>
      <c r="AA20" s="614"/>
      <c r="AB20" s="614"/>
      <c r="AC20" s="610" t="s">
        <v>5970</v>
      </c>
      <c r="AD20" s="610"/>
      <c r="AE20" s="610"/>
      <c r="AF20" s="610" t="s">
        <v>5971</v>
      </c>
      <c r="AG20" s="610"/>
      <c r="AH20" s="617" t="s">
        <v>5993</v>
      </c>
      <c r="AI20" s="618" t="str">
        <f t="shared" si="1"/>
        <v>Darkvision, Fey Ancestry</v>
      </c>
      <c r="AJ20" s="610" t="s">
        <v>14</v>
      </c>
      <c r="AK20" s="610" t="s">
        <v>571</v>
      </c>
      <c r="AL20" s="610"/>
      <c r="AM20" s="610"/>
      <c r="AN20" s="610"/>
      <c r="AO20" s="610"/>
      <c r="AP20" s="610"/>
      <c r="AQ20" s="610"/>
      <c r="AR20" s="610">
        <v>2</v>
      </c>
      <c r="AS20" s="618" t="str">
        <f t="shared" si="2"/>
        <v/>
      </c>
      <c r="AT20" s="610"/>
      <c r="AU20" s="610"/>
      <c r="AV20" s="610"/>
      <c r="AW20" s="610"/>
      <c r="AX20" s="610"/>
      <c r="AY20" s="610"/>
      <c r="AZ20" s="610"/>
      <c r="BA20" s="610" t="str">
        <f t="shared" si="4"/>
        <v/>
      </c>
      <c r="BB20" s="610"/>
      <c r="BC20" s="610"/>
      <c r="BD20" s="610"/>
      <c r="BE20" s="610"/>
      <c r="BF20" s="618" t="str">
        <f t="shared" si="3"/>
        <v>Common, Elvish</v>
      </c>
      <c r="BG20" s="610" t="s">
        <v>43</v>
      </c>
      <c r="BH20" s="610" t="s">
        <v>54</v>
      </c>
      <c r="BI20" s="610"/>
    </row>
    <row r="21" spans="1:61" x14ac:dyDescent="0.2">
      <c r="A21" s="610">
        <v>20</v>
      </c>
      <c r="B21" s="610" t="s">
        <v>1096</v>
      </c>
      <c r="C21" s="619">
        <f>IF(COUNTIF($B$2:B21,B21)=1,1+COUNTIF($C$2:C20,"&gt;0"),0)</f>
        <v>7</v>
      </c>
      <c r="D21" s="619">
        <f>IF(Race=B21,1+COUNTIF($D$2:D20,"&gt;0"),0)</f>
        <v>0</v>
      </c>
      <c r="E21" s="610" t="s">
        <v>1096</v>
      </c>
      <c r="F21" s="610"/>
      <c r="G21" s="610"/>
      <c r="H21" s="610"/>
      <c r="I21" s="615" t="str">
        <f t="shared" si="0"/>
        <v>Strength: +2, Constitution: +1</v>
      </c>
      <c r="J21" s="611">
        <v>2</v>
      </c>
      <c r="K21" s="611">
        <v>0</v>
      </c>
      <c r="L21" s="611">
        <v>1</v>
      </c>
      <c r="M21" s="611">
        <v>0</v>
      </c>
      <c r="N21" s="611">
        <v>0</v>
      </c>
      <c r="O21" s="611">
        <v>0</v>
      </c>
      <c r="P21" s="611"/>
      <c r="Q21" s="613"/>
      <c r="R21" s="613"/>
      <c r="S21" s="613"/>
      <c r="T21" s="613"/>
      <c r="U21" s="613"/>
      <c r="V21" s="613"/>
      <c r="W21" s="613"/>
      <c r="X21" s="610" t="s">
        <v>602</v>
      </c>
      <c r="Y21" s="610">
        <v>10</v>
      </c>
      <c r="Z21" s="610">
        <v>30</v>
      </c>
      <c r="AA21" s="614"/>
      <c r="AB21" s="614"/>
      <c r="AC21" s="610" t="s">
        <v>5972</v>
      </c>
      <c r="AD21" s="610"/>
      <c r="AE21" s="610"/>
      <c r="AF21" s="610" t="s">
        <v>5973</v>
      </c>
      <c r="AG21" s="610" t="s">
        <v>7142</v>
      </c>
      <c r="AH21" s="617" t="s">
        <v>5994</v>
      </c>
      <c r="AI21" s="618" t="str">
        <f t="shared" si="1"/>
        <v>Darkvision, Relentless Endurance, Savage Attacks</v>
      </c>
      <c r="AJ21" s="610" t="s">
        <v>14</v>
      </c>
      <c r="AK21" s="610" t="s">
        <v>2212</v>
      </c>
      <c r="AL21" s="610" t="s">
        <v>2213</v>
      </c>
      <c r="AM21" s="610"/>
      <c r="AN21" s="610"/>
      <c r="AO21" s="610"/>
      <c r="AP21" s="610" t="s">
        <v>87</v>
      </c>
      <c r="AQ21" s="610"/>
      <c r="AR21" s="610"/>
      <c r="AS21" s="618" t="str">
        <f t="shared" si="2"/>
        <v>Intimidation</v>
      </c>
      <c r="AT21" s="610"/>
      <c r="AU21" s="610"/>
      <c r="AV21" s="610"/>
      <c r="AW21" s="610"/>
      <c r="AX21" s="610"/>
      <c r="AY21" s="610"/>
      <c r="AZ21" s="610"/>
      <c r="BA21" s="610" t="str">
        <f t="shared" si="4"/>
        <v/>
      </c>
      <c r="BB21" s="610"/>
      <c r="BC21" s="610"/>
      <c r="BD21" s="610"/>
      <c r="BE21" s="610"/>
      <c r="BF21" s="618" t="str">
        <f t="shared" si="3"/>
        <v>Common, Orcish</v>
      </c>
      <c r="BG21" s="610" t="s">
        <v>43</v>
      </c>
      <c r="BH21" s="610" t="s">
        <v>3522</v>
      </c>
      <c r="BI21" s="610"/>
    </row>
    <row r="22" spans="1:61" x14ac:dyDescent="0.2">
      <c r="A22" s="610">
        <v>21</v>
      </c>
      <c r="B22" s="610" t="s">
        <v>584</v>
      </c>
      <c r="C22" s="619">
        <f>IF(COUNTIF($B$2:B22,B22)=1,1+COUNTIF($C$2:C21,"&gt;0"),0)</f>
        <v>8</v>
      </c>
      <c r="D22" s="619">
        <f>IF(Race=B22,1+COUNTIF($D$2:D21,"&gt;0"),0)</f>
        <v>0</v>
      </c>
      <c r="E22" s="610" t="s">
        <v>584</v>
      </c>
      <c r="F22" s="610"/>
      <c r="G22" s="610"/>
      <c r="H22" s="610"/>
      <c r="I22" s="615" t="str">
        <f t="shared" si="0"/>
        <v>Intelligence: +1, Charisma: +2</v>
      </c>
      <c r="J22" s="611">
        <v>0</v>
      </c>
      <c r="K22" s="611">
        <v>0</v>
      </c>
      <c r="L22" s="611">
        <v>0</v>
      </c>
      <c r="M22" s="611">
        <v>1</v>
      </c>
      <c r="N22" s="611">
        <v>0</v>
      </c>
      <c r="O22" s="611">
        <v>2</v>
      </c>
      <c r="P22" s="611"/>
      <c r="Q22" s="613"/>
      <c r="R22" s="613"/>
      <c r="S22" s="613"/>
      <c r="T22" s="613"/>
      <c r="U22" s="613"/>
      <c r="V22" s="613"/>
      <c r="W22" s="613"/>
      <c r="X22" s="610" t="s">
        <v>602</v>
      </c>
      <c r="Y22" s="610">
        <v>10</v>
      </c>
      <c r="Z22" s="610">
        <v>30</v>
      </c>
      <c r="AA22" s="614"/>
      <c r="AB22" s="614"/>
      <c r="AC22" s="610" t="s">
        <v>5970</v>
      </c>
      <c r="AD22" s="610"/>
      <c r="AE22" s="610"/>
      <c r="AF22" s="610" t="s">
        <v>5971</v>
      </c>
      <c r="AG22" s="610" t="s">
        <v>7100</v>
      </c>
      <c r="AH22" s="617" t="s">
        <v>5995</v>
      </c>
      <c r="AI22" s="618" t="str">
        <f t="shared" si="1"/>
        <v>Darkvision, Hellish Resistance, Infernal Legacy</v>
      </c>
      <c r="AJ22" s="610" t="s">
        <v>14</v>
      </c>
      <c r="AK22" s="610" t="s">
        <v>2214</v>
      </c>
      <c r="AL22" s="610" t="s">
        <v>2215</v>
      </c>
      <c r="AM22" s="610"/>
      <c r="AN22" s="610"/>
      <c r="AO22" s="610"/>
      <c r="AP22" s="610"/>
      <c r="AQ22" s="610"/>
      <c r="AR22" s="610"/>
      <c r="AS22" s="618" t="str">
        <f t="shared" si="2"/>
        <v/>
      </c>
      <c r="AT22" s="610"/>
      <c r="AU22" s="610"/>
      <c r="AV22" s="610"/>
      <c r="AW22" s="610"/>
      <c r="AX22" s="610"/>
      <c r="AY22" s="610"/>
      <c r="AZ22" s="610"/>
      <c r="BA22" s="610" t="str">
        <f t="shared" si="4"/>
        <v/>
      </c>
      <c r="BB22" s="610"/>
      <c r="BC22" s="610"/>
      <c r="BD22" s="610"/>
      <c r="BE22" s="610"/>
      <c r="BF22" s="618" t="str">
        <f t="shared" si="3"/>
        <v>Common, Infernal</v>
      </c>
      <c r="BG22" s="610" t="s">
        <v>43</v>
      </c>
      <c r="BH22" s="610" t="s">
        <v>1108</v>
      </c>
      <c r="BI22" s="610"/>
    </row>
    <row r="23" spans="1:61" x14ac:dyDescent="0.2">
      <c r="A23" s="610">
        <v>22</v>
      </c>
      <c r="B23" s="610" t="s">
        <v>585</v>
      </c>
      <c r="C23" s="619">
        <f>IF(COUNTIF($B$2:B23,B23)=1,1+COUNTIF($C$2:C22,"&gt;0"),0)</f>
        <v>9</v>
      </c>
      <c r="D23" s="619">
        <f>IF(Race=B23,1+COUNTIF($D$2:D22,"&gt;0"),0)</f>
        <v>0</v>
      </c>
      <c r="E23" s="610" t="s">
        <v>1098</v>
      </c>
      <c r="F23" s="610"/>
      <c r="G23" s="610"/>
      <c r="H23" s="610"/>
      <c r="I23" s="615" t="str">
        <f t="shared" si="0"/>
        <v>Strength: +2, Charisma: +1</v>
      </c>
      <c r="J23" s="611">
        <v>2</v>
      </c>
      <c r="K23" s="611">
        <v>0</v>
      </c>
      <c r="L23" s="611">
        <v>0</v>
      </c>
      <c r="M23" s="611">
        <v>0</v>
      </c>
      <c r="N23" s="611">
        <v>0</v>
      </c>
      <c r="O23" s="611">
        <v>1</v>
      </c>
      <c r="P23" s="611"/>
      <c r="Q23" s="613"/>
      <c r="R23" s="613"/>
      <c r="S23" s="613"/>
      <c r="T23" s="613"/>
      <c r="U23" s="613"/>
      <c r="V23" s="613"/>
      <c r="W23" s="613"/>
      <c r="X23" s="610" t="s">
        <v>602</v>
      </c>
      <c r="Y23" s="610">
        <v>10</v>
      </c>
      <c r="Z23" s="610">
        <v>30</v>
      </c>
      <c r="AA23" s="614"/>
      <c r="AB23" s="614"/>
      <c r="AC23" s="610" t="s">
        <v>5972</v>
      </c>
      <c r="AD23" s="610"/>
      <c r="AE23" s="610"/>
      <c r="AF23" s="610" t="s">
        <v>5973</v>
      </c>
      <c r="AG23" s="610" t="s">
        <v>7095</v>
      </c>
      <c r="AH23" s="617" t="s">
        <v>5991</v>
      </c>
      <c r="AI23" s="618" t="str">
        <f t="shared" si="1"/>
        <v>Draconic Ancestry, Breath Weapon, Poison Resistance</v>
      </c>
      <c r="AJ23" s="610" t="s">
        <v>2218</v>
      </c>
      <c r="AK23" s="610" t="s">
        <v>2216</v>
      </c>
      <c r="AL23" s="610" t="s">
        <v>5881</v>
      </c>
      <c r="AM23" s="610"/>
      <c r="AN23" s="610"/>
      <c r="AO23" s="610"/>
      <c r="AP23" s="610"/>
      <c r="AQ23" s="610"/>
      <c r="AR23" s="610"/>
      <c r="AS23" s="618" t="str">
        <f t="shared" si="2"/>
        <v/>
      </c>
      <c r="AT23" s="610"/>
      <c r="AU23" s="610"/>
      <c r="AV23" s="610"/>
      <c r="AW23" s="610"/>
      <c r="AX23" s="610"/>
      <c r="AY23" s="610"/>
      <c r="AZ23" s="610"/>
      <c r="BA23" s="610" t="str">
        <f t="shared" si="4"/>
        <v/>
      </c>
      <c r="BB23" s="610"/>
      <c r="BC23" s="610"/>
      <c r="BD23" s="610"/>
      <c r="BE23" s="610"/>
      <c r="BF23" s="618" t="str">
        <f t="shared" si="3"/>
        <v>Common, Draconic</v>
      </c>
      <c r="BG23" s="610" t="s">
        <v>43</v>
      </c>
      <c r="BH23" s="610" t="s">
        <v>1106</v>
      </c>
      <c r="BI23" s="610"/>
    </row>
    <row r="24" spans="1:61" x14ac:dyDescent="0.2">
      <c r="A24" s="610">
        <v>23</v>
      </c>
      <c r="B24" s="610" t="s">
        <v>47</v>
      </c>
      <c r="C24" s="619">
        <f>IF(COUNTIF($B$2:B24,B24)=1,1+COUNTIF($C$2:C23,"&gt;0"),0)</f>
        <v>0</v>
      </c>
      <c r="D24" s="619">
        <f>IF(Race=B24,1+COUNTIF($D$2:D23,"&gt;0"),0)</f>
        <v>3</v>
      </c>
      <c r="E24" s="610" t="s">
        <v>1097</v>
      </c>
      <c r="F24" s="610"/>
      <c r="G24" s="610" t="s">
        <v>7136</v>
      </c>
      <c r="H24" s="610"/>
      <c r="I24" s="615" t="str">
        <f t="shared" si="0"/>
        <v>Dexterity: +2, Charisma: +1</v>
      </c>
      <c r="J24" s="611">
        <v>0</v>
      </c>
      <c r="K24" s="611">
        <v>2</v>
      </c>
      <c r="L24" s="611">
        <v>0</v>
      </c>
      <c r="M24" s="611">
        <v>0</v>
      </c>
      <c r="N24" s="611">
        <v>0</v>
      </c>
      <c r="O24" s="611">
        <v>1</v>
      </c>
      <c r="P24" s="611"/>
      <c r="Q24" s="613"/>
      <c r="R24" s="613"/>
      <c r="S24" s="613"/>
      <c r="T24" s="613"/>
      <c r="U24" s="613"/>
      <c r="V24" s="613"/>
      <c r="W24" s="613"/>
      <c r="X24" s="610" t="s">
        <v>602</v>
      </c>
      <c r="Y24" s="610">
        <v>10</v>
      </c>
      <c r="Z24" s="610">
        <v>30</v>
      </c>
      <c r="AA24" s="610">
        <v>120</v>
      </c>
      <c r="AB24" s="614"/>
      <c r="AC24" s="610" t="s">
        <v>5978</v>
      </c>
      <c r="AD24" s="610"/>
      <c r="AE24" s="610"/>
      <c r="AF24" s="610" t="s">
        <v>5980</v>
      </c>
      <c r="AG24" s="610"/>
      <c r="AH24" s="617" t="s">
        <v>5988</v>
      </c>
      <c r="AI24" s="618" t="str">
        <f t="shared" si="1"/>
        <v>Supreme Darkvision, Fey Ancestry, Trance, Drow Weapon Training, Drow Magic, Sun Sensitivity</v>
      </c>
      <c r="AJ24" s="610" t="s">
        <v>4151</v>
      </c>
      <c r="AK24" s="610" t="s">
        <v>571</v>
      </c>
      <c r="AL24" s="610" t="s">
        <v>572</v>
      </c>
      <c r="AM24" s="615" t="s">
        <v>2219</v>
      </c>
      <c r="AN24" s="615" t="s">
        <v>2220</v>
      </c>
      <c r="AO24" s="610" t="s">
        <v>2221</v>
      </c>
      <c r="AP24" s="610" t="s">
        <v>49</v>
      </c>
      <c r="AQ24" s="610"/>
      <c r="AR24" s="610"/>
      <c r="AS24" s="618" t="str">
        <f t="shared" si="2"/>
        <v>Rapier, Shortsword, Hand Crossbow, Perception</v>
      </c>
      <c r="AT24" s="610" t="s">
        <v>149</v>
      </c>
      <c r="AU24" s="610" t="s">
        <v>51</v>
      </c>
      <c r="AV24" s="610" t="s">
        <v>135</v>
      </c>
      <c r="AW24" s="610"/>
      <c r="AX24" s="610"/>
      <c r="AY24" s="610"/>
      <c r="AZ24" s="610"/>
      <c r="BA24" s="610" t="str">
        <f t="shared" si="4"/>
        <v/>
      </c>
      <c r="BB24" s="610"/>
      <c r="BC24" s="610"/>
      <c r="BD24" s="610"/>
      <c r="BE24" s="610"/>
      <c r="BF24" s="618" t="str">
        <f t="shared" si="3"/>
        <v>Common, Undercommon</v>
      </c>
      <c r="BG24" s="610" t="s">
        <v>43</v>
      </c>
      <c r="BH24" s="610" t="s">
        <v>1111</v>
      </c>
      <c r="BI24" s="610"/>
    </row>
    <row r="25" spans="1:61" x14ac:dyDescent="0.2">
      <c r="A25" s="610">
        <v>24</v>
      </c>
      <c r="B25" s="610" t="s">
        <v>586</v>
      </c>
      <c r="C25" s="619">
        <f>IF(COUNTIF($B$2:B25,B25)=1,1+COUNTIF($C$2:C24,"&gt;0"),0)</f>
        <v>10</v>
      </c>
      <c r="D25" s="619">
        <f>IF(Race=B25,1+COUNTIF($D$2:D24,"&gt;0"),0)</f>
        <v>0</v>
      </c>
      <c r="E25" s="610" t="s">
        <v>586</v>
      </c>
      <c r="F25" s="610" t="s">
        <v>5675</v>
      </c>
      <c r="G25" s="610"/>
      <c r="H25" s="610"/>
      <c r="I25" s="615" t="str">
        <f t="shared" si="0"/>
        <v>Strength: +1, Constitution: +1</v>
      </c>
      <c r="J25" s="611">
        <v>1</v>
      </c>
      <c r="K25" s="611">
        <v>0</v>
      </c>
      <c r="L25" s="611">
        <v>1</v>
      </c>
      <c r="M25" s="611">
        <v>0</v>
      </c>
      <c r="N25" s="611">
        <v>0</v>
      </c>
      <c r="O25" s="611">
        <v>0</v>
      </c>
      <c r="P25" s="611"/>
      <c r="Q25" s="613"/>
      <c r="R25" s="613"/>
      <c r="S25" s="613"/>
      <c r="T25" s="613"/>
      <c r="U25" s="613"/>
      <c r="V25" s="613"/>
      <c r="W25" s="613"/>
      <c r="X25" s="610" t="s">
        <v>602</v>
      </c>
      <c r="Y25" s="610">
        <v>11</v>
      </c>
      <c r="Z25" s="610">
        <v>30</v>
      </c>
      <c r="AA25" s="614"/>
      <c r="AB25" s="614"/>
      <c r="AC25" s="610" t="s">
        <v>5972</v>
      </c>
      <c r="AD25" s="610"/>
      <c r="AE25" s="610"/>
      <c r="AF25" s="610" t="s">
        <v>5973</v>
      </c>
      <c r="AG25" s="610"/>
      <c r="AH25" s="610"/>
      <c r="AI25" s="618" t="str">
        <f t="shared" si="1"/>
        <v>Composite Plating, Living Construct</v>
      </c>
      <c r="AJ25" s="610" t="s">
        <v>3535</v>
      </c>
      <c r="AK25" s="610" t="s">
        <v>3536</v>
      </c>
      <c r="AL25" s="610"/>
      <c r="AM25" s="610"/>
      <c r="AN25" s="610"/>
      <c r="AO25" s="610"/>
      <c r="AP25" s="610"/>
      <c r="AQ25" s="610"/>
      <c r="AR25" s="610"/>
      <c r="AS25" s="618" t="str">
        <f t="shared" si="2"/>
        <v/>
      </c>
      <c r="AT25" s="610"/>
      <c r="AU25" s="610"/>
      <c r="AV25" s="610"/>
      <c r="AW25" s="610"/>
      <c r="AX25" s="610"/>
      <c r="AY25" s="610"/>
      <c r="AZ25" s="610"/>
      <c r="BA25" s="610" t="str">
        <f t="shared" si="4"/>
        <v/>
      </c>
      <c r="BB25" s="610"/>
      <c r="BC25" s="610"/>
      <c r="BD25" s="610"/>
      <c r="BE25" s="610">
        <v>1</v>
      </c>
      <c r="BF25" s="618" t="str">
        <f t="shared" si="3"/>
        <v>Common</v>
      </c>
      <c r="BG25" s="610" t="s">
        <v>43</v>
      </c>
      <c r="BH25" s="610"/>
      <c r="BI25" s="610"/>
    </row>
    <row r="26" spans="1:61" x14ac:dyDescent="0.2">
      <c r="A26" s="610">
        <v>25</v>
      </c>
      <c r="B26" s="610" t="s">
        <v>3518</v>
      </c>
      <c r="C26" s="619">
        <f>IF(COUNTIF($B$2:B26,B26)=1,1+COUNTIF($C$2:C25,"&gt;0"),0)</f>
        <v>11</v>
      </c>
      <c r="D26" s="619">
        <f>IF(Race=B26,1+COUNTIF($D$2:D25,"&gt;0"),0)</f>
        <v>0</v>
      </c>
      <c r="E26" s="610" t="s">
        <v>3518</v>
      </c>
      <c r="F26" s="610"/>
      <c r="G26" s="610"/>
      <c r="H26" s="610"/>
      <c r="I26" s="615" t="str">
        <f t="shared" si="0"/>
        <v>Dexterity: +1, Charisma: +1</v>
      </c>
      <c r="J26" s="611">
        <v>0</v>
      </c>
      <c r="K26" s="611">
        <v>1</v>
      </c>
      <c r="L26" s="611">
        <v>0</v>
      </c>
      <c r="M26" s="611">
        <v>0</v>
      </c>
      <c r="N26" s="611">
        <v>0</v>
      </c>
      <c r="O26" s="611">
        <v>1</v>
      </c>
      <c r="P26" s="611"/>
      <c r="Q26" s="613"/>
      <c r="R26" s="613"/>
      <c r="S26" s="613"/>
      <c r="T26" s="613"/>
      <c r="U26" s="613"/>
      <c r="V26" s="613"/>
      <c r="W26" s="613"/>
      <c r="X26" s="610" t="s">
        <v>602</v>
      </c>
      <c r="Y26" s="610">
        <v>10</v>
      </c>
      <c r="Z26" s="610">
        <v>30</v>
      </c>
      <c r="AA26" s="614"/>
      <c r="AB26" s="614"/>
      <c r="AC26" s="610" t="s">
        <v>5976</v>
      </c>
      <c r="AD26" s="610"/>
      <c r="AE26" s="610"/>
      <c r="AF26" s="610" t="s">
        <v>5971</v>
      </c>
      <c r="AG26" s="610"/>
      <c r="AH26" s="610"/>
      <c r="AI26" s="618" t="str">
        <f t="shared" si="1"/>
        <v>Shapechanger, Duplicity</v>
      </c>
      <c r="AJ26" s="610" t="s">
        <v>3519</v>
      </c>
      <c r="AK26" s="610" t="s">
        <v>3520</v>
      </c>
      <c r="AL26" s="610"/>
      <c r="AM26" s="610"/>
      <c r="AN26" s="610"/>
      <c r="AO26" s="610"/>
      <c r="AP26" s="610" t="s">
        <v>74</v>
      </c>
      <c r="AQ26" s="610"/>
      <c r="AR26" s="610"/>
      <c r="AS26" s="618" t="str">
        <f t="shared" si="2"/>
        <v>Deception</v>
      </c>
      <c r="AT26" s="610"/>
      <c r="AU26" s="610"/>
      <c r="AV26" s="610"/>
      <c r="AW26" s="610"/>
      <c r="AX26" s="610"/>
      <c r="AY26" s="610"/>
      <c r="AZ26" s="610"/>
      <c r="BA26" s="610" t="str">
        <f t="shared" si="4"/>
        <v/>
      </c>
      <c r="BB26" s="610"/>
      <c r="BC26" s="610"/>
      <c r="BD26" s="610"/>
      <c r="BE26" s="610">
        <v>2</v>
      </c>
      <c r="BF26" s="618" t="str">
        <f t="shared" si="3"/>
        <v>Common</v>
      </c>
      <c r="BG26" s="610" t="s">
        <v>43</v>
      </c>
      <c r="BH26" s="610"/>
      <c r="BI26" s="610"/>
    </row>
    <row r="27" spans="1:61" x14ac:dyDescent="0.2">
      <c r="A27" s="610">
        <v>26</v>
      </c>
      <c r="B27" s="610" t="s">
        <v>3521</v>
      </c>
      <c r="C27" s="619">
        <f>IF(COUNTIF($B$2:B27,B27)=1,1+COUNTIF($C$2:C26,"&gt;0"),0)</f>
        <v>12</v>
      </c>
      <c r="D27" s="619">
        <f>IF(Race=B27,1+COUNTIF($D$2:D26,"&gt;0"),0)</f>
        <v>0</v>
      </c>
      <c r="E27" s="610" t="s">
        <v>3523</v>
      </c>
      <c r="F27" s="610"/>
      <c r="G27" s="610"/>
      <c r="H27" s="610"/>
      <c r="I27" s="615" t="str">
        <f t="shared" si="0"/>
        <v>Dexterity: +1, Constitution: +1</v>
      </c>
      <c r="J27" s="611">
        <v>0</v>
      </c>
      <c r="K27" s="611">
        <v>1</v>
      </c>
      <c r="L27" s="611">
        <v>1</v>
      </c>
      <c r="M27" s="611">
        <v>0</v>
      </c>
      <c r="N27" s="611">
        <v>0</v>
      </c>
      <c r="O27" s="611">
        <v>0</v>
      </c>
      <c r="P27" s="611"/>
      <c r="Q27" s="613"/>
      <c r="R27" s="613"/>
      <c r="S27" s="613"/>
      <c r="T27" s="613"/>
      <c r="U27" s="613"/>
      <c r="V27" s="613"/>
      <c r="W27" s="613"/>
      <c r="X27" s="610" t="s">
        <v>602</v>
      </c>
      <c r="Y27" s="610">
        <v>10</v>
      </c>
      <c r="Z27" s="610">
        <v>30</v>
      </c>
      <c r="AA27" s="610">
        <v>60</v>
      </c>
      <c r="AB27" s="614"/>
      <c r="AC27" s="610" t="s">
        <v>5976</v>
      </c>
      <c r="AD27" s="610"/>
      <c r="AE27" s="610"/>
      <c r="AF27" s="610" t="s">
        <v>5971</v>
      </c>
      <c r="AG27" s="610"/>
      <c r="AH27" s="610"/>
      <c r="AI27" s="618" t="str">
        <f t="shared" si="1"/>
        <v>Shifting (beasthide), Darkvision</v>
      </c>
      <c r="AJ27" s="610" t="s">
        <v>3534</v>
      </c>
      <c r="AK27" s="610" t="s">
        <v>14</v>
      </c>
      <c r="AL27" s="610"/>
      <c r="AM27" s="610"/>
      <c r="AN27" s="610"/>
      <c r="AO27" s="610"/>
      <c r="AP27" s="610"/>
      <c r="AQ27" s="610"/>
      <c r="AR27" s="610"/>
      <c r="AS27" s="618" t="str">
        <f t="shared" si="2"/>
        <v/>
      </c>
      <c r="AT27" s="610"/>
      <c r="AU27" s="610"/>
      <c r="AV27" s="610"/>
      <c r="AW27" s="610"/>
      <c r="AX27" s="610"/>
      <c r="AY27" s="610"/>
      <c r="AZ27" s="610"/>
      <c r="BA27" s="610" t="str">
        <f t="shared" si="4"/>
        <v/>
      </c>
      <c r="BB27" s="610"/>
      <c r="BC27" s="610"/>
      <c r="BD27" s="610"/>
      <c r="BE27" s="610"/>
      <c r="BF27" s="618" t="str">
        <f t="shared" si="3"/>
        <v>Common, Sylvan</v>
      </c>
      <c r="BG27" s="610" t="s">
        <v>43</v>
      </c>
      <c r="BH27" s="610" t="s">
        <v>1110</v>
      </c>
      <c r="BI27" s="610"/>
    </row>
    <row r="28" spans="1:61" x14ac:dyDescent="0.2">
      <c r="A28" s="610">
        <v>27</v>
      </c>
      <c r="B28" s="610" t="s">
        <v>3521</v>
      </c>
      <c r="C28" s="619">
        <f>IF(COUNTIF($B$2:B28,B28)=1,1+COUNTIF($C$2:C27,"&gt;0"),0)</f>
        <v>0</v>
      </c>
      <c r="D28" s="619">
        <f>IF(Race=B28,1+COUNTIF($D$2:D27,"&gt;0"),0)</f>
        <v>0</v>
      </c>
      <c r="E28" s="610" t="s">
        <v>3524</v>
      </c>
      <c r="F28" s="610"/>
      <c r="G28" s="610"/>
      <c r="H28" s="610"/>
      <c r="I28" s="615" t="str">
        <f t="shared" si="0"/>
        <v>Dexterity: +2</v>
      </c>
      <c r="J28" s="611">
        <v>0</v>
      </c>
      <c r="K28" s="611">
        <v>2</v>
      </c>
      <c r="L28" s="611">
        <v>0</v>
      </c>
      <c r="M28" s="611">
        <v>0</v>
      </c>
      <c r="N28" s="611">
        <v>0</v>
      </c>
      <c r="O28" s="611">
        <v>0</v>
      </c>
      <c r="P28" s="611"/>
      <c r="Q28" s="613"/>
      <c r="R28" s="613"/>
      <c r="S28" s="613"/>
      <c r="T28" s="613"/>
      <c r="U28" s="613"/>
      <c r="V28" s="613"/>
      <c r="W28" s="613"/>
      <c r="X28" s="610" t="s">
        <v>602</v>
      </c>
      <c r="Y28" s="610">
        <v>10</v>
      </c>
      <c r="Z28" s="610">
        <v>30</v>
      </c>
      <c r="AA28" s="610">
        <v>60</v>
      </c>
      <c r="AB28" s="614"/>
      <c r="AC28" s="610" t="s">
        <v>5976</v>
      </c>
      <c r="AD28" s="610"/>
      <c r="AE28" s="610"/>
      <c r="AF28" s="610" t="s">
        <v>5971</v>
      </c>
      <c r="AG28" s="610"/>
      <c r="AH28" s="610"/>
      <c r="AI28" s="618" t="str">
        <f t="shared" si="1"/>
        <v>Shifting (Cliffwalk), Darkvision</v>
      </c>
      <c r="AJ28" s="610" t="s">
        <v>3529</v>
      </c>
      <c r="AK28" s="610" t="s">
        <v>14</v>
      </c>
      <c r="AL28" s="610"/>
      <c r="AM28" s="610"/>
      <c r="AN28" s="610"/>
      <c r="AO28" s="610"/>
      <c r="AP28" s="610"/>
      <c r="AQ28" s="610"/>
      <c r="AR28" s="610"/>
      <c r="AS28" s="618" t="str">
        <f t="shared" si="2"/>
        <v/>
      </c>
      <c r="AT28" s="610"/>
      <c r="AU28" s="610"/>
      <c r="AV28" s="610"/>
      <c r="AW28" s="610"/>
      <c r="AX28" s="610"/>
      <c r="AY28" s="610"/>
      <c r="AZ28" s="610"/>
      <c r="BA28" s="610" t="str">
        <f t="shared" si="4"/>
        <v/>
      </c>
      <c r="BB28" s="610"/>
      <c r="BC28" s="610"/>
      <c r="BD28" s="610"/>
      <c r="BE28" s="610"/>
      <c r="BF28" s="618" t="str">
        <f t="shared" si="3"/>
        <v>Common, Sylvan</v>
      </c>
      <c r="BG28" s="610" t="s">
        <v>43</v>
      </c>
      <c r="BH28" s="610" t="s">
        <v>1110</v>
      </c>
      <c r="BI28" s="610"/>
    </row>
    <row r="29" spans="1:61" x14ac:dyDescent="0.2">
      <c r="A29" s="610">
        <v>28</v>
      </c>
      <c r="B29" s="610" t="s">
        <v>3521</v>
      </c>
      <c r="C29" s="619">
        <f>IF(COUNTIF($B$2:B29,B29)=1,1+COUNTIF($C$2:C28,"&gt;0"),0)</f>
        <v>0</v>
      </c>
      <c r="D29" s="619">
        <f>IF(Race=B29,1+COUNTIF($D$2:D28,"&gt;0"),0)</f>
        <v>0</v>
      </c>
      <c r="E29" s="610" t="s">
        <v>3525</v>
      </c>
      <c r="F29" s="610"/>
      <c r="G29" s="610"/>
      <c r="H29" s="610"/>
      <c r="I29" s="615" t="str">
        <f t="shared" si="0"/>
        <v>Dexterity: +2</v>
      </c>
      <c r="J29" s="611">
        <v>0</v>
      </c>
      <c r="K29" s="611">
        <v>2</v>
      </c>
      <c r="L29" s="611">
        <v>0</v>
      </c>
      <c r="M29" s="611">
        <v>0</v>
      </c>
      <c r="N29" s="611">
        <v>0</v>
      </c>
      <c r="O29" s="611">
        <v>0</v>
      </c>
      <c r="P29" s="611"/>
      <c r="Q29" s="613"/>
      <c r="R29" s="613"/>
      <c r="S29" s="613"/>
      <c r="T29" s="613"/>
      <c r="U29" s="613"/>
      <c r="V29" s="613"/>
      <c r="W29" s="613"/>
      <c r="X29" s="610" t="s">
        <v>602</v>
      </c>
      <c r="Y29" s="610">
        <v>10</v>
      </c>
      <c r="Z29" s="610">
        <v>30</v>
      </c>
      <c r="AA29" s="610">
        <v>60</v>
      </c>
      <c r="AB29" s="614"/>
      <c r="AC29" s="610" t="s">
        <v>5976</v>
      </c>
      <c r="AD29" s="610"/>
      <c r="AE29" s="610"/>
      <c r="AF29" s="610" t="s">
        <v>5971</v>
      </c>
      <c r="AG29" s="610"/>
      <c r="AH29" s="610"/>
      <c r="AI29" s="618" t="str">
        <f t="shared" si="1"/>
        <v>Shifting (Longstride), Darkvision</v>
      </c>
      <c r="AJ29" s="610" t="s">
        <v>3530</v>
      </c>
      <c r="AK29" s="610" t="s">
        <v>14</v>
      </c>
      <c r="AL29" s="610"/>
      <c r="AM29" s="610"/>
      <c r="AN29" s="610"/>
      <c r="AO29" s="610"/>
      <c r="AP29" s="610"/>
      <c r="AQ29" s="610"/>
      <c r="AR29" s="610"/>
      <c r="AS29" s="618" t="str">
        <f t="shared" si="2"/>
        <v/>
      </c>
      <c r="AT29" s="610"/>
      <c r="AU29" s="610"/>
      <c r="AV29" s="610"/>
      <c r="AW29" s="610"/>
      <c r="AX29" s="610"/>
      <c r="AY29" s="610"/>
      <c r="AZ29" s="610"/>
      <c r="BA29" s="610" t="str">
        <f t="shared" si="4"/>
        <v/>
      </c>
      <c r="BB29" s="610"/>
      <c r="BC29" s="610"/>
      <c r="BD29" s="610"/>
      <c r="BE29" s="610"/>
      <c r="BF29" s="618" t="str">
        <f t="shared" si="3"/>
        <v>Common, Sylvan</v>
      </c>
      <c r="BG29" s="610" t="s">
        <v>43</v>
      </c>
      <c r="BH29" s="610" t="s">
        <v>1110</v>
      </c>
      <c r="BI29" s="610"/>
    </row>
    <row r="30" spans="1:61" x14ac:dyDescent="0.2">
      <c r="A30" s="610">
        <v>29</v>
      </c>
      <c r="B30" s="610" t="s">
        <v>3521</v>
      </c>
      <c r="C30" s="619">
        <f>IF(COUNTIF($B$2:B30,B30)=1,1+COUNTIF($C$2:C29,"&gt;0"),0)</f>
        <v>0</v>
      </c>
      <c r="D30" s="619">
        <f>IF(Race=B30,1+COUNTIF($D$2:D29,"&gt;0"),0)</f>
        <v>0</v>
      </c>
      <c r="E30" s="610" t="s">
        <v>3526</v>
      </c>
      <c r="F30" s="610"/>
      <c r="G30" s="610"/>
      <c r="H30" s="610"/>
      <c r="I30" s="615" t="str">
        <f t="shared" si="0"/>
        <v>Strength: +1, Dexterity: +1</v>
      </c>
      <c r="J30" s="611">
        <v>1</v>
      </c>
      <c r="K30" s="611">
        <v>1</v>
      </c>
      <c r="L30" s="611">
        <v>0</v>
      </c>
      <c r="M30" s="611">
        <v>0</v>
      </c>
      <c r="N30" s="611">
        <v>0</v>
      </c>
      <c r="O30" s="611">
        <v>0</v>
      </c>
      <c r="P30" s="611"/>
      <c r="Q30" s="613"/>
      <c r="R30" s="613"/>
      <c r="S30" s="613"/>
      <c r="T30" s="613"/>
      <c r="U30" s="613"/>
      <c r="V30" s="613"/>
      <c r="W30" s="613"/>
      <c r="X30" s="610" t="s">
        <v>602</v>
      </c>
      <c r="Y30" s="610">
        <v>10</v>
      </c>
      <c r="Z30" s="610">
        <v>30</v>
      </c>
      <c r="AA30" s="610">
        <v>60</v>
      </c>
      <c r="AB30" s="614"/>
      <c r="AC30" s="610" t="s">
        <v>5976</v>
      </c>
      <c r="AD30" s="610"/>
      <c r="AE30" s="610"/>
      <c r="AF30" s="610" t="s">
        <v>5971</v>
      </c>
      <c r="AG30" s="610"/>
      <c r="AH30" s="610"/>
      <c r="AI30" s="618" t="str">
        <f t="shared" si="1"/>
        <v>Shifting (Longtooth), Darkvision</v>
      </c>
      <c r="AJ30" s="610" t="s">
        <v>3531</v>
      </c>
      <c r="AK30" s="610" t="s">
        <v>14</v>
      </c>
      <c r="AL30" s="610"/>
      <c r="AM30" s="610"/>
      <c r="AN30" s="610"/>
      <c r="AO30" s="610"/>
      <c r="AP30" s="610"/>
      <c r="AQ30" s="610"/>
      <c r="AR30" s="610"/>
      <c r="AS30" s="618" t="str">
        <f t="shared" si="2"/>
        <v/>
      </c>
      <c r="AT30" s="610"/>
      <c r="AU30" s="610"/>
      <c r="AV30" s="610"/>
      <c r="AW30" s="610"/>
      <c r="AX30" s="610"/>
      <c r="AY30" s="610"/>
      <c r="AZ30" s="610"/>
      <c r="BA30" s="610" t="str">
        <f t="shared" si="4"/>
        <v/>
      </c>
      <c r="BB30" s="610"/>
      <c r="BC30" s="610"/>
      <c r="BD30" s="610"/>
      <c r="BE30" s="610"/>
      <c r="BF30" s="618" t="str">
        <f t="shared" si="3"/>
        <v>Common, Sylvan</v>
      </c>
      <c r="BG30" s="610" t="s">
        <v>43</v>
      </c>
      <c r="BH30" s="610" t="s">
        <v>1110</v>
      </c>
      <c r="BI30" s="610"/>
    </row>
    <row r="31" spans="1:61" x14ac:dyDescent="0.2">
      <c r="A31" s="610">
        <v>30</v>
      </c>
      <c r="B31" s="610" t="s">
        <v>3521</v>
      </c>
      <c r="C31" s="619">
        <f>IF(COUNTIF($B$2:B31,B31)=1,1+COUNTIF($C$2:C30,"&gt;0"),0)</f>
        <v>0</v>
      </c>
      <c r="D31" s="619">
        <f>IF(Race=B31,1+COUNTIF($D$2:D30,"&gt;0"),0)</f>
        <v>0</v>
      </c>
      <c r="E31" s="610" t="s">
        <v>3527</v>
      </c>
      <c r="F31" s="610"/>
      <c r="G31" s="610"/>
      <c r="H31" s="610"/>
      <c r="I31" s="615" t="str">
        <f t="shared" si="0"/>
        <v>Dexterity: +2</v>
      </c>
      <c r="J31" s="611">
        <v>0</v>
      </c>
      <c r="K31" s="611">
        <v>2</v>
      </c>
      <c r="L31" s="611">
        <v>0</v>
      </c>
      <c r="M31" s="611">
        <v>0</v>
      </c>
      <c r="N31" s="611">
        <v>0</v>
      </c>
      <c r="O31" s="611">
        <v>0</v>
      </c>
      <c r="P31" s="611"/>
      <c r="Q31" s="613"/>
      <c r="R31" s="613"/>
      <c r="S31" s="613"/>
      <c r="T31" s="613"/>
      <c r="U31" s="613"/>
      <c r="V31" s="613"/>
      <c r="W31" s="613"/>
      <c r="X31" s="610" t="s">
        <v>602</v>
      </c>
      <c r="Y31" s="610">
        <v>10</v>
      </c>
      <c r="Z31" s="610">
        <v>30</v>
      </c>
      <c r="AA31" s="610">
        <v>60</v>
      </c>
      <c r="AB31" s="614"/>
      <c r="AC31" s="610" t="s">
        <v>5976</v>
      </c>
      <c r="AD31" s="610"/>
      <c r="AE31" s="610"/>
      <c r="AF31" s="610" t="s">
        <v>5971</v>
      </c>
      <c r="AG31" s="610"/>
      <c r="AH31" s="610"/>
      <c r="AI31" s="618" t="str">
        <f t="shared" si="1"/>
        <v>Shifting (Razorclaw), Darkvision</v>
      </c>
      <c r="AJ31" s="610" t="s">
        <v>3532</v>
      </c>
      <c r="AK31" s="610" t="s">
        <v>14</v>
      </c>
      <c r="AL31" s="610"/>
      <c r="AM31" s="610"/>
      <c r="AN31" s="610"/>
      <c r="AO31" s="610"/>
      <c r="AP31" s="610"/>
      <c r="AQ31" s="610"/>
      <c r="AR31" s="610"/>
      <c r="AS31" s="618" t="str">
        <f t="shared" si="2"/>
        <v/>
      </c>
      <c r="AT31" s="610"/>
      <c r="AU31" s="610"/>
      <c r="AV31" s="610"/>
      <c r="AW31" s="610"/>
      <c r="AX31" s="610"/>
      <c r="AY31" s="610"/>
      <c r="AZ31" s="610"/>
      <c r="BA31" s="610" t="str">
        <f t="shared" si="4"/>
        <v/>
      </c>
      <c r="BB31" s="610"/>
      <c r="BC31" s="610"/>
      <c r="BD31" s="610"/>
      <c r="BE31" s="610"/>
      <c r="BF31" s="618" t="str">
        <f t="shared" si="3"/>
        <v>Common, Sylvan</v>
      </c>
      <c r="BG31" s="610" t="s">
        <v>43</v>
      </c>
      <c r="BH31" s="610" t="s">
        <v>1110</v>
      </c>
      <c r="BI31" s="610"/>
    </row>
    <row r="32" spans="1:61" x14ac:dyDescent="0.2">
      <c r="A32" s="610">
        <v>31</v>
      </c>
      <c r="B32" s="610" t="s">
        <v>3521</v>
      </c>
      <c r="C32" s="619">
        <f>IF(COUNTIF($B$2:B32,B32)=1,1+COUNTIF($C$2:C31,"&gt;0"),0)</f>
        <v>0</v>
      </c>
      <c r="D32" s="619">
        <f>IF(Race=B32,1+COUNTIF($D$2:D31,"&gt;0"),0)</f>
        <v>0</v>
      </c>
      <c r="E32" s="610" t="s">
        <v>3528</v>
      </c>
      <c r="F32" s="610"/>
      <c r="G32" s="610"/>
      <c r="H32" s="610"/>
      <c r="I32" s="615" t="str">
        <f t="shared" si="0"/>
        <v>Dexterity: +1, Wisdom: +1</v>
      </c>
      <c r="J32" s="611">
        <v>0</v>
      </c>
      <c r="K32" s="611">
        <v>1</v>
      </c>
      <c r="L32" s="611">
        <v>0</v>
      </c>
      <c r="M32" s="611">
        <v>0</v>
      </c>
      <c r="N32" s="611">
        <v>1</v>
      </c>
      <c r="O32" s="611">
        <v>0</v>
      </c>
      <c r="P32" s="611"/>
      <c r="Q32" s="613"/>
      <c r="R32" s="613"/>
      <c r="S32" s="613"/>
      <c r="T32" s="613"/>
      <c r="U32" s="613"/>
      <c r="V32" s="613"/>
      <c r="W32" s="613"/>
      <c r="X32" s="610" t="s">
        <v>602</v>
      </c>
      <c r="Y32" s="610">
        <v>10</v>
      </c>
      <c r="Z32" s="610">
        <v>30</v>
      </c>
      <c r="AA32" s="610">
        <v>60</v>
      </c>
      <c r="AB32" s="614"/>
      <c r="AC32" s="610" t="s">
        <v>5976</v>
      </c>
      <c r="AD32" s="610"/>
      <c r="AE32" s="610"/>
      <c r="AF32" s="610" t="s">
        <v>5971</v>
      </c>
      <c r="AG32" s="610"/>
      <c r="AH32" s="610"/>
      <c r="AI32" s="618" t="str">
        <f t="shared" si="1"/>
        <v>Shifting (Wildhunt), Darkvision</v>
      </c>
      <c r="AJ32" s="610" t="s">
        <v>3533</v>
      </c>
      <c r="AK32" s="610" t="s">
        <v>14</v>
      </c>
      <c r="AL32" s="610"/>
      <c r="AM32" s="610"/>
      <c r="AN32" s="610"/>
      <c r="AO32" s="610"/>
      <c r="AP32" s="610"/>
      <c r="AQ32" s="610"/>
      <c r="AR32" s="610"/>
      <c r="AS32" s="618" t="str">
        <f t="shared" si="2"/>
        <v/>
      </c>
      <c r="AT32" s="610"/>
      <c r="AU32" s="610"/>
      <c r="AV32" s="610"/>
      <c r="AW32" s="610"/>
      <c r="AX32" s="610"/>
      <c r="AY32" s="610"/>
      <c r="AZ32" s="610"/>
      <c r="BA32" s="610" t="str">
        <f t="shared" si="4"/>
        <v/>
      </c>
      <c r="BB32" s="610"/>
      <c r="BC32" s="610"/>
      <c r="BD32" s="610"/>
      <c r="BE32" s="610"/>
      <c r="BF32" s="618" t="str">
        <f t="shared" si="3"/>
        <v>Common, Sylvan</v>
      </c>
      <c r="BG32" s="610" t="s">
        <v>43</v>
      </c>
      <c r="BH32" s="610" t="s">
        <v>1110</v>
      </c>
      <c r="BI32" s="610"/>
    </row>
    <row r="33" spans="1:61" x14ac:dyDescent="0.2">
      <c r="A33" s="610">
        <v>32</v>
      </c>
      <c r="B33" s="610" t="s">
        <v>3804</v>
      </c>
      <c r="C33" s="619">
        <f>IF(COUNTIF($B$2:B33,B33)=1,1+COUNTIF($C$2:C32,"&gt;0"),0)</f>
        <v>13</v>
      </c>
      <c r="D33" s="619">
        <f>IF(Race=B33,1+COUNTIF($D$2:D32,"&gt;0"),0)</f>
        <v>0</v>
      </c>
      <c r="E33" s="610" t="s">
        <v>3804</v>
      </c>
      <c r="F33" s="610"/>
      <c r="G33" s="610"/>
      <c r="H33" s="610"/>
      <c r="I33" s="615" t="str">
        <f t="shared" si="0"/>
        <v>Wisdom: +1, Charisma: +2</v>
      </c>
      <c r="J33" s="611">
        <v>0</v>
      </c>
      <c r="K33" s="611">
        <v>0</v>
      </c>
      <c r="L33" s="611">
        <v>0</v>
      </c>
      <c r="M33" s="611">
        <v>0</v>
      </c>
      <c r="N33" s="611">
        <v>1</v>
      </c>
      <c r="O33" s="611">
        <v>2</v>
      </c>
      <c r="P33" s="611"/>
      <c r="Q33" s="613"/>
      <c r="R33" s="613"/>
      <c r="S33" s="613"/>
      <c r="T33" s="613"/>
      <c r="U33" s="613"/>
      <c r="V33" s="613"/>
      <c r="W33" s="613"/>
      <c r="X33" s="610" t="s">
        <v>602</v>
      </c>
      <c r="Y33" s="610">
        <v>10</v>
      </c>
      <c r="Z33" s="610">
        <v>30</v>
      </c>
      <c r="AA33" s="610">
        <v>60</v>
      </c>
      <c r="AB33" s="614"/>
      <c r="AC33" s="610" t="s">
        <v>5970</v>
      </c>
      <c r="AD33" s="610"/>
      <c r="AE33" s="610"/>
      <c r="AF33" s="610" t="s">
        <v>5971</v>
      </c>
      <c r="AG33" s="610"/>
      <c r="AH33" s="617" t="s">
        <v>5996</v>
      </c>
      <c r="AI33" s="618" t="str">
        <f t="shared" si="1"/>
        <v>Celestial Resistance, Celestial Legacy, Darkvision</v>
      </c>
      <c r="AJ33" s="610" t="s">
        <v>3805</v>
      </c>
      <c r="AK33" s="610" t="s">
        <v>3806</v>
      </c>
      <c r="AL33" s="610" t="s">
        <v>14</v>
      </c>
      <c r="AM33" s="610"/>
      <c r="AN33" s="610"/>
      <c r="AO33" s="610"/>
      <c r="AP33" s="610"/>
      <c r="AQ33" s="610"/>
      <c r="AR33" s="610"/>
      <c r="AS33" s="618" t="str">
        <f t="shared" si="2"/>
        <v/>
      </c>
      <c r="AT33" s="610"/>
      <c r="AU33" s="610"/>
      <c r="AV33" s="610"/>
      <c r="AW33" s="610"/>
      <c r="AX33" s="610"/>
      <c r="AY33" s="610"/>
      <c r="AZ33" s="610"/>
      <c r="BA33" s="610" t="str">
        <f t="shared" si="4"/>
        <v/>
      </c>
      <c r="BB33" s="610"/>
      <c r="BC33" s="610"/>
      <c r="BD33" s="610"/>
      <c r="BE33" s="610"/>
      <c r="BF33" s="618" t="str">
        <f t="shared" si="3"/>
        <v>Common, Celestial</v>
      </c>
      <c r="BG33" s="610" t="s">
        <v>43</v>
      </c>
      <c r="BH33" s="610" t="s">
        <v>1105</v>
      </c>
      <c r="BI33" s="610"/>
    </row>
    <row r="34" spans="1:61" x14ac:dyDescent="0.2">
      <c r="A34" s="610">
        <v>33</v>
      </c>
      <c r="B34" s="610" t="s">
        <v>47</v>
      </c>
      <c r="C34" s="619">
        <f>IF(COUNTIF($B$2:B34,B34)=1,1+COUNTIF($C$2:C33,"&gt;0"),0)</f>
        <v>0</v>
      </c>
      <c r="D34" s="619">
        <f>IF(Race=B34,1+COUNTIF($D$2:D33,"&gt;0"),0)</f>
        <v>4</v>
      </c>
      <c r="E34" s="610" t="s">
        <v>3807</v>
      </c>
      <c r="F34" s="610"/>
      <c r="G34" s="610"/>
      <c r="H34" s="610"/>
      <c r="I34" s="615" t="str">
        <f t="shared" si="0"/>
        <v>Dexterity: +2, Intelligence: +1</v>
      </c>
      <c r="J34" s="611">
        <v>0</v>
      </c>
      <c r="K34" s="611">
        <v>2</v>
      </c>
      <c r="L34" s="611">
        <v>0</v>
      </c>
      <c r="M34" s="611">
        <v>1</v>
      </c>
      <c r="N34" s="611">
        <v>0</v>
      </c>
      <c r="O34" s="611">
        <v>0</v>
      </c>
      <c r="P34" s="611"/>
      <c r="Q34" s="613"/>
      <c r="R34" s="613"/>
      <c r="S34" s="613"/>
      <c r="T34" s="613"/>
      <c r="U34" s="613"/>
      <c r="V34" s="613"/>
      <c r="W34" s="613"/>
      <c r="X34" s="610" t="s">
        <v>602</v>
      </c>
      <c r="Y34" s="610">
        <v>10</v>
      </c>
      <c r="Z34" s="610">
        <v>30</v>
      </c>
      <c r="AA34" s="610">
        <v>60</v>
      </c>
      <c r="AB34" s="614"/>
      <c r="AC34" s="610" t="s">
        <v>5979</v>
      </c>
      <c r="AD34" s="610"/>
      <c r="AE34" s="610"/>
      <c r="AF34" s="610" t="s">
        <v>5982</v>
      </c>
      <c r="AG34" s="610"/>
      <c r="AH34" s="617" t="s">
        <v>5988</v>
      </c>
      <c r="AI34" s="618" t="str">
        <f t="shared" si="1"/>
        <v>Darkvision, Fey Ancestry, Trance, Elf Weapon Training, Fey Step, Keen Senses</v>
      </c>
      <c r="AJ34" s="610" t="s">
        <v>14</v>
      </c>
      <c r="AK34" s="610" t="s">
        <v>571</v>
      </c>
      <c r="AL34" s="610" t="s">
        <v>572</v>
      </c>
      <c r="AM34" s="615" t="s">
        <v>2201</v>
      </c>
      <c r="AN34" s="610" t="s">
        <v>3808</v>
      </c>
      <c r="AO34" s="610" t="s">
        <v>2210</v>
      </c>
      <c r="AP34" s="610" t="s">
        <v>49</v>
      </c>
      <c r="AQ34" s="610"/>
      <c r="AR34" s="610"/>
      <c r="AS34" s="618" t="str">
        <f t="shared" si="2"/>
        <v>Longsword, Shortsword, Shortbow, Longbow, Perception</v>
      </c>
      <c r="AT34" s="610" t="s">
        <v>50</v>
      </c>
      <c r="AU34" s="610" t="s">
        <v>51</v>
      </c>
      <c r="AV34" s="610" t="s">
        <v>52</v>
      </c>
      <c r="AW34" s="610" t="s">
        <v>53</v>
      </c>
      <c r="AX34" s="610"/>
      <c r="AY34" s="610"/>
      <c r="AZ34" s="610"/>
      <c r="BA34" s="610" t="str">
        <f t="shared" si="4"/>
        <v/>
      </c>
      <c r="BB34" s="610"/>
      <c r="BC34" s="610"/>
      <c r="BD34" s="610"/>
      <c r="BE34" s="610"/>
      <c r="BF34" s="618" t="str">
        <f t="shared" si="3"/>
        <v>Common, Elvish</v>
      </c>
      <c r="BG34" s="610" t="s">
        <v>43</v>
      </c>
      <c r="BH34" s="610" t="s">
        <v>54</v>
      </c>
      <c r="BI34" s="610"/>
    </row>
    <row r="35" spans="1:61" x14ac:dyDescent="0.2">
      <c r="A35" s="610">
        <v>34</v>
      </c>
      <c r="B35" s="610" t="s">
        <v>3817</v>
      </c>
      <c r="C35" s="619">
        <f>IF(COUNTIF($B$2:B35,B35)=1,1+COUNTIF($C$2:C34,"&gt;0"),0)</f>
        <v>14</v>
      </c>
      <c r="D35" s="619">
        <f>IF(Race=B35,1+COUNTIF($D$2:D34,"&gt;0"),0)</f>
        <v>0</v>
      </c>
      <c r="E35" s="610" t="s">
        <v>3817</v>
      </c>
      <c r="F35" s="610" t="s">
        <v>5676</v>
      </c>
      <c r="G35" s="610"/>
      <c r="H35" s="610"/>
      <c r="I35" s="615" t="str">
        <f t="shared" si="0"/>
        <v>Dexterity: +2, Wisdom: +1</v>
      </c>
      <c r="J35" s="611">
        <v>0</v>
      </c>
      <c r="K35" s="611">
        <v>2</v>
      </c>
      <c r="L35" s="611">
        <v>0</v>
      </c>
      <c r="M35" s="611">
        <v>0</v>
      </c>
      <c r="N35" s="611" t="s">
        <v>5115</v>
      </c>
      <c r="O35" s="611">
        <v>0</v>
      </c>
      <c r="P35" s="611"/>
      <c r="Q35" s="613"/>
      <c r="R35" s="613"/>
      <c r="S35" s="613"/>
      <c r="T35" s="613"/>
      <c r="U35" s="613"/>
      <c r="V35" s="613"/>
      <c r="W35" s="613"/>
      <c r="X35" s="610" t="s">
        <v>602</v>
      </c>
      <c r="Y35" s="610">
        <v>10</v>
      </c>
      <c r="Z35" s="610">
        <v>25</v>
      </c>
      <c r="AA35" s="614"/>
      <c r="AB35" s="614"/>
      <c r="AC35" s="610"/>
      <c r="AD35" s="610"/>
      <c r="AE35" s="610"/>
      <c r="AF35" s="610"/>
      <c r="AG35" s="610"/>
      <c r="AH35" s="610"/>
      <c r="AI35" s="618" t="str">
        <f t="shared" si="1"/>
        <v>Dive attack, Flight, Talons</v>
      </c>
      <c r="AJ35" s="610" t="s">
        <v>3832</v>
      </c>
      <c r="AK35" s="610" t="s">
        <v>5116</v>
      </c>
      <c r="AL35" s="610" t="s">
        <v>5117</v>
      </c>
      <c r="AM35" s="610"/>
      <c r="AN35" s="610"/>
      <c r="AO35" s="610"/>
      <c r="AP35" s="610"/>
      <c r="AQ35" s="610"/>
      <c r="AR35" s="610"/>
      <c r="AS35" s="618" t="str">
        <f t="shared" si="2"/>
        <v/>
      </c>
      <c r="AT35" s="610"/>
      <c r="AU35" s="610"/>
      <c r="AV35" s="610"/>
      <c r="AW35" s="610"/>
      <c r="AX35" s="610"/>
      <c r="AY35" s="610"/>
      <c r="AZ35" s="610"/>
      <c r="BA35" s="610" t="str">
        <f t="shared" si="4"/>
        <v/>
      </c>
      <c r="BB35" s="610"/>
      <c r="BC35" s="610"/>
      <c r="BD35" s="610"/>
      <c r="BE35" s="610"/>
      <c r="BF35" s="618" t="str">
        <f t="shared" si="3"/>
        <v>Common, Aaracocra, Auran</v>
      </c>
      <c r="BG35" s="610" t="s">
        <v>43</v>
      </c>
      <c r="BH35" s="610" t="s">
        <v>5118</v>
      </c>
      <c r="BI35" s="610" t="s">
        <v>3837</v>
      </c>
    </row>
    <row r="36" spans="1:61" x14ac:dyDescent="0.2">
      <c r="A36" s="610">
        <v>35</v>
      </c>
      <c r="B36" s="610" t="s">
        <v>3818</v>
      </c>
      <c r="C36" s="619">
        <f>IF(COUNTIF($B$2:B36,B36)=1,1+COUNTIF($C$2:C35,"&gt;0"),0)</f>
        <v>15</v>
      </c>
      <c r="D36" s="619">
        <f>IF(Race=B36,1+COUNTIF($D$2:D35,"&gt;0"),0)</f>
        <v>0</v>
      </c>
      <c r="E36" s="610" t="s">
        <v>3818</v>
      </c>
      <c r="F36" s="610"/>
      <c r="G36" s="610"/>
      <c r="H36" s="610"/>
      <c r="I36" s="615" t="str">
        <f t="shared" si="0"/>
        <v>Intelligence: -2, Charisma: -2</v>
      </c>
      <c r="J36" s="611">
        <v>0</v>
      </c>
      <c r="K36" s="611">
        <v>0</v>
      </c>
      <c r="L36" s="611">
        <v>0</v>
      </c>
      <c r="M36" s="612">
        <v>-2</v>
      </c>
      <c r="N36" s="611">
        <v>0</v>
      </c>
      <c r="O36" s="612">
        <v>-2</v>
      </c>
      <c r="P36" s="612"/>
      <c r="Q36" s="613"/>
      <c r="R36" s="613"/>
      <c r="S36" s="613"/>
      <c r="T36" s="613"/>
      <c r="U36" s="613"/>
      <c r="V36" s="613"/>
      <c r="W36" s="613"/>
      <c r="X36" s="610" t="s">
        <v>602</v>
      </c>
      <c r="Y36" s="610">
        <v>10</v>
      </c>
      <c r="Z36" s="610">
        <v>20</v>
      </c>
      <c r="AA36" s="614"/>
      <c r="AB36" s="614"/>
      <c r="AC36" s="610"/>
      <c r="AD36" s="610"/>
      <c r="AE36" s="610"/>
      <c r="AF36" s="610"/>
      <c r="AG36" s="610"/>
      <c r="AH36" s="610"/>
      <c r="AI36" s="618" t="str">
        <f t="shared" si="1"/>
        <v>Amphibious, Speak with Frogs and Toads, Swamp Camouflage, Standing Leap</v>
      </c>
      <c r="AJ36" s="610" t="s">
        <v>3833</v>
      </c>
      <c r="AK36" s="610" t="s">
        <v>3834</v>
      </c>
      <c r="AL36" s="610" t="s">
        <v>3835</v>
      </c>
      <c r="AM36" s="610" t="s">
        <v>3836</v>
      </c>
      <c r="AN36" s="610"/>
      <c r="AO36" s="610"/>
      <c r="AP36" s="610"/>
      <c r="AQ36" s="610"/>
      <c r="AR36" s="610"/>
      <c r="AS36" s="618" t="str">
        <f t="shared" si="2"/>
        <v/>
      </c>
      <c r="AT36" s="610"/>
      <c r="AU36" s="610"/>
      <c r="AV36" s="610"/>
      <c r="AW36" s="610"/>
      <c r="AX36" s="610"/>
      <c r="AY36" s="610"/>
      <c r="AZ36" s="610"/>
      <c r="BA36" s="610" t="str">
        <f t="shared" si="4"/>
        <v/>
      </c>
      <c r="BB36" s="610"/>
      <c r="BC36" s="610"/>
      <c r="BD36" s="610"/>
      <c r="BE36" s="610"/>
      <c r="BF36" s="618" t="str">
        <f t="shared" si="3"/>
        <v>Bullywug</v>
      </c>
      <c r="BG36" s="610" t="s">
        <v>3818</v>
      </c>
      <c r="BH36" s="610"/>
      <c r="BI36" s="610"/>
    </row>
    <row r="37" spans="1:61" x14ac:dyDescent="0.2">
      <c r="A37" s="610">
        <v>36</v>
      </c>
      <c r="B37" s="610" t="s">
        <v>3819</v>
      </c>
      <c r="C37" s="619">
        <f>IF(COUNTIF($B$2:B37,B37)=1,1+COUNTIF($C$2:C36,"&gt;0"),0)</f>
        <v>16</v>
      </c>
      <c r="D37" s="619">
        <f>IF(Race=B37,1+COUNTIF($D$2:D36,"&gt;0"),0)</f>
        <v>0</v>
      </c>
      <c r="E37" s="610" t="s">
        <v>3819</v>
      </c>
      <c r="F37" s="610"/>
      <c r="G37" s="610"/>
      <c r="H37" s="610"/>
      <c r="I37" s="615" t="str">
        <f t="shared" si="0"/>
        <v>Strength: +2, Intelligence: -2</v>
      </c>
      <c r="J37" s="611">
        <v>2</v>
      </c>
      <c r="K37" s="611">
        <v>0</v>
      </c>
      <c r="L37" s="611">
        <v>0</v>
      </c>
      <c r="M37" s="612">
        <v>-2</v>
      </c>
      <c r="N37" s="611">
        <v>0</v>
      </c>
      <c r="O37" s="611">
        <v>0</v>
      </c>
      <c r="P37" s="611"/>
      <c r="Q37" s="613"/>
      <c r="R37" s="613"/>
      <c r="S37" s="613"/>
      <c r="T37" s="613"/>
      <c r="U37" s="613"/>
      <c r="V37" s="613"/>
      <c r="W37" s="613"/>
      <c r="X37" s="610" t="s">
        <v>602</v>
      </c>
      <c r="Y37" s="610">
        <v>10</v>
      </c>
      <c r="Z37" s="610">
        <v>30</v>
      </c>
      <c r="AA37" s="610">
        <v>60</v>
      </c>
      <c r="AB37" s="614"/>
      <c r="AC37" s="610"/>
      <c r="AD37" s="610"/>
      <c r="AE37" s="610"/>
      <c r="AF37" s="610"/>
      <c r="AG37" s="610"/>
      <c r="AH37" s="610"/>
      <c r="AI37" s="618" t="str">
        <f t="shared" si="1"/>
        <v>Rampage, Darkvision</v>
      </c>
      <c r="AJ37" s="610" t="s">
        <v>3838</v>
      </c>
      <c r="AK37" s="610" t="s">
        <v>14</v>
      </c>
      <c r="AL37" s="610"/>
      <c r="AM37" s="610"/>
      <c r="AN37" s="610"/>
      <c r="AO37" s="610"/>
      <c r="AP37" s="610"/>
      <c r="AQ37" s="610"/>
      <c r="AR37" s="610"/>
      <c r="AS37" s="618" t="str">
        <f t="shared" si="2"/>
        <v/>
      </c>
      <c r="AT37" s="610"/>
      <c r="AU37" s="610"/>
      <c r="AV37" s="610"/>
      <c r="AW37" s="610"/>
      <c r="AX37" s="610"/>
      <c r="AY37" s="610"/>
      <c r="AZ37" s="610"/>
      <c r="BA37" s="610" t="str">
        <f t="shared" si="4"/>
        <v/>
      </c>
      <c r="BB37" s="610"/>
      <c r="BC37" s="610"/>
      <c r="BD37" s="610"/>
      <c r="BE37" s="610"/>
      <c r="BF37" s="618" t="str">
        <f t="shared" si="3"/>
        <v>Common</v>
      </c>
      <c r="BG37" s="610" t="s">
        <v>43</v>
      </c>
      <c r="BH37" s="610"/>
      <c r="BI37" s="610"/>
    </row>
    <row r="38" spans="1:61" x14ac:dyDescent="0.2">
      <c r="A38" s="610">
        <v>37</v>
      </c>
      <c r="B38" s="610" t="s">
        <v>583</v>
      </c>
      <c r="C38" s="619">
        <f>IF(COUNTIF($B$2:B38,B38)=1,1+COUNTIF($C$2:C37,"&gt;0"),0)</f>
        <v>0</v>
      </c>
      <c r="D38" s="619">
        <f>IF(Race=B38,1+COUNTIF($D$2:D37,"&gt;0"),0)</f>
        <v>0</v>
      </c>
      <c r="E38" s="610" t="s">
        <v>3820</v>
      </c>
      <c r="F38" s="610" t="s">
        <v>7064</v>
      </c>
      <c r="G38" s="610"/>
      <c r="H38" s="610"/>
      <c r="I38" s="615" t="str">
        <f t="shared" si="0"/>
        <v>Dexterity: +1, Intelligence: +2</v>
      </c>
      <c r="J38" s="611">
        <v>0</v>
      </c>
      <c r="K38" s="611" t="s">
        <v>5115</v>
      </c>
      <c r="L38" s="611">
        <v>0</v>
      </c>
      <c r="M38" s="611" t="s">
        <v>3829</v>
      </c>
      <c r="N38" s="611">
        <v>0</v>
      </c>
      <c r="O38" s="611">
        <v>0</v>
      </c>
      <c r="P38" s="611"/>
      <c r="Q38" s="613"/>
      <c r="R38" s="613"/>
      <c r="S38" s="613"/>
      <c r="T38" s="613"/>
      <c r="U38" s="613"/>
      <c r="V38" s="613"/>
      <c r="W38" s="613"/>
      <c r="X38" s="610" t="s">
        <v>603</v>
      </c>
      <c r="Y38" s="610">
        <v>10</v>
      </c>
      <c r="Z38" s="610">
        <v>25</v>
      </c>
      <c r="AA38" s="610">
        <v>120</v>
      </c>
      <c r="AB38" s="614"/>
      <c r="AC38" s="610" t="s">
        <v>5974</v>
      </c>
      <c r="AD38" s="610"/>
      <c r="AE38" s="610"/>
      <c r="AF38" s="610" t="s">
        <v>5975</v>
      </c>
      <c r="AG38" s="610" t="s">
        <v>7065</v>
      </c>
      <c r="AH38" s="617" t="s">
        <v>5992</v>
      </c>
      <c r="AI38" s="618" t="str">
        <f t="shared" si="1"/>
        <v>Gnome Cunning, Innate Spellcasting (deep gnome), Stone Camouflage, Supreme Darkvision</v>
      </c>
      <c r="AJ38" s="610" t="s">
        <v>2205</v>
      </c>
      <c r="AK38" s="610" t="s">
        <v>3839</v>
      </c>
      <c r="AL38" s="610" t="s">
        <v>3840</v>
      </c>
      <c r="AM38" s="610" t="s">
        <v>4151</v>
      </c>
      <c r="AN38" s="610"/>
      <c r="AO38" s="610"/>
      <c r="AP38" s="610"/>
      <c r="AQ38" s="610"/>
      <c r="AR38" s="610"/>
      <c r="AS38" s="618" t="str">
        <f t="shared" si="2"/>
        <v/>
      </c>
      <c r="AT38" s="610"/>
      <c r="AU38" s="610"/>
      <c r="AV38" s="610"/>
      <c r="AW38" s="610"/>
      <c r="AX38" s="610"/>
      <c r="AY38" s="610"/>
      <c r="AZ38" s="610"/>
      <c r="BA38" s="610" t="str">
        <f t="shared" si="4"/>
        <v/>
      </c>
      <c r="BB38" s="610"/>
      <c r="BC38" s="610"/>
      <c r="BD38" s="610"/>
      <c r="BE38" s="610"/>
      <c r="BF38" s="618" t="str">
        <f t="shared" si="3"/>
        <v>Common, Gnomish, Undercommon</v>
      </c>
      <c r="BG38" s="610" t="s">
        <v>43</v>
      </c>
      <c r="BH38" s="610" t="s">
        <v>1101</v>
      </c>
      <c r="BI38" s="610" t="s">
        <v>1111</v>
      </c>
    </row>
    <row r="39" spans="1:61" x14ac:dyDescent="0.2">
      <c r="A39" s="610">
        <v>38</v>
      </c>
      <c r="B39" s="610" t="s">
        <v>3821</v>
      </c>
      <c r="C39" s="619">
        <f>IF(COUNTIF($B$2:B39,B39)=1,1+COUNTIF($C$2:C38,"&gt;0"),0)</f>
        <v>17</v>
      </c>
      <c r="D39" s="619">
        <f>IF(Race=B39,1+COUNTIF($D$2:D38,"&gt;0"),0)</f>
        <v>0</v>
      </c>
      <c r="E39" s="610" t="s">
        <v>3821</v>
      </c>
      <c r="F39" s="610"/>
      <c r="G39" s="610"/>
      <c r="H39" s="610"/>
      <c r="I39" s="615" t="str">
        <f t="shared" si="0"/>
        <v>Strength: +2, Charisma: -2</v>
      </c>
      <c r="J39" s="611">
        <v>2</v>
      </c>
      <c r="K39" s="611">
        <v>0</v>
      </c>
      <c r="L39" s="611">
        <v>0</v>
      </c>
      <c r="M39" s="611">
        <v>0</v>
      </c>
      <c r="N39" s="611">
        <v>0</v>
      </c>
      <c r="O39" s="612">
        <v>-2</v>
      </c>
      <c r="P39" s="612"/>
      <c r="Q39" s="613"/>
      <c r="R39" s="613"/>
      <c r="S39" s="613"/>
      <c r="T39" s="613"/>
      <c r="U39" s="613"/>
      <c r="V39" s="613"/>
      <c r="W39" s="613"/>
      <c r="X39" s="610" t="s">
        <v>602</v>
      </c>
      <c r="Y39" s="610">
        <v>10</v>
      </c>
      <c r="Z39" s="610">
        <v>30</v>
      </c>
      <c r="AA39" s="610">
        <v>0</v>
      </c>
      <c r="AB39" s="610">
        <v>30</v>
      </c>
      <c r="AC39" s="610"/>
      <c r="AD39" s="610"/>
      <c r="AE39" s="610"/>
      <c r="AF39" s="610"/>
      <c r="AG39" s="610"/>
      <c r="AH39" s="610"/>
      <c r="AI39" s="618" t="str">
        <f t="shared" si="1"/>
        <v>Blind Senses, Keen Hearing and Smell, Stone Camouflage</v>
      </c>
      <c r="AJ39" s="610" t="s">
        <v>3842</v>
      </c>
      <c r="AK39" s="610" t="s">
        <v>3843</v>
      </c>
      <c r="AL39" s="610" t="s">
        <v>3840</v>
      </c>
      <c r="AM39" s="610"/>
      <c r="AN39" s="610"/>
      <c r="AO39" s="610"/>
      <c r="AP39" s="610"/>
      <c r="AQ39" s="610"/>
      <c r="AR39" s="610"/>
      <c r="AS39" s="618" t="str">
        <f t="shared" si="2"/>
        <v/>
      </c>
      <c r="AT39" s="610"/>
      <c r="AU39" s="610"/>
      <c r="AV39" s="610"/>
      <c r="AW39" s="610"/>
      <c r="AX39" s="610"/>
      <c r="AY39" s="610"/>
      <c r="AZ39" s="610"/>
      <c r="BA39" s="610" t="str">
        <f t="shared" si="4"/>
        <v/>
      </c>
      <c r="BB39" s="610"/>
      <c r="BC39" s="610"/>
      <c r="BD39" s="610"/>
      <c r="BE39" s="610"/>
      <c r="BF39" s="618" t="str">
        <f t="shared" si="3"/>
        <v>Undercommon</v>
      </c>
      <c r="BG39" s="610" t="s">
        <v>1111</v>
      </c>
      <c r="BH39" s="610"/>
      <c r="BI39" s="610"/>
    </row>
    <row r="40" spans="1:61" x14ac:dyDescent="0.2">
      <c r="A40" s="610">
        <v>39</v>
      </c>
      <c r="B40" s="610" t="s">
        <v>3822</v>
      </c>
      <c r="C40" s="619">
        <f>IF(COUNTIF($B$2:B40,B40)=1,1+COUNTIF($C$2:C39,"&gt;0"),0)</f>
        <v>18</v>
      </c>
      <c r="D40" s="619">
        <f>IF(Race=B40,1+COUNTIF($D$2:D39,"&gt;0"),0)</f>
        <v>0</v>
      </c>
      <c r="E40" s="610" t="s">
        <v>3822</v>
      </c>
      <c r="F40" s="610"/>
      <c r="G40" s="610"/>
      <c r="H40" s="610"/>
      <c r="I40" s="615" t="str">
        <f t="shared" si="0"/>
        <v/>
      </c>
      <c r="J40" s="611">
        <v>0</v>
      </c>
      <c r="K40" s="611">
        <v>0</v>
      </c>
      <c r="L40" s="611">
        <v>0</v>
      </c>
      <c r="M40" s="611">
        <v>0</v>
      </c>
      <c r="N40" s="611">
        <v>0</v>
      </c>
      <c r="O40" s="611">
        <v>0</v>
      </c>
      <c r="P40" s="611"/>
      <c r="Q40" s="613"/>
      <c r="R40" s="613"/>
      <c r="S40" s="613"/>
      <c r="T40" s="613"/>
      <c r="U40" s="613"/>
      <c r="V40" s="613"/>
      <c r="W40" s="613"/>
      <c r="X40" s="610" t="s">
        <v>602</v>
      </c>
      <c r="Y40" s="610">
        <v>10</v>
      </c>
      <c r="Z40" s="610">
        <v>30</v>
      </c>
      <c r="AA40" s="610">
        <v>60</v>
      </c>
      <c r="AB40" s="614"/>
      <c r="AC40" s="610"/>
      <c r="AD40" s="610"/>
      <c r="AE40" s="610"/>
      <c r="AF40" s="610"/>
      <c r="AG40" s="610"/>
      <c r="AH40" s="610"/>
      <c r="AI40" s="618" t="str">
        <f t="shared" si="1"/>
        <v>Martial Advantage, Darkvision</v>
      </c>
      <c r="AJ40" s="610" t="s">
        <v>3844</v>
      </c>
      <c r="AK40" s="610" t="s">
        <v>14</v>
      </c>
      <c r="AL40" s="610"/>
      <c r="AM40" s="610"/>
      <c r="AN40" s="610"/>
      <c r="AO40" s="610"/>
      <c r="AP40" s="610"/>
      <c r="AQ40" s="610"/>
      <c r="AR40" s="610"/>
      <c r="AS40" s="618" t="str">
        <f t="shared" si="2"/>
        <v/>
      </c>
      <c r="AT40" s="610"/>
      <c r="AU40" s="610"/>
      <c r="AV40" s="610"/>
      <c r="AW40" s="610"/>
      <c r="AX40" s="610"/>
      <c r="AY40" s="610"/>
      <c r="AZ40" s="610"/>
      <c r="BA40" s="610" t="str">
        <f t="shared" si="4"/>
        <v/>
      </c>
      <c r="BB40" s="610"/>
      <c r="BC40" s="610"/>
      <c r="BD40" s="610"/>
      <c r="BE40" s="610"/>
      <c r="BF40" s="618" t="str">
        <f t="shared" si="3"/>
        <v>Common, Goblin</v>
      </c>
      <c r="BG40" s="610" t="s">
        <v>43</v>
      </c>
      <c r="BH40" s="610" t="s">
        <v>1102</v>
      </c>
      <c r="BI40" s="610"/>
    </row>
    <row r="41" spans="1:61" x14ac:dyDescent="0.2">
      <c r="A41" s="610">
        <v>40</v>
      </c>
      <c r="B41" s="610" t="s">
        <v>3823</v>
      </c>
      <c r="C41" s="619">
        <f>IF(COUNTIF($B$2:B41,B41)=1,1+COUNTIF($C$2:C40,"&gt;0"),0)</f>
        <v>19</v>
      </c>
      <c r="D41" s="619">
        <f>IF(Race=B41,1+COUNTIF($D$2:D40,"&gt;0"),0)</f>
        <v>0</v>
      </c>
      <c r="E41" s="610" t="s">
        <v>3823</v>
      </c>
      <c r="F41" s="610"/>
      <c r="G41" s="610"/>
      <c r="H41" s="610"/>
      <c r="I41" s="615" t="str">
        <f t="shared" si="0"/>
        <v>Dexterity: +2</v>
      </c>
      <c r="J41" s="611">
        <v>0</v>
      </c>
      <c r="K41" s="611">
        <v>2</v>
      </c>
      <c r="L41" s="611">
        <v>0</v>
      </c>
      <c r="M41" s="611">
        <v>0</v>
      </c>
      <c r="N41" s="611">
        <v>0</v>
      </c>
      <c r="O41" s="611">
        <v>0</v>
      </c>
      <c r="P41" s="611"/>
      <c r="Q41" s="613"/>
      <c r="R41" s="613"/>
      <c r="S41" s="613"/>
      <c r="T41" s="613"/>
      <c r="U41" s="613"/>
      <c r="V41" s="613"/>
      <c r="W41" s="613"/>
      <c r="X41" s="610" t="s">
        <v>602</v>
      </c>
      <c r="Y41" s="610">
        <v>10</v>
      </c>
      <c r="Z41" s="610">
        <v>30</v>
      </c>
      <c r="AA41" s="614"/>
      <c r="AB41" s="614"/>
      <c r="AC41" s="610"/>
      <c r="AD41" s="610"/>
      <c r="AE41" s="610"/>
      <c r="AF41" s="610"/>
      <c r="AG41" s="610"/>
      <c r="AH41" s="610"/>
      <c r="AI41" s="618" t="str">
        <f t="shared" si="1"/>
        <v>Ambusher, Mimicry</v>
      </c>
      <c r="AJ41" s="610" t="s">
        <v>3845</v>
      </c>
      <c r="AK41" s="610" t="s">
        <v>3846</v>
      </c>
      <c r="AL41" s="610"/>
      <c r="AM41" s="610"/>
      <c r="AN41" s="610"/>
      <c r="AO41" s="610"/>
      <c r="AP41" s="610"/>
      <c r="AQ41" s="610"/>
      <c r="AR41" s="610"/>
      <c r="AS41" s="618" t="str">
        <f t="shared" si="2"/>
        <v/>
      </c>
      <c r="AT41" s="610"/>
      <c r="AU41" s="610"/>
      <c r="AV41" s="610"/>
      <c r="AW41" s="610"/>
      <c r="AX41" s="610"/>
      <c r="AY41" s="610"/>
      <c r="AZ41" s="610"/>
      <c r="BA41" s="610" t="str">
        <f t="shared" si="4"/>
        <v/>
      </c>
      <c r="BB41" s="610"/>
      <c r="BC41" s="610"/>
      <c r="BD41" s="610"/>
      <c r="BE41" s="610"/>
      <c r="BF41" s="618" t="str">
        <f t="shared" si="3"/>
        <v>Auran, Common</v>
      </c>
      <c r="BG41" s="610" t="s">
        <v>3837</v>
      </c>
      <c r="BH41" s="610" t="s">
        <v>43</v>
      </c>
      <c r="BI41" s="610"/>
    </row>
    <row r="42" spans="1:61" x14ac:dyDescent="0.2">
      <c r="A42" s="610">
        <v>41</v>
      </c>
      <c r="B42" s="610" t="s">
        <v>3824</v>
      </c>
      <c r="C42" s="619">
        <f>IF(COUNTIF($B$2:B42,B42)=1,1+COUNTIF($C$2:C41,"&gt;0"),0)</f>
        <v>20</v>
      </c>
      <c r="D42" s="619">
        <f>IF(Race=B42,1+COUNTIF($D$2:D41,"&gt;0"),0)</f>
        <v>0</v>
      </c>
      <c r="E42" s="610" t="s">
        <v>3824</v>
      </c>
      <c r="F42" s="610"/>
      <c r="G42" s="610"/>
      <c r="H42" s="610"/>
      <c r="I42" s="615" t="str">
        <f t="shared" si="0"/>
        <v>Strength: -4, Dexterity: +2</v>
      </c>
      <c r="J42" s="611" t="s">
        <v>3830</v>
      </c>
      <c r="K42" s="611" t="s">
        <v>3829</v>
      </c>
      <c r="L42" s="611">
        <v>0</v>
      </c>
      <c r="M42" s="611">
        <v>0</v>
      </c>
      <c r="N42" s="611">
        <v>0</v>
      </c>
      <c r="O42" s="611">
        <v>0</v>
      </c>
      <c r="P42" s="611"/>
      <c r="Q42" s="613"/>
      <c r="R42" s="613"/>
      <c r="S42" s="613"/>
      <c r="T42" s="613"/>
      <c r="U42" s="613"/>
      <c r="V42" s="613"/>
      <c r="W42" s="613"/>
      <c r="X42" s="610" t="s">
        <v>603</v>
      </c>
      <c r="Y42" s="610">
        <v>10</v>
      </c>
      <c r="Z42" s="610">
        <v>30</v>
      </c>
      <c r="AA42" s="610">
        <v>60</v>
      </c>
      <c r="AB42" s="614"/>
      <c r="AC42" s="610"/>
      <c r="AD42" s="610"/>
      <c r="AE42" s="610"/>
      <c r="AF42" s="610"/>
      <c r="AG42" s="610"/>
      <c r="AH42" s="610"/>
      <c r="AI42" s="618" t="str">
        <f t="shared" si="1"/>
        <v>Pack Tactics, Sunlight Sensitivity</v>
      </c>
      <c r="AJ42" s="610" t="s">
        <v>3847</v>
      </c>
      <c r="AK42" s="610" t="s">
        <v>3770</v>
      </c>
      <c r="AL42" s="610"/>
      <c r="AM42" s="610"/>
      <c r="AN42" s="610"/>
      <c r="AO42" s="610"/>
      <c r="AP42" s="610"/>
      <c r="AQ42" s="610"/>
      <c r="AR42" s="610"/>
      <c r="AS42" s="618" t="str">
        <f t="shared" si="2"/>
        <v/>
      </c>
      <c r="AT42" s="610"/>
      <c r="AU42" s="610"/>
      <c r="AV42" s="610"/>
      <c r="AW42" s="610"/>
      <c r="AX42" s="610"/>
      <c r="AY42" s="610"/>
      <c r="AZ42" s="610"/>
      <c r="BA42" s="610" t="str">
        <f t="shared" si="4"/>
        <v/>
      </c>
      <c r="BB42" s="610"/>
      <c r="BC42" s="610"/>
      <c r="BD42" s="610"/>
      <c r="BE42" s="610"/>
      <c r="BF42" s="618" t="str">
        <f t="shared" si="3"/>
        <v>Common, Draconic</v>
      </c>
      <c r="BG42" s="610" t="s">
        <v>43</v>
      </c>
      <c r="BH42" s="610" t="s">
        <v>1106</v>
      </c>
      <c r="BI42" s="610"/>
    </row>
    <row r="43" spans="1:61" x14ac:dyDescent="0.2">
      <c r="A43" s="610">
        <v>42</v>
      </c>
      <c r="B43" s="610" t="s">
        <v>3825</v>
      </c>
      <c r="C43" s="619">
        <f>IF(COUNTIF($B$2:B43,B43)=1,1+COUNTIF($C$2:C42,"&gt;0"),0)</f>
        <v>21</v>
      </c>
      <c r="D43" s="619">
        <f>IF(Race=B43,1+COUNTIF($D$2:D42,"&gt;0"),0)</f>
        <v>0</v>
      </c>
      <c r="E43" s="610" t="s">
        <v>3825</v>
      </c>
      <c r="F43" s="610"/>
      <c r="G43" s="610"/>
      <c r="H43" s="610"/>
      <c r="I43" s="615" t="str">
        <f t="shared" si="0"/>
        <v/>
      </c>
      <c r="J43" s="611">
        <v>0</v>
      </c>
      <c r="K43" s="611">
        <v>0</v>
      </c>
      <c r="L43" s="611">
        <v>0</v>
      </c>
      <c r="M43" s="611">
        <v>0</v>
      </c>
      <c r="N43" s="611">
        <v>0</v>
      </c>
      <c r="O43" s="611">
        <v>0</v>
      </c>
      <c r="P43" s="611"/>
      <c r="Q43" s="613"/>
      <c r="R43" s="613"/>
      <c r="S43" s="613"/>
      <c r="T43" s="613"/>
      <c r="U43" s="613"/>
      <c r="V43" s="613"/>
      <c r="W43" s="613"/>
      <c r="X43" s="610" t="s">
        <v>602</v>
      </c>
      <c r="Y43" s="610">
        <v>10</v>
      </c>
      <c r="Z43" s="610">
        <v>30</v>
      </c>
      <c r="AA43" s="614"/>
      <c r="AB43" s="614"/>
      <c r="AC43" s="610"/>
      <c r="AD43" s="610"/>
      <c r="AE43" s="610"/>
      <c r="AF43" s="610"/>
      <c r="AG43" s="610"/>
      <c r="AH43" s="610"/>
      <c r="AI43" s="618" t="str">
        <f t="shared" si="1"/>
        <v>Amphibious, Otherworldly Perception, Slippery, Sunlight Sensitivity</v>
      </c>
      <c r="AJ43" s="610" t="s">
        <v>3833</v>
      </c>
      <c r="AK43" s="610" t="s">
        <v>3848</v>
      </c>
      <c r="AL43" s="610" t="s">
        <v>3849</v>
      </c>
      <c r="AM43" s="610" t="s">
        <v>3770</v>
      </c>
      <c r="AN43" s="610"/>
      <c r="AO43" s="610"/>
      <c r="AP43" s="610"/>
      <c r="AQ43" s="610"/>
      <c r="AR43" s="610"/>
      <c r="AS43" s="618" t="str">
        <f t="shared" si="2"/>
        <v/>
      </c>
      <c r="AT43" s="610"/>
      <c r="AU43" s="610"/>
      <c r="AV43" s="610"/>
      <c r="AW43" s="610"/>
      <c r="AX43" s="610"/>
      <c r="AY43" s="610"/>
      <c r="AZ43" s="610"/>
      <c r="BA43" s="610" t="str">
        <f t="shared" si="4"/>
        <v/>
      </c>
      <c r="BB43" s="610"/>
      <c r="BC43" s="610"/>
      <c r="BD43" s="610"/>
      <c r="BE43" s="610"/>
      <c r="BF43" s="618" t="str">
        <f t="shared" si="3"/>
        <v>Undercommon</v>
      </c>
      <c r="BG43" s="610" t="s">
        <v>1111</v>
      </c>
      <c r="BH43" s="610"/>
      <c r="BI43" s="610"/>
    </row>
    <row r="44" spans="1:61" x14ac:dyDescent="0.2">
      <c r="A44" s="610">
        <v>43</v>
      </c>
      <c r="B44" s="610" t="s">
        <v>3826</v>
      </c>
      <c r="C44" s="619">
        <f>IF(COUNTIF($B$2:B44,B44)=1,1+COUNTIF($C$2:C43,"&gt;0"),0)</f>
        <v>22</v>
      </c>
      <c r="D44" s="619">
        <f>IF(Race=B44,1+COUNTIF($D$2:D43,"&gt;0"),0)</f>
        <v>0</v>
      </c>
      <c r="E44" s="610" t="s">
        <v>3826</v>
      </c>
      <c r="F44" s="610"/>
      <c r="G44" s="610"/>
      <c r="H44" s="610"/>
      <c r="I44" s="615" t="str">
        <f t="shared" si="0"/>
        <v>Strength: +2, Intelligence: -2</v>
      </c>
      <c r="J44" s="611" t="s">
        <v>3829</v>
      </c>
      <c r="K44" s="611">
        <v>0</v>
      </c>
      <c r="L44" s="611">
        <v>0</v>
      </c>
      <c r="M44" s="611" t="s">
        <v>3828</v>
      </c>
      <c r="N44" s="611">
        <v>0</v>
      </c>
      <c r="O44" s="611">
        <v>0</v>
      </c>
      <c r="P44" s="611"/>
      <c r="Q44" s="613"/>
      <c r="R44" s="613"/>
      <c r="S44" s="613"/>
      <c r="T44" s="613"/>
      <c r="U44" s="613"/>
      <c r="V44" s="613"/>
      <c r="W44" s="613"/>
      <c r="X44" s="610" t="s">
        <v>602</v>
      </c>
      <c r="Y44" s="610">
        <v>13</v>
      </c>
      <c r="Z44" s="610">
        <v>30</v>
      </c>
      <c r="AA44" s="614"/>
      <c r="AB44" s="614"/>
      <c r="AC44" s="610"/>
      <c r="AD44" s="610"/>
      <c r="AE44" s="610"/>
      <c r="AF44" s="610"/>
      <c r="AG44" s="610"/>
      <c r="AH44" s="610"/>
      <c r="AI44" s="618" t="str">
        <f t="shared" si="1"/>
        <v>Hold Breath</v>
      </c>
      <c r="AJ44" s="610" t="s">
        <v>3850</v>
      </c>
      <c r="AK44" s="610"/>
      <c r="AL44" s="610"/>
      <c r="AM44" s="610"/>
      <c r="AN44" s="610"/>
      <c r="AO44" s="610"/>
      <c r="AP44" s="610"/>
      <c r="AQ44" s="610"/>
      <c r="AR44" s="610"/>
      <c r="AS44" s="618" t="str">
        <f t="shared" si="2"/>
        <v/>
      </c>
      <c r="AT44" s="610"/>
      <c r="AU44" s="610"/>
      <c r="AV44" s="610"/>
      <c r="AW44" s="610"/>
      <c r="AX44" s="610"/>
      <c r="AY44" s="610"/>
      <c r="AZ44" s="610"/>
      <c r="BA44" s="610" t="str">
        <f t="shared" si="4"/>
        <v/>
      </c>
      <c r="BB44" s="610"/>
      <c r="BC44" s="610"/>
      <c r="BD44" s="610"/>
      <c r="BE44" s="610"/>
      <c r="BF44" s="618" t="str">
        <f t="shared" si="3"/>
        <v>Draconic</v>
      </c>
      <c r="BG44" s="610" t="s">
        <v>1106</v>
      </c>
      <c r="BH44" s="610"/>
      <c r="BI44" s="610"/>
    </row>
    <row r="45" spans="1:61" x14ac:dyDescent="0.2">
      <c r="A45" s="610">
        <v>44</v>
      </c>
      <c r="B45" s="610" t="s">
        <v>3827</v>
      </c>
      <c r="C45" s="619">
        <f>IF(COUNTIF($B$2:B45,B45)=1,1+COUNTIF($C$2:C44,"&gt;0"),0)</f>
        <v>23</v>
      </c>
      <c r="D45" s="619">
        <f>IF(Race=B45,1+COUNTIF($D$2:D44,"&gt;0"),0)</f>
        <v>0</v>
      </c>
      <c r="E45" s="610" t="s">
        <v>3827</v>
      </c>
      <c r="F45" s="610"/>
      <c r="G45" s="610"/>
      <c r="H45" s="610"/>
      <c r="I45" s="615" t="str">
        <f t="shared" si="0"/>
        <v/>
      </c>
      <c r="J45" s="611">
        <v>0</v>
      </c>
      <c r="K45" s="611">
        <v>0</v>
      </c>
      <c r="L45" s="611">
        <v>0</v>
      </c>
      <c r="M45" s="611">
        <v>0</v>
      </c>
      <c r="N45" s="611">
        <v>0</v>
      </c>
      <c r="O45" s="611">
        <v>0</v>
      </c>
      <c r="P45" s="611"/>
      <c r="Q45" s="613"/>
      <c r="R45" s="613"/>
      <c r="S45" s="613"/>
      <c r="T45" s="613"/>
      <c r="U45" s="613"/>
      <c r="V45" s="613"/>
      <c r="W45" s="613"/>
      <c r="X45" s="610" t="s">
        <v>602</v>
      </c>
      <c r="Y45" s="610">
        <v>10</v>
      </c>
      <c r="Z45" s="610">
        <v>10</v>
      </c>
      <c r="AA45" s="614"/>
      <c r="AB45" s="614"/>
      <c r="AC45" s="610"/>
      <c r="AD45" s="610"/>
      <c r="AE45" s="610"/>
      <c r="AF45" s="610"/>
      <c r="AG45" s="610"/>
      <c r="AH45" s="610"/>
      <c r="AI45" s="618" t="str">
        <f t="shared" si="1"/>
        <v>Amphibious</v>
      </c>
      <c r="AJ45" s="610" t="s">
        <v>3833</v>
      </c>
      <c r="AK45" s="610"/>
      <c r="AL45" s="610"/>
      <c r="AM45" s="610"/>
      <c r="AN45" s="610"/>
      <c r="AO45" s="610"/>
      <c r="AP45" s="610"/>
      <c r="AQ45" s="610"/>
      <c r="AR45" s="610"/>
      <c r="AS45" s="618" t="str">
        <f t="shared" si="2"/>
        <v/>
      </c>
      <c r="AT45" s="610"/>
      <c r="AU45" s="610"/>
      <c r="AV45" s="610"/>
      <c r="AW45" s="610"/>
      <c r="AX45" s="610"/>
      <c r="AY45" s="610"/>
      <c r="AZ45" s="610"/>
      <c r="BA45" s="610" t="str">
        <f t="shared" si="4"/>
        <v/>
      </c>
      <c r="BB45" s="610"/>
      <c r="BC45" s="610"/>
      <c r="BD45" s="610"/>
      <c r="BE45" s="610"/>
      <c r="BF45" s="618" t="str">
        <f t="shared" si="3"/>
        <v>Aquan, Common</v>
      </c>
      <c r="BG45" s="610" t="s">
        <v>3841</v>
      </c>
      <c r="BH45" s="610" t="s">
        <v>43</v>
      </c>
      <c r="BI45" s="610"/>
    </row>
    <row r="46" spans="1:61" x14ac:dyDescent="0.2">
      <c r="A46" s="610">
        <v>45</v>
      </c>
      <c r="B46" s="610" t="s">
        <v>1103</v>
      </c>
      <c r="C46" s="619">
        <f>IF(COUNTIF($B$2:B46,B46)=1,1+COUNTIF($C$2:C45,"&gt;0"),0)</f>
        <v>24</v>
      </c>
      <c r="D46" s="619">
        <f>IF(Race=B46,1+COUNTIF($D$2:D45,"&gt;0"),0)</f>
        <v>0</v>
      </c>
      <c r="E46" s="610" t="s">
        <v>1103</v>
      </c>
      <c r="F46" s="610"/>
      <c r="G46" s="610"/>
      <c r="H46" s="610"/>
      <c r="I46" s="615" t="str">
        <f t="shared" si="0"/>
        <v>Strength: +2, Intelligence: -2</v>
      </c>
      <c r="J46" s="611">
        <v>2</v>
      </c>
      <c r="K46" s="611">
        <v>0</v>
      </c>
      <c r="L46" s="611">
        <v>0</v>
      </c>
      <c r="M46" s="612">
        <v>-2</v>
      </c>
      <c r="N46" s="611">
        <v>0</v>
      </c>
      <c r="O46" s="611">
        <v>0</v>
      </c>
      <c r="P46" s="611"/>
      <c r="Q46" s="613"/>
      <c r="R46" s="613"/>
      <c r="S46" s="613"/>
      <c r="T46" s="613"/>
      <c r="U46" s="613"/>
      <c r="V46" s="613"/>
      <c r="W46" s="613"/>
      <c r="X46" s="610" t="s">
        <v>602</v>
      </c>
      <c r="Y46" s="610">
        <v>10</v>
      </c>
      <c r="Z46" s="610">
        <v>30</v>
      </c>
      <c r="AA46" s="610">
        <v>60</v>
      </c>
      <c r="AB46" s="614"/>
      <c r="AC46" s="610"/>
      <c r="AD46" s="610"/>
      <c r="AE46" s="610"/>
      <c r="AF46" s="610"/>
      <c r="AG46" s="610"/>
      <c r="AH46" s="610"/>
      <c r="AI46" s="618" t="str">
        <f t="shared" si="1"/>
        <v>Aggressive, Darkvision</v>
      </c>
      <c r="AJ46" s="610" t="s">
        <v>3851</v>
      </c>
      <c r="AK46" s="610" t="s">
        <v>14</v>
      </c>
      <c r="AL46" s="610"/>
      <c r="AM46" s="610"/>
      <c r="AN46" s="610"/>
      <c r="AO46" s="610"/>
      <c r="AP46" s="610"/>
      <c r="AQ46" s="610"/>
      <c r="AR46" s="610"/>
      <c r="AS46" s="618" t="str">
        <f t="shared" si="2"/>
        <v/>
      </c>
      <c r="AT46" s="610"/>
      <c r="AU46" s="610"/>
      <c r="AV46" s="610"/>
      <c r="AW46" s="610"/>
      <c r="AX46" s="610"/>
      <c r="AY46" s="610"/>
      <c r="AZ46" s="610"/>
      <c r="BA46" s="610" t="str">
        <f t="shared" si="4"/>
        <v/>
      </c>
      <c r="BB46" s="610"/>
      <c r="BC46" s="610"/>
      <c r="BD46" s="610"/>
      <c r="BE46" s="610"/>
      <c r="BF46" s="618" t="str">
        <f t="shared" si="3"/>
        <v>Common, Orcish</v>
      </c>
      <c r="BG46" s="610" t="s">
        <v>43</v>
      </c>
      <c r="BH46" s="610" t="s">
        <v>3522</v>
      </c>
      <c r="BI46" s="610"/>
    </row>
    <row r="47" spans="1:61" x14ac:dyDescent="0.2">
      <c r="A47" s="610">
        <v>46</v>
      </c>
      <c r="B47" s="610" t="s">
        <v>1102</v>
      </c>
      <c r="C47" s="619">
        <f>IF(COUNTIF($B$2:B47,B47)=1,1+COUNTIF($C$2:C46,"&gt;0"),0)</f>
        <v>25</v>
      </c>
      <c r="D47" s="619">
        <f>IF(Race=B47,1+COUNTIF($D$2:D46,"&gt;0"),0)</f>
        <v>0</v>
      </c>
      <c r="E47" s="610" t="s">
        <v>1102</v>
      </c>
      <c r="F47" s="610"/>
      <c r="G47" s="610"/>
      <c r="H47" s="610"/>
      <c r="I47" s="615" t="str">
        <f t="shared" si="0"/>
        <v>Strength: -2, Dexterity: +2</v>
      </c>
      <c r="J47" s="612">
        <v>-2</v>
      </c>
      <c r="K47" s="611">
        <v>2</v>
      </c>
      <c r="L47" s="611">
        <v>0</v>
      </c>
      <c r="M47" s="611">
        <v>0</v>
      </c>
      <c r="N47" s="611">
        <v>0</v>
      </c>
      <c r="O47" s="611">
        <v>0</v>
      </c>
      <c r="P47" s="611"/>
      <c r="Q47" s="613"/>
      <c r="R47" s="613"/>
      <c r="S47" s="613"/>
      <c r="T47" s="613"/>
      <c r="U47" s="613"/>
      <c r="V47" s="613"/>
      <c r="W47" s="613"/>
      <c r="X47" s="610" t="s">
        <v>603</v>
      </c>
      <c r="Y47" s="610">
        <v>10</v>
      </c>
      <c r="Z47" s="610">
        <v>30</v>
      </c>
      <c r="AA47" s="610">
        <v>60</v>
      </c>
      <c r="AB47" s="614"/>
      <c r="AC47" s="610"/>
      <c r="AD47" s="610"/>
      <c r="AE47" s="610"/>
      <c r="AF47" s="610"/>
      <c r="AG47" s="610"/>
      <c r="AH47" s="610"/>
      <c r="AI47" s="618" t="str">
        <f t="shared" si="1"/>
        <v>Nimble Escape, Darkvision</v>
      </c>
      <c r="AJ47" s="610" t="s">
        <v>3852</v>
      </c>
      <c r="AK47" s="610" t="s">
        <v>14</v>
      </c>
      <c r="AL47" s="610"/>
      <c r="AM47" s="610"/>
      <c r="AN47" s="610"/>
      <c r="AO47" s="610"/>
      <c r="AP47" s="610"/>
      <c r="AQ47" s="610"/>
      <c r="AR47" s="610"/>
      <c r="AS47" s="618" t="str">
        <f t="shared" si="2"/>
        <v/>
      </c>
      <c r="AT47" s="610"/>
      <c r="AU47" s="610"/>
      <c r="AV47" s="610"/>
      <c r="AW47" s="610"/>
      <c r="AX47" s="610"/>
      <c r="AY47" s="610"/>
      <c r="AZ47" s="610"/>
      <c r="BA47" s="610" t="str">
        <f t="shared" si="4"/>
        <v/>
      </c>
      <c r="BB47" s="610"/>
      <c r="BC47" s="610"/>
      <c r="BD47" s="610"/>
      <c r="BE47" s="610"/>
      <c r="BF47" s="618" t="str">
        <f t="shared" si="3"/>
        <v>Common, Goblin</v>
      </c>
      <c r="BG47" s="610" t="s">
        <v>43</v>
      </c>
      <c r="BH47" s="610" t="s">
        <v>1102</v>
      </c>
      <c r="BI47" s="610"/>
    </row>
    <row r="48" spans="1:61" x14ac:dyDescent="0.2">
      <c r="A48" s="610">
        <v>47</v>
      </c>
      <c r="B48" s="610" t="s">
        <v>3831</v>
      </c>
      <c r="C48" s="619">
        <f>IF(COUNTIF($B$2:B48,B48)=1,1+COUNTIF($C$2:C47,"&gt;0"),0)</f>
        <v>26</v>
      </c>
      <c r="D48" s="619">
        <f>IF(Race=B48,1+COUNTIF($D$2:D47,"&gt;0"),0)</f>
        <v>0</v>
      </c>
      <c r="E48" s="610" t="s">
        <v>3831</v>
      </c>
      <c r="F48" s="610"/>
      <c r="G48" s="610"/>
      <c r="H48" s="610"/>
      <c r="I48" s="615" t="str">
        <f t="shared" si="0"/>
        <v>Strength: +2, Constitution: +2, Intelligence: -4, Charisma: -4</v>
      </c>
      <c r="J48" s="611">
        <v>2</v>
      </c>
      <c r="K48" s="611"/>
      <c r="L48" s="611">
        <v>2</v>
      </c>
      <c r="M48" s="611" t="s">
        <v>3830</v>
      </c>
      <c r="N48" s="611"/>
      <c r="O48" s="611" t="s">
        <v>3830</v>
      </c>
      <c r="P48" s="611"/>
      <c r="Q48" s="613"/>
      <c r="R48" s="613"/>
      <c r="S48" s="613"/>
      <c r="T48" s="613"/>
      <c r="U48" s="613"/>
      <c r="V48" s="613"/>
      <c r="W48" s="613"/>
      <c r="X48" s="610" t="s">
        <v>602</v>
      </c>
      <c r="Y48" s="610">
        <v>11</v>
      </c>
      <c r="Z48" s="610">
        <v>30</v>
      </c>
      <c r="AA48" s="610">
        <v>60</v>
      </c>
      <c r="AB48" s="614"/>
      <c r="AC48" s="610"/>
      <c r="AD48" s="610"/>
      <c r="AE48" s="610"/>
      <c r="AF48" s="610"/>
      <c r="AG48" s="610"/>
      <c r="AH48" s="610"/>
      <c r="AI48" s="618" t="str">
        <f t="shared" si="1"/>
        <v>Chameleon Skin, Stench, Sunlight Sensitivity, Darkvision</v>
      </c>
      <c r="AJ48" s="610" t="s">
        <v>3853</v>
      </c>
      <c r="AK48" s="610" t="s">
        <v>3854</v>
      </c>
      <c r="AL48" s="610" t="s">
        <v>3770</v>
      </c>
      <c r="AM48" s="610" t="s">
        <v>14</v>
      </c>
      <c r="AN48" s="610"/>
      <c r="AO48" s="610"/>
      <c r="AP48" s="610"/>
      <c r="AQ48" s="610"/>
      <c r="AR48" s="610"/>
      <c r="AS48" s="618" t="str">
        <f t="shared" si="2"/>
        <v/>
      </c>
      <c r="AT48" s="610"/>
      <c r="AU48" s="610"/>
      <c r="AV48" s="610"/>
      <c r="AW48" s="610"/>
      <c r="AX48" s="610"/>
      <c r="AY48" s="610"/>
      <c r="AZ48" s="610"/>
      <c r="BA48" s="610" t="str">
        <f t="shared" si="4"/>
        <v/>
      </c>
      <c r="BB48" s="610"/>
      <c r="BC48" s="610"/>
      <c r="BD48" s="610"/>
      <c r="BE48" s="610"/>
      <c r="BF48" s="618" t="str">
        <f t="shared" si="3"/>
        <v>Troglodyte</v>
      </c>
      <c r="BG48" s="610" t="s">
        <v>3831</v>
      </c>
      <c r="BH48" s="610"/>
      <c r="BI48" s="610"/>
    </row>
    <row r="49" spans="1:61" x14ac:dyDescent="0.2">
      <c r="A49" s="610">
        <v>48</v>
      </c>
      <c r="B49" s="610" t="s">
        <v>5110</v>
      </c>
      <c r="C49" s="619">
        <f>IF(COUNTIF($B$2:B49,B49)=1,1+COUNTIF($C$2:C48,"&gt;0"),0)</f>
        <v>27</v>
      </c>
      <c r="D49" s="619">
        <f>IF(Race=B49,1+COUNTIF($D$2:D48,"&gt;0"),0)</f>
        <v>0</v>
      </c>
      <c r="E49" s="610" t="s">
        <v>5111</v>
      </c>
      <c r="F49" s="610" t="s">
        <v>7066</v>
      </c>
      <c r="G49" s="610"/>
      <c r="H49" s="610"/>
      <c r="I49" s="615" t="str">
        <f t="shared" si="0"/>
        <v>Dexterity: +1, Constitution: +2</v>
      </c>
      <c r="J49" s="611"/>
      <c r="K49" s="611">
        <v>1</v>
      </c>
      <c r="L49" s="611">
        <v>2</v>
      </c>
      <c r="M49" s="611"/>
      <c r="N49" s="611"/>
      <c r="O49" s="611"/>
      <c r="P49" s="611"/>
      <c r="Q49" s="613"/>
      <c r="R49" s="613"/>
      <c r="S49" s="613"/>
      <c r="T49" s="613"/>
      <c r="U49" s="613"/>
      <c r="V49" s="613"/>
      <c r="W49" s="613"/>
      <c r="X49" s="610" t="s">
        <v>602</v>
      </c>
      <c r="Y49" s="610">
        <v>10</v>
      </c>
      <c r="Z49" s="610">
        <v>30</v>
      </c>
      <c r="AA49" s="614"/>
      <c r="AB49" s="614"/>
      <c r="AC49" s="610"/>
      <c r="AD49" s="610"/>
      <c r="AE49" s="610"/>
      <c r="AF49" s="610"/>
      <c r="AG49" s="610"/>
      <c r="AH49" s="610"/>
      <c r="AI49" s="618" t="str">
        <f t="shared" si="1"/>
        <v>Unending Breath, Mingle with the Wind</v>
      </c>
      <c r="AJ49" s="610" t="s">
        <v>5119</v>
      </c>
      <c r="AK49" s="610" t="s">
        <v>5120</v>
      </c>
      <c r="AL49" s="610"/>
      <c r="AM49" s="610"/>
      <c r="AN49" s="610"/>
      <c r="AO49" s="610"/>
      <c r="AP49" s="610"/>
      <c r="AQ49" s="610"/>
      <c r="AR49" s="610"/>
      <c r="AS49" s="618" t="str">
        <f t="shared" si="2"/>
        <v/>
      </c>
      <c r="AT49" s="610"/>
      <c r="AU49" s="610"/>
      <c r="AV49" s="610"/>
      <c r="AW49" s="610"/>
      <c r="AX49" s="610"/>
      <c r="AY49" s="610"/>
      <c r="AZ49" s="610"/>
      <c r="BA49" s="610"/>
      <c r="BB49" s="610"/>
      <c r="BC49" s="610"/>
      <c r="BD49" s="610"/>
      <c r="BE49" s="610"/>
      <c r="BF49" s="618" t="str">
        <f t="shared" si="3"/>
        <v>Common, Primordial</v>
      </c>
      <c r="BG49" s="610" t="s">
        <v>43</v>
      </c>
      <c r="BH49" s="610" t="s">
        <v>1109</v>
      </c>
      <c r="BI49" s="610"/>
    </row>
    <row r="50" spans="1:61" x14ac:dyDescent="0.2">
      <c r="A50" s="610">
        <v>49</v>
      </c>
      <c r="B50" s="610" t="s">
        <v>5110</v>
      </c>
      <c r="C50" s="619">
        <f>IF(COUNTIF($B$2:B50,B50)=1,1+COUNTIF($C$2:C49,"&gt;0"),0)</f>
        <v>0</v>
      </c>
      <c r="D50" s="619">
        <f>IF(Race=B50,1+COUNTIF($D$2:D49,"&gt;0"),0)</f>
        <v>0</v>
      </c>
      <c r="E50" s="610" t="s">
        <v>5112</v>
      </c>
      <c r="F50" s="610" t="s">
        <v>7067</v>
      </c>
      <c r="G50" s="610"/>
      <c r="H50" s="610"/>
      <c r="I50" s="615" t="str">
        <f t="shared" si="0"/>
        <v>Constitution: +2, Intelligence: +1</v>
      </c>
      <c r="J50" s="611"/>
      <c r="K50" s="611"/>
      <c r="L50" s="611">
        <v>2</v>
      </c>
      <c r="M50" s="611">
        <v>1</v>
      </c>
      <c r="N50" s="611"/>
      <c r="O50" s="611"/>
      <c r="P50" s="611"/>
      <c r="Q50" s="613"/>
      <c r="R50" s="613"/>
      <c r="S50" s="613"/>
      <c r="T50" s="613"/>
      <c r="U50" s="613"/>
      <c r="V50" s="613"/>
      <c r="W50" s="613"/>
      <c r="X50" s="610" t="s">
        <v>602</v>
      </c>
      <c r="Y50" s="610">
        <v>10</v>
      </c>
      <c r="Z50" s="610">
        <v>30</v>
      </c>
      <c r="AA50" s="610">
        <v>60</v>
      </c>
      <c r="AB50" s="614"/>
      <c r="AC50" s="610"/>
      <c r="AD50" s="610"/>
      <c r="AE50" s="610"/>
      <c r="AF50" s="610"/>
      <c r="AG50" s="610"/>
      <c r="AH50" s="610"/>
      <c r="AI50" s="618" t="str">
        <f t="shared" si="1"/>
        <v>Fire Resistance, Reach to the Blaze, Darkvision</v>
      </c>
      <c r="AJ50" s="610" t="s">
        <v>5123</v>
      </c>
      <c r="AK50" s="610" t="s">
        <v>5124</v>
      </c>
      <c r="AL50" s="610" t="s">
        <v>14</v>
      </c>
      <c r="AM50" s="610"/>
      <c r="AN50" s="610"/>
      <c r="AO50" s="610"/>
      <c r="AP50" s="610"/>
      <c r="AQ50" s="610"/>
      <c r="AR50" s="610"/>
      <c r="AS50" s="618" t="str">
        <f t="shared" si="2"/>
        <v/>
      </c>
      <c r="AT50" s="610"/>
      <c r="AU50" s="610"/>
      <c r="AV50" s="610"/>
      <c r="AW50" s="610"/>
      <c r="AX50" s="610"/>
      <c r="AY50" s="610"/>
      <c r="AZ50" s="610"/>
      <c r="BA50" s="610"/>
      <c r="BB50" s="610"/>
      <c r="BC50" s="610"/>
      <c r="BD50" s="610"/>
      <c r="BE50" s="610"/>
      <c r="BF50" s="618" t="str">
        <f t="shared" si="3"/>
        <v>Common, Primordial</v>
      </c>
      <c r="BG50" s="610" t="s">
        <v>43</v>
      </c>
      <c r="BH50" s="610" t="s">
        <v>1109</v>
      </c>
      <c r="BI50" s="610"/>
    </row>
    <row r="51" spans="1:61" x14ac:dyDescent="0.2">
      <c r="A51" s="610">
        <v>50</v>
      </c>
      <c r="B51" s="610" t="s">
        <v>5110</v>
      </c>
      <c r="C51" s="619">
        <f>IF(COUNTIF($B$2:B51,B51)=1,1+COUNTIF($C$2:C50,"&gt;0"),0)</f>
        <v>0</v>
      </c>
      <c r="D51" s="619">
        <f>IF(Race=B51,1+COUNTIF($D$2:D50,"&gt;0"),0)</f>
        <v>0</v>
      </c>
      <c r="E51" s="610" t="s">
        <v>5113</v>
      </c>
      <c r="F51" s="610" t="s">
        <v>7068</v>
      </c>
      <c r="G51" s="610"/>
      <c r="H51" s="610"/>
      <c r="I51" s="615" t="str">
        <f t="shared" si="0"/>
        <v>Strength: +1, Constitution: +2</v>
      </c>
      <c r="J51" s="611">
        <v>1</v>
      </c>
      <c r="K51" s="611"/>
      <c r="L51" s="611">
        <v>2</v>
      </c>
      <c r="M51" s="611"/>
      <c r="N51" s="611"/>
      <c r="O51" s="611"/>
      <c r="P51" s="611"/>
      <c r="Q51" s="613"/>
      <c r="R51" s="613"/>
      <c r="S51" s="613"/>
      <c r="T51" s="613"/>
      <c r="U51" s="613"/>
      <c r="V51" s="613"/>
      <c r="W51" s="613"/>
      <c r="X51" s="610" t="s">
        <v>602</v>
      </c>
      <c r="Y51" s="610">
        <v>10</v>
      </c>
      <c r="Z51" s="610">
        <v>30</v>
      </c>
      <c r="AA51" s="614"/>
      <c r="AB51" s="614"/>
      <c r="AC51" s="610"/>
      <c r="AD51" s="610"/>
      <c r="AE51" s="610"/>
      <c r="AF51" s="610"/>
      <c r="AG51" s="610"/>
      <c r="AH51" s="610"/>
      <c r="AI51" s="618" t="str">
        <f t="shared" si="1"/>
        <v>Earth Walk, Merge with Stone</v>
      </c>
      <c r="AJ51" s="610" t="s">
        <v>5121</v>
      </c>
      <c r="AK51" s="610" t="s">
        <v>5122</v>
      </c>
      <c r="AL51" s="610"/>
      <c r="AM51" s="610"/>
      <c r="AN51" s="610"/>
      <c r="AO51" s="610"/>
      <c r="AP51" s="610"/>
      <c r="AQ51" s="610"/>
      <c r="AR51" s="610"/>
      <c r="AS51" s="618" t="str">
        <f t="shared" si="2"/>
        <v/>
      </c>
      <c r="AT51" s="610"/>
      <c r="AU51" s="610"/>
      <c r="AV51" s="610"/>
      <c r="AW51" s="610"/>
      <c r="AX51" s="610"/>
      <c r="AY51" s="610"/>
      <c r="AZ51" s="610"/>
      <c r="BA51" s="610"/>
      <c r="BB51" s="610"/>
      <c r="BC51" s="610"/>
      <c r="BD51" s="610"/>
      <c r="BE51" s="610"/>
      <c r="BF51" s="618" t="str">
        <f t="shared" si="3"/>
        <v>Common, Primordial</v>
      </c>
      <c r="BG51" s="610" t="s">
        <v>43</v>
      </c>
      <c r="BH51" s="610" t="s">
        <v>1109</v>
      </c>
      <c r="BI51" s="610"/>
    </row>
    <row r="52" spans="1:61" x14ac:dyDescent="0.2">
      <c r="A52" s="610">
        <v>51</v>
      </c>
      <c r="B52" s="610" t="s">
        <v>5110</v>
      </c>
      <c r="C52" s="619">
        <f>IF(COUNTIF($B$2:B52,B52)=1,1+COUNTIF($C$2:C51,"&gt;0"),0)</f>
        <v>0</v>
      </c>
      <c r="D52" s="619">
        <f>IF(Race=B52,1+COUNTIF($D$2:D51,"&gt;0"),0)</f>
        <v>0</v>
      </c>
      <c r="E52" s="610" t="s">
        <v>5114</v>
      </c>
      <c r="F52" s="610" t="s">
        <v>7069</v>
      </c>
      <c r="G52" s="610"/>
      <c r="H52" s="610"/>
      <c r="I52" s="615" t="str">
        <f t="shared" ref="I52:I54" si="5">SUBSTITUTE(IFERROR(LEFT(TRIM(IF(J52&lt;&gt;0,"Strength: +"&amp;J52&amp;", ","")&amp;" "&amp;IF(K52&lt;&gt;0,"Dexterity: +"&amp;K52&amp;", ","")&amp;" "&amp;IF(L52&lt;&gt;0,"Constitution: +"&amp;L52&amp;", ","")&amp;" "&amp;IF(M52&lt;&gt;0,"Intelligence: +"&amp;M52&amp;", ","")&amp;" "&amp;IF(N52&lt;&gt;0,"Wisdom: +"&amp;N52&amp;", ","")&amp;" "&amp;IF(O52&lt;&gt;0,"Charisma: +"&amp;O52&amp;", ","")),LEN(TRIM(IF(J52&lt;&gt;0,"Strength: +"&amp;J52&amp;", ","")&amp;" "&amp;IF(K52&lt;&gt;0,"Dexterity: +"&amp;K52&amp;", ","")&amp;" "&amp;IF(L52&lt;&gt;0,"Constitution: +"&amp;L52&amp;", ","")&amp;" "&amp;IF(M52&lt;&gt;0,"Intelligence: +"&amp;M52&amp;", ","")&amp;" "&amp;IF(N52&lt;&gt;0,"Wisdom: +"&amp;N52&amp;", ","")&amp;" "&amp;IF(O52&lt;&gt;0,"Charisma: +"&amp;O52&amp;", ","")))-1),""),"+-","-")</f>
        <v>Constitution: +2, Wisdom: +1</v>
      </c>
      <c r="J52" s="611"/>
      <c r="K52" s="611"/>
      <c r="L52" s="611">
        <v>2</v>
      </c>
      <c r="M52" s="611"/>
      <c r="N52" s="611">
        <v>1</v>
      </c>
      <c r="O52" s="611"/>
      <c r="P52" s="611"/>
      <c r="Q52" s="613"/>
      <c r="R52" s="613"/>
      <c r="S52" s="613"/>
      <c r="T52" s="613"/>
      <c r="U52" s="613"/>
      <c r="V52" s="613"/>
      <c r="W52" s="613"/>
      <c r="X52" s="610" t="s">
        <v>602</v>
      </c>
      <c r="Y52" s="610">
        <v>10</v>
      </c>
      <c r="Z52" s="610">
        <v>30</v>
      </c>
      <c r="AA52" s="614"/>
      <c r="AB52" s="614"/>
      <c r="AC52" s="610"/>
      <c r="AD52" s="610"/>
      <c r="AE52" s="610"/>
      <c r="AF52" s="610"/>
      <c r="AG52" s="610"/>
      <c r="AH52" s="610"/>
      <c r="AI52" s="618" t="str">
        <f t="shared" si="1"/>
        <v>Acid Resistance, Amphibious, Swim, Call to the Wave</v>
      </c>
      <c r="AJ52" s="610" t="s">
        <v>5125</v>
      </c>
      <c r="AK52" s="610" t="s">
        <v>3833</v>
      </c>
      <c r="AL52" s="610" t="s">
        <v>5126</v>
      </c>
      <c r="AM52" s="610" t="s">
        <v>5127</v>
      </c>
      <c r="AN52" s="610"/>
      <c r="AO52" s="610"/>
      <c r="AP52" s="610"/>
      <c r="AQ52" s="610"/>
      <c r="AR52" s="610"/>
      <c r="AS52" s="618" t="str">
        <f t="shared" si="2"/>
        <v/>
      </c>
      <c r="AT52" s="610"/>
      <c r="AU52" s="610"/>
      <c r="AV52" s="610"/>
      <c r="AW52" s="610"/>
      <c r="AX52" s="610"/>
      <c r="AY52" s="610"/>
      <c r="AZ52" s="610"/>
      <c r="BA52" s="610"/>
      <c r="BB52" s="610"/>
      <c r="BC52" s="610"/>
      <c r="BD52" s="610"/>
      <c r="BE52" s="610"/>
      <c r="BF52" s="618" t="str">
        <f t="shared" si="3"/>
        <v>Common, Primordial</v>
      </c>
      <c r="BG52" s="610" t="s">
        <v>43</v>
      </c>
      <c r="BH52" s="610" t="s">
        <v>1109</v>
      </c>
      <c r="BI52" s="610"/>
    </row>
    <row r="53" spans="1:61" x14ac:dyDescent="0.2">
      <c r="A53" s="610">
        <v>52</v>
      </c>
      <c r="B53" s="610" t="s">
        <v>5128</v>
      </c>
      <c r="C53" s="619">
        <f>IF(COUNTIF($B$2:B53,B53)=1,1+COUNTIF($C$2:C52,"&gt;0"),0)</f>
        <v>28</v>
      </c>
      <c r="D53" s="619">
        <f>IF(Race=B53,1+COUNTIF($D$2:D52,"&gt;0"),0)</f>
        <v>0</v>
      </c>
      <c r="E53" s="610" t="s">
        <v>5128</v>
      </c>
      <c r="F53" s="610" t="s">
        <v>7070</v>
      </c>
      <c r="G53" s="610"/>
      <c r="H53" s="610"/>
      <c r="I53" s="615" t="str">
        <f t="shared" si="5"/>
        <v>Strength: +2, Constitution: +1</v>
      </c>
      <c r="J53" s="611">
        <v>2</v>
      </c>
      <c r="K53" s="611"/>
      <c r="L53" s="611">
        <v>1</v>
      </c>
      <c r="M53" s="611"/>
      <c r="N53" s="611"/>
      <c r="O53" s="611"/>
      <c r="P53" s="611"/>
      <c r="Q53" s="613"/>
      <c r="R53" s="613"/>
      <c r="S53" s="613"/>
      <c r="T53" s="613"/>
      <c r="U53" s="613"/>
      <c r="V53" s="613"/>
      <c r="W53" s="613"/>
      <c r="X53" s="610" t="s">
        <v>602</v>
      </c>
      <c r="Y53" s="610">
        <v>10</v>
      </c>
      <c r="Z53" s="610">
        <v>30</v>
      </c>
      <c r="AA53" s="614"/>
      <c r="AB53" s="614"/>
      <c r="AC53" s="610" t="s">
        <v>7072</v>
      </c>
      <c r="AD53" s="610"/>
      <c r="AE53" s="610"/>
      <c r="AF53" s="610" t="s">
        <v>7073</v>
      </c>
      <c r="AG53" s="610" t="s">
        <v>7071</v>
      </c>
      <c r="AH53" s="610" t="s">
        <v>7074</v>
      </c>
      <c r="AI53" s="618" t="str">
        <f t="shared" si="1"/>
        <v>Natural Athlete, Stone's Endurance, Powerful Build, Mountain Born</v>
      </c>
      <c r="AJ53" s="610" t="s">
        <v>5129</v>
      </c>
      <c r="AK53" s="610" t="s">
        <v>5130</v>
      </c>
      <c r="AL53" s="610" t="s">
        <v>5131</v>
      </c>
      <c r="AM53" s="610" t="s">
        <v>5132</v>
      </c>
      <c r="AN53" s="610"/>
      <c r="AO53" s="610"/>
      <c r="AP53" s="610" t="s">
        <v>86</v>
      </c>
      <c r="AQ53" s="610"/>
      <c r="AR53" s="610"/>
      <c r="AS53" s="618" t="str">
        <f t="shared" si="2"/>
        <v>Athletics</v>
      </c>
      <c r="AT53" s="610"/>
      <c r="AU53" s="610"/>
      <c r="AV53" s="610"/>
      <c r="AW53" s="610"/>
      <c r="AX53" s="610"/>
      <c r="AY53" s="610"/>
      <c r="AZ53" s="610"/>
      <c r="BA53" s="610"/>
      <c r="BB53" s="610"/>
      <c r="BC53" s="610"/>
      <c r="BD53" s="610"/>
      <c r="BE53" s="610"/>
      <c r="BF53" s="618" t="str">
        <f t="shared" si="3"/>
        <v>Common, Giant</v>
      </c>
      <c r="BG53" s="610" t="s">
        <v>43</v>
      </c>
      <c r="BH53" s="610" t="s">
        <v>1100</v>
      </c>
      <c r="BI53" s="610"/>
    </row>
    <row r="54" spans="1:61" x14ac:dyDescent="0.2">
      <c r="A54" s="610">
        <v>53</v>
      </c>
      <c r="B54" s="610" t="s">
        <v>585</v>
      </c>
      <c r="C54" s="619">
        <f>IF(COUNTIF($B$2:B54,B54)=1,1+COUNTIF($C$2:C53,"&gt;0"),0)</f>
        <v>0</v>
      </c>
      <c r="D54" s="619">
        <f>IF(Race=B54,1+COUNTIF($D$2:D53,"&gt;0"),0)</f>
        <v>0</v>
      </c>
      <c r="E54" s="610" t="s">
        <v>5603</v>
      </c>
      <c r="F54" s="610"/>
      <c r="G54" s="610"/>
      <c r="H54" s="610"/>
      <c r="I54" s="615" t="str">
        <f t="shared" si="5"/>
        <v>Strength: +2, Charisma: +1</v>
      </c>
      <c r="J54" s="611">
        <v>2</v>
      </c>
      <c r="K54" s="611">
        <v>0</v>
      </c>
      <c r="L54" s="611">
        <v>0</v>
      </c>
      <c r="M54" s="611">
        <v>0</v>
      </c>
      <c r="N54" s="611">
        <v>0</v>
      </c>
      <c r="O54" s="611">
        <v>1</v>
      </c>
      <c r="P54" s="611"/>
      <c r="Q54" s="613"/>
      <c r="R54" s="613"/>
      <c r="S54" s="613"/>
      <c r="T54" s="613"/>
      <c r="U54" s="613"/>
      <c r="V54" s="613"/>
      <c r="W54" s="613"/>
      <c r="X54" s="610" t="s">
        <v>602</v>
      </c>
      <c r="Y54" s="610">
        <v>10</v>
      </c>
      <c r="Z54" s="610">
        <v>30</v>
      </c>
      <c r="AA54" s="614"/>
      <c r="AB54" s="614"/>
      <c r="AC54" s="610" t="s">
        <v>5972</v>
      </c>
      <c r="AD54" s="610"/>
      <c r="AE54" s="610"/>
      <c r="AF54" s="610" t="s">
        <v>5973</v>
      </c>
      <c r="AG54" s="610" t="s">
        <v>7095</v>
      </c>
      <c r="AH54" s="617" t="s">
        <v>5991</v>
      </c>
      <c r="AI54" s="618" t="str">
        <f t="shared" ref="AI54" si="6">IFERROR(LEFT(IF(AJ54="","",AJ54&amp;", ")&amp;IF(AK54="","",AK54&amp;", ")&amp;IF(AL54="","",AL54&amp;", ")&amp;IF(AM54="","",AM54&amp;", ")&amp;IF(AN54="","",AN54&amp;", ")&amp;IF(AO54="","",AO54&amp;", "),LEN(IF(AJ54="","",AJ54&amp;", ")&amp;IF(AK54="","",AK54&amp;", ")&amp;IF(AL54="","",AL54&amp;", ")&amp;IF(AM54="","",AM54&amp;", ")&amp;IF(AN54="","",AN54&amp;", ")&amp;IF(AO54="","",AO54&amp;", "))-2),"")</f>
        <v>Draconic Ancestry, Breath Weapon, Acid Resistance</v>
      </c>
      <c r="AJ54" s="610" t="s">
        <v>2218</v>
      </c>
      <c r="AK54" s="610" t="s">
        <v>2216</v>
      </c>
      <c r="AL54" s="610" t="s">
        <v>5125</v>
      </c>
      <c r="AM54" s="610"/>
      <c r="AN54" s="610"/>
      <c r="AO54" s="610"/>
      <c r="AP54" s="610"/>
      <c r="AQ54" s="610"/>
      <c r="AR54" s="610"/>
      <c r="AS54" s="618" t="str">
        <f t="shared" ref="AS54" si="7">IFERROR(LEFT(IF(AT54="","",AT54&amp;", ")&amp;IF(AU54="","",AU54&amp;", ")&amp;IF(AV54="","",AV54&amp;", ")&amp;IF(AW54="","",AW54&amp;", ")&amp;IF(AX54="","",AX54&amp;", ")&amp;IF(AY54="","",AY54&amp;", ")&amp;IF(AP54="","",AP54&amp;", ")&amp;IF(AQ54="","",AQ54&amp;", "),LEN(IF(AT54="","",AT54&amp;", ")&amp;IF(AU54="","",AU54&amp;", ")&amp;IF(AV54="","",AV54&amp;", ")&amp;IF(AW54="","",AW54&amp;", ")&amp;IF(AX54="","",AX54&amp;", ")&amp;IF(AY54="","",AY54&amp;", ")&amp;IF(AP54="","",AP54&amp;", ")&amp;IF(AQ54="","",AQ54&amp;", "))-2),"")</f>
        <v/>
      </c>
      <c r="AT54" s="610"/>
      <c r="AU54" s="610"/>
      <c r="AV54" s="610"/>
      <c r="AW54" s="610"/>
      <c r="AX54" s="610"/>
      <c r="AY54" s="610"/>
      <c r="AZ54" s="610"/>
      <c r="BA54" s="610" t="str">
        <f t="shared" ref="BA54" si="8">SUBSTITUTE(TRIM(IF(BB54="","",BB54&amp;", ")&amp;IF(BC54="","",BC54&amp;", ")&amp;IF(BD54="","",BD54&amp;", ")),", , ",", ")</f>
        <v/>
      </c>
      <c r="BB54" s="610"/>
      <c r="BC54" s="610"/>
      <c r="BD54" s="610"/>
      <c r="BE54" s="610"/>
      <c r="BF54" s="618" t="str">
        <f t="shared" ref="BF54" si="9">IFERROR(LEFT(IF(BG54="","",BG54&amp;", ")&amp;IF(BH54="","",BH54&amp;", ")&amp;IF(BI54="","",BI54&amp;", ")&amp;IF(BJ54="","",BJ54&amp;", "),LEN(IF(BG54="","",BG54&amp;", ")&amp;IF(BH54="","",BH54&amp;", ")&amp;IF(BI54="","",BI54&amp;", "))-2),"")</f>
        <v>Common, Draconic</v>
      </c>
      <c r="BG54" s="610" t="s">
        <v>43</v>
      </c>
      <c r="BH54" s="610" t="s">
        <v>1106</v>
      </c>
      <c r="BI54" s="610"/>
    </row>
    <row r="55" spans="1:61" x14ac:dyDescent="0.2">
      <c r="A55" s="610">
        <v>54</v>
      </c>
      <c r="B55" s="610" t="s">
        <v>585</v>
      </c>
      <c r="C55" s="619">
        <f>IF(COUNTIF($B$2:B55,B55)=1,1+COUNTIF($C$2:C54,"&gt;0"),0)</f>
        <v>0</v>
      </c>
      <c r="D55" s="619">
        <f>IF(Race=B55,1+COUNTIF($D$2:D54,"&gt;0"),0)</f>
        <v>0</v>
      </c>
      <c r="E55" s="610" t="s">
        <v>5604</v>
      </c>
      <c r="F55" s="610"/>
      <c r="G55" s="610"/>
      <c r="H55" s="610"/>
      <c r="I55" s="615" t="str">
        <f t="shared" ref="I55:I63" si="10">SUBSTITUTE(IFERROR(LEFT(TRIM(IF(J55&lt;&gt;0,"Strength: +"&amp;J55&amp;", ","")&amp;" "&amp;IF(K55&lt;&gt;0,"Dexterity: +"&amp;K55&amp;", ","")&amp;" "&amp;IF(L55&lt;&gt;0,"Constitution: +"&amp;L55&amp;", ","")&amp;" "&amp;IF(M55&lt;&gt;0,"Intelligence: +"&amp;M55&amp;", ","")&amp;" "&amp;IF(N55&lt;&gt;0,"Wisdom: +"&amp;N55&amp;", ","")&amp;" "&amp;IF(O55&lt;&gt;0,"Charisma: +"&amp;O55&amp;", ","")),LEN(TRIM(IF(J55&lt;&gt;0,"Strength: +"&amp;J55&amp;", ","")&amp;" "&amp;IF(K55&lt;&gt;0,"Dexterity: +"&amp;K55&amp;", ","")&amp;" "&amp;IF(L55&lt;&gt;0,"Constitution: +"&amp;L55&amp;", ","")&amp;" "&amp;IF(M55&lt;&gt;0,"Intelligence: +"&amp;M55&amp;", ","")&amp;" "&amp;IF(N55&lt;&gt;0,"Wisdom: +"&amp;N55&amp;", ","")&amp;" "&amp;IF(O55&lt;&gt;0,"Charisma: +"&amp;O55&amp;", ","")))-1),""),"+-","-")</f>
        <v>Strength: +2, Charisma: +1</v>
      </c>
      <c r="J55" s="611">
        <v>2</v>
      </c>
      <c r="K55" s="611">
        <v>0</v>
      </c>
      <c r="L55" s="611">
        <v>0</v>
      </c>
      <c r="M55" s="611">
        <v>0</v>
      </c>
      <c r="N55" s="611">
        <v>0</v>
      </c>
      <c r="O55" s="611">
        <v>1</v>
      </c>
      <c r="P55" s="611"/>
      <c r="Q55" s="613"/>
      <c r="R55" s="613"/>
      <c r="S55" s="613"/>
      <c r="T55" s="613"/>
      <c r="U55" s="613"/>
      <c r="V55" s="613"/>
      <c r="W55" s="613"/>
      <c r="X55" s="610" t="s">
        <v>602</v>
      </c>
      <c r="Y55" s="610">
        <v>10</v>
      </c>
      <c r="Z55" s="610">
        <v>30</v>
      </c>
      <c r="AA55" s="614"/>
      <c r="AB55" s="614"/>
      <c r="AC55" s="610" t="s">
        <v>5972</v>
      </c>
      <c r="AD55" s="610"/>
      <c r="AE55" s="610"/>
      <c r="AF55" s="610" t="s">
        <v>5973</v>
      </c>
      <c r="AG55" s="610" t="s">
        <v>7095</v>
      </c>
      <c r="AH55" s="617" t="s">
        <v>5991</v>
      </c>
      <c r="AI55" s="618" t="str">
        <f t="shared" ref="AI55:AI62" si="11">IFERROR(LEFT(IF(AJ55="","",AJ55&amp;", ")&amp;IF(AK55="","",AK55&amp;", ")&amp;IF(AL55="","",AL55&amp;", ")&amp;IF(AM55="","",AM55&amp;", ")&amp;IF(AN55="","",AN55&amp;", ")&amp;IF(AO55="","",AO55&amp;", "),LEN(IF(AJ55="","",AJ55&amp;", ")&amp;IF(AK55="","",AK55&amp;", ")&amp;IF(AL55="","",AL55&amp;", ")&amp;IF(AM55="","",AM55&amp;", ")&amp;IF(AN55="","",AN55&amp;", ")&amp;IF(AO55="","",AO55&amp;", "))-2),"")</f>
        <v>Draconic Ancestry, Breath Weapon, Lightning Resistance</v>
      </c>
      <c r="AJ55" s="610" t="s">
        <v>2218</v>
      </c>
      <c r="AK55" s="610" t="s">
        <v>2216</v>
      </c>
      <c r="AL55" s="610" t="s">
        <v>5880</v>
      </c>
      <c r="AM55" s="610"/>
      <c r="AN55" s="610"/>
      <c r="AO55" s="610"/>
      <c r="AP55" s="610"/>
      <c r="AQ55" s="610"/>
      <c r="AR55" s="610"/>
      <c r="AS55" s="618" t="str">
        <f t="shared" ref="AS55:AS63" si="12">IFERROR(LEFT(IF(AT55="","",AT55&amp;", ")&amp;IF(AU55="","",AU55&amp;", ")&amp;IF(AV55="","",AV55&amp;", ")&amp;IF(AW55="","",AW55&amp;", ")&amp;IF(AX55="","",AX55&amp;", ")&amp;IF(AY55="","",AY55&amp;", ")&amp;IF(AP55="","",AP55&amp;", ")&amp;IF(AQ55="","",AQ55&amp;", "),LEN(IF(AT55="","",AT55&amp;", ")&amp;IF(AU55="","",AU55&amp;", ")&amp;IF(AV55="","",AV55&amp;", ")&amp;IF(AW55="","",AW55&amp;", ")&amp;IF(AX55="","",AX55&amp;", ")&amp;IF(AY55="","",AY55&amp;", ")&amp;IF(AP55="","",AP55&amp;", ")&amp;IF(AQ55="","",AQ55&amp;", "))-2),"")</f>
        <v/>
      </c>
      <c r="AT55" s="610"/>
      <c r="AU55" s="610"/>
      <c r="AV55" s="610"/>
      <c r="AW55" s="610"/>
      <c r="AX55" s="610"/>
      <c r="AY55" s="610"/>
      <c r="AZ55" s="610"/>
      <c r="BA55" s="610" t="str">
        <f t="shared" ref="BA55:BA62" si="13">SUBSTITUTE(TRIM(IF(BB55="","",BB55&amp;", ")&amp;IF(BC55="","",BC55&amp;", ")&amp;IF(BD55="","",BD55&amp;", ")),", , ",", ")</f>
        <v/>
      </c>
      <c r="BB55" s="610"/>
      <c r="BC55" s="610"/>
      <c r="BD55" s="610"/>
      <c r="BE55" s="610"/>
      <c r="BF55" s="618" t="str">
        <f t="shared" ref="BF55:BF62" si="14">IFERROR(LEFT(IF(BG55="","",BG55&amp;", ")&amp;IF(BH55="","",BH55&amp;", ")&amp;IF(BI55="","",BI55&amp;", ")&amp;IF(BJ55="","",BJ55&amp;", "),LEN(IF(BG55="","",BG55&amp;", ")&amp;IF(BH55="","",BH55&amp;", ")&amp;IF(BI55="","",BI55&amp;", "))-2),"")</f>
        <v>Common, Draconic</v>
      </c>
      <c r="BG55" s="610" t="s">
        <v>43</v>
      </c>
      <c r="BH55" s="610" t="s">
        <v>1106</v>
      </c>
      <c r="BI55" s="610"/>
    </row>
    <row r="56" spans="1:61" x14ac:dyDescent="0.2">
      <c r="A56" s="610">
        <v>55</v>
      </c>
      <c r="B56" s="610" t="s">
        <v>585</v>
      </c>
      <c r="C56" s="619">
        <f>IF(COUNTIF($B$2:B56,B56)=1,1+COUNTIF($C$2:C55,"&gt;0"),0)</f>
        <v>0</v>
      </c>
      <c r="D56" s="619">
        <f>IF(Race=B56,1+COUNTIF($D$2:D55,"&gt;0"),0)</f>
        <v>0</v>
      </c>
      <c r="E56" s="610" t="s">
        <v>5605</v>
      </c>
      <c r="F56" s="610"/>
      <c r="G56" s="610"/>
      <c r="H56" s="610"/>
      <c r="I56" s="615" t="str">
        <f t="shared" si="10"/>
        <v>Strength: +2, Charisma: +1</v>
      </c>
      <c r="J56" s="611">
        <v>2</v>
      </c>
      <c r="K56" s="611">
        <v>0</v>
      </c>
      <c r="L56" s="611">
        <v>0</v>
      </c>
      <c r="M56" s="611">
        <v>0</v>
      </c>
      <c r="N56" s="611">
        <v>0</v>
      </c>
      <c r="O56" s="611">
        <v>1</v>
      </c>
      <c r="P56" s="611"/>
      <c r="Q56" s="613"/>
      <c r="R56" s="613"/>
      <c r="S56" s="613"/>
      <c r="T56" s="613"/>
      <c r="U56" s="613"/>
      <c r="V56" s="613"/>
      <c r="W56" s="613"/>
      <c r="X56" s="610" t="s">
        <v>602</v>
      </c>
      <c r="Y56" s="610">
        <v>10</v>
      </c>
      <c r="Z56" s="610">
        <v>30</v>
      </c>
      <c r="AA56" s="614"/>
      <c r="AB56" s="614"/>
      <c r="AC56" s="610" t="s">
        <v>5972</v>
      </c>
      <c r="AD56" s="610"/>
      <c r="AE56" s="610"/>
      <c r="AF56" s="610" t="s">
        <v>5973</v>
      </c>
      <c r="AG56" s="610" t="s">
        <v>7095</v>
      </c>
      <c r="AH56" s="617" t="s">
        <v>5991</v>
      </c>
      <c r="AI56" s="618" t="str">
        <f t="shared" si="11"/>
        <v>Draconic Ancestry, Breath Weapon, Fire Resistance</v>
      </c>
      <c r="AJ56" s="610" t="s">
        <v>2218</v>
      </c>
      <c r="AK56" s="610" t="s">
        <v>2216</v>
      </c>
      <c r="AL56" s="610" t="s">
        <v>5123</v>
      </c>
      <c r="AM56" s="610"/>
      <c r="AN56" s="610"/>
      <c r="AO56" s="610"/>
      <c r="AP56" s="610"/>
      <c r="AQ56" s="610"/>
      <c r="AR56" s="610"/>
      <c r="AS56" s="618" t="str">
        <f t="shared" si="12"/>
        <v/>
      </c>
      <c r="AT56" s="610"/>
      <c r="AU56" s="610"/>
      <c r="AV56" s="610"/>
      <c r="AW56" s="610"/>
      <c r="AX56" s="610"/>
      <c r="AY56" s="610"/>
      <c r="AZ56" s="610"/>
      <c r="BA56" s="610" t="str">
        <f t="shared" si="13"/>
        <v/>
      </c>
      <c r="BB56" s="610"/>
      <c r="BC56" s="610"/>
      <c r="BD56" s="610"/>
      <c r="BE56" s="610"/>
      <c r="BF56" s="618" t="str">
        <f t="shared" si="14"/>
        <v>Common, Draconic</v>
      </c>
      <c r="BG56" s="610" t="s">
        <v>43</v>
      </c>
      <c r="BH56" s="610" t="s">
        <v>1106</v>
      </c>
      <c r="BI56" s="610"/>
    </row>
    <row r="57" spans="1:61" x14ac:dyDescent="0.2">
      <c r="A57" s="610">
        <v>56</v>
      </c>
      <c r="B57" s="610" t="s">
        <v>585</v>
      </c>
      <c r="C57" s="619">
        <f>IF(COUNTIF($B$2:B57,B57)=1,1+COUNTIF($C$2:C56,"&gt;0"),0)</f>
        <v>0</v>
      </c>
      <c r="D57" s="619">
        <f>IF(Race=B57,1+COUNTIF($D$2:D56,"&gt;0"),0)</f>
        <v>0</v>
      </c>
      <c r="E57" s="610" t="s">
        <v>5606</v>
      </c>
      <c r="F57" s="610"/>
      <c r="G57" s="610"/>
      <c r="H57" s="610"/>
      <c r="I57" s="615" t="str">
        <f t="shared" si="10"/>
        <v>Strength: +2, Charisma: +1</v>
      </c>
      <c r="J57" s="611">
        <v>2</v>
      </c>
      <c r="K57" s="611">
        <v>0</v>
      </c>
      <c r="L57" s="611">
        <v>0</v>
      </c>
      <c r="M57" s="611">
        <v>0</v>
      </c>
      <c r="N57" s="611">
        <v>0</v>
      </c>
      <c r="O57" s="611">
        <v>1</v>
      </c>
      <c r="P57" s="611"/>
      <c r="Q57" s="613"/>
      <c r="R57" s="613"/>
      <c r="S57" s="613"/>
      <c r="T57" s="613"/>
      <c r="U57" s="613"/>
      <c r="V57" s="613"/>
      <c r="W57" s="613"/>
      <c r="X57" s="610" t="s">
        <v>602</v>
      </c>
      <c r="Y57" s="610">
        <v>10</v>
      </c>
      <c r="Z57" s="610">
        <v>30</v>
      </c>
      <c r="AA57" s="614"/>
      <c r="AB57" s="614"/>
      <c r="AC57" s="610" t="s">
        <v>5972</v>
      </c>
      <c r="AD57" s="610"/>
      <c r="AE57" s="610"/>
      <c r="AF57" s="610" t="s">
        <v>5973</v>
      </c>
      <c r="AG57" s="610" t="s">
        <v>7095</v>
      </c>
      <c r="AH57" s="617" t="s">
        <v>5991</v>
      </c>
      <c r="AI57" s="618" t="str">
        <f t="shared" si="11"/>
        <v>Draconic Ancestry, Breath Weapon, Lightning Resistance</v>
      </c>
      <c r="AJ57" s="610" t="s">
        <v>2218</v>
      </c>
      <c r="AK57" s="610" t="s">
        <v>2216</v>
      </c>
      <c r="AL57" s="610" t="s">
        <v>5880</v>
      </c>
      <c r="AM57" s="610"/>
      <c r="AN57" s="610"/>
      <c r="AO57" s="610"/>
      <c r="AP57" s="610"/>
      <c r="AQ57" s="610"/>
      <c r="AR57" s="610"/>
      <c r="AS57" s="618" t="str">
        <f t="shared" si="12"/>
        <v/>
      </c>
      <c r="AT57" s="610"/>
      <c r="AU57" s="610"/>
      <c r="AV57" s="610"/>
      <c r="AW57" s="610"/>
      <c r="AX57" s="610"/>
      <c r="AY57" s="610"/>
      <c r="AZ57" s="610"/>
      <c r="BA57" s="610" t="str">
        <f t="shared" si="13"/>
        <v/>
      </c>
      <c r="BB57" s="610"/>
      <c r="BC57" s="610"/>
      <c r="BD57" s="610"/>
      <c r="BE57" s="610"/>
      <c r="BF57" s="618" t="str">
        <f t="shared" si="14"/>
        <v>Common, Draconic</v>
      </c>
      <c r="BG57" s="610" t="s">
        <v>43</v>
      </c>
      <c r="BH57" s="610" t="s">
        <v>1106</v>
      </c>
      <c r="BI57" s="610"/>
    </row>
    <row r="58" spans="1:61" x14ac:dyDescent="0.2">
      <c r="A58" s="610">
        <v>57</v>
      </c>
      <c r="B58" s="610" t="s">
        <v>585</v>
      </c>
      <c r="C58" s="619">
        <f>IF(COUNTIF($B$2:B58,B58)=1,1+COUNTIF($C$2:C57,"&gt;0"),0)</f>
        <v>0</v>
      </c>
      <c r="D58" s="619">
        <f>IF(Race=B58,1+COUNTIF($D$2:D57,"&gt;0"),0)</f>
        <v>0</v>
      </c>
      <c r="E58" s="610" t="s">
        <v>3779</v>
      </c>
      <c r="F58" s="610"/>
      <c r="G58" s="610"/>
      <c r="H58" s="610"/>
      <c r="I58" s="615" t="str">
        <f t="shared" si="10"/>
        <v>Strength: +2, Charisma: +1</v>
      </c>
      <c r="J58" s="611">
        <v>2</v>
      </c>
      <c r="K58" s="611">
        <v>0</v>
      </c>
      <c r="L58" s="611">
        <v>0</v>
      </c>
      <c r="M58" s="611">
        <v>0</v>
      </c>
      <c r="N58" s="611">
        <v>0</v>
      </c>
      <c r="O58" s="611">
        <v>1</v>
      </c>
      <c r="P58" s="611"/>
      <c r="Q58" s="613"/>
      <c r="R58" s="613"/>
      <c r="S58" s="613"/>
      <c r="T58" s="613"/>
      <c r="U58" s="613"/>
      <c r="V58" s="613"/>
      <c r="W58" s="613"/>
      <c r="X58" s="610" t="s">
        <v>602</v>
      </c>
      <c r="Y58" s="610">
        <v>10</v>
      </c>
      <c r="Z58" s="610">
        <v>30</v>
      </c>
      <c r="AA58" s="614"/>
      <c r="AB58" s="614"/>
      <c r="AC58" s="610" t="s">
        <v>5972</v>
      </c>
      <c r="AD58" s="610"/>
      <c r="AE58" s="610"/>
      <c r="AF58" s="610" t="s">
        <v>5973</v>
      </c>
      <c r="AG58" s="610" t="s">
        <v>7095</v>
      </c>
      <c r="AH58" s="617" t="s">
        <v>5991</v>
      </c>
      <c r="AI58" s="618" t="str">
        <f t="shared" si="11"/>
        <v>Draconic Ancestry, Breath Weapon, Acid Resistance</v>
      </c>
      <c r="AJ58" s="610" t="s">
        <v>2218</v>
      </c>
      <c r="AK58" s="610" t="s">
        <v>2216</v>
      </c>
      <c r="AL58" s="610" t="s">
        <v>5125</v>
      </c>
      <c r="AM58" s="610"/>
      <c r="AN58" s="610"/>
      <c r="AO58" s="610"/>
      <c r="AP58" s="610"/>
      <c r="AQ58" s="610"/>
      <c r="AR58" s="610"/>
      <c r="AS58" s="618" t="str">
        <f t="shared" si="12"/>
        <v/>
      </c>
      <c r="AT58" s="610"/>
      <c r="AU58" s="610"/>
      <c r="AV58" s="610"/>
      <c r="AW58" s="610"/>
      <c r="AX58" s="610"/>
      <c r="AY58" s="610"/>
      <c r="AZ58" s="610"/>
      <c r="BA58" s="610" t="str">
        <f t="shared" si="13"/>
        <v/>
      </c>
      <c r="BB58" s="610"/>
      <c r="BC58" s="610"/>
      <c r="BD58" s="610"/>
      <c r="BE58" s="610"/>
      <c r="BF58" s="618" t="str">
        <f t="shared" si="14"/>
        <v>Common, Draconic</v>
      </c>
      <c r="BG58" s="610" t="s">
        <v>43</v>
      </c>
      <c r="BH58" s="610" t="s">
        <v>1106</v>
      </c>
      <c r="BI58" s="610"/>
    </row>
    <row r="59" spans="1:61" x14ac:dyDescent="0.2">
      <c r="A59" s="610">
        <v>58</v>
      </c>
      <c r="B59" s="610" t="s">
        <v>585</v>
      </c>
      <c r="C59" s="619">
        <f>IF(COUNTIF($B$2:B59,B59)=1,1+COUNTIF($C$2:C58,"&gt;0"),0)</f>
        <v>0</v>
      </c>
      <c r="D59" s="619">
        <f>IF(Race=B59,1+COUNTIF($D$2:D58,"&gt;0"),0)</f>
        <v>0</v>
      </c>
      <c r="E59" s="610" t="s">
        <v>3781</v>
      </c>
      <c r="F59" s="610"/>
      <c r="G59" s="610"/>
      <c r="H59" s="610"/>
      <c r="I59" s="615" t="str">
        <f t="shared" si="10"/>
        <v>Strength: +2, Charisma: +1</v>
      </c>
      <c r="J59" s="611">
        <v>2</v>
      </c>
      <c r="K59" s="611">
        <v>0</v>
      </c>
      <c r="L59" s="611">
        <v>0</v>
      </c>
      <c r="M59" s="611">
        <v>0</v>
      </c>
      <c r="N59" s="611">
        <v>0</v>
      </c>
      <c r="O59" s="611">
        <v>1</v>
      </c>
      <c r="P59" s="611"/>
      <c r="Q59" s="613"/>
      <c r="R59" s="613"/>
      <c r="S59" s="613"/>
      <c r="T59" s="613"/>
      <c r="U59" s="613"/>
      <c r="V59" s="613"/>
      <c r="W59" s="613"/>
      <c r="X59" s="610" t="s">
        <v>602</v>
      </c>
      <c r="Y59" s="610">
        <v>10</v>
      </c>
      <c r="Z59" s="610">
        <v>30</v>
      </c>
      <c r="AA59" s="614"/>
      <c r="AB59" s="614"/>
      <c r="AC59" s="610" t="s">
        <v>5972</v>
      </c>
      <c r="AD59" s="610"/>
      <c r="AE59" s="610"/>
      <c r="AF59" s="610" t="s">
        <v>5973</v>
      </c>
      <c r="AG59" s="610" t="s">
        <v>7095</v>
      </c>
      <c r="AH59" s="617" t="s">
        <v>5991</v>
      </c>
      <c r="AI59" s="618" t="str">
        <f t="shared" si="11"/>
        <v>Draconic Ancestry, Breath Weapon, Fire Resistance</v>
      </c>
      <c r="AJ59" s="610" t="s">
        <v>2218</v>
      </c>
      <c r="AK59" s="610" t="s">
        <v>2216</v>
      </c>
      <c r="AL59" s="610" t="s">
        <v>5123</v>
      </c>
      <c r="AM59" s="610"/>
      <c r="AN59" s="610"/>
      <c r="AO59" s="610"/>
      <c r="AP59" s="610"/>
      <c r="AQ59" s="610"/>
      <c r="AR59" s="610"/>
      <c r="AS59" s="618" t="str">
        <f t="shared" si="12"/>
        <v/>
      </c>
      <c r="AT59" s="610"/>
      <c r="AU59" s="610"/>
      <c r="AV59" s="610"/>
      <c r="AW59" s="610"/>
      <c r="AX59" s="610"/>
      <c r="AY59" s="610"/>
      <c r="AZ59" s="610"/>
      <c r="BA59" s="610" t="str">
        <f t="shared" si="13"/>
        <v/>
      </c>
      <c r="BB59" s="610"/>
      <c r="BC59" s="610"/>
      <c r="BD59" s="610"/>
      <c r="BE59" s="610"/>
      <c r="BF59" s="618" t="str">
        <f t="shared" si="14"/>
        <v>Common, Draconic</v>
      </c>
      <c r="BG59" s="610" t="s">
        <v>43</v>
      </c>
      <c r="BH59" s="610" t="s">
        <v>1106</v>
      </c>
      <c r="BI59" s="610"/>
    </row>
    <row r="60" spans="1:61" x14ac:dyDescent="0.2">
      <c r="A60" s="610">
        <v>59</v>
      </c>
      <c r="B60" s="610" t="s">
        <v>585</v>
      </c>
      <c r="C60" s="619">
        <f>IF(COUNTIF($B$2:B60,B60)=1,1+COUNTIF($C$2:C59,"&gt;0"),0)</f>
        <v>0</v>
      </c>
      <c r="D60" s="619">
        <f>IF(Race=B60,1+COUNTIF($D$2:D59,"&gt;0"),0)</f>
        <v>0</v>
      </c>
      <c r="E60" s="610" t="s">
        <v>5607</v>
      </c>
      <c r="F60" s="610"/>
      <c r="G60" s="610"/>
      <c r="H60" s="610"/>
      <c r="I60" s="615" t="str">
        <f t="shared" si="10"/>
        <v>Strength: +2, Charisma: +1</v>
      </c>
      <c r="J60" s="611">
        <v>2</v>
      </c>
      <c r="K60" s="611">
        <v>0</v>
      </c>
      <c r="L60" s="611">
        <v>0</v>
      </c>
      <c r="M60" s="611">
        <v>0</v>
      </c>
      <c r="N60" s="611">
        <v>0</v>
      </c>
      <c r="O60" s="611">
        <v>1</v>
      </c>
      <c r="P60" s="611"/>
      <c r="Q60" s="613"/>
      <c r="R60" s="613"/>
      <c r="S60" s="613"/>
      <c r="T60" s="613"/>
      <c r="U60" s="613"/>
      <c r="V60" s="613"/>
      <c r="W60" s="613"/>
      <c r="X60" s="610" t="s">
        <v>602</v>
      </c>
      <c r="Y60" s="610">
        <v>10</v>
      </c>
      <c r="Z60" s="610">
        <v>30</v>
      </c>
      <c r="AA60" s="614"/>
      <c r="AB60" s="614"/>
      <c r="AC60" s="610" t="s">
        <v>5972</v>
      </c>
      <c r="AD60" s="610"/>
      <c r="AE60" s="610"/>
      <c r="AF60" s="610" t="s">
        <v>5973</v>
      </c>
      <c r="AG60" s="610" t="s">
        <v>7095</v>
      </c>
      <c r="AH60" s="617" t="s">
        <v>5991</v>
      </c>
      <c r="AI60" s="618" t="str">
        <f t="shared" si="11"/>
        <v>Draconic Ancestry, Breath Weapon, Fire Resistance</v>
      </c>
      <c r="AJ60" s="610" t="s">
        <v>2218</v>
      </c>
      <c r="AK60" s="610" t="s">
        <v>2216</v>
      </c>
      <c r="AL60" s="610" t="s">
        <v>5123</v>
      </c>
      <c r="AM60" s="610"/>
      <c r="AN60" s="610"/>
      <c r="AO60" s="610"/>
      <c r="AP60" s="610"/>
      <c r="AQ60" s="610"/>
      <c r="AR60" s="610"/>
      <c r="AS60" s="618" t="str">
        <f t="shared" si="12"/>
        <v/>
      </c>
      <c r="AT60" s="610"/>
      <c r="AU60" s="610"/>
      <c r="AV60" s="610"/>
      <c r="AW60" s="610"/>
      <c r="AX60" s="610"/>
      <c r="AY60" s="610"/>
      <c r="AZ60" s="610"/>
      <c r="BA60" s="610" t="str">
        <f t="shared" si="13"/>
        <v/>
      </c>
      <c r="BB60" s="610"/>
      <c r="BC60" s="610"/>
      <c r="BD60" s="610"/>
      <c r="BE60" s="610"/>
      <c r="BF60" s="618" t="str">
        <f t="shared" si="14"/>
        <v>Common, Draconic</v>
      </c>
      <c r="BG60" s="610" t="s">
        <v>43</v>
      </c>
      <c r="BH60" s="610" t="s">
        <v>1106</v>
      </c>
      <c r="BI60" s="610"/>
    </row>
    <row r="61" spans="1:61" x14ac:dyDescent="0.2">
      <c r="A61" s="610">
        <v>60</v>
      </c>
      <c r="B61" s="610" t="s">
        <v>585</v>
      </c>
      <c r="C61" s="619">
        <f>IF(COUNTIF($B$2:B61,B61)=1,1+COUNTIF($C$2:C60,"&gt;0"),0)</f>
        <v>0</v>
      </c>
      <c r="D61" s="619">
        <f>IF(Race=B61,1+COUNTIF($D$2:D60,"&gt;0"),0)</f>
        <v>0</v>
      </c>
      <c r="E61" s="610" t="s">
        <v>3780</v>
      </c>
      <c r="F61" s="610"/>
      <c r="G61" s="610"/>
      <c r="H61" s="610"/>
      <c r="I61" s="615" t="str">
        <f t="shared" si="10"/>
        <v>Strength: +2, Charisma: +1</v>
      </c>
      <c r="J61" s="611">
        <v>2</v>
      </c>
      <c r="K61" s="611">
        <v>0</v>
      </c>
      <c r="L61" s="611">
        <v>0</v>
      </c>
      <c r="M61" s="611">
        <v>0</v>
      </c>
      <c r="N61" s="611">
        <v>0</v>
      </c>
      <c r="O61" s="611">
        <v>1</v>
      </c>
      <c r="P61" s="611"/>
      <c r="Q61" s="613"/>
      <c r="R61" s="613"/>
      <c r="S61" s="613"/>
      <c r="T61" s="613"/>
      <c r="U61" s="613"/>
      <c r="V61" s="613"/>
      <c r="W61" s="613"/>
      <c r="X61" s="610" t="s">
        <v>602</v>
      </c>
      <c r="Y61" s="610">
        <v>10</v>
      </c>
      <c r="Z61" s="610">
        <v>30</v>
      </c>
      <c r="AA61" s="614"/>
      <c r="AB61" s="614"/>
      <c r="AC61" s="610" t="s">
        <v>5972</v>
      </c>
      <c r="AD61" s="610"/>
      <c r="AE61" s="610"/>
      <c r="AF61" s="610" t="s">
        <v>5973</v>
      </c>
      <c r="AG61" s="610" t="s">
        <v>7095</v>
      </c>
      <c r="AH61" s="617" t="s">
        <v>5991</v>
      </c>
      <c r="AI61" s="618" t="str">
        <f t="shared" si="11"/>
        <v>Draconic Ancestry, Breath Weapon, Cold Resistance</v>
      </c>
      <c r="AJ61" s="610" t="s">
        <v>2218</v>
      </c>
      <c r="AK61" s="610" t="s">
        <v>2216</v>
      </c>
      <c r="AL61" s="610" t="s">
        <v>5882</v>
      </c>
      <c r="AM61" s="610"/>
      <c r="AN61" s="610"/>
      <c r="AO61" s="610"/>
      <c r="AP61" s="610"/>
      <c r="AQ61" s="610"/>
      <c r="AR61" s="610"/>
      <c r="AS61" s="618" t="str">
        <f t="shared" si="12"/>
        <v/>
      </c>
      <c r="AT61" s="610"/>
      <c r="AU61" s="610"/>
      <c r="AV61" s="610"/>
      <c r="AW61" s="610"/>
      <c r="AX61" s="610"/>
      <c r="AY61" s="610"/>
      <c r="AZ61" s="610"/>
      <c r="BA61" s="610" t="str">
        <f t="shared" si="13"/>
        <v/>
      </c>
      <c r="BB61" s="610"/>
      <c r="BC61" s="610"/>
      <c r="BD61" s="610"/>
      <c r="BE61" s="610"/>
      <c r="BF61" s="618" t="str">
        <f t="shared" si="14"/>
        <v>Common, Draconic</v>
      </c>
      <c r="BG61" s="610" t="s">
        <v>43</v>
      </c>
      <c r="BH61" s="610" t="s">
        <v>1106</v>
      </c>
      <c r="BI61" s="610"/>
    </row>
    <row r="62" spans="1:61" x14ac:dyDescent="0.2">
      <c r="A62" s="610">
        <v>61</v>
      </c>
      <c r="B62" s="610" t="s">
        <v>585</v>
      </c>
      <c r="C62" s="619">
        <f>IF(COUNTIF($B$2:B62,B62)=1,1+COUNTIF($C$2:C61,"&gt;0"),0)</f>
        <v>0</v>
      </c>
      <c r="D62" s="619">
        <f>IF(Race=B62,1+COUNTIF($D$2:D61,"&gt;0"),0)</f>
        <v>0</v>
      </c>
      <c r="E62" s="610" t="s">
        <v>5608</v>
      </c>
      <c r="F62" s="610"/>
      <c r="G62" s="610"/>
      <c r="H62" s="610"/>
      <c r="I62" s="615" t="str">
        <f t="shared" si="10"/>
        <v>Strength: +2, Charisma: +1</v>
      </c>
      <c r="J62" s="611">
        <v>2</v>
      </c>
      <c r="K62" s="611">
        <v>0</v>
      </c>
      <c r="L62" s="611">
        <v>0</v>
      </c>
      <c r="M62" s="611">
        <v>0</v>
      </c>
      <c r="N62" s="611">
        <v>0</v>
      </c>
      <c r="O62" s="611">
        <v>1</v>
      </c>
      <c r="P62" s="611"/>
      <c r="Q62" s="613"/>
      <c r="R62" s="613"/>
      <c r="S62" s="613"/>
      <c r="T62" s="613"/>
      <c r="U62" s="613"/>
      <c r="V62" s="613"/>
      <c r="W62" s="613"/>
      <c r="X62" s="610" t="s">
        <v>602</v>
      </c>
      <c r="Y62" s="610">
        <v>10</v>
      </c>
      <c r="Z62" s="610">
        <v>30</v>
      </c>
      <c r="AA62" s="614"/>
      <c r="AB62" s="614"/>
      <c r="AC62" s="610" t="s">
        <v>5972</v>
      </c>
      <c r="AD62" s="610"/>
      <c r="AE62" s="610"/>
      <c r="AF62" s="610" t="s">
        <v>5973</v>
      </c>
      <c r="AG62" s="610" t="s">
        <v>7095</v>
      </c>
      <c r="AH62" s="617" t="s">
        <v>5991</v>
      </c>
      <c r="AI62" s="618" t="str">
        <f t="shared" si="11"/>
        <v>Draconic Ancestry, Breath Weapon, Cold Resistance</v>
      </c>
      <c r="AJ62" s="610" t="s">
        <v>2218</v>
      </c>
      <c r="AK62" s="610" t="s">
        <v>2216</v>
      </c>
      <c r="AL62" s="610" t="s">
        <v>5882</v>
      </c>
      <c r="AM62" s="610"/>
      <c r="AN62" s="610"/>
      <c r="AO62" s="610"/>
      <c r="AP62" s="610"/>
      <c r="AQ62" s="610"/>
      <c r="AR62" s="610"/>
      <c r="AS62" s="618" t="str">
        <f t="shared" si="12"/>
        <v/>
      </c>
      <c r="AT62" s="610"/>
      <c r="AU62" s="610"/>
      <c r="AV62" s="610"/>
      <c r="AW62" s="610"/>
      <c r="AX62" s="610"/>
      <c r="AY62" s="610"/>
      <c r="AZ62" s="610"/>
      <c r="BA62" s="610" t="str">
        <f t="shared" si="13"/>
        <v/>
      </c>
      <c r="BB62" s="610"/>
      <c r="BC62" s="610"/>
      <c r="BD62" s="610"/>
      <c r="BE62" s="610"/>
      <c r="BF62" s="618" t="str">
        <f t="shared" si="14"/>
        <v>Common, Draconic</v>
      </c>
      <c r="BG62" s="610" t="s">
        <v>43</v>
      </c>
      <c r="BH62" s="610" t="s">
        <v>1106</v>
      </c>
      <c r="BI62" s="610"/>
    </row>
    <row r="63" spans="1:61" ht="15" x14ac:dyDescent="0.25">
      <c r="A63" s="610">
        <v>62</v>
      </c>
      <c r="B63" s="610" t="s">
        <v>33</v>
      </c>
      <c r="C63" s="619">
        <f>IF(COUNTIF($B$2:B63,B63)=1,1+COUNTIF($C$2:C62,"&gt;0"),0)</f>
        <v>0</v>
      </c>
      <c r="D63" s="619">
        <f>IF(Race=B63,1+COUNTIF($D$2:D62,"&gt;0"),0)</f>
        <v>0</v>
      </c>
      <c r="E63" s="610" t="s">
        <v>7141</v>
      </c>
      <c r="F63" s="610"/>
      <c r="G63" s="610" t="s">
        <v>7147</v>
      </c>
      <c r="H63" s="610"/>
      <c r="I63" s="615" t="str">
        <f t="shared" si="10"/>
        <v>Strength: +2, Constitution: +2</v>
      </c>
      <c r="J63" s="611">
        <v>2</v>
      </c>
      <c r="K63" s="611"/>
      <c r="L63" s="611">
        <v>2</v>
      </c>
      <c r="M63" s="611"/>
      <c r="N63" s="611"/>
      <c r="O63" s="611"/>
      <c r="P63" s="611"/>
      <c r="Q63" s="613"/>
      <c r="R63" s="613"/>
      <c r="S63" s="613"/>
      <c r="T63" s="613"/>
      <c r="U63" s="613"/>
      <c r="V63" s="613"/>
      <c r="W63" s="613"/>
      <c r="X63" s="610" t="s">
        <v>602</v>
      </c>
      <c r="Y63" s="610">
        <v>10</v>
      </c>
      <c r="Z63" s="610">
        <v>30</v>
      </c>
      <c r="AA63" s="610">
        <v>120</v>
      </c>
      <c r="AB63" s="614"/>
      <c r="AC63" s="610" t="s">
        <v>5983</v>
      </c>
      <c r="AD63" s="610"/>
      <c r="AE63" s="610"/>
      <c r="AF63" s="610" t="s">
        <v>5985</v>
      </c>
      <c r="AG63" s="610"/>
      <c r="AH63" s="610"/>
      <c r="AI63" s="610"/>
      <c r="AJ63" s="610" t="s">
        <v>4151</v>
      </c>
      <c r="AK63" s="610" t="s">
        <v>7143</v>
      </c>
      <c r="AL63" s="610" t="s">
        <v>7144</v>
      </c>
      <c r="AM63" s="519" t="s">
        <v>7148</v>
      </c>
      <c r="AN63" s="610" t="s">
        <v>3770</v>
      </c>
      <c r="AO63" s="610"/>
      <c r="AP63" s="610"/>
      <c r="AQ63" s="610"/>
      <c r="AR63" s="610"/>
      <c r="AS63" s="618" t="str">
        <f t="shared" si="12"/>
        <v>Battleaxe, Handaxe, Throwing Hammer, Warhammer</v>
      </c>
      <c r="AT63" s="615" t="s">
        <v>35</v>
      </c>
      <c r="AU63" s="610" t="s">
        <v>36</v>
      </c>
      <c r="AV63" s="610" t="s">
        <v>37</v>
      </c>
      <c r="AW63" s="610" t="s">
        <v>38</v>
      </c>
      <c r="AX63" s="610"/>
      <c r="AY63" s="610"/>
      <c r="AZ63" s="610"/>
      <c r="BA63" s="610"/>
      <c r="BB63" s="610"/>
      <c r="BC63" s="610"/>
      <c r="BD63" s="610"/>
      <c r="BE63" s="610"/>
      <c r="BF63" s="618" t="str">
        <f t="shared" si="3"/>
        <v>Common, Dwarvish, Undercommon</v>
      </c>
      <c r="BG63" s="610" t="s">
        <v>43</v>
      </c>
      <c r="BH63" s="610" t="s">
        <v>42</v>
      </c>
      <c r="BI63" s="610" t="s">
        <v>1111</v>
      </c>
    </row>
    <row r="64" spans="1:61" x14ac:dyDescent="0.2">
      <c r="A64" s="610">
        <v>63</v>
      </c>
      <c r="B64" s="610"/>
      <c r="C64" s="619">
        <f>IF(COUNTIF($B$2:B64,B64)=1,1+COUNTIF($C$2:C63,"&gt;0"),0)</f>
        <v>0</v>
      </c>
      <c r="D64" s="619">
        <f>IF(Race=B64,1+COUNTIF($D$2:D63,"&gt;0"),0)</f>
        <v>0</v>
      </c>
      <c r="E64" s="610"/>
      <c r="F64" s="610"/>
      <c r="G64" s="610"/>
      <c r="H64" s="610"/>
      <c r="I64" s="610"/>
      <c r="J64" s="611"/>
      <c r="K64" s="611"/>
      <c r="L64" s="611"/>
      <c r="M64" s="611"/>
      <c r="N64" s="611"/>
      <c r="O64" s="611"/>
      <c r="P64" s="611"/>
      <c r="Q64" s="611"/>
      <c r="R64" s="611"/>
      <c r="S64" s="611"/>
      <c r="T64" s="611"/>
      <c r="U64" s="611"/>
      <c r="V64" s="611"/>
      <c r="W64" s="611"/>
      <c r="X64" s="610"/>
      <c r="Y64" s="610"/>
      <c r="Z64" s="610"/>
      <c r="AA64" s="610"/>
      <c r="AB64" s="610"/>
      <c r="AC64" s="610"/>
      <c r="AD64" s="610"/>
      <c r="AE64" s="610"/>
      <c r="AF64" s="610"/>
      <c r="AG64" s="610"/>
      <c r="AH64" s="610"/>
      <c r="AI64" s="610"/>
      <c r="AJ64" s="610"/>
      <c r="AK64" s="610"/>
      <c r="AL64" s="610"/>
      <c r="AM64" s="610"/>
      <c r="AN64" s="610"/>
      <c r="AO64" s="610"/>
      <c r="AP64" s="610"/>
      <c r="AQ64" s="610"/>
      <c r="AR64" s="610"/>
      <c r="AS64" s="610"/>
      <c r="AT64" s="610"/>
      <c r="AU64" s="610"/>
      <c r="AV64" s="610"/>
      <c r="AW64" s="610"/>
      <c r="AX64" s="610"/>
      <c r="AY64" s="610"/>
      <c r="AZ64" s="610"/>
      <c r="BA64" s="610"/>
      <c r="BB64" s="610"/>
      <c r="BC64" s="610"/>
      <c r="BD64" s="610"/>
      <c r="BE64" s="610"/>
      <c r="BF64" s="618" t="str">
        <f t="shared" si="3"/>
        <v/>
      </c>
      <c r="BG64" s="610"/>
      <c r="BH64" s="610"/>
      <c r="BI64" s="610"/>
    </row>
    <row r="65" spans="1:61" x14ac:dyDescent="0.2">
      <c r="A65" s="610">
        <v>64</v>
      </c>
      <c r="B65" s="610"/>
      <c r="C65" s="619">
        <f>IF(COUNTIF($B$2:B65,B65)=1,1+COUNTIF($C$2:C64,"&gt;0"),0)</f>
        <v>0</v>
      </c>
      <c r="D65" s="619">
        <f>IF(Race=B65,1+COUNTIF($D$2:D64,"&gt;0"),0)</f>
        <v>0</v>
      </c>
      <c r="E65" s="610"/>
      <c r="F65" s="610"/>
      <c r="G65" s="610"/>
      <c r="H65" s="610"/>
      <c r="I65" s="610"/>
      <c r="J65" s="611"/>
      <c r="K65" s="611"/>
      <c r="L65" s="611"/>
      <c r="M65" s="611"/>
      <c r="N65" s="611"/>
      <c r="O65" s="611"/>
      <c r="P65" s="611"/>
      <c r="Q65" s="611"/>
      <c r="R65" s="611"/>
      <c r="S65" s="611"/>
      <c r="T65" s="611"/>
      <c r="U65" s="611"/>
      <c r="V65" s="611"/>
      <c r="W65" s="611"/>
      <c r="X65" s="610"/>
      <c r="Y65" s="610"/>
      <c r="Z65" s="610"/>
      <c r="AA65" s="610"/>
      <c r="AB65" s="610"/>
      <c r="AC65" s="610"/>
      <c r="AD65" s="610"/>
      <c r="AE65" s="610"/>
      <c r="AF65" s="610"/>
      <c r="AG65" s="610"/>
      <c r="AH65" s="610"/>
      <c r="AI65" s="610"/>
      <c r="AJ65" s="610"/>
      <c r="AK65" s="610"/>
      <c r="AL65" s="610"/>
      <c r="AM65" s="610"/>
      <c r="AN65" s="610"/>
      <c r="AO65" s="610"/>
      <c r="AP65" s="610"/>
      <c r="AQ65" s="610"/>
      <c r="AR65" s="610"/>
      <c r="AS65" s="610"/>
      <c r="AT65" s="610"/>
      <c r="AU65" s="610"/>
      <c r="AV65" s="610"/>
      <c r="AW65" s="610"/>
      <c r="AX65" s="610"/>
      <c r="AY65" s="610"/>
      <c r="AZ65" s="610"/>
      <c r="BA65" s="610"/>
      <c r="BB65" s="610"/>
      <c r="BC65" s="610"/>
      <c r="BD65" s="610"/>
      <c r="BE65" s="610"/>
      <c r="BF65" s="618" t="str">
        <f t="shared" si="3"/>
        <v/>
      </c>
      <c r="BG65" s="610"/>
      <c r="BH65" s="610"/>
      <c r="BI65" s="610"/>
    </row>
    <row r="66" spans="1:61" x14ac:dyDescent="0.2">
      <c r="A66" s="610">
        <v>65</v>
      </c>
      <c r="B66" s="610"/>
      <c r="C66" s="619">
        <f>IF(COUNTIF($B$2:B66,B66)=1,1+COUNTIF($C$2:C65,"&gt;0"),0)</f>
        <v>0</v>
      </c>
      <c r="D66" s="619">
        <f>IF(Race=B66,1+COUNTIF($D$2:D65,"&gt;0"),0)</f>
        <v>0</v>
      </c>
      <c r="E66" s="610"/>
      <c r="F66" s="610"/>
      <c r="G66" s="610"/>
      <c r="H66" s="610"/>
      <c r="I66" s="610"/>
      <c r="J66" s="611"/>
      <c r="K66" s="611"/>
      <c r="L66" s="611"/>
      <c r="M66" s="611"/>
      <c r="N66" s="611"/>
      <c r="O66" s="611"/>
      <c r="P66" s="611"/>
      <c r="Q66" s="611"/>
      <c r="R66" s="611"/>
      <c r="S66" s="611"/>
      <c r="T66" s="611"/>
      <c r="U66" s="611"/>
      <c r="V66" s="611"/>
      <c r="W66" s="611"/>
      <c r="X66" s="610"/>
      <c r="Y66" s="610"/>
      <c r="Z66" s="610"/>
      <c r="AA66" s="610"/>
      <c r="AB66" s="610"/>
      <c r="AC66" s="610"/>
      <c r="AD66" s="610"/>
      <c r="AE66" s="610"/>
      <c r="AF66" s="610"/>
      <c r="AG66" s="610"/>
      <c r="AH66" s="610"/>
      <c r="AI66" s="610"/>
      <c r="AJ66" s="610"/>
      <c r="AK66" s="610"/>
      <c r="AL66" s="610"/>
      <c r="AM66" s="610"/>
      <c r="AN66" s="610"/>
      <c r="AO66" s="610"/>
      <c r="AP66" s="610"/>
      <c r="AQ66" s="610"/>
      <c r="AR66" s="610"/>
      <c r="AS66" s="610"/>
      <c r="AT66" s="610"/>
      <c r="AU66" s="610"/>
      <c r="AV66" s="610"/>
      <c r="AW66" s="610"/>
      <c r="AX66" s="610"/>
      <c r="AY66" s="610"/>
      <c r="AZ66" s="610"/>
      <c r="BA66" s="610"/>
      <c r="BB66" s="610"/>
      <c r="BC66" s="610"/>
      <c r="BD66" s="610"/>
      <c r="BE66" s="610"/>
      <c r="BF66" s="618" t="str">
        <f t="shared" si="3"/>
        <v/>
      </c>
      <c r="BG66" s="610"/>
      <c r="BH66" s="610"/>
      <c r="BI66" s="610"/>
    </row>
    <row r="67" spans="1:61" x14ac:dyDescent="0.2">
      <c r="A67" s="610">
        <v>66</v>
      </c>
      <c r="B67" s="610"/>
      <c r="C67" s="619">
        <f>IF(COUNTIF($B$2:B67,B67)=1,1+COUNTIF($C$2:C66,"&gt;0"),0)</f>
        <v>0</v>
      </c>
      <c r="D67" s="619">
        <f>IF(Race=B67,1+COUNTIF($D$2:D66,"&gt;0"),0)</f>
        <v>0</v>
      </c>
      <c r="E67" s="610"/>
      <c r="F67" s="610"/>
      <c r="G67" s="610"/>
      <c r="H67" s="610"/>
      <c r="I67" s="610"/>
      <c r="J67" s="611"/>
      <c r="K67" s="611"/>
      <c r="L67" s="611"/>
      <c r="M67" s="611"/>
      <c r="N67" s="611"/>
      <c r="O67" s="611"/>
      <c r="P67" s="611"/>
      <c r="Q67" s="611"/>
      <c r="R67" s="611"/>
      <c r="S67" s="611"/>
      <c r="T67" s="611"/>
      <c r="U67" s="611"/>
      <c r="V67" s="611"/>
      <c r="W67" s="611"/>
      <c r="X67" s="610"/>
      <c r="Y67" s="610"/>
      <c r="Z67" s="610"/>
      <c r="AA67" s="610"/>
      <c r="AB67" s="610"/>
      <c r="AC67" s="610"/>
      <c r="AD67" s="610"/>
      <c r="AE67" s="610"/>
      <c r="AF67" s="610"/>
      <c r="AG67" s="610"/>
      <c r="AH67" s="610"/>
      <c r="AI67" s="610"/>
      <c r="AJ67" s="610"/>
      <c r="AK67" s="610"/>
      <c r="AL67" s="610"/>
      <c r="AM67" s="610"/>
      <c r="AN67" s="610"/>
      <c r="AO67" s="610"/>
      <c r="AP67" s="610"/>
      <c r="AQ67" s="610"/>
      <c r="AR67" s="610"/>
      <c r="AS67" s="610"/>
      <c r="AT67" s="610"/>
      <c r="AU67" s="610"/>
      <c r="AV67" s="610"/>
      <c r="AW67" s="610"/>
      <c r="AX67" s="610"/>
      <c r="AY67" s="610"/>
      <c r="AZ67" s="610"/>
      <c r="BA67" s="610"/>
      <c r="BB67" s="610"/>
      <c r="BC67" s="610"/>
      <c r="BD67" s="610"/>
      <c r="BE67" s="610"/>
      <c r="BF67" s="618" t="str">
        <f t="shared" ref="BF67:BF101" si="15">IFERROR(LEFT(IF(BG67="","",BG67&amp;", ")&amp;IF(BH67="","",BH67&amp;", ")&amp;IF(BI67="","",BI67&amp;", ")&amp;IF(BJ67="","",BJ67&amp;", "),LEN(IF(BG67="","",BG67&amp;", ")&amp;IF(BH67="","",BH67&amp;", ")&amp;IF(BI67="","",BI67&amp;", "))-2),"")</f>
        <v/>
      </c>
      <c r="BG67" s="610"/>
      <c r="BH67" s="610"/>
      <c r="BI67" s="610"/>
    </row>
    <row r="68" spans="1:61" x14ac:dyDescent="0.2">
      <c r="A68" s="610">
        <v>67</v>
      </c>
      <c r="B68" s="610"/>
      <c r="C68" s="619">
        <f>IF(COUNTIF($B$2:B68,B68)=1,1+COUNTIF($C$2:C67,"&gt;0"),0)</f>
        <v>0</v>
      </c>
      <c r="D68" s="619">
        <f>IF(Race=B68,1+COUNTIF($D$2:D67,"&gt;0"),0)</f>
        <v>0</v>
      </c>
      <c r="E68" s="610"/>
      <c r="F68" s="610"/>
      <c r="G68" s="610"/>
      <c r="H68" s="610"/>
      <c r="I68" s="610"/>
      <c r="J68" s="611"/>
      <c r="K68" s="611"/>
      <c r="L68" s="611"/>
      <c r="M68" s="611"/>
      <c r="N68" s="611"/>
      <c r="O68" s="611"/>
      <c r="P68" s="611"/>
      <c r="Q68" s="611"/>
      <c r="R68" s="611"/>
      <c r="S68" s="611"/>
      <c r="T68" s="611"/>
      <c r="U68" s="611"/>
      <c r="V68" s="611"/>
      <c r="W68" s="611"/>
      <c r="X68" s="610"/>
      <c r="Y68" s="610"/>
      <c r="Z68" s="610"/>
      <c r="AA68" s="610"/>
      <c r="AB68" s="610"/>
      <c r="AC68" s="610"/>
      <c r="AD68" s="610"/>
      <c r="AE68" s="610"/>
      <c r="AF68" s="610"/>
      <c r="AG68" s="610"/>
      <c r="AH68" s="610"/>
      <c r="AI68" s="610"/>
      <c r="AJ68" s="610"/>
      <c r="AK68" s="610"/>
      <c r="AL68" s="610"/>
      <c r="AM68" s="610"/>
      <c r="AN68" s="610"/>
      <c r="AO68" s="610"/>
      <c r="AP68" s="610"/>
      <c r="AQ68" s="610"/>
      <c r="AR68" s="610"/>
      <c r="AS68" s="610"/>
      <c r="AT68" s="610"/>
      <c r="AU68" s="610"/>
      <c r="AV68" s="610"/>
      <c r="AW68" s="610"/>
      <c r="AX68" s="610"/>
      <c r="AY68" s="610"/>
      <c r="AZ68" s="610"/>
      <c r="BA68" s="610"/>
      <c r="BB68" s="610"/>
      <c r="BC68" s="610"/>
      <c r="BD68" s="610"/>
      <c r="BE68" s="610"/>
      <c r="BF68" s="618" t="str">
        <f t="shared" si="15"/>
        <v/>
      </c>
      <c r="BG68" s="610"/>
      <c r="BH68" s="610"/>
      <c r="BI68" s="610"/>
    </row>
    <row r="69" spans="1:61" x14ac:dyDescent="0.2">
      <c r="A69" s="610">
        <v>68</v>
      </c>
      <c r="B69" s="610"/>
      <c r="C69" s="619">
        <f>IF(COUNTIF($B$2:B69,B69)=1,1+COUNTIF($C$2:C68,"&gt;0"),0)</f>
        <v>0</v>
      </c>
      <c r="D69" s="619">
        <f>IF(Race=B69,1+COUNTIF($D$2:D68,"&gt;0"),0)</f>
        <v>0</v>
      </c>
      <c r="E69" s="610"/>
      <c r="F69" s="610"/>
      <c r="G69" s="610"/>
      <c r="H69" s="610"/>
      <c r="I69" s="610"/>
      <c r="J69" s="611"/>
      <c r="K69" s="611"/>
      <c r="L69" s="611"/>
      <c r="M69" s="611"/>
      <c r="N69" s="611"/>
      <c r="O69" s="611"/>
      <c r="P69" s="611"/>
      <c r="Q69" s="611"/>
      <c r="R69" s="611"/>
      <c r="S69" s="611"/>
      <c r="T69" s="611"/>
      <c r="U69" s="611"/>
      <c r="V69" s="611"/>
      <c r="W69" s="611"/>
      <c r="X69" s="610"/>
      <c r="Y69" s="610"/>
      <c r="Z69" s="610"/>
      <c r="AA69" s="610"/>
      <c r="AB69" s="610"/>
      <c r="AC69" s="610"/>
      <c r="AD69" s="610"/>
      <c r="AE69" s="610"/>
      <c r="AF69" s="610"/>
      <c r="AG69" s="610"/>
      <c r="AH69" s="610"/>
      <c r="AI69" s="610"/>
      <c r="AJ69" s="610"/>
      <c r="AK69" s="610"/>
      <c r="AL69" s="610"/>
      <c r="AM69" s="610"/>
      <c r="AN69" s="610"/>
      <c r="AO69" s="610"/>
      <c r="AP69" s="610"/>
      <c r="AQ69" s="610"/>
      <c r="AR69" s="610"/>
      <c r="AS69" s="610"/>
      <c r="AT69" s="610"/>
      <c r="AU69" s="610"/>
      <c r="AV69" s="610"/>
      <c r="AW69" s="610"/>
      <c r="AX69" s="610"/>
      <c r="AY69" s="610"/>
      <c r="AZ69" s="610"/>
      <c r="BA69" s="610"/>
      <c r="BB69" s="610"/>
      <c r="BC69" s="610"/>
      <c r="BD69" s="610"/>
      <c r="BE69" s="610"/>
      <c r="BF69" s="618" t="str">
        <f t="shared" si="15"/>
        <v/>
      </c>
      <c r="BG69" s="610"/>
      <c r="BH69" s="610"/>
      <c r="BI69" s="610"/>
    </row>
    <row r="70" spans="1:61" x14ac:dyDescent="0.2">
      <c r="A70" s="610">
        <v>69</v>
      </c>
      <c r="B70" s="610"/>
      <c r="C70" s="619">
        <f>IF(COUNTIF($B$2:B70,B70)=1,1+COUNTIF($C$2:C69,"&gt;0"),0)</f>
        <v>0</v>
      </c>
      <c r="D70" s="619">
        <f>IF(Race=B70,1+COUNTIF($D$2:D69,"&gt;0"),0)</f>
        <v>0</v>
      </c>
      <c r="E70" s="610"/>
      <c r="F70" s="610"/>
      <c r="G70" s="610"/>
      <c r="H70" s="610"/>
      <c r="I70" s="610"/>
      <c r="J70" s="611"/>
      <c r="K70" s="611"/>
      <c r="L70" s="611"/>
      <c r="M70" s="611"/>
      <c r="N70" s="611"/>
      <c r="O70" s="611"/>
      <c r="P70" s="611"/>
      <c r="Q70" s="611"/>
      <c r="R70" s="611"/>
      <c r="S70" s="611"/>
      <c r="T70" s="611"/>
      <c r="U70" s="611"/>
      <c r="V70" s="611"/>
      <c r="W70" s="611"/>
      <c r="X70" s="610"/>
      <c r="Y70" s="610"/>
      <c r="Z70" s="610"/>
      <c r="AA70" s="610"/>
      <c r="AB70" s="610"/>
      <c r="AC70" s="610"/>
      <c r="AD70" s="610"/>
      <c r="AE70" s="610"/>
      <c r="AF70" s="610"/>
      <c r="AG70" s="610"/>
      <c r="AH70" s="610"/>
      <c r="AI70" s="610"/>
      <c r="AJ70" s="610"/>
      <c r="AK70" s="610"/>
      <c r="AL70" s="610"/>
      <c r="AM70" s="610"/>
      <c r="AN70" s="610"/>
      <c r="AO70" s="610"/>
      <c r="AP70" s="610"/>
      <c r="AQ70" s="610"/>
      <c r="AR70" s="610"/>
      <c r="AS70" s="610"/>
      <c r="AT70" s="610"/>
      <c r="AU70" s="610"/>
      <c r="AV70" s="610"/>
      <c r="AW70" s="610"/>
      <c r="AX70" s="610"/>
      <c r="AY70" s="610"/>
      <c r="AZ70" s="610"/>
      <c r="BA70" s="610"/>
      <c r="BB70" s="610"/>
      <c r="BC70" s="610"/>
      <c r="BD70" s="610"/>
      <c r="BE70" s="610"/>
      <c r="BF70" s="618" t="str">
        <f t="shared" si="15"/>
        <v/>
      </c>
      <c r="BG70" s="610"/>
      <c r="BH70" s="610"/>
      <c r="BI70" s="610"/>
    </row>
    <row r="71" spans="1:61" x14ac:dyDescent="0.2">
      <c r="A71" s="610">
        <v>70</v>
      </c>
      <c r="B71" s="610"/>
      <c r="C71" s="619">
        <f>IF(COUNTIF($B$2:B71,B71)=1,1+COUNTIF($C$2:C70,"&gt;0"),0)</f>
        <v>0</v>
      </c>
      <c r="D71" s="619">
        <f>IF(Race=B71,1+COUNTIF($D$2:D70,"&gt;0"),0)</f>
        <v>0</v>
      </c>
      <c r="E71" s="610"/>
      <c r="F71" s="610"/>
      <c r="G71" s="610"/>
      <c r="H71" s="610"/>
      <c r="I71" s="610"/>
      <c r="J71" s="611"/>
      <c r="K71" s="611"/>
      <c r="L71" s="611"/>
      <c r="M71" s="611"/>
      <c r="N71" s="611"/>
      <c r="O71" s="611"/>
      <c r="P71" s="611"/>
      <c r="Q71" s="611"/>
      <c r="R71" s="611"/>
      <c r="S71" s="611"/>
      <c r="T71" s="611"/>
      <c r="U71" s="611"/>
      <c r="V71" s="611"/>
      <c r="W71" s="611"/>
      <c r="X71" s="610"/>
      <c r="Y71" s="610"/>
      <c r="Z71" s="610"/>
      <c r="AA71" s="610"/>
      <c r="AB71" s="610"/>
      <c r="AC71" s="610"/>
      <c r="AD71" s="610"/>
      <c r="AE71" s="610"/>
      <c r="AF71" s="610"/>
      <c r="AG71" s="610"/>
      <c r="AH71" s="610"/>
      <c r="AI71" s="610"/>
      <c r="AJ71" s="610"/>
      <c r="AK71" s="610"/>
      <c r="AL71" s="610"/>
      <c r="AM71" s="610"/>
      <c r="AN71" s="610"/>
      <c r="AO71" s="610"/>
      <c r="AP71" s="610"/>
      <c r="AQ71" s="610"/>
      <c r="AR71" s="610"/>
      <c r="AS71" s="610"/>
      <c r="AT71" s="610"/>
      <c r="AU71" s="610"/>
      <c r="AV71" s="610"/>
      <c r="AW71" s="610"/>
      <c r="AX71" s="610"/>
      <c r="AY71" s="610"/>
      <c r="AZ71" s="610"/>
      <c r="BA71" s="610"/>
      <c r="BB71" s="610"/>
      <c r="BC71" s="610"/>
      <c r="BD71" s="610"/>
      <c r="BE71" s="610"/>
      <c r="BF71" s="618" t="str">
        <f t="shared" si="15"/>
        <v/>
      </c>
      <c r="BG71" s="610"/>
      <c r="BH71" s="610"/>
      <c r="BI71" s="610"/>
    </row>
    <row r="72" spans="1:61" x14ac:dyDescent="0.2">
      <c r="A72" s="610">
        <v>71</v>
      </c>
      <c r="B72" s="610"/>
      <c r="C72" s="619">
        <f>IF(COUNTIF($B$2:B72,B72)=1,1+COUNTIF($C$2:C71,"&gt;0"),0)</f>
        <v>0</v>
      </c>
      <c r="D72" s="619">
        <f>IF(Race=B72,1+COUNTIF($D$2:D71,"&gt;0"),0)</f>
        <v>0</v>
      </c>
      <c r="E72" s="610"/>
      <c r="F72" s="610"/>
      <c r="G72" s="610"/>
      <c r="H72" s="610"/>
      <c r="I72" s="610"/>
      <c r="J72" s="611"/>
      <c r="K72" s="611"/>
      <c r="L72" s="611"/>
      <c r="M72" s="611"/>
      <c r="N72" s="611"/>
      <c r="O72" s="611"/>
      <c r="P72" s="611"/>
      <c r="Q72" s="611"/>
      <c r="R72" s="611"/>
      <c r="S72" s="611"/>
      <c r="T72" s="611"/>
      <c r="U72" s="611"/>
      <c r="V72" s="611"/>
      <c r="W72" s="611"/>
      <c r="X72" s="610"/>
      <c r="Y72" s="610"/>
      <c r="Z72" s="610"/>
      <c r="AA72" s="610"/>
      <c r="AB72" s="610"/>
      <c r="AC72" s="610"/>
      <c r="AD72" s="610"/>
      <c r="AE72" s="610"/>
      <c r="AF72" s="610"/>
      <c r="AG72" s="610"/>
      <c r="AH72" s="610"/>
      <c r="AI72" s="610"/>
      <c r="AJ72" s="610"/>
      <c r="AK72" s="610"/>
      <c r="AL72" s="610"/>
      <c r="AM72" s="610"/>
      <c r="AN72" s="610"/>
      <c r="AO72" s="610"/>
      <c r="AP72" s="610"/>
      <c r="AQ72" s="610"/>
      <c r="AR72" s="610"/>
      <c r="AS72" s="610"/>
      <c r="AT72" s="610"/>
      <c r="AU72" s="610"/>
      <c r="AV72" s="610"/>
      <c r="AW72" s="610"/>
      <c r="AX72" s="610"/>
      <c r="AY72" s="610"/>
      <c r="AZ72" s="610"/>
      <c r="BA72" s="610"/>
      <c r="BB72" s="610"/>
      <c r="BC72" s="610"/>
      <c r="BD72" s="610"/>
      <c r="BE72" s="610"/>
      <c r="BF72" s="618" t="str">
        <f t="shared" si="15"/>
        <v/>
      </c>
      <c r="BG72" s="610"/>
      <c r="BH72" s="610"/>
      <c r="BI72" s="610"/>
    </row>
    <row r="73" spans="1:61" x14ac:dyDescent="0.2">
      <c r="A73" s="610">
        <v>72</v>
      </c>
      <c r="B73" s="610"/>
      <c r="C73" s="619">
        <f>IF(COUNTIF($B$2:B73,B73)=1,1+COUNTIF($C$2:C72,"&gt;0"),0)</f>
        <v>0</v>
      </c>
      <c r="D73" s="619">
        <f>IF(Race=B73,1+COUNTIF($D$2:D72,"&gt;0"),0)</f>
        <v>0</v>
      </c>
      <c r="E73" s="610"/>
      <c r="F73" s="610"/>
      <c r="G73" s="610"/>
      <c r="H73" s="610"/>
      <c r="I73" s="610"/>
      <c r="J73" s="611"/>
      <c r="K73" s="611"/>
      <c r="L73" s="611"/>
      <c r="M73" s="611"/>
      <c r="N73" s="611"/>
      <c r="O73" s="611"/>
      <c r="P73" s="611"/>
      <c r="Q73" s="611"/>
      <c r="R73" s="611"/>
      <c r="S73" s="611"/>
      <c r="T73" s="611"/>
      <c r="U73" s="611"/>
      <c r="V73" s="611"/>
      <c r="W73" s="611"/>
      <c r="X73" s="610"/>
      <c r="Y73" s="610"/>
      <c r="Z73" s="610"/>
      <c r="AA73" s="610"/>
      <c r="AB73" s="610"/>
      <c r="AC73" s="610"/>
      <c r="AD73" s="610"/>
      <c r="AE73" s="610"/>
      <c r="AF73" s="610"/>
      <c r="AG73" s="610"/>
      <c r="AH73" s="610"/>
      <c r="AI73" s="610"/>
      <c r="AJ73" s="610"/>
      <c r="AK73" s="610"/>
      <c r="AL73" s="610"/>
      <c r="AM73" s="610"/>
      <c r="AN73" s="610"/>
      <c r="AO73" s="610"/>
      <c r="AP73" s="610"/>
      <c r="AQ73" s="610"/>
      <c r="AR73" s="610"/>
      <c r="AS73" s="610"/>
      <c r="AT73" s="610"/>
      <c r="AU73" s="610"/>
      <c r="AV73" s="610"/>
      <c r="AW73" s="610"/>
      <c r="AX73" s="610"/>
      <c r="AY73" s="610"/>
      <c r="AZ73" s="610"/>
      <c r="BA73" s="610"/>
      <c r="BB73" s="610"/>
      <c r="BC73" s="610"/>
      <c r="BD73" s="610"/>
      <c r="BE73" s="610"/>
      <c r="BF73" s="618" t="str">
        <f t="shared" si="15"/>
        <v/>
      </c>
      <c r="BG73" s="610"/>
      <c r="BH73" s="610"/>
      <c r="BI73" s="610"/>
    </row>
    <row r="74" spans="1:61" x14ac:dyDescent="0.2">
      <c r="A74" s="610">
        <v>73</v>
      </c>
      <c r="B74" s="610"/>
      <c r="C74" s="619">
        <f>IF(COUNTIF($B$2:B74,B74)=1,1+COUNTIF($C$2:C73,"&gt;0"),0)</f>
        <v>0</v>
      </c>
      <c r="D74" s="619">
        <f>IF(Race=B74,1+COUNTIF($D$2:D73,"&gt;0"),0)</f>
        <v>0</v>
      </c>
      <c r="E74" s="610"/>
      <c r="F74" s="610"/>
      <c r="G74" s="610"/>
      <c r="H74" s="610"/>
      <c r="I74" s="610"/>
      <c r="J74" s="611"/>
      <c r="K74" s="611"/>
      <c r="L74" s="611"/>
      <c r="M74" s="611"/>
      <c r="N74" s="611"/>
      <c r="O74" s="611"/>
      <c r="P74" s="611"/>
      <c r="Q74" s="611"/>
      <c r="R74" s="611"/>
      <c r="S74" s="611"/>
      <c r="T74" s="611"/>
      <c r="U74" s="611"/>
      <c r="V74" s="611"/>
      <c r="W74" s="611"/>
      <c r="X74" s="610"/>
      <c r="Y74" s="610"/>
      <c r="Z74" s="610"/>
      <c r="AA74" s="610"/>
      <c r="AB74" s="610"/>
      <c r="AC74" s="610"/>
      <c r="AD74" s="610"/>
      <c r="AE74" s="610"/>
      <c r="AF74" s="610"/>
      <c r="AG74" s="610"/>
      <c r="AH74" s="610"/>
      <c r="AI74" s="610"/>
      <c r="AJ74" s="610"/>
      <c r="AK74" s="610"/>
      <c r="AL74" s="610"/>
      <c r="AM74" s="610"/>
      <c r="AN74" s="610"/>
      <c r="AO74" s="610"/>
      <c r="AP74" s="610"/>
      <c r="AQ74" s="610"/>
      <c r="AR74" s="610"/>
      <c r="AS74" s="610"/>
      <c r="AT74" s="610"/>
      <c r="AU74" s="610"/>
      <c r="AV74" s="610"/>
      <c r="AW74" s="610"/>
      <c r="AX74" s="610"/>
      <c r="AY74" s="610"/>
      <c r="AZ74" s="610"/>
      <c r="BA74" s="610"/>
      <c r="BB74" s="610"/>
      <c r="BC74" s="610"/>
      <c r="BD74" s="610"/>
      <c r="BE74" s="610"/>
      <c r="BF74" s="618" t="str">
        <f t="shared" si="15"/>
        <v/>
      </c>
      <c r="BG74" s="610"/>
      <c r="BH74" s="610"/>
      <c r="BI74" s="610"/>
    </row>
    <row r="75" spans="1:61" x14ac:dyDescent="0.2">
      <c r="A75" s="610">
        <v>74</v>
      </c>
      <c r="B75" s="610"/>
      <c r="C75" s="619">
        <f>IF(COUNTIF($B$2:B75,B75)=1,1+COUNTIF($C$2:C74,"&gt;0"),0)</f>
        <v>0</v>
      </c>
      <c r="D75" s="619">
        <f>IF(Race=B75,1+COUNTIF($D$2:D74,"&gt;0"),0)</f>
        <v>0</v>
      </c>
      <c r="E75" s="610"/>
      <c r="F75" s="610"/>
      <c r="G75" s="610"/>
      <c r="H75" s="610"/>
      <c r="I75" s="610"/>
      <c r="J75" s="611"/>
      <c r="K75" s="611"/>
      <c r="L75" s="611"/>
      <c r="M75" s="611"/>
      <c r="N75" s="611"/>
      <c r="O75" s="611"/>
      <c r="P75" s="611"/>
      <c r="Q75" s="611"/>
      <c r="R75" s="611"/>
      <c r="S75" s="611"/>
      <c r="T75" s="611"/>
      <c r="U75" s="611"/>
      <c r="V75" s="611"/>
      <c r="W75" s="611"/>
      <c r="X75" s="610"/>
      <c r="Y75" s="610"/>
      <c r="Z75" s="610"/>
      <c r="AA75" s="610"/>
      <c r="AB75" s="610"/>
      <c r="AC75" s="610"/>
      <c r="AD75" s="610"/>
      <c r="AE75" s="610"/>
      <c r="AF75" s="610"/>
      <c r="AG75" s="610"/>
      <c r="AH75" s="610"/>
      <c r="AI75" s="610"/>
      <c r="AJ75" s="610"/>
      <c r="AK75" s="610"/>
      <c r="AL75" s="610"/>
      <c r="AM75" s="610"/>
      <c r="AN75" s="610"/>
      <c r="AO75" s="610"/>
      <c r="AP75" s="610"/>
      <c r="AQ75" s="610"/>
      <c r="AR75" s="610"/>
      <c r="AS75" s="610"/>
      <c r="AT75" s="610"/>
      <c r="AU75" s="610"/>
      <c r="AV75" s="610"/>
      <c r="AW75" s="610"/>
      <c r="AX75" s="610"/>
      <c r="AY75" s="610"/>
      <c r="AZ75" s="610"/>
      <c r="BA75" s="610"/>
      <c r="BB75" s="610"/>
      <c r="BC75" s="610"/>
      <c r="BD75" s="610"/>
      <c r="BE75" s="610"/>
      <c r="BF75" s="618" t="str">
        <f t="shared" si="15"/>
        <v/>
      </c>
      <c r="BG75" s="610"/>
      <c r="BH75" s="610"/>
      <c r="BI75" s="610"/>
    </row>
    <row r="76" spans="1:61" x14ac:dyDescent="0.2">
      <c r="A76" s="610">
        <v>75</v>
      </c>
      <c r="B76" s="610"/>
      <c r="C76" s="619">
        <f>IF(COUNTIF($B$2:B76,B76)=1,1+COUNTIF($C$2:C75,"&gt;0"),0)</f>
        <v>0</v>
      </c>
      <c r="D76" s="619">
        <f>IF(Race=B76,1+COUNTIF($D$2:D75,"&gt;0"),0)</f>
        <v>0</v>
      </c>
      <c r="E76" s="610"/>
      <c r="F76" s="610"/>
      <c r="G76" s="610"/>
      <c r="H76" s="610"/>
      <c r="I76" s="610"/>
      <c r="J76" s="611"/>
      <c r="K76" s="611"/>
      <c r="L76" s="611"/>
      <c r="M76" s="611"/>
      <c r="N76" s="611"/>
      <c r="O76" s="611"/>
      <c r="P76" s="611"/>
      <c r="Q76" s="611"/>
      <c r="R76" s="611"/>
      <c r="S76" s="611"/>
      <c r="T76" s="611"/>
      <c r="U76" s="611"/>
      <c r="V76" s="611"/>
      <c r="W76" s="611"/>
      <c r="X76" s="610"/>
      <c r="Y76" s="610"/>
      <c r="Z76" s="610"/>
      <c r="AA76" s="610"/>
      <c r="AB76" s="610"/>
      <c r="AC76" s="610"/>
      <c r="AD76" s="610"/>
      <c r="AE76" s="610"/>
      <c r="AF76" s="610"/>
      <c r="AG76" s="610"/>
      <c r="AH76" s="610"/>
      <c r="AI76" s="610"/>
      <c r="AJ76" s="610"/>
      <c r="AK76" s="610"/>
      <c r="AL76" s="610"/>
      <c r="AM76" s="610"/>
      <c r="AN76" s="610"/>
      <c r="AO76" s="610"/>
      <c r="AP76" s="610"/>
      <c r="AQ76" s="610"/>
      <c r="AR76" s="610"/>
      <c r="AS76" s="610"/>
      <c r="AT76" s="610"/>
      <c r="AU76" s="610"/>
      <c r="AV76" s="610"/>
      <c r="AW76" s="610"/>
      <c r="AX76" s="610"/>
      <c r="AY76" s="610"/>
      <c r="AZ76" s="610"/>
      <c r="BA76" s="610"/>
      <c r="BB76" s="610"/>
      <c r="BC76" s="610"/>
      <c r="BD76" s="610"/>
      <c r="BE76" s="610"/>
      <c r="BF76" s="618" t="str">
        <f t="shared" si="15"/>
        <v/>
      </c>
      <c r="BG76" s="610"/>
      <c r="BH76" s="610"/>
      <c r="BI76" s="610"/>
    </row>
    <row r="77" spans="1:61" x14ac:dyDescent="0.2">
      <c r="A77" s="610">
        <v>76</v>
      </c>
      <c r="B77" s="610"/>
      <c r="C77" s="619">
        <f>IF(COUNTIF($B$2:B77,B77)=1,1+COUNTIF($C$2:C76,"&gt;0"),0)</f>
        <v>0</v>
      </c>
      <c r="D77" s="619">
        <f>IF(Race=B77,1+COUNTIF($D$2:D76,"&gt;0"),0)</f>
        <v>0</v>
      </c>
      <c r="E77" s="610"/>
      <c r="F77" s="610"/>
      <c r="G77" s="610"/>
      <c r="H77" s="610"/>
      <c r="I77" s="610"/>
      <c r="J77" s="611"/>
      <c r="K77" s="611"/>
      <c r="L77" s="611"/>
      <c r="M77" s="611"/>
      <c r="N77" s="611"/>
      <c r="O77" s="611"/>
      <c r="P77" s="611"/>
      <c r="Q77" s="611"/>
      <c r="R77" s="611"/>
      <c r="S77" s="611"/>
      <c r="T77" s="611"/>
      <c r="U77" s="611"/>
      <c r="V77" s="611"/>
      <c r="W77" s="611"/>
      <c r="X77" s="610"/>
      <c r="Y77" s="610"/>
      <c r="Z77" s="610"/>
      <c r="AA77" s="610"/>
      <c r="AB77" s="610"/>
      <c r="AC77" s="610"/>
      <c r="AD77" s="610"/>
      <c r="AE77" s="610"/>
      <c r="AF77" s="610"/>
      <c r="AG77" s="610"/>
      <c r="AH77" s="610"/>
      <c r="AI77" s="610"/>
      <c r="AJ77" s="610"/>
      <c r="AK77" s="610"/>
      <c r="AL77" s="610"/>
      <c r="AM77" s="610"/>
      <c r="AN77" s="610"/>
      <c r="AO77" s="610"/>
      <c r="AP77" s="610"/>
      <c r="AQ77" s="610"/>
      <c r="AR77" s="610"/>
      <c r="AS77" s="610"/>
      <c r="AT77" s="610"/>
      <c r="AU77" s="610"/>
      <c r="AV77" s="610"/>
      <c r="AW77" s="610"/>
      <c r="AX77" s="610"/>
      <c r="AY77" s="610"/>
      <c r="AZ77" s="610"/>
      <c r="BA77" s="610"/>
      <c r="BB77" s="610"/>
      <c r="BC77" s="610"/>
      <c r="BD77" s="610"/>
      <c r="BE77" s="610"/>
      <c r="BF77" s="618" t="str">
        <f t="shared" si="15"/>
        <v/>
      </c>
      <c r="BG77" s="610"/>
      <c r="BH77" s="610"/>
      <c r="BI77" s="610"/>
    </row>
    <row r="78" spans="1:61" x14ac:dyDescent="0.2">
      <c r="A78" s="610">
        <v>77</v>
      </c>
      <c r="B78" s="610"/>
      <c r="C78" s="619">
        <f>IF(COUNTIF($B$2:B78,B78)=1,1+COUNTIF($C$2:C77,"&gt;0"),0)</f>
        <v>0</v>
      </c>
      <c r="D78" s="619">
        <f>IF(Race=B78,1+COUNTIF($D$2:D77,"&gt;0"),0)</f>
        <v>0</v>
      </c>
      <c r="E78" s="610"/>
      <c r="F78" s="610"/>
      <c r="G78" s="610"/>
      <c r="H78" s="610"/>
      <c r="I78" s="610"/>
      <c r="J78" s="611"/>
      <c r="K78" s="611"/>
      <c r="L78" s="611"/>
      <c r="M78" s="611"/>
      <c r="N78" s="611"/>
      <c r="O78" s="611"/>
      <c r="P78" s="611"/>
      <c r="Q78" s="611"/>
      <c r="R78" s="611"/>
      <c r="S78" s="611"/>
      <c r="T78" s="611"/>
      <c r="U78" s="611"/>
      <c r="V78" s="611"/>
      <c r="W78" s="611"/>
      <c r="X78" s="610"/>
      <c r="Y78" s="610"/>
      <c r="Z78" s="610"/>
      <c r="AA78" s="610"/>
      <c r="AB78" s="610"/>
      <c r="AC78" s="610"/>
      <c r="AD78" s="610"/>
      <c r="AE78" s="610"/>
      <c r="AF78" s="610"/>
      <c r="AG78" s="610"/>
      <c r="AH78" s="610"/>
      <c r="AI78" s="610"/>
      <c r="AJ78" s="610"/>
      <c r="AK78" s="610"/>
      <c r="AL78" s="610"/>
      <c r="AM78" s="610"/>
      <c r="AN78" s="610"/>
      <c r="AO78" s="610"/>
      <c r="AP78" s="610"/>
      <c r="AQ78" s="610"/>
      <c r="AR78" s="610"/>
      <c r="AS78" s="610"/>
      <c r="AT78" s="610"/>
      <c r="AU78" s="610"/>
      <c r="AV78" s="610"/>
      <c r="AW78" s="610"/>
      <c r="AX78" s="610"/>
      <c r="AY78" s="610"/>
      <c r="AZ78" s="610"/>
      <c r="BA78" s="610"/>
      <c r="BB78" s="610"/>
      <c r="BC78" s="610"/>
      <c r="BD78" s="610"/>
      <c r="BE78" s="610"/>
      <c r="BF78" s="618" t="str">
        <f t="shared" si="15"/>
        <v/>
      </c>
      <c r="BG78" s="610"/>
      <c r="BH78" s="610"/>
      <c r="BI78" s="610"/>
    </row>
    <row r="79" spans="1:61" x14ac:dyDescent="0.2">
      <c r="A79" s="610">
        <v>78</v>
      </c>
      <c r="B79" s="610"/>
      <c r="C79" s="619">
        <f>IF(COUNTIF($B$2:B79,B79)=1,1+COUNTIF($C$2:C78,"&gt;0"),0)</f>
        <v>0</v>
      </c>
      <c r="D79" s="619">
        <f>IF(Race=B79,1+COUNTIF($D$2:D78,"&gt;0"),0)</f>
        <v>0</v>
      </c>
      <c r="E79" s="610"/>
      <c r="F79" s="610"/>
      <c r="G79" s="610"/>
      <c r="H79" s="610"/>
      <c r="I79" s="610"/>
      <c r="J79" s="611"/>
      <c r="K79" s="611"/>
      <c r="L79" s="611"/>
      <c r="M79" s="611"/>
      <c r="N79" s="611"/>
      <c r="O79" s="611"/>
      <c r="P79" s="611"/>
      <c r="Q79" s="611"/>
      <c r="R79" s="611"/>
      <c r="S79" s="611"/>
      <c r="T79" s="611"/>
      <c r="U79" s="611"/>
      <c r="V79" s="611"/>
      <c r="W79" s="611"/>
      <c r="X79" s="610"/>
      <c r="Y79" s="610"/>
      <c r="Z79" s="610"/>
      <c r="AA79" s="610"/>
      <c r="AB79" s="610"/>
      <c r="AC79" s="610"/>
      <c r="AD79" s="610"/>
      <c r="AE79" s="610"/>
      <c r="AF79" s="610"/>
      <c r="AG79" s="610"/>
      <c r="AH79" s="610"/>
      <c r="AI79" s="610"/>
      <c r="AJ79" s="610"/>
      <c r="AK79" s="610"/>
      <c r="AL79" s="610"/>
      <c r="AM79" s="610"/>
      <c r="AN79" s="610"/>
      <c r="AO79" s="610"/>
      <c r="AP79" s="610"/>
      <c r="AQ79" s="610"/>
      <c r="AR79" s="610"/>
      <c r="AS79" s="610"/>
      <c r="AT79" s="610"/>
      <c r="AU79" s="610"/>
      <c r="AV79" s="610"/>
      <c r="AW79" s="610"/>
      <c r="AX79" s="610"/>
      <c r="AY79" s="610"/>
      <c r="AZ79" s="610"/>
      <c r="BA79" s="610"/>
      <c r="BB79" s="610"/>
      <c r="BC79" s="610"/>
      <c r="BD79" s="610"/>
      <c r="BE79" s="610"/>
      <c r="BF79" s="618" t="str">
        <f t="shared" si="15"/>
        <v/>
      </c>
      <c r="BG79" s="610"/>
      <c r="BH79" s="610"/>
      <c r="BI79" s="610"/>
    </row>
    <row r="80" spans="1:61" x14ac:dyDescent="0.2">
      <c r="A80" s="610">
        <v>79</v>
      </c>
      <c r="B80" s="610"/>
      <c r="C80" s="619">
        <f>IF(COUNTIF($B$2:B80,B80)=1,1+COUNTIF($C$2:C79,"&gt;0"),0)</f>
        <v>0</v>
      </c>
      <c r="D80" s="619">
        <f>IF(Race=B80,1+COUNTIF($D$2:D79,"&gt;0"),0)</f>
        <v>0</v>
      </c>
      <c r="E80" s="610"/>
      <c r="F80" s="610"/>
      <c r="G80" s="610"/>
      <c r="H80" s="610"/>
      <c r="I80" s="610"/>
      <c r="J80" s="611"/>
      <c r="K80" s="611"/>
      <c r="L80" s="611"/>
      <c r="M80" s="611"/>
      <c r="N80" s="611"/>
      <c r="O80" s="611"/>
      <c r="P80" s="611"/>
      <c r="Q80" s="611"/>
      <c r="R80" s="611"/>
      <c r="S80" s="611"/>
      <c r="T80" s="611"/>
      <c r="U80" s="611"/>
      <c r="V80" s="611"/>
      <c r="W80" s="611"/>
      <c r="X80" s="610"/>
      <c r="Y80" s="610"/>
      <c r="Z80" s="610"/>
      <c r="AA80" s="610"/>
      <c r="AB80" s="610"/>
      <c r="AC80" s="610"/>
      <c r="AD80" s="610"/>
      <c r="AE80" s="610"/>
      <c r="AF80" s="610"/>
      <c r="AG80" s="610"/>
      <c r="AH80" s="610"/>
      <c r="AI80" s="610"/>
      <c r="AJ80" s="610"/>
      <c r="AK80" s="610"/>
      <c r="AL80" s="610"/>
      <c r="AM80" s="610"/>
      <c r="AN80" s="610"/>
      <c r="AO80" s="610"/>
      <c r="AP80" s="610"/>
      <c r="AQ80" s="610"/>
      <c r="AR80" s="610"/>
      <c r="AS80" s="610"/>
      <c r="AT80" s="610"/>
      <c r="AU80" s="610"/>
      <c r="AV80" s="610"/>
      <c r="AW80" s="610"/>
      <c r="AX80" s="610"/>
      <c r="AY80" s="610"/>
      <c r="AZ80" s="610"/>
      <c r="BA80" s="610"/>
      <c r="BB80" s="610"/>
      <c r="BC80" s="610"/>
      <c r="BD80" s="610"/>
      <c r="BE80" s="610"/>
      <c r="BF80" s="618" t="str">
        <f t="shared" si="15"/>
        <v/>
      </c>
      <c r="BG80" s="610"/>
      <c r="BH80" s="610"/>
      <c r="BI80" s="610"/>
    </row>
    <row r="81" spans="1:61" x14ac:dyDescent="0.2">
      <c r="A81" s="610">
        <v>80</v>
      </c>
      <c r="B81" s="610"/>
      <c r="C81" s="619">
        <f>IF(COUNTIF($B$2:B81,B81)=1,1+COUNTIF($C$2:C80,"&gt;0"),0)</f>
        <v>0</v>
      </c>
      <c r="D81" s="619">
        <f>IF(Race=B81,1+COUNTIF($D$2:D80,"&gt;0"),0)</f>
        <v>0</v>
      </c>
      <c r="E81" s="610"/>
      <c r="F81" s="610"/>
      <c r="G81" s="610"/>
      <c r="H81" s="610"/>
      <c r="I81" s="610"/>
      <c r="J81" s="611"/>
      <c r="K81" s="611"/>
      <c r="L81" s="611"/>
      <c r="M81" s="611"/>
      <c r="N81" s="611"/>
      <c r="O81" s="611"/>
      <c r="P81" s="611"/>
      <c r="Q81" s="611"/>
      <c r="R81" s="611"/>
      <c r="S81" s="611"/>
      <c r="T81" s="611"/>
      <c r="U81" s="611"/>
      <c r="V81" s="611"/>
      <c r="W81" s="611"/>
      <c r="X81" s="610"/>
      <c r="Y81" s="610"/>
      <c r="Z81" s="610"/>
      <c r="AA81" s="610"/>
      <c r="AB81" s="610"/>
      <c r="AC81" s="610"/>
      <c r="AD81" s="610"/>
      <c r="AE81" s="610"/>
      <c r="AF81" s="610"/>
      <c r="AG81" s="610"/>
      <c r="AH81" s="610"/>
      <c r="AI81" s="610"/>
      <c r="AJ81" s="610"/>
      <c r="AK81" s="610"/>
      <c r="AL81" s="610"/>
      <c r="AM81" s="610"/>
      <c r="AN81" s="610"/>
      <c r="AO81" s="610"/>
      <c r="AP81" s="610"/>
      <c r="AQ81" s="610"/>
      <c r="AR81" s="610"/>
      <c r="AS81" s="610"/>
      <c r="AT81" s="610"/>
      <c r="AU81" s="610"/>
      <c r="AV81" s="610"/>
      <c r="AW81" s="610"/>
      <c r="AX81" s="610"/>
      <c r="AY81" s="610"/>
      <c r="AZ81" s="610"/>
      <c r="BA81" s="610"/>
      <c r="BB81" s="610"/>
      <c r="BC81" s="610"/>
      <c r="BD81" s="610"/>
      <c r="BE81" s="610"/>
      <c r="BF81" s="618" t="str">
        <f t="shared" si="15"/>
        <v/>
      </c>
      <c r="BG81" s="610"/>
      <c r="BH81" s="610"/>
      <c r="BI81" s="610"/>
    </row>
    <row r="82" spans="1:61" x14ac:dyDescent="0.2">
      <c r="A82" s="610">
        <v>81</v>
      </c>
      <c r="B82" s="610"/>
      <c r="C82" s="619">
        <f>IF(COUNTIF($B$2:B82,B82)=1,1+COUNTIF($C$2:C81,"&gt;0"),0)</f>
        <v>0</v>
      </c>
      <c r="D82" s="619">
        <f>IF(Race=B82,1+COUNTIF($D$2:D81,"&gt;0"),0)</f>
        <v>0</v>
      </c>
      <c r="E82" s="610"/>
      <c r="F82" s="610"/>
      <c r="G82" s="610"/>
      <c r="H82" s="610"/>
      <c r="I82" s="610"/>
      <c r="J82" s="611"/>
      <c r="K82" s="611"/>
      <c r="L82" s="611"/>
      <c r="M82" s="611"/>
      <c r="N82" s="611"/>
      <c r="O82" s="611"/>
      <c r="P82" s="611"/>
      <c r="Q82" s="611"/>
      <c r="R82" s="611"/>
      <c r="S82" s="611"/>
      <c r="T82" s="611"/>
      <c r="U82" s="611"/>
      <c r="V82" s="611"/>
      <c r="W82" s="611"/>
      <c r="X82" s="610"/>
      <c r="Y82" s="610"/>
      <c r="Z82" s="610"/>
      <c r="AA82" s="610"/>
      <c r="AB82" s="610"/>
      <c r="AC82" s="610"/>
      <c r="AD82" s="610"/>
      <c r="AE82" s="610"/>
      <c r="AF82" s="610"/>
      <c r="AG82" s="610"/>
      <c r="AH82" s="610"/>
      <c r="AI82" s="610"/>
      <c r="AJ82" s="610"/>
      <c r="AK82" s="610"/>
      <c r="AL82" s="610"/>
      <c r="AM82" s="610"/>
      <c r="AN82" s="610"/>
      <c r="AO82" s="610"/>
      <c r="AP82" s="610"/>
      <c r="AQ82" s="610"/>
      <c r="AR82" s="610"/>
      <c r="AS82" s="610"/>
      <c r="AT82" s="610"/>
      <c r="AU82" s="610"/>
      <c r="AV82" s="610"/>
      <c r="AW82" s="610"/>
      <c r="AX82" s="610"/>
      <c r="AY82" s="610"/>
      <c r="AZ82" s="610"/>
      <c r="BA82" s="610"/>
      <c r="BB82" s="610"/>
      <c r="BC82" s="610"/>
      <c r="BD82" s="610"/>
      <c r="BE82" s="610"/>
      <c r="BF82" s="618" t="str">
        <f t="shared" si="15"/>
        <v/>
      </c>
      <c r="BG82" s="610"/>
      <c r="BH82" s="610"/>
      <c r="BI82" s="610"/>
    </row>
    <row r="83" spans="1:61" x14ac:dyDescent="0.2">
      <c r="A83" s="610">
        <v>82</v>
      </c>
      <c r="B83" s="610"/>
      <c r="C83" s="619">
        <f>IF(COUNTIF($B$2:B83,B83)=1,1+COUNTIF($C$2:C82,"&gt;0"),0)</f>
        <v>0</v>
      </c>
      <c r="D83" s="619">
        <f>IF(Race=B83,1+COUNTIF($D$2:D82,"&gt;0"),0)</f>
        <v>0</v>
      </c>
      <c r="E83" s="610"/>
      <c r="F83" s="610"/>
      <c r="G83" s="610"/>
      <c r="H83" s="610"/>
      <c r="I83" s="610"/>
      <c r="J83" s="611"/>
      <c r="K83" s="611"/>
      <c r="L83" s="611"/>
      <c r="M83" s="611"/>
      <c r="N83" s="611"/>
      <c r="O83" s="611"/>
      <c r="P83" s="611"/>
      <c r="Q83" s="611"/>
      <c r="R83" s="611"/>
      <c r="S83" s="611"/>
      <c r="T83" s="611"/>
      <c r="U83" s="611"/>
      <c r="V83" s="611"/>
      <c r="W83" s="611"/>
      <c r="X83" s="610"/>
      <c r="Y83" s="610"/>
      <c r="Z83" s="610"/>
      <c r="AA83" s="610"/>
      <c r="AB83" s="610"/>
      <c r="AC83" s="610"/>
      <c r="AD83" s="610"/>
      <c r="AE83" s="610"/>
      <c r="AF83" s="610"/>
      <c r="AG83" s="610"/>
      <c r="AH83" s="610"/>
      <c r="AI83" s="610"/>
      <c r="AJ83" s="610"/>
      <c r="AK83" s="610"/>
      <c r="AL83" s="610"/>
      <c r="AM83" s="610"/>
      <c r="AN83" s="610"/>
      <c r="AO83" s="610"/>
      <c r="AP83" s="610"/>
      <c r="AQ83" s="610"/>
      <c r="AR83" s="610"/>
      <c r="AS83" s="610"/>
      <c r="AT83" s="610"/>
      <c r="AU83" s="610"/>
      <c r="AV83" s="610"/>
      <c r="AW83" s="610"/>
      <c r="AX83" s="610"/>
      <c r="AY83" s="610"/>
      <c r="AZ83" s="610"/>
      <c r="BA83" s="610"/>
      <c r="BB83" s="610"/>
      <c r="BC83" s="610"/>
      <c r="BD83" s="610"/>
      <c r="BE83" s="610"/>
      <c r="BF83" s="618" t="str">
        <f t="shared" si="15"/>
        <v/>
      </c>
      <c r="BG83" s="610"/>
      <c r="BH83" s="610"/>
      <c r="BI83" s="610"/>
    </row>
    <row r="84" spans="1:61" x14ac:dyDescent="0.2">
      <c r="A84" s="610">
        <v>83</v>
      </c>
      <c r="B84" s="610"/>
      <c r="C84" s="619">
        <f>IF(COUNTIF($B$2:B84,B84)=1,1+COUNTIF($C$2:C83,"&gt;0"),0)</f>
        <v>0</v>
      </c>
      <c r="D84" s="619">
        <f>IF(Race=B84,1+COUNTIF($D$2:D83,"&gt;0"),0)</f>
        <v>0</v>
      </c>
      <c r="E84" s="610"/>
      <c r="F84" s="610"/>
      <c r="G84" s="610"/>
      <c r="H84" s="610"/>
      <c r="I84" s="610"/>
      <c r="J84" s="611"/>
      <c r="K84" s="611"/>
      <c r="L84" s="611"/>
      <c r="M84" s="611"/>
      <c r="N84" s="611"/>
      <c r="O84" s="611"/>
      <c r="P84" s="611"/>
      <c r="Q84" s="611"/>
      <c r="R84" s="611"/>
      <c r="S84" s="611"/>
      <c r="T84" s="611"/>
      <c r="U84" s="611"/>
      <c r="V84" s="611"/>
      <c r="W84" s="611"/>
      <c r="X84" s="610"/>
      <c r="Y84" s="610"/>
      <c r="Z84" s="610"/>
      <c r="AA84" s="610"/>
      <c r="AB84" s="610"/>
      <c r="AC84" s="610"/>
      <c r="AD84" s="610"/>
      <c r="AE84" s="610"/>
      <c r="AF84" s="610"/>
      <c r="AG84" s="610"/>
      <c r="AH84" s="610"/>
      <c r="AI84" s="610"/>
      <c r="AJ84" s="610"/>
      <c r="AK84" s="610"/>
      <c r="AL84" s="610"/>
      <c r="AM84" s="610"/>
      <c r="AN84" s="610"/>
      <c r="AO84" s="610"/>
      <c r="AP84" s="610"/>
      <c r="AQ84" s="610"/>
      <c r="AR84" s="610"/>
      <c r="AS84" s="610"/>
      <c r="AT84" s="610"/>
      <c r="AU84" s="610"/>
      <c r="AV84" s="610"/>
      <c r="AW84" s="610"/>
      <c r="AX84" s="610"/>
      <c r="AY84" s="610"/>
      <c r="AZ84" s="610"/>
      <c r="BA84" s="610"/>
      <c r="BB84" s="610"/>
      <c r="BC84" s="610"/>
      <c r="BD84" s="610"/>
      <c r="BE84" s="610"/>
      <c r="BF84" s="618" t="str">
        <f t="shared" si="15"/>
        <v/>
      </c>
      <c r="BG84" s="610"/>
      <c r="BH84" s="610"/>
      <c r="BI84" s="610"/>
    </row>
    <row r="85" spans="1:61" x14ac:dyDescent="0.2">
      <c r="A85" s="610">
        <v>84</v>
      </c>
      <c r="B85" s="610"/>
      <c r="C85" s="619">
        <f>IF(COUNTIF($B$2:B85,B85)=1,1+COUNTIF($C$2:C84,"&gt;0"),0)</f>
        <v>0</v>
      </c>
      <c r="D85" s="619">
        <f>IF(Race=B85,1+COUNTIF($D$2:D84,"&gt;0"),0)</f>
        <v>0</v>
      </c>
      <c r="E85" s="610"/>
      <c r="F85" s="610"/>
      <c r="G85" s="610"/>
      <c r="H85" s="610"/>
      <c r="I85" s="610"/>
      <c r="J85" s="611"/>
      <c r="K85" s="611"/>
      <c r="L85" s="611"/>
      <c r="M85" s="611"/>
      <c r="N85" s="611"/>
      <c r="O85" s="611"/>
      <c r="P85" s="611"/>
      <c r="Q85" s="611"/>
      <c r="R85" s="611"/>
      <c r="S85" s="611"/>
      <c r="T85" s="611"/>
      <c r="U85" s="611"/>
      <c r="V85" s="611"/>
      <c r="W85" s="611"/>
      <c r="X85" s="610"/>
      <c r="Y85" s="610"/>
      <c r="Z85" s="610"/>
      <c r="AA85" s="610"/>
      <c r="AB85" s="610"/>
      <c r="AC85" s="610"/>
      <c r="AD85" s="610"/>
      <c r="AE85" s="610"/>
      <c r="AF85" s="610"/>
      <c r="AG85" s="610"/>
      <c r="AH85" s="610"/>
      <c r="AI85" s="610"/>
      <c r="AJ85" s="610"/>
      <c r="AK85" s="610"/>
      <c r="AL85" s="610"/>
      <c r="AM85" s="610"/>
      <c r="AN85" s="610"/>
      <c r="AO85" s="610"/>
      <c r="AP85" s="610"/>
      <c r="AQ85" s="610"/>
      <c r="AR85" s="610"/>
      <c r="AS85" s="610"/>
      <c r="AT85" s="610"/>
      <c r="AU85" s="610"/>
      <c r="AV85" s="610"/>
      <c r="AW85" s="610"/>
      <c r="AX85" s="610"/>
      <c r="AY85" s="610"/>
      <c r="AZ85" s="610"/>
      <c r="BA85" s="610"/>
      <c r="BB85" s="610"/>
      <c r="BC85" s="610"/>
      <c r="BD85" s="610"/>
      <c r="BE85" s="610"/>
      <c r="BF85" s="618" t="str">
        <f t="shared" si="15"/>
        <v/>
      </c>
      <c r="BG85" s="610"/>
      <c r="BH85" s="610"/>
      <c r="BI85" s="610"/>
    </row>
    <row r="86" spans="1:61" x14ac:dyDescent="0.2">
      <c r="A86" s="610">
        <v>85</v>
      </c>
      <c r="B86" s="610"/>
      <c r="C86" s="619">
        <f>IF(COUNTIF($B$2:B86,B86)=1,1+COUNTIF($C$2:C85,"&gt;0"),0)</f>
        <v>0</v>
      </c>
      <c r="D86" s="619">
        <f>IF(Race=B86,1+COUNTIF($D$2:D85,"&gt;0"),0)</f>
        <v>0</v>
      </c>
      <c r="E86" s="610"/>
      <c r="F86" s="610"/>
      <c r="G86" s="610"/>
      <c r="H86" s="610"/>
      <c r="I86" s="610"/>
      <c r="J86" s="611"/>
      <c r="K86" s="611"/>
      <c r="L86" s="611"/>
      <c r="M86" s="611"/>
      <c r="N86" s="611"/>
      <c r="O86" s="611"/>
      <c r="P86" s="611"/>
      <c r="Q86" s="611"/>
      <c r="R86" s="611"/>
      <c r="S86" s="611"/>
      <c r="T86" s="611"/>
      <c r="U86" s="611"/>
      <c r="V86" s="611"/>
      <c r="W86" s="611"/>
      <c r="X86" s="610"/>
      <c r="Y86" s="610"/>
      <c r="Z86" s="610"/>
      <c r="AA86" s="610"/>
      <c r="AB86" s="610"/>
      <c r="AC86" s="610"/>
      <c r="AD86" s="610"/>
      <c r="AE86" s="610"/>
      <c r="AF86" s="610"/>
      <c r="AG86" s="610"/>
      <c r="AH86" s="610"/>
      <c r="AI86" s="610"/>
      <c r="AJ86" s="610"/>
      <c r="AK86" s="610"/>
      <c r="AL86" s="610"/>
      <c r="AM86" s="610"/>
      <c r="AN86" s="610"/>
      <c r="AO86" s="610"/>
      <c r="AP86" s="610"/>
      <c r="AQ86" s="610"/>
      <c r="AR86" s="610"/>
      <c r="AS86" s="610"/>
      <c r="AT86" s="610"/>
      <c r="AU86" s="610"/>
      <c r="AV86" s="610"/>
      <c r="AW86" s="610"/>
      <c r="AX86" s="610"/>
      <c r="AY86" s="610"/>
      <c r="AZ86" s="610"/>
      <c r="BA86" s="610"/>
      <c r="BB86" s="610"/>
      <c r="BC86" s="610"/>
      <c r="BD86" s="610"/>
      <c r="BE86" s="610"/>
      <c r="BF86" s="618" t="str">
        <f t="shared" si="15"/>
        <v/>
      </c>
      <c r="BG86" s="610"/>
      <c r="BH86" s="610"/>
      <c r="BI86" s="610"/>
    </row>
    <row r="87" spans="1:61" x14ac:dyDescent="0.2">
      <c r="A87" s="610">
        <v>86</v>
      </c>
      <c r="B87" s="610"/>
      <c r="C87" s="619">
        <f>IF(COUNTIF($B$2:B87,B87)=1,1+COUNTIF($C$2:C86,"&gt;0"),0)</f>
        <v>0</v>
      </c>
      <c r="D87" s="619">
        <f>IF(Race=B87,1+COUNTIF($D$2:D86,"&gt;0"),0)</f>
        <v>0</v>
      </c>
      <c r="E87" s="610"/>
      <c r="F87" s="610"/>
      <c r="G87" s="610"/>
      <c r="H87" s="610"/>
      <c r="I87" s="610"/>
      <c r="J87" s="611"/>
      <c r="K87" s="611"/>
      <c r="L87" s="611"/>
      <c r="M87" s="611"/>
      <c r="N87" s="611"/>
      <c r="O87" s="611"/>
      <c r="P87" s="611"/>
      <c r="Q87" s="611"/>
      <c r="R87" s="611"/>
      <c r="S87" s="611"/>
      <c r="T87" s="611"/>
      <c r="U87" s="611"/>
      <c r="V87" s="611"/>
      <c r="W87" s="611"/>
      <c r="X87" s="610"/>
      <c r="Y87" s="610"/>
      <c r="Z87" s="610"/>
      <c r="AA87" s="610"/>
      <c r="AB87" s="610"/>
      <c r="AC87" s="610"/>
      <c r="AD87" s="610"/>
      <c r="AE87" s="610"/>
      <c r="AF87" s="610"/>
      <c r="AG87" s="610"/>
      <c r="AH87" s="610"/>
      <c r="AI87" s="610"/>
      <c r="AJ87" s="610"/>
      <c r="AK87" s="610"/>
      <c r="AL87" s="610"/>
      <c r="AM87" s="610"/>
      <c r="AN87" s="610"/>
      <c r="AO87" s="610"/>
      <c r="AP87" s="610"/>
      <c r="AQ87" s="610"/>
      <c r="AR87" s="610"/>
      <c r="AS87" s="610"/>
      <c r="AT87" s="610"/>
      <c r="AU87" s="610"/>
      <c r="AV87" s="610"/>
      <c r="AW87" s="610"/>
      <c r="AX87" s="610"/>
      <c r="AY87" s="610"/>
      <c r="AZ87" s="610"/>
      <c r="BA87" s="610"/>
      <c r="BB87" s="610"/>
      <c r="BC87" s="610"/>
      <c r="BD87" s="610"/>
      <c r="BE87" s="610"/>
      <c r="BF87" s="618" t="str">
        <f t="shared" si="15"/>
        <v/>
      </c>
      <c r="BG87" s="610"/>
      <c r="BH87" s="610"/>
      <c r="BI87" s="610"/>
    </row>
    <row r="88" spans="1:61" x14ac:dyDescent="0.2">
      <c r="A88" s="610">
        <v>87</v>
      </c>
      <c r="B88" s="610"/>
      <c r="C88" s="619">
        <f>IF(COUNTIF($B$2:B88,B88)=1,1+COUNTIF($C$2:C87,"&gt;0"),0)</f>
        <v>0</v>
      </c>
      <c r="D88" s="619">
        <f>IF(Race=B88,1+COUNTIF($D$2:D87,"&gt;0"),0)</f>
        <v>0</v>
      </c>
      <c r="E88" s="610"/>
      <c r="F88" s="610"/>
      <c r="G88" s="610"/>
      <c r="H88" s="610"/>
      <c r="I88" s="610"/>
      <c r="J88" s="611"/>
      <c r="K88" s="611"/>
      <c r="L88" s="611"/>
      <c r="M88" s="611"/>
      <c r="N88" s="611"/>
      <c r="O88" s="611"/>
      <c r="P88" s="611"/>
      <c r="Q88" s="611"/>
      <c r="R88" s="611"/>
      <c r="S88" s="611"/>
      <c r="T88" s="611"/>
      <c r="U88" s="611"/>
      <c r="V88" s="611"/>
      <c r="W88" s="611"/>
      <c r="X88" s="610"/>
      <c r="Y88" s="610"/>
      <c r="Z88" s="610"/>
      <c r="AA88" s="610"/>
      <c r="AB88" s="610"/>
      <c r="AC88" s="610"/>
      <c r="AD88" s="610"/>
      <c r="AE88" s="610"/>
      <c r="AF88" s="610"/>
      <c r="AG88" s="610"/>
      <c r="AH88" s="610"/>
      <c r="AI88" s="610"/>
      <c r="AJ88" s="610"/>
      <c r="AK88" s="610"/>
      <c r="AL88" s="610"/>
      <c r="AM88" s="610"/>
      <c r="AN88" s="610"/>
      <c r="AO88" s="610"/>
      <c r="AP88" s="610"/>
      <c r="AQ88" s="610"/>
      <c r="AR88" s="610"/>
      <c r="AS88" s="610"/>
      <c r="AT88" s="610"/>
      <c r="AU88" s="610"/>
      <c r="AV88" s="610"/>
      <c r="AW88" s="610"/>
      <c r="AX88" s="610"/>
      <c r="AY88" s="610"/>
      <c r="AZ88" s="610"/>
      <c r="BA88" s="610"/>
      <c r="BB88" s="610"/>
      <c r="BC88" s="610"/>
      <c r="BD88" s="610"/>
      <c r="BE88" s="610"/>
      <c r="BF88" s="618" t="str">
        <f t="shared" si="15"/>
        <v/>
      </c>
      <c r="BG88" s="610"/>
      <c r="BH88" s="610"/>
      <c r="BI88" s="610"/>
    </row>
    <row r="89" spans="1:61" x14ac:dyDescent="0.2">
      <c r="A89" s="610">
        <v>88</v>
      </c>
      <c r="B89" s="610"/>
      <c r="C89" s="619">
        <f>IF(COUNTIF($B$2:B89,B89)=1,1+COUNTIF($C$2:C88,"&gt;0"),0)</f>
        <v>0</v>
      </c>
      <c r="D89" s="619">
        <f>IF(Race=B89,1+COUNTIF($D$2:D88,"&gt;0"),0)</f>
        <v>0</v>
      </c>
      <c r="E89" s="610"/>
      <c r="F89" s="610"/>
      <c r="G89" s="610"/>
      <c r="H89" s="610"/>
      <c r="I89" s="610"/>
      <c r="J89" s="611"/>
      <c r="K89" s="611"/>
      <c r="L89" s="611"/>
      <c r="M89" s="611"/>
      <c r="N89" s="611"/>
      <c r="O89" s="611"/>
      <c r="P89" s="611"/>
      <c r="Q89" s="611"/>
      <c r="R89" s="611"/>
      <c r="S89" s="611"/>
      <c r="T89" s="611"/>
      <c r="U89" s="611"/>
      <c r="V89" s="611"/>
      <c r="W89" s="611"/>
      <c r="X89" s="610"/>
      <c r="Y89" s="610"/>
      <c r="Z89" s="610"/>
      <c r="AA89" s="610"/>
      <c r="AB89" s="610"/>
      <c r="AC89" s="610"/>
      <c r="AD89" s="610"/>
      <c r="AE89" s="610"/>
      <c r="AF89" s="610"/>
      <c r="AG89" s="610"/>
      <c r="AH89" s="610"/>
      <c r="AI89" s="610"/>
      <c r="AJ89" s="610"/>
      <c r="AK89" s="610"/>
      <c r="AL89" s="610"/>
      <c r="AM89" s="610"/>
      <c r="AN89" s="610"/>
      <c r="AO89" s="610"/>
      <c r="AP89" s="610"/>
      <c r="AQ89" s="610"/>
      <c r="AR89" s="610"/>
      <c r="AS89" s="610"/>
      <c r="AT89" s="610"/>
      <c r="AU89" s="610"/>
      <c r="AV89" s="610"/>
      <c r="AW89" s="610"/>
      <c r="AX89" s="610"/>
      <c r="AY89" s="610"/>
      <c r="AZ89" s="610"/>
      <c r="BA89" s="610"/>
      <c r="BB89" s="610"/>
      <c r="BC89" s="610"/>
      <c r="BD89" s="610"/>
      <c r="BE89" s="610"/>
      <c r="BF89" s="618" t="str">
        <f t="shared" si="15"/>
        <v/>
      </c>
      <c r="BG89" s="610"/>
      <c r="BH89" s="610"/>
      <c r="BI89" s="610"/>
    </row>
    <row r="90" spans="1:61" x14ac:dyDescent="0.2">
      <c r="A90" s="610">
        <v>89</v>
      </c>
      <c r="B90" s="610"/>
      <c r="C90" s="619">
        <f>IF(COUNTIF($B$2:B90,B90)=1,1+COUNTIF($C$2:C89,"&gt;0"),0)</f>
        <v>0</v>
      </c>
      <c r="D90" s="619">
        <f>IF(Race=B90,1+COUNTIF($D$2:D89,"&gt;0"),0)</f>
        <v>0</v>
      </c>
      <c r="E90" s="610"/>
      <c r="F90" s="610"/>
      <c r="G90" s="610"/>
      <c r="H90" s="610"/>
      <c r="I90" s="610"/>
      <c r="J90" s="611"/>
      <c r="K90" s="611"/>
      <c r="L90" s="611"/>
      <c r="M90" s="611"/>
      <c r="N90" s="611"/>
      <c r="O90" s="611"/>
      <c r="P90" s="611"/>
      <c r="Q90" s="611"/>
      <c r="R90" s="611"/>
      <c r="S90" s="611"/>
      <c r="T90" s="611"/>
      <c r="U90" s="611"/>
      <c r="V90" s="611"/>
      <c r="W90" s="611"/>
      <c r="X90" s="610"/>
      <c r="Y90" s="610"/>
      <c r="Z90" s="610"/>
      <c r="AA90" s="610"/>
      <c r="AB90" s="610"/>
      <c r="AC90" s="610"/>
      <c r="AD90" s="610"/>
      <c r="AE90" s="610"/>
      <c r="AF90" s="610"/>
      <c r="AG90" s="610"/>
      <c r="AH90" s="610"/>
      <c r="AI90" s="610"/>
      <c r="AJ90" s="610"/>
      <c r="AK90" s="610"/>
      <c r="AL90" s="610"/>
      <c r="AM90" s="610"/>
      <c r="AN90" s="610"/>
      <c r="AO90" s="610"/>
      <c r="AP90" s="610"/>
      <c r="AQ90" s="610"/>
      <c r="AR90" s="610"/>
      <c r="AS90" s="610"/>
      <c r="AT90" s="610"/>
      <c r="AU90" s="610"/>
      <c r="AV90" s="610"/>
      <c r="AW90" s="610"/>
      <c r="AX90" s="610"/>
      <c r="AY90" s="610"/>
      <c r="AZ90" s="610"/>
      <c r="BA90" s="610"/>
      <c r="BB90" s="610"/>
      <c r="BC90" s="610"/>
      <c r="BD90" s="610"/>
      <c r="BE90" s="610"/>
      <c r="BF90" s="618" t="str">
        <f t="shared" si="15"/>
        <v/>
      </c>
      <c r="BG90" s="610"/>
      <c r="BH90" s="610"/>
      <c r="BI90" s="610"/>
    </row>
    <row r="91" spans="1:61" x14ac:dyDescent="0.2">
      <c r="A91" s="610">
        <v>90</v>
      </c>
      <c r="B91" s="610"/>
      <c r="C91" s="619">
        <f>IF(COUNTIF($B$2:B91,B91)=1,1+COUNTIF($C$2:C90,"&gt;0"),0)</f>
        <v>0</v>
      </c>
      <c r="D91" s="619">
        <f>IF(Race=B91,1+COUNTIF($D$2:D90,"&gt;0"),0)</f>
        <v>0</v>
      </c>
      <c r="E91" s="610"/>
      <c r="F91" s="610"/>
      <c r="G91" s="610"/>
      <c r="H91" s="610"/>
      <c r="I91" s="610"/>
      <c r="J91" s="611"/>
      <c r="K91" s="611"/>
      <c r="L91" s="611"/>
      <c r="M91" s="611"/>
      <c r="N91" s="611"/>
      <c r="O91" s="611"/>
      <c r="P91" s="611"/>
      <c r="Q91" s="611"/>
      <c r="R91" s="611"/>
      <c r="S91" s="611"/>
      <c r="T91" s="611"/>
      <c r="U91" s="611"/>
      <c r="V91" s="611"/>
      <c r="W91" s="611"/>
      <c r="X91" s="610"/>
      <c r="Y91" s="610"/>
      <c r="Z91" s="610"/>
      <c r="AA91" s="610"/>
      <c r="AB91" s="610"/>
      <c r="AC91" s="610"/>
      <c r="AD91" s="610"/>
      <c r="AE91" s="610"/>
      <c r="AF91" s="610"/>
      <c r="AG91" s="610"/>
      <c r="AH91" s="610"/>
      <c r="AI91" s="610"/>
      <c r="AJ91" s="610"/>
      <c r="AK91" s="610"/>
      <c r="AL91" s="610"/>
      <c r="AM91" s="610"/>
      <c r="AN91" s="610"/>
      <c r="AO91" s="610"/>
      <c r="AP91" s="610"/>
      <c r="AQ91" s="610"/>
      <c r="AR91" s="610"/>
      <c r="AS91" s="610"/>
      <c r="AT91" s="610"/>
      <c r="AU91" s="610"/>
      <c r="AV91" s="610"/>
      <c r="AW91" s="610"/>
      <c r="AX91" s="610"/>
      <c r="AY91" s="610"/>
      <c r="AZ91" s="610"/>
      <c r="BA91" s="610"/>
      <c r="BB91" s="610"/>
      <c r="BC91" s="610"/>
      <c r="BD91" s="610"/>
      <c r="BE91" s="610"/>
      <c r="BF91" s="618" t="str">
        <f t="shared" si="15"/>
        <v/>
      </c>
      <c r="BG91" s="610"/>
      <c r="BH91" s="610"/>
      <c r="BI91" s="610"/>
    </row>
    <row r="92" spans="1:61" x14ac:dyDescent="0.2">
      <c r="A92" s="610">
        <v>91</v>
      </c>
      <c r="B92" s="610"/>
      <c r="C92" s="619">
        <f>IF(COUNTIF($B$2:B92,B92)=1,1+COUNTIF($C$2:C91,"&gt;0"),0)</f>
        <v>0</v>
      </c>
      <c r="D92" s="619">
        <f>IF(Race=B92,1+COUNTIF($D$2:D91,"&gt;0"),0)</f>
        <v>0</v>
      </c>
      <c r="E92" s="610"/>
      <c r="F92" s="610"/>
      <c r="G92" s="610"/>
      <c r="H92" s="610"/>
      <c r="I92" s="610"/>
      <c r="J92" s="611"/>
      <c r="K92" s="611"/>
      <c r="L92" s="611"/>
      <c r="M92" s="611"/>
      <c r="N92" s="611"/>
      <c r="O92" s="611"/>
      <c r="P92" s="611"/>
      <c r="Q92" s="611"/>
      <c r="R92" s="611"/>
      <c r="S92" s="611"/>
      <c r="T92" s="611"/>
      <c r="U92" s="611"/>
      <c r="V92" s="611"/>
      <c r="W92" s="611"/>
      <c r="X92" s="610"/>
      <c r="Y92" s="610"/>
      <c r="Z92" s="610"/>
      <c r="AA92" s="610"/>
      <c r="AB92" s="610"/>
      <c r="AC92" s="610"/>
      <c r="AD92" s="610"/>
      <c r="AE92" s="610"/>
      <c r="AF92" s="610"/>
      <c r="AG92" s="610"/>
      <c r="AH92" s="610"/>
      <c r="AI92" s="610"/>
      <c r="AJ92" s="610"/>
      <c r="AK92" s="610"/>
      <c r="AL92" s="610"/>
      <c r="AM92" s="610"/>
      <c r="AN92" s="610"/>
      <c r="AO92" s="610"/>
      <c r="AP92" s="610"/>
      <c r="AQ92" s="610"/>
      <c r="AR92" s="610"/>
      <c r="AS92" s="610"/>
      <c r="AT92" s="610"/>
      <c r="AU92" s="610"/>
      <c r="AV92" s="610"/>
      <c r="AW92" s="610"/>
      <c r="AX92" s="610"/>
      <c r="AY92" s="610"/>
      <c r="AZ92" s="610"/>
      <c r="BA92" s="610"/>
      <c r="BB92" s="610"/>
      <c r="BC92" s="610"/>
      <c r="BD92" s="610"/>
      <c r="BE92" s="610"/>
      <c r="BF92" s="618" t="str">
        <f t="shared" si="15"/>
        <v/>
      </c>
      <c r="BG92" s="610"/>
      <c r="BH92" s="610"/>
      <c r="BI92" s="610"/>
    </row>
    <row r="93" spans="1:61" x14ac:dyDescent="0.2">
      <c r="A93" s="610">
        <v>92</v>
      </c>
      <c r="B93" s="610"/>
      <c r="C93" s="619">
        <f>IF(COUNTIF($B$2:B93,B93)=1,1+COUNTIF($C$2:C92,"&gt;0"),0)</f>
        <v>0</v>
      </c>
      <c r="D93" s="619">
        <f>IF(Race=B93,1+COUNTIF($D$2:D92,"&gt;0"),0)</f>
        <v>0</v>
      </c>
      <c r="E93" s="610"/>
      <c r="F93" s="610"/>
      <c r="G93" s="610"/>
      <c r="H93" s="610"/>
      <c r="I93" s="610"/>
      <c r="J93" s="611"/>
      <c r="K93" s="611"/>
      <c r="L93" s="611"/>
      <c r="M93" s="611"/>
      <c r="N93" s="611"/>
      <c r="O93" s="611"/>
      <c r="P93" s="611"/>
      <c r="Q93" s="611"/>
      <c r="R93" s="611"/>
      <c r="S93" s="611"/>
      <c r="T93" s="611"/>
      <c r="U93" s="611"/>
      <c r="V93" s="611"/>
      <c r="W93" s="611"/>
      <c r="X93" s="610"/>
      <c r="Y93" s="610"/>
      <c r="Z93" s="610"/>
      <c r="AA93" s="610"/>
      <c r="AB93" s="610"/>
      <c r="AC93" s="610"/>
      <c r="AD93" s="610"/>
      <c r="AE93" s="610"/>
      <c r="AF93" s="610"/>
      <c r="AG93" s="610"/>
      <c r="AH93" s="610"/>
      <c r="AI93" s="610"/>
      <c r="AJ93" s="610"/>
      <c r="AK93" s="610"/>
      <c r="AL93" s="610"/>
      <c r="AM93" s="610"/>
      <c r="AN93" s="610"/>
      <c r="AO93" s="610"/>
      <c r="AP93" s="610"/>
      <c r="AQ93" s="610"/>
      <c r="AR93" s="610"/>
      <c r="AS93" s="610"/>
      <c r="AT93" s="610"/>
      <c r="AU93" s="610"/>
      <c r="AV93" s="610"/>
      <c r="AW93" s="610"/>
      <c r="AX93" s="610"/>
      <c r="AY93" s="610"/>
      <c r="AZ93" s="610"/>
      <c r="BA93" s="610"/>
      <c r="BB93" s="610"/>
      <c r="BC93" s="610"/>
      <c r="BD93" s="610"/>
      <c r="BE93" s="610"/>
      <c r="BF93" s="618" t="str">
        <f t="shared" si="15"/>
        <v/>
      </c>
      <c r="BG93" s="610"/>
      <c r="BH93" s="610"/>
      <c r="BI93" s="610"/>
    </row>
    <row r="94" spans="1:61" x14ac:dyDescent="0.2">
      <c r="A94" s="610">
        <v>93</v>
      </c>
      <c r="B94" s="610"/>
      <c r="C94" s="619">
        <f>IF(COUNTIF($B$2:B94,B94)=1,1+COUNTIF($C$2:C93,"&gt;0"),0)</f>
        <v>0</v>
      </c>
      <c r="D94" s="619">
        <f>IF(Race=B94,1+COUNTIF($D$2:D93,"&gt;0"),0)</f>
        <v>0</v>
      </c>
      <c r="E94" s="610"/>
      <c r="F94" s="610"/>
      <c r="G94" s="610"/>
      <c r="H94" s="610"/>
      <c r="I94" s="610"/>
      <c r="J94" s="611"/>
      <c r="K94" s="611"/>
      <c r="L94" s="611"/>
      <c r="M94" s="611"/>
      <c r="N94" s="611"/>
      <c r="O94" s="611"/>
      <c r="P94" s="611"/>
      <c r="Q94" s="611"/>
      <c r="R94" s="611"/>
      <c r="S94" s="611"/>
      <c r="T94" s="611"/>
      <c r="U94" s="611"/>
      <c r="V94" s="611"/>
      <c r="W94" s="611"/>
      <c r="X94" s="610"/>
      <c r="Y94" s="610"/>
      <c r="Z94" s="610"/>
      <c r="AA94" s="610"/>
      <c r="AB94" s="610"/>
      <c r="AC94" s="610"/>
      <c r="AD94" s="610"/>
      <c r="AE94" s="610"/>
      <c r="AF94" s="610"/>
      <c r="AG94" s="610"/>
      <c r="AH94" s="610"/>
      <c r="AI94" s="610"/>
      <c r="AJ94" s="610"/>
      <c r="AK94" s="610"/>
      <c r="AL94" s="610"/>
      <c r="AM94" s="610"/>
      <c r="AN94" s="610"/>
      <c r="AO94" s="610"/>
      <c r="AP94" s="610"/>
      <c r="AQ94" s="610"/>
      <c r="AR94" s="610"/>
      <c r="AS94" s="610"/>
      <c r="AT94" s="610"/>
      <c r="AU94" s="610"/>
      <c r="AV94" s="610"/>
      <c r="AW94" s="610"/>
      <c r="AX94" s="610"/>
      <c r="AY94" s="610"/>
      <c r="AZ94" s="610"/>
      <c r="BA94" s="610"/>
      <c r="BB94" s="610"/>
      <c r="BC94" s="610"/>
      <c r="BD94" s="610"/>
      <c r="BE94" s="610"/>
      <c r="BF94" s="618" t="str">
        <f t="shared" si="15"/>
        <v/>
      </c>
      <c r="BG94" s="610"/>
      <c r="BH94" s="610"/>
      <c r="BI94" s="610"/>
    </row>
    <row r="95" spans="1:61" x14ac:dyDescent="0.2">
      <c r="A95" s="610">
        <v>94</v>
      </c>
      <c r="B95" s="610"/>
      <c r="C95" s="619">
        <f>IF(COUNTIF($B$2:B95,B95)=1,1+COUNTIF($C$2:C94,"&gt;0"),0)</f>
        <v>0</v>
      </c>
      <c r="D95" s="619">
        <f>IF(Race=B95,1+COUNTIF($D$2:D94,"&gt;0"),0)</f>
        <v>0</v>
      </c>
      <c r="E95" s="610"/>
      <c r="F95" s="610"/>
      <c r="G95" s="610"/>
      <c r="H95" s="610"/>
      <c r="I95" s="610"/>
      <c r="J95" s="611"/>
      <c r="K95" s="611"/>
      <c r="L95" s="611"/>
      <c r="M95" s="611"/>
      <c r="N95" s="611"/>
      <c r="O95" s="611"/>
      <c r="P95" s="611"/>
      <c r="Q95" s="611"/>
      <c r="R95" s="611"/>
      <c r="S95" s="611"/>
      <c r="T95" s="611"/>
      <c r="U95" s="611"/>
      <c r="V95" s="611"/>
      <c r="W95" s="611"/>
      <c r="X95" s="610"/>
      <c r="Y95" s="610"/>
      <c r="Z95" s="610"/>
      <c r="AA95" s="610"/>
      <c r="AB95" s="610"/>
      <c r="AC95" s="610"/>
      <c r="AD95" s="610"/>
      <c r="AE95" s="610"/>
      <c r="AF95" s="610"/>
      <c r="AG95" s="610"/>
      <c r="AH95" s="610"/>
      <c r="AI95" s="610"/>
      <c r="AJ95" s="610"/>
      <c r="AK95" s="610"/>
      <c r="AL95" s="610"/>
      <c r="AM95" s="610"/>
      <c r="AN95" s="610"/>
      <c r="AO95" s="610"/>
      <c r="AP95" s="610"/>
      <c r="AQ95" s="610"/>
      <c r="AR95" s="610"/>
      <c r="AS95" s="610"/>
      <c r="AT95" s="610"/>
      <c r="AU95" s="610"/>
      <c r="AV95" s="610"/>
      <c r="AW95" s="610"/>
      <c r="AX95" s="610"/>
      <c r="AY95" s="610"/>
      <c r="AZ95" s="610"/>
      <c r="BA95" s="610"/>
      <c r="BB95" s="610"/>
      <c r="BC95" s="610"/>
      <c r="BD95" s="610"/>
      <c r="BE95" s="610"/>
      <c r="BF95" s="618" t="str">
        <f t="shared" si="15"/>
        <v/>
      </c>
      <c r="BG95" s="610"/>
      <c r="BH95" s="610"/>
      <c r="BI95" s="610"/>
    </row>
    <row r="96" spans="1:61" x14ac:dyDescent="0.2">
      <c r="A96" s="610">
        <v>95</v>
      </c>
      <c r="B96" s="610"/>
      <c r="C96" s="619">
        <f>IF(COUNTIF($B$2:B96,B96)=1,1+COUNTIF($C$2:C95,"&gt;0"),0)</f>
        <v>0</v>
      </c>
      <c r="D96" s="619">
        <f>IF(Race=B96,1+COUNTIF($D$2:D95,"&gt;0"),0)</f>
        <v>0</v>
      </c>
      <c r="E96" s="610"/>
      <c r="F96" s="610"/>
      <c r="G96" s="610"/>
      <c r="H96" s="610"/>
      <c r="I96" s="610"/>
      <c r="J96" s="611"/>
      <c r="K96" s="611"/>
      <c r="L96" s="611"/>
      <c r="M96" s="611"/>
      <c r="N96" s="611"/>
      <c r="O96" s="611"/>
      <c r="P96" s="611"/>
      <c r="Q96" s="611"/>
      <c r="R96" s="611"/>
      <c r="S96" s="611"/>
      <c r="T96" s="611"/>
      <c r="U96" s="611"/>
      <c r="V96" s="611"/>
      <c r="W96" s="611"/>
      <c r="X96" s="610"/>
      <c r="Y96" s="610"/>
      <c r="Z96" s="610"/>
      <c r="AA96" s="610"/>
      <c r="AB96" s="610"/>
      <c r="AC96" s="610"/>
      <c r="AD96" s="610"/>
      <c r="AE96" s="610"/>
      <c r="AF96" s="610"/>
      <c r="AG96" s="610"/>
      <c r="AH96" s="610"/>
      <c r="AI96" s="610"/>
      <c r="AJ96" s="610"/>
      <c r="AK96" s="610"/>
      <c r="AL96" s="610"/>
      <c r="AM96" s="610"/>
      <c r="AN96" s="610"/>
      <c r="AO96" s="610"/>
      <c r="AP96" s="610"/>
      <c r="AQ96" s="610"/>
      <c r="AR96" s="610"/>
      <c r="AS96" s="610"/>
      <c r="AT96" s="610"/>
      <c r="AU96" s="610"/>
      <c r="AV96" s="610"/>
      <c r="AW96" s="610"/>
      <c r="AX96" s="610"/>
      <c r="AY96" s="610"/>
      <c r="AZ96" s="610"/>
      <c r="BA96" s="610"/>
      <c r="BB96" s="610"/>
      <c r="BC96" s="610"/>
      <c r="BD96" s="610"/>
      <c r="BE96" s="610"/>
      <c r="BF96" s="618" t="str">
        <f t="shared" si="15"/>
        <v/>
      </c>
      <c r="BG96" s="610"/>
      <c r="BH96" s="610"/>
      <c r="BI96" s="610"/>
    </row>
    <row r="97" spans="1:61" x14ac:dyDescent="0.2">
      <c r="A97" s="610">
        <v>96</v>
      </c>
      <c r="B97" s="610"/>
      <c r="C97" s="619">
        <f>IF(COUNTIF($B$2:B97,B97)=1,1+COUNTIF($C$2:C96,"&gt;0"),0)</f>
        <v>0</v>
      </c>
      <c r="D97" s="619">
        <f>IF(Race=B97,1+COUNTIF($D$2:D96,"&gt;0"),0)</f>
        <v>0</v>
      </c>
      <c r="E97" s="610"/>
      <c r="F97" s="610"/>
      <c r="G97" s="610"/>
      <c r="H97" s="610"/>
      <c r="I97" s="610"/>
      <c r="J97" s="611"/>
      <c r="K97" s="611"/>
      <c r="L97" s="611"/>
      <c r="M97" s="611"/>
      <c r="N97" s="611"/>
      <c r="O97" s="611"/>
      <c r="P97" s="611"/>
      <c r="Q97" s="611"/>
      <c r="R97" s="611"/>
      <c r="S97" s="611"/>
      <c r="T97" s="611"/>
      <c r="U97" s="611"/>
      <c r="V97" s="611"/>
      <c r="W97" s="611"/>
      <c r="X97" s="610"/>
      <c r="Y97" s="610"/>
      <c r="Z97" s="610"/>
      <c r="AA97" s="610"/>
      <c r="AB97" s="610"/>
      <c r="AC97" s="610"/>
      <c r="AD97" s="610"/>
      <c r="AE97" s="610"/>
      <c r="AF97" s="610"/>
      <c r="AG97" s="610"/>
      <c r="AH97" s="610"/>
      <c r="AI97" s="610"/>
      <c r="AJ97" s="610"/>
      <c r="AK97" s="610"/>
      <c r="AL97" s="610"/>
      <c r="AM97" s="610"/>
      <c r="AN97" s="610"/>
      <c r="AO97" s="610"/>
      <c r="AP97" s="610"/>
      <c r="AQ97" s="610"/>
      <c r="AR97" s="610"/>
      <c r="AS97" s="610"/>
      <c r="AT97" s="610"/>
      <c r="AU97" s="610"/>
      <c r="AV97" s="610"/>
      <c r="AW97" s="610"/>
      <c r="AX97" s="610"/>
      <c r="AY97" s="610"/>
      <c r="AZ97" s="610"/>
      <c r="BA97" s="610"/>
      <c r="BB97" s="610"/>
      <c r="BC97" s="610"/>
      <c r="BD97" s="610"/>
      <c r="BE97" s="610"/>
      <c r="BF97" s="618" t="str">
        <f t="shared" si="15"/>
        <v/>
      </c>
      <c r="BG97" s="610"/>
      <c r="BH97" s="610"/>
      <c r="BI97" s="610"/>
    </row>
    <row r="98" spans="1:61" x14ac:dyDescent="0.2">
      <c r="A98" s="610">
        <v>97</v>
      </c>
      <c r="B98" s="610"/>
      <c r="C98" s="619">
        <f>IF(COUNTIF($B$2:B98,B98)=1,1+COUNTIF($C$2:C97,"&gt;0"),0)</f>
        <v>0</v>
      </c>
      <c r="D98" s="619">
        <f>IF(Race=B98,1+COUNTIF($D$2:D97,"&gt;0"),0)</f>
        <v>0</v>
      </c>
      <c r="E98" s="610"/>
      <c r="F98" s="610"/>
      <c r="G98" s="610"/>
      <c r="H98" s="610"/>
      <c r="I98" s="610"/>
      <c r="J98" s="611"/>
      <c r="K98" s="611"/>
      <c r="L98" s="611"/>
      <c r="M98" s="611"/>
      <c r="N98" s="611"/>
      <c r="O98" s="611"/>
      <c r="P98" s="611"/>
      <c r="Q98" s="611"/>
      <c r="R98" s="611"/>
      <c r="S98" s="611"/>
      <c r="T98" s="611"/>
      <c r="U98" s="611"/>
      <c r="V98" s="611"/>
      <c r="W98" s="611"/>
      <c r="X98" s="610"/>
      <c r="Y98" s="610"/>
      <c r="Z98" s="610"/>
      <c r="AA98" s="610"/>
      <c r="AB98" s="610"/>
      <c r="AC98" s="610"/>
      <c r="AD98" s="610"/>
      <c r="AE98" s="610"/>
      <c r="AF98" s="610"/>
      <c r="AG98" s="610"/>
      <c r="AH98" s="610"/>
      <c r="AI98" s="610"/>
      <c r="AJ98" s="610"/>
      <c r="AK98" s="610"/>
      <c r="AL98" s="610"/>
      <c r="AM98" s="610"/>
      <c r="AN98" s="610"/>
      <c r="AO98" s="610"/>
      <c r="AP98" s="610"/>
      <c r="AQ98" s="610"/>
      <c r="AR98" s="610"/>
      <c r="AS98" s="610"/>
      <c r="AT98" s="610"/>
      <c r="AU98" s="610"/>
      <c r="AV98" s="610"/>
      <c r="AW98" s="610"/>
      <c r="AX98" s="610"/>
      <c r="AY98" s="610"/>
      <c r="AZ98" s="610"/>
      <c r="BA98" s="610"/>
      <c r="BB98" s="610"/>
      <c r="BC98" s="610"/>
      <c r="BD98" s="610"/>
      <c r="BE98" s="610"/>
      <c r="BF98" s="618" t="str">
        <f t="shared" si="15"/>
        <v/>
      </c>
      <c r="BG98" s="610"/>
      <c r="BH98" s="610"/>
      <c r="BI98" s="610"/>
    </row>
    <row r="99" spans="1:61" x14ac:dyDescent="0.2">
      <c r="A99" s="610">
        <v>98</v>
      </c>
      <c r="B99" s="610"/>
      <c r="C99" s="619">
        <f>IF(COUNTIF($B$2:B99,B99)=1,1+COUNTIF($C$2:C98,"&gt;0"),0)</f>
        <v>0</v>
      </c>
      <c r="D99" s="619">
        <f>IF(Race=B99,1+COUNTIF($D$2:D98,"&gt;0"),0)</f>
        <v>0</v>
      </c>
      <c r="E99" s="610"/>
      <c r="F99" s="610"/>
      <c r="G99" s="610"/>
      <c r="H99" s="610"/>
      <c r="I99" s="610"/>
      <c r="J99" s="611"/>
      <c r="K99" s="611"/>
      <c r="L99" s="611"/>
      <c r="M99" s="611"/>
      <c r="N99" s="611"/>
      <c r="O99" s="611"/>
      <c r="P99" s="611"/>
      <c r="Q99" s="611"/>
      <c r="R99" s="611"/>
      <c r="S99" s="611"/>
      <c r="T99" s="611"/>
      <c r="U99" s="611"/>
      <c r="V99" s="611"/>
      <c r="W99" s="611"/>
      <c r="X99" s="610"/>
      <c r="Y99" s="610"/>
      <c r="Z99" s="610"/>
      <c r="AA99" s="610"/>
      <c r="AB99" s="610"/>
      <c r="AC99" s="610"/>
      <c r="AD99" s="610"/>
      <c r="AE99" s="610"/>
      <c r="AF99" s="610"/>
      <c r="AG99" s="610"/>
      <c r="AH99" s="610"/>
      <c r="AI99" s="610"/>
      <c r="AJ99" s="610"/>
      <c r="AK99" s="610"/>
      <c r="AL99" s="610"/>
      <c r="AM99" s="610"/>
      <c r="AN99" s="610"/>
      <c r="AO99" s="610"/>
      <c r="AP99" s="610"/>
      <c r="AQ99" s="610"/>
      <c r="AR99" s="610"/>
      <c r="AS99" s="610"/>
      <c r="AT99" s="610"/>
      <c r="AU99" s="610"/>
      <c r="AV99" s="610"/>
      <c r="AW99" s="610"/>
      <c r="AX99" s="610"/>
      <c r="AY99" s="610"/>
      <c r="AZ99" s="610"/>
      <c r="BA99" s="610"/>
      <c r="BB99" s="610"/>
      <c r="BC99" s="610"/>
      <c r="BD99" s="610"/>
      <c r="BE99" s="610"/>
      <c r="BF99" s="618" t="str">
        <f t="shared" si="15"/>
        <v/>
      </c>
      <c r="BG99" s="610"/>
      <c r="BH99" s="610"/>
      <c r="BI99" s="610"/>
    </row>
    <row r="100" spans="1:61" x14ac:dyDescent="0.2">
      <c r="A100" s="610">
        <v>99</v>
      </c>
      <c r="B100" s="610"/>
      <c r="C100" s="619">
        <f>IF(COUNTIF($B$2:B100,B100)=1,1+COUNTIF($C$2:C99,"&gt;0"),0)</f>
        <v>0</v>
      </c>
      <c r="D100" s="619">
        <f>IF(Race=B100,1+COUNTIF($D$2:D99,"&gt;0"),0)</f>
        <v>0</v>
      </c>
      <c r="E100" s="610"/>
      <c r="F100" s="610"/>
      <c r="G100" s="610"/>
      <c r="H100" s="610"/>
      <c r="I100" s="610"/>
      <c r="J100" s="611"/>
      <c r="K100" s="611"/>
      <c r="L100" s="611"/>
      <c r="M100" s="611"/>
      <c r="N100" s="611"/>
      <c r="O100" s="611"/>
      <c r="P100" s="611"/>
      <c r="Q100" s="611"/>
      <c r="R100" s="611"/>
      <c r="S100" s="611"/>
      <c r="T100" s="611"/>
      <c r="U100" s="611"/>
      <c r="V100" s="611"/>
      <c r="W100" s="611"/>
      <c r="X100" s="610"/>
      <c r="Y100" s="610"/>
      <c r="Z100" s="610"/>
      <c r="AA100" s="610"/>
      <c r="AB100" s="610"/>
      <c r="AC100" s="610"/>
      <c r="AD100" s="610"/>
      <c r="AE100" s="610"/>
      <c r="AF100" s="610"/>
      <c r="AG100" s="610"/>
      <c r="AH100" s="610"/>
      <c r="AI100" s="610"/>
      <c r="AJ100" s="610"/>
      <c r="AK100" s="610"/>
      <c r="AL100" s="610"/>
      <c r="AM100" s="610"/>
      <c r="AN100" s="610"/>
      <c r="AO100" s="610"/>
      <c r="AP100" s="610"/>
      <c r="AQ100" s="610"/>
      <c r="AR100" s="610"/>
      <c r="AS100" s="610"/>
      <c r="AT100" s="610"/>
      <c r="AU100" s="610"/>
      <c r="AV100" s="610"/>
      <c r="AW100" s="610"/>
      <c r="AX100" s="610"/>
      <c r="AY100" s="610"/>
      <c r="AZ100" s="610"/>
      <c r="BA100" s="610"/>
      <c r="BB100" s="610"/>
      <c r="BC100" s="610"/>
      <c r="BD100" s="610"/>
      <c r="BE100" s="610"/>
      <c r="BF100" s="618" t="str">
        <f t="shared" si="15"/>
        <v/>
      </c>
      <c r="BG100" s="610"/>
      <c r="BH100" s="610"/>
      <c r="BI100" s="610"/>
    </row>
    <row r="101" spans="1:61" x14ac:dyDescent="0.2">
      <c r="A101" s="610">
        <v>100</v>
      </c>
      <c r="B101" s="610"/>
      <c r="C101" s="619">
        <f>IF(COUNTIF($B$2:B101,B101)=1,1+COUNTIF($C$2:C100,"&gt;0"),0)</f>
        <v>0</v>
      </c>
      <c r="D101" s="619">
        <f>IF(Race=B101,1+COUNTIF($D$2:D100,"&gt;0"),0)</f>
        <v>0</v>
      </c>
      <c r="E101" s="610"/>
      <c r="F101" s="610"/>
      <c r="G101" s="610"/>
      <c r="H101" s="610"/>
      <c r="I101" s="610"/>
      <c r="J101" s="611"/>
      <c r="K101" s="611"/>
      <c r="L101" s="611"/>
      <c r="M101" s="611"/>
      <c r="N101" s="611"/>
      <c r="O101" s="611"/>
      <c r="P101" s="611"/>
      <c r="Q101" s="611"/>
      <c r="R101" s="611"/>
      <c r="S101" s="611"/>
      <c r="T101" s="611"/>
      <c r="U101" s="611"/>
      <c r="V101" s="611"/>
      <c r="W101" s="611"/>
      <c r="X101" s="610"/>
      <c r="Y101" s="610"/>
      <c r="Z101" s="610"/>
      <c r="AA101" s="610"/>
      <c r="AB101" s="610"/>
      <c r="AC101" s="610"/>
      <c r="AD101" s="610"/>
      <c r="AE101" s="610"/>
      <c r="AF101" s="610"/>
      <c r="AG101" s="610"/>
      <c r="AH101" s="610"/>
      <c r="AI101" s="610"/>
      <c r="AJ101" s="610"/>
      <c r="AK101" s="610"/>
      <c r="AL101" s="610"/>
      <c r="AM101" s="610"/>
      <c r="AN101" s="610"/>
      <c r="AO101" s="610"/>
      <c r="AP101" s="610"/>
      <c r="AQ101" s="610"/>
      <c r="AR101" s="610"/>
      <c r="AS101" s="610"/>
      <c r="AT101" s="610"/>
      <c r="AU101" s="610"/>
      <c r="AV101" s="610"/>
      <c r="AW101" s="610"/>
      <c r="AX101" s="610"/>
      <c r="AY101" s="610"/>
      <c r="AZ101" s="610"/>
      <c r="BA101" s="610"/>
      <c r="BB101" s="610"/>
      <c r="BC101" s="610"/>
      <c r="BD101" s="610"/>
      <c r="BE101" s="610"/>
      <c r="BF101" s="618" t="str">
        <f t="shared" si="15"/>
        <v/>
      </c>
      <c r="BG101" s="610"/>
      <c r="BH101" s="610"/>
      <c r="BI101" s="610"/>
    </row>
    <row r="102" spans="1:61" x14ac:dyDescent="0.2">
      <c r="B102" s="10"/>
      <c r="C102" s="11"/>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row>
    <row r="103" spans="1:61" x14ac:dyDescent="0.2">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row>
    <row r="104" spans="1:61" x14ac:dyDescent="0.2">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row>
  </sheetData>
  <autoFilter ref="A1:BI101"/>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3"/>
  <dimension ref="A1:G94"/>
  <sheetViews>
    <sheetView topLeftCell="A75" workbookViewId="0">
      <selection activeCell="B70" sqref="B70"/>
    </sheetView>
  </sheetViews>
  <sheetFormatPr defaultRowHeight="15" x14ac:dyDescent="0.25"/>
  <cols>
    <col min="2" max="3" width="17.140625" customWidth="1"/>
    <col min="4" max="4" width="81.5703125" customWidth="1"/>
    <col min="5" max="5" width="16.42578125" bestFit="1" customWidth="1"/>
    <col min="6" max="6" width="24.7109375" bestFit="1" customWidth="1"/>
    <col min="7" max="7" width="11.85546875" bestFit="1" customWidth="1"/>
  </cols>
  <sheetData>
    <row r="1" spans="1:7" x14ac:dyDescent="0.25">
      <c r="A1" s="7"/>
      <c r="B1" s="583" t="s">
        <v>6041</v>
      </c>
      <c r="C1" s="583" t="s">
        <v>6042</v>
      </c>
      <c r="D1" s="584" t="s">
        <v>177</v>
      </c>
      <c r="E1" s="584" t="s">
        <v>570</v>
      </c>
      <c r="F1" s="585" t="s">
        <v>576</v>
      </c>
      <c r="G1" s="584" t="s">
        <v>578</v>
      </c>
    </row>
    <row r="2" spans="1:7" x14ac:dyDescent="0.25">
      <c r="A2" s="157">
        <f>IF(B2="","",1)</f>
        <v>1</v>
      </c>
      <c r="B2" s="405" t="s">
        <v>5125</v>
      </c>
      <c r="C2" s="405" t="s">
        <v>5125</v>
      </c>
      <c r="D2" s="403" t="s">
        <v>6044</v>
      </c>
      <c r="E2" s="6"/>
      <c r="F2" s="198"/>
      <c r="G2" s="6"/>
    </row>
    <row r="3" spans="1:7" x14ac:dyDescent="0.25">
      <c r="A3" s="157">
        <f>IF(B3="","",A2+1)</f>
        <v>2</v>
      </c>
      <c r="B3" s="405" t="s">
        <v>3851</v>
      </c>
      <c r="C3" s="405" t="s">
        <v>3851</v>
      </c>
      <c r="D3" s="402" t="s">
        <v>3857</v>
      </c>
      <c r="E3" s="6"/>
      <c r="F3" s="6"/>
      <c r="G3" s="6"/>
    </row>
    <row r="4" spans="1:7" x14ac:dyDescent="0.25">
      <c r="A4" s="157">
        <f t="shared" ref="A4:A67" si="0">IF(B4="","",A3+1)</f>
        <v>3</v>
      </c>
      <c r="B4" s="405" t="s">
        <v>3845</v>
      </c>
      <c r="C4" s="405" t="s">
        <v>3845</v>
      </c>
      <c r="D4" s="402" t="s">
        <v>3857</v>
      </c>
      <c r="E4" s="6"/>
      <c r="F4" s="6"/>
      <c r="G4" s="6"/>
    </row>
    <row r="5" spans="1:7" x14ac:dyDescent="0.25">
      <c r="A5" s="157">
        <f t="shared" si="0"/>
        <v>4</v>
      </c>
      <c r="B5" s="405" t="s">
        <v>3833</v>
      </c>
      <c r="C5" s="405" t="s">
        <v>3833</v>
      </c>
      <c r="D5" s="402" t="s">
        <v>3857</v>
      </c>
      <c r="E5" s="6"/>
      <c r="F5" s="6"/>
      <c r="G5" s="6"/>
    </row>
    <row r="6" spans="1:7" x14ac:dyDescent="0.25">
      <c r="A6" s="157">
        <f t="shared" si="0"/>
        <v>5</v>
      </c>
      <c r="B6" s="405" t="s">
        <v>2208</v>
      </c>
      <c r="C6" s="405" t="s">
        <v>2208</v>
      </c>
      <c r="D6" s="526" t="s">
        <v>5437</v>
      </c>
      <c r="E6" s="6"/>
      <c r="F6" s="6"/>
      <c r="G6" s="6"/>
    </row>
    <row r="7" spans="1:7" x14ac:dyDescent="0.25">
      <c r="A7" s="157">
        <f t="shared" si="0"/>
        <v>6</v>
      </c>
      <c r="B7" s="405" t="s">
        <v>3842</v>
      </c>
      <c r="C7" s="405" t="s">
        <v>3842</v>
      </c>
      <c r="D7" s="402" t="s">
        <v>3857</v>
      </c>
      <c r="E7" s="6"/>
      <c r="F7" s="6"/>
      <c r="G7" s="6"/>
    </row>
    <row r="8" spans="1:7" x14ac:dyDescent="0.25">
      <c r="A8" s="157">
        <f t="shared" si="0"/>
        <v>7</v>
      </c>
      <c r="B8" s="405" t="s">
        <v>2297</v>
      </c>
      <c r="C8" s="405" t="s">
        <v>2297</v>
      </c>
      <c r="D8" s="402" t="s">
        <v>3857</v>
      </c>
      <c r="E8" s="6"/>
      <c r="F8" s="6"/>
      <c r="G8" s="6"/>
    </row>
    <row r="9" spans="1:7" x14ac:dyDescent="0.25">
      <c r="A9" s="157">
        <f t="shared" si="0"/>
        <v>8</v>
      </c>
      <c r="B9" s="406" t="s">
        <v>573</v>
      </c>
      <c r="C9" s="406" t="s">
        <v>573</v>
      </c>
      <c r="D9" s="402" t="s">
        <v>5415</v>
      </c>
      <c r="E9" s="6"/>
      <c r="F9" s="6"/>
      <c r="G9" s="6"/>
    </row>
    <row r="10" spans="1:7" x14ac:dyDescent="0.25">
      <c r="A10" s="157">
        <f t="shared" si="0"/>
        <v>9</v>
      </c>
      <c r="B10" s="406" t="s">
        <v>7043</v>
      </c>
      <c r="C10" s="406" t="s">
        <v>2216</v>
      </c>
      <c r="D10" s="402" t="s">
        <v>3857</v>
      </c>
      <c r="E10" s="6"/>
      <c r="F10" s="6"/>
      <c r="G10" s="6"/>
    </row>
    <row r="11" spans="1:7" x14ac:dyDescent="0.25">
      <c r="A11" s="157">
        <f t="shared" si="0"/>
        <v>10</v>
      </c>
      <c r="B11" s="405" t="s">
        <v>5127</v>
      </c>
      <c r="C11" s="405" t="s">
        <v>5127</v>
      </c>
      <c r="D11" s="402" t="s">
        <v>5678</v>
      </c>
      <c r="E11" s="6"/>
      <c r="F11" s="6"/>
      <c r="G11" s="6"/>
    </row>
    <row r="12" spans="1:7" x14ac:dyDescent="0.25">
      <c r="A12" s="157">
        <f t="shared" si="0"/>
        <v>11</v>
      </c>
      <c r="B12" s="405" t="s">
        <v>3806</v>
      </c>
      <c r="C12" s="405" t="s">
        <v>3806</v>
      </c>
      <c r="D12" s="402" t="s">
        <v>5700</v>
      </c>
      <c r="E12" s="6"/>
      <c r="F12" s="6"/>
      <c r="G12" s="6"/>
    </row>
    <row r="13" spans="1:7" x14ac:dyDescent="0.25">
      <c r="A13" s="157">
        <f t="shared" si="0"/>
        <v>12</v>
      </c>
      <c r="B13" s="405" t="s">
        <v>3805</v>
      </c>
      <c r="C13" s="405" t="s">
        <v>3805</v>
      </c>
      <c r="D13" s="403" t="s">
        <v>5701</v>
      </c>
      <c r="E13" s="6"/>
      <c r="F13" s="2"/>
      <c r="G13" s="6"/>
    </row>
    <row r="14" spans="1:7" x14ac:dyDescent="0.25">
      <c r="A14" s="157">
        <f t="shared" si="0"/>
        <v>13</v>
      </c>
      <c r="B14" s="405" t="s">
        <v>3853</v>
      </c>
      <c r="C14" s="405" t="s">
        <v>3853</v>
      </c>
      <c r="D14" s="403" t="s">
        <v>3857</v>
      </c>
      <c r="E14" s="6"/>
      <c r="F14" s="2"/>
      <c r="G14" s="6"/>
    </row>
    <row r="15" spans="1:7" x14ac:dyDescent="0.25">
      <c r="A15" s="157">
        <f t="shared" si="0"/>
        <v>14</v>
      </c>
      <c r="B15" s="405" t="s">
        <v>3535</v>
      </c>
      <c r="C15" s="405" t="s">
        <v>3535</v>
      </c>
      <c r="D15" s="403" t="s">
        <v>5673</v>
      </c>
      <c r="E15" s="6"/>
      <c r="F15" s="3"/>
      <c r="G15" s="6"/>
    </row>
    <row r="16" spans="1:7" x14ac:dyDescent="0.25">
      <c r="A16" s="157">
        <f t="shared" si="0"/>
        <v>15</v>
      </c>
      <c r="B16" s="405" t="s">
        <v>2217</v>
      </c>
      <c r="C16" s="405" t="s">
        <v>2217</v>
      </c>
      <c r="D16" s="403" t="s">
        <v>3857</v>
      </c>
      <c r="E16" s="6"/>
      <c r="F16" s="3"/>
      <c r="G16" s="6"/>
    </row>
    <row r="17" spans="1:7" x14ac:dyDescent="0.25">
      <c r="A17" s="157">
        <f t="shared" si="0"/>
        <v>16</v>
      </c>
      <c r="B17" s="405" t="s">
        <v>14</v>
      </c>
      <c r="C17" s="405" t="s">
        <v>14</v>
      </c>
      <c r="D17" s="526" t="s">
        <v>5429</v>
      </c>
      <c r="E17" s="6"/>
      <c r="F17" s="3"/>
      <c r="G17" s="6"/>
    </row>
    <row r="18" spans="1:7" x14ac:dyDescent="0.25">
      <c r="A18" s="157">
        <f t="shared" si="0"/>
        <v>17</v>
      </c>
      <c r="B18" s="405" t="s">
        <v>3832</v>
      </c>
      <c r="C18" s="405" t="s">
        <v>3832</v>
      </c>
      <c r="D18" s="403" t="s">
        <v>3857</v>
      </c>
      <c r="E18" s="6"/>
      <c r="F18" s="2"/>
      <c r="G18" s="6"/>
    </row>
    <row r="19" spans="1:7" x14ac:dyDescent="0.25">
      <c r="A19" s="157">
        <f t="shared" si="0"/>
        <v>18</v>
      </c>
      <c r="B19" s="405" t="s">
        <v>2218</v>
      </c>
      <c r="C19" s="405" t="s">
        <v>2218</v>
      </c>
      <c r="D19" s="404" t="s">
        <v>3857</v>
      </c>
      <c r="E19" s="6"/>
      <c r="F19" s="2"/>
      <c r="G19" s="6"/>
    </row>
    <row r="20" spans="1:7" x14ac:dyDescent="0.25">
      <c r="A20" s="157">
        <f t="shared" si="0"/>
        <v>19</v>
      </c>
      <c r="B20" s="405" t="s">
        <v>2220</v>
      </c>
      <c r="C20" s="405" t="s">
        <v>2220</v>
      </c>
      <c r="D20" s="403" t="s">
        <v>5420</v>
      </c>
      <c r="E20" s="6"/>
      <c r="F20" s="3"/>
      <c r="G20" s="6"/>
    </row>
    <row r="21" spans="1:7" x14ac:dyDescent="0.25">
      <c r="A21" s="157">
        <f t="shared" si="0"/>
        <v>20</v>
      </c>
      <c r="B21" s="405" t="s">
        <v>2219</v>
      </c>
      <c r="C21" s="405" t="s">
        <v>2219</v>
      </c>
      <c r="D21" s="403" t="s">
        <v>5419</v>
      </c>
      <c r="E21" s="6"/>
      <c r="F21" s="3"/>
      <c r="G21" s="6"/>
    </row>
    <row r="22" spans="1:7" x14ac:dyDescent="0.25">
      <c r="A22" s="157">
        <f t="shared" si="0"/>
        <v>21</v>
      </c>
      <c r="B22" s="405" t="s">
        <v>3520</v>
      </c>
      <c r="C22" s="405" t="s">
        <v>3520</v>
      </c>
      <c r="D22" s="403" t="s">
        <v>5674</v>
      </c>
      <c r="E22" s="6"/>
      <c r="F22" s="3"/>
      <c r="G22" s="6"/>
    </row>
    <row r="23" spans="1:7" x14ac:dyDescent="0.25">
      <c r="A23" s="157">
        <f t="shared" si="0"/>
        <v>22</v>
      </c>
      <c r="B23" s="405" t="s">
        <v>2200</v>
      </c>
      <c r="C23" s="405" t="s">
        <v>2200</v>
      </c>
      <c r="D23" s="526" t="s">
        <v>5430</v>
      </c>
      <c r="E23" s="6"/>
      <c r="F23" s="3"/>
      <c r="G23" s="6"/>
    </row>
    <row r="24" spans="1:7" x14ac:dyDescent="0.25">
      <c r="A24" s="157">
        <f t="shared" si="0"/>
        <v>23</v>
      </c>
      <c r="B24" s="405" t="s">
        <v>5413</v>
      </c>
      <c r="C24" s="405" t="s">
        <v>5413</v>
      </c>
      <c r="D24" s="526" t="s">
        <v>5432</v>
      </c>
      <c r="E24" s="6"/>
      <c r="F24" s="3"/>
      <c r="G24" s="6"/>
    </row>
    <row r="25" spans="1:7" x14ac:dyDescent="0.25">
      <c r="A25" s="157">
        <f t="shared" si="0"/>
        <v>24</v>
      </c>
      <c r="B25" s="405" t="s">
        <v>574</v>
      </c>
      <c r="C25" s="405" t="s">
        <v>574</v>
      </c>
      <c r="D25" s="526" t="s">
        <v>5418</v>
      </c>
      <c r="E25" s="6"/>
      <c r="F25" s="3"/>
      <c r="G25" s="6"/>
    </row>
    <row r="26" spans="1:7" x14ac:dyDescent="0.25">
      <c r="A26" s="157">
        <f t="shared" si="0"/>
        <v>25</v>
      </c>
      <c r="B26" s="406" t="s">
        <v>575</v>
      </c>
      <c r="C26" s="406" t="s">
        <v>575</v>
      </c>
      <c r="D26" s="526" t="s">
        <v>5431</v>
      </c>
      <c r="E26" s="6"/>
      <c r="F26" s="3"/>
      <c r="G26" s="6"/>
    </row>
    <row r="27" spans="1:7" x14ac:dyDescent="0.25">
      <c r="A27" s="157">
        <f t="shared" si="0"/>
        <v>26</v>
      </c>
      <c r="B27" s="406" t="s">
        <v>5121</v>
      </c>
      <c r="C27" s="406" t="s">
        <v>5121</v>
      </c>
      <c r="D27" s="403" t="s">
        <v>5679</v>
      </c>
      <c r="E27" s="6"/>
      <c r="F27" s="3"/>
      <c r="G27" s="6"/>
    </row>
    <row r="28" spans="1:7" x14ac:dyDescent="0.25">
      <c r="A28" s="157">
        <f t="shared" si="0"/>
        <v>27</v>
      </c>
      <c r="B28" s="405" t="s">
        <v>2201</v>
      </c>
      <c r="C28" s="405" t="s">
        <v>2201</v>
      </c>
      <c r="D28" s="526" t="s">
        <v>5425</v>
      </c>
      <c r="E28" s="6"/>
      <c r="F28" s="3"/>
      <c r="G28" s="6"/>
    </row>
    <row r="29" spans="1:7" x14ac:dyDescent="0.25">
      <c r="A29" s="157">
        <f t="shared" si="0"/>
        <v>28</v>
      </c>
      <c r="B29" s="405" t="s">
        <v>571</v>
      </c>
      <c r="C29" s="405" t="s">
        <v>571</v>
      </c>
      <c r="D29" s="522" t="s">
        <v>5427</v>
      </c>
      <c r="E29" s="6"/>
      <c r="F29" s="3"/>
      <c r="G29" s="3"/>
    </row>
    <row r="30" spans="1:7" x14ac:dyDescent="0.25">
      <c r="A30" s="157">
        <f t="shared" si="0"/>
        <v>29</v>
      </c>
      <c r="B30" s="405" t="s">
        <v>3808</v>
      </c>
      <c r="C30" s="405" t="s">
        <v>3808</v>
      </c>
      <c r="D30" s="403" t="s">
        <v>5702</v>
      </c>
      <c r="E30" s="6"/>
      <c r="F30" s="3"/>
      <c r="G30" s="3"/>
    </row>
    <row r="31" spans="1:7" x14ac:dyDescent="0.25">
      <c r="A31" s="157">
        <f t="shared" si="0"/>
        <v>30</v>
      </c>
      <c r="B31" s="405" t="s">
        <v>5123</v>
      </c>
      <c r="C31" s="405" t="s">
        <v>5123</v>
      </c>
      <c r="D31" s="403" t="s">
        <v>5443</v>
      </c>
      <c r="E31" s="6"/>
      <c r="F31" s="3"/>
      <c r="G31" s="3"/>
    </row>
    <row r="32" spans="1:7" x14ac:dyDescent="0.25">
      <c r="A32" s="157">
        <f t="shared" si="0"/>
        <v>31</v>
      </c>
      <c r="B32" s="406" t="s">
        <v>5116</v>
      </c>
      <c r="C32" s="406" t="s">
        <v>5116</v>
      </c>
      <c r="D32" s="403" t="s">
        <v>5680</v>
      </c>
      <c r="E32" s="6"/>
      <c r="F32" s="2"/>
      <c r="G32" s="4"/>
    </row>
    <row r="33" spans="1:7" x14ac:dyDescent="0.25">
      <c r="A33" s="157">
        <f t="shared" si="0"/>
        <v>32</v>
      </c>
      <c r="B33" s="519" t="s">
        <v>2205</v>
      </c>
      <c r="C33" s="519" t="s">
        <v>2205</v>
      </c>
      <c r="D33" s="526" t="s">
        <v>5435</v>
      </c>
      <c r="E33" s="6"/>
      <c r="F33" s="3"/>
      <c r="G33" s="6"/>
    </row>
    <row r="34" spans="1:7" x14ac:dyDescent="0.25">
      <c r="A34" s="157">
        <f t="shared" si="0"/>
        <v>33</v>
      </c>
      <c r="B34" s="519" t="s">
        <v>2202</v>
      </c>
      <c r="C34" s="519" t="s">
        <v>2202</v>
      </c>
      <c r="D34" s="403" t="s">
        <v>5416</v>
      </c>
      <c r="E34" s="6"/>
      <c r="F34" s="3"/>
      <c r="G34" s="6"/>
    </row>
    <row r="35" spans="1:7" x14ac:dyDescent="0.25">
      <c r="A35" s="157">
        <f t="shared" si="0"/>
        <v>34</v>
      </c>
      <c r="B35" s="519" t="s">
        <v>2214</v>
      </c>
      <c r="C35" s="519" t="s">
        <v>2214</v>
      </c>
      <c r="D35" s="526" t="s">
        <v>5443</v>
      </c>
      <c r="E35" s="6"/>
      <c r="F35" s="4"/>
      <c r="G35" s="6"/>
    </row>
    <row r="36" spans="1:7" x14ac:dyDescent="0.25">
      <c r="A36" s="157">
        <f t="shared" si="0"/>
        <v>35</v>
      </c>
      <c r="B36" s="519" t="s">
        <v>3850</v>
      </c>
      <c r="C36" s="519" t="s">
        <v>3850</v>
      </c>
      <c r="D36" s="402" t="s">
        <v>3857</v>
      </c>
      <c r="E36" s="6"/>
      <c r="F36" s="6"/>
      <c r="G36" s="6"/>
    </row>
    <row r="37" spans="1:7" x14ac:dyDescent="0.25">
      <c r="A37" s="157">
        <f t="shared" si="0"/>
        <v>36</v>
      </c>
      <c r="B37" s="519" t="s">
        <v>2215</v>
      </c>
      <c r="C37" s="519" t="s">
        <v>2215</v>
      </c>
      <c r="D37" s="522" t="s">
        <v>5681</v>
      </c>
      <c r="E37" s="6"/>
      <c r="F37" s="6"/>
      <c r="G37" s="6"/>
    </row>
    <row r="38" spans="1:7" x14ac:dyDescent="0.25">
      <c r="A38" s="157">
        <f t="shared" si="0"/>
        <v>37</v>
      </c>
      <c r="B38" s="519" t="s">
        <v>3839</v>
      </c>
      <c r="C38" s="519" t="s">
        <v>3839</v>
      </c>
      <c r="D38" s="402" t="s">
        <v>3857</v>
      </c>
      <c r="E38" s="6"/>
      <c r="F38" s="6"/>
      <c r="G38" s="6"/>
    </row>
    <row r="39" spans="1:7" x14ac:dyDescent="0.25">
      <c r="A39" s="157">
        <f t="shared" si="0"/>
        <v>38</v>
      </c>
      <c r="B39" s="519" t="s">
        <v>3843</v>
      </c>
      <c r="C39" s="519" t="s">
        <v>3843</v>
      </c>
      <c r="D39" s="402" t="s">
        <v>3857</v>
      </c>
      <c r="E39" s="6"/>
      <c r="F39" s="6"/>
      <c r="G39" s="6"/>
    </row>
    <row r="40" spans="1:7" x14ac:dyDescent="0.25">
      <c r="A40" s="157">
        <f t="shared" si="0"/>
        <v>39</v>
      </c>
      <c r="B40" s="519" t="s">
        <v>2210</v>
      </c>
      <c r="C40" s="519" t="s">
        <v>2210</v>
      </c>
      <c r="D40" s="526" t="s">
        <v>5428</v>
      </c>
      <c r="E40" s="6"/>
      <c r="F40" s="6"/>
      <c r="G40" s="6"/>
    </row>
    <row r="41" spans="1:7" x14ac:dyDescent="0.25">
      <c r="A41" s="157">
        <f t="shared" si="0"/>
        <v>40</v>
      </c>
      <c r="B41" s="519" t="s">
        <v>3536</v>
      </c>
      <c r="C41" s="519" t="s">
        <v>3536</v>
      </c>
      <c r="D41" s="402" t="s">
        <v>5682</v>
      </c>
      <c r="E41" s="6"/>
      <c r="F41" s="6"/>
      <c r="G41" s="6"/>
    </row>
    <row r="42" spans="1:7" x14ac:dyDescent="0.25">
      <c r="A42" s="157">
        <f t="shared" si="0"/>
        <v>41</v>
      </c>
      <c r="B42" s="519" t="s">
        <v>2174</v>
      </c>
      <c r="C42" s="519" t="s">
        <v>2174</v>
      </c>
      <c r="D42" s="402" t="s">
        <v>5414</v>
      </c>
      <c r="E42" s="6"/>
      <c r="F42" s="6"/>
      <c r="G42" s="6"/>
    </row>
    <row r="43" spans="1:7" x14ac:dyDescent="0.25">
      <c r="A43" s="157">
        <f t="shared" si="0"/>
        <v>42</v>
      </c>
      <c r="B43" s="405" t="s">
        <v>3844</v>
      </c>
      <c r="C43" s="405" t="s">
        <v>3844</v>
      </c>
      <c r="D43" s="402" t="s">
        <v>3857</v>
      </c>
      <c r="E43" s="6"/>
      <c r="F43" s="6"/>
      <c r="G43" s="6"/>
    </row>
    <row r="44" spans="1:7" x14ac:dyDescent="0.25">
      <c r="A44" s="157">
        <f t="shared" si="0"/>
        <v>43</v>
      </c>
      <c r="B44" s="405" t="s">
        <v>577</v>
      </c>
      <c r="C44" s="405" t="s">
        <v>577</v>
      </c>
      <c r="D44" s="526" t="s">
        <v>5426</v>
      </c>
      <c r="E44" s="6"/>
      <c r="F44" s="6"/>
      <c r="G44" s="6"/>
    </row>
    <row r="45" spans="1:7" x14ac:dyDescent="0.25">
      <c r="A45" s="157">
        <f t="shared" si="0"/>
        <v>44</v>
      </c>
      <c r="B45" s="519" t="s">
        <v>5122</v>
      </c>
      <c r="C45" s="519" t="s">
        <v>5122</v>
      </c>
      <c r="D45" s="402" t="s">
        <v>5683</v>
      </c>
      <c r="E45" s="6"/>
      <c r="F45" s="6"/>
      <c r="G45" s="6"/>
    </row>
    <row r="46" spans="1:7" x14ac:dyDescent="0.25">
      <c r="A46" s="157">
        <f t="shared" si="0"/>
        <v>45</v>
      </c>
      <c r="B46" s="519" t="s">
        <v>3846</v>
      </c>
      <c r="C46" s="519" t="s">
        <v>3846</v>
      </c>
      <c r="D46" s="402" t="s">
        <v>3857</v>
      </c>
      <c r="E46" s="6"/>
      <c r="F46" s="6"/>
      <c r="G46" s="6"/>
    </row>
    <row r="47" spans="1:7" x14ac:dyDescent="0.25">
      <c r="A47" s="157">
        <f t="shared" si="0"/>
        <v>46</v>
      </c>
      <c r="B47" s="519" t="s">
        <v>5120</v>
      </c>
      <c r="C47" s="519" t="s">
        <v>5120</v>
      </c>
      <c r="D47" s="402" t="s">
        <v>5684</v>
      </c>
      <c r="E47" s="6"/>
      <c r="F47" s="6"/>
      <c r="G47" s="6"/>
    </row>
    <row r="48" spans="1:7" x14ac:dyDescent="0.25">
      <c r="A48" s="157">
        <f t="shared" si="0"/>
        <v>47</v>
      </c>
      <c r="B48" s="519" t="s">
        <v>5132</v>
      </c>
      <c r="C48" s="519" t="s">
        <v>5132</v>
      </c>
      <c r="D48" s="402" t="s">
        <v>5685</v>
      </c>
      <c r="E48" s="6"/>
      <c r="F48" s="6"/>
      <c r="G48" s="6"/>
    </row>
    <row r="49" spans="1:7" x14ac:dyDescent="0.25">
      <c r="A49" s="157">
        <f t="shared" si="0"/>
        <v>48</v>
      </c>
      <c r="B49" s="519" t="s">
        <v>5129</v>
      </c>
      <c r="C49" s="519" t="s">
        <v>5129</v>
      </c>
      <c r="D49" s="402" t="s">
        <v>5686</v>
      </c>
      <c r="E49" s="6"/>
      <c r="F49" s="6"/>
      <c r="G49" s="6"/>
    </row>
    <row r="50" spans="1:7" x14ac:dyDescent="0.25">
      <c r="A50" s="157">
        <f t="shared" si="0"/>
        <v>49</v>
      </c>
      <c r="B50" s="519" t="s">
        <v>2206</v>
      </c>
      <c r="C50" s="519" t="s">
        <v>2206</v>
      </c>
      <c r="D50" s="526" t="s">
        <v>5687</v>
      </c>
      <c r="E50" s="6"/>
      <c r="F50" s="6"/>
      <c r="G50" s="6"/>
    </row>
    <row r="51" spans="1:7" x14ac:dyDescent="0.25">
      <c r="A51" s="157">
        <f t="shared" si="0"/>
        <v>50</v>
      </c>
      <c r="B51" s="519" t="s">
        <v>2203</v>
      </c>
      <c r="C51" s="519" t="s">
        <v>2203</v>
      </c>
      <c r="D51" s="402" t="s">
        <v>5417</v>
      </c>
      <c r="E51" s="6"/>
      <c r="F51" s="6"/>
      <c r="G51" s="6"/>
    </row>
    <row r="52" spans="1:7" x14ac:dyDescent="0.25">
      <c r="A52" s="157">
        <f t="shared" si="0"/>
        <v>51</v>
      </c>
      <c r="B52" s="519" t="s">
        <v>3852</v>
      </c>
      <c r="C52" s="519" t="s">
        <v>3852</v>
      </c>
      <c r="D52" s="402" t="s">
        <v>3857</v>
      </c>
      <c r="E52" s="6"/>
      <c r="F52" s="6"/>
      <c r="G52" s="6"/>
    </row>
    <row r="53" spans="1:7" x14ac:dyDescent="0.25">
      <c r="A53" s="157">
        <f t="shared" si="0"/>
        <v>52</v>
      </c>
      <c r="B53" s="519" t="s">
        <v>3848</v>
      </c>
      <c r="C53" s="519" t="s">
        <v>3848</v>
      </c>
      <c r="D53" s="402" t="s">
        <v>3857</v>
      </c>
      <c r="E53" s="6"/>
      <c r="F53" s="6"/>
      <c r="G53" s="6"/>
    </row>
    <row r="54" spans="1:7" x14ac:dyDescent="0.25">
      <c r="A54" s="157">
        <f t="shared" si="0"/>
        <v>53</v>
      </c>
      <c r="B54" s="519" t="s">
        <v>3847</v>
      </c>
      <c r="C54" s="519" t="s">
        <v>3847</v>
      </c>
      <c r="D54" s="402" t="s">
        <v>3857</v>
      </c>
      <c r="E54" s="6"/>
      <c r="F54" s="6"/>
      <c r="G54" s="6"/>
    </row>
    <row r="55" spans="1:7" x14ac:dyDescent="0.25">
      <c r="A55" s="157">
        <f t="shared" si="0"/>
        <v>54</v>
      </c>
      <c r="B55" s="519" t="s">
        <v>5131</v>
      </c>
      <c r="C55" s="519" t="s">
        <v>5131</v>
      </c>
      <c r="D55" s="402" t="s">
        <v>5688</v>
      </c>
      <c r="E55" s="6"/>
      <c r="F55" s="6"/>
      <c r="G55" s="6"/>
    </row>
    <row r="56" spans="1:7" x14ac:dyDescent="0.25">
      <c r="A56" s="157">
        <f t="shared" si="0"/>
        <v>55</v>
      </c>
      <c r="B56" s="519" t="s">
        <v>3838</v>
      </c>
      <c r="C56" s="519" t="s">
        <v>3838</v>
      </c>
      <c r="D56" s="402" t="s">
        <v>3857</v>
      </c>
      <c r="E56" s="6"/>
      <c r="F56" s="6"/>
      <c r="G56" s="6"/>
    </row>
    <row r="57" spans="1:7" x14ac:dyDescent="0.25">
      <c r="A57" s="157">
        <f t="shared" si="0"/>
        <v>56</v>
      </c>
      <c r="B57" s="519" t="s">
        <v>5124</v>
      </c>
      <c r="C57" s="519" t="s">
        <v>5124</v>
      </c>
      <c r="D57" s="402" t="s">
        <v>5689</v>
      </c>
      <c r="E57" s="6"/>
      <c r="F57" s="6"/>
      <c r="G57" s="6"/>
    </row>
    <row r="58" spans="1:7" x14ac:dyDescent="0.25">
      <c r="A58" s="157">
        <f t="shared" si="0"/>
        <v>57</v>
      </c>
      <c r="B58" s="519" t="s">
        <v>2212</v>
      </c>
      <c r="C58" s="519" t="s">
        <v>2212</v>
      </c>
      <c r="D58" s="522" t="s">
        <v>5441</v>
      </c>
      <c r="E58" s="6"/>
      <c r="F58" s="6"/>
      <c r="G58" s="6"/>
    </row>
    <row r="59" spans="1:7" x14ac:dyDescent="0.25">
      <c r="A59" s="157">
        <f t="shared" si="0"/>
        <v>58</v>
      </c>
      <c r="B59" s="519" t="s">
        <v>2213</v>
      </c>
      <c r="C59" s="519" t="s">
        <v>2213</v>
      </c>
      <c r="D59" s="522" t="s">
        <v>5442</v>
      </c>
      <c r="E59" s="6"/>
      <c r="F59" s="6"/>
      <c r="G59" s="6"/>
    </row>
    <row r="60" spans="1:7" x14ac:dyDescent="0.25">
      <c r="A60" s="157">
        <f t="shared" si="0"/>
        <v>59</v>
      </c>
      <c r="B60" s="519" t="s">
        <v>3519</v>
      </c>
      <c r="C60" s="519" t="s">
        <v>3519</v>
      </c>
      <c r="D60" s="402" t="s">
        <v>5672</v>
      </c>
      <c r="E60" s="6"/>
      <c r="F60" s="6"/>
      <c r="G60" s="6"/>
    </row>
    <row r="61" spans="1:7" x14ac:dyDescent="0.25">
      <c r="A61" s="157">
        <f t="shared" si="0"/>
        <v>60</v>
      </c>
      <c r="B61" s="519" t="s">
        <v>3534</v>
      </c>
      <c r="C61" s="519" t="s">
        <v>7041</v>
      </c>
      <c r="D61" s="402" t="s">
        <v>5690</v>
      </c>
      <c r="E61" s="6"/>
      <c r="F61" s="6"/>
      <c r="G61" s="6"/>
    </row>
    <row r="62" spans="1:7" x14ac:dyDescent="0.25">
      <c r="A62" s="157">
        <f t="shared" si="0"/>
        <v>61</v>
      </c>
      <c r="B62" s="519" t="s">
        <v>3529</v>
      </c>
      <c r="C62" s="519" t="s">
        <v>7041</v>
      </c>
      <c r="D62" s="402" t="s">
        <v>5691</v>
      </c>
      <c r="E62" s="6"/>
      <c r="F62" s="6"/>
      <c r="G62" s="6"/>
    </row>
    <row r="63" spans="1:7" x14ac:dyDescent="0.25">
      <c r="A63" s="157">
        <f t="shared" si="0"/>
        <v>62</v>
      </c>
      <c r="B63" s="519" t="s">
        <v>3530</v>
      </c>
      <c r="C63" s="519" t="s">
        <v>7041</v>
      </c>
      <c r="D63" s="402" t="s">
        <v>5692</v>
      </c>
      <c r="E63" s="6"/>
      <c r="F63" s="6"/>
      <c r="G63" s="6"/>
    </row>
    <row r="64" spans="1:7" x14ac:dyDescent="0.25">
      <c r="A64" s="157">
        <f t="shared" si="0"/>
        <v>63</v>
      </c>
      <c r="B64" s="519" t="s">
        <v>3531</v>
      </c>
      <c r="C64" s="519" t="s">
        <v>7041</v>
      </c>
      <c r="D64" s="402" t="s">
        <v>5693</v>
      </c>
      <c r="E64" s="6"/>
      <c r="F64" s="6"/>
      <c r="G64" s="6"/>
    </row>
    <row r="65" spans="1:7" x14ac:dyDescent="0.25">
      <c r="A65" s="157">
        <f t="shared" si="0"/>
        <v>64</v>
      </c>
      <c r="B65" s="519" t="s">
        <v>3532</v>
      </c>
      <c r="C65" s="519" t="s">
        <v>7041</v>
      </c>
      <c r="D65" s="402" t="s">
        <v>5694</v>
      </c>
      <c r="E65" s="6"/>
      <c r="F65" s="6"/>
      <c r="G65" s="6"/>
    </row>
    <row r="66" spans="1:7" x14ac:dyDescent="0.25">
      <c r="A66" s="157">
        <f t="shared" si="0"/>
        <v>65</v>
      </c>
      <c r="B66" s="519" t="s">
        <v>3533</v>
      </c>
      <c r="C66" s="519" t="s">
        <v>7041</v>
      </c>
      <c r="D66" s="402" t="s">
        <v>5695</v>
      </c>
      <c r="E66" s="6"/>
      <c r="F66" s="6"/>
      <c r="G66" s="6"/>
    </row>
    <row r="67" spans="1:7" x14ac:dyDescent="0.25">
      <c r="A67" s="157">
        <f t="shared" si="0"/>
        <v>66</v>
      </c>
      <c r="B67" s="519" t="s">
        <v>3849</v>
      </c>
      <c r="C67" s="519" t="s">
        <v>3849</v>
      </c>
      <c r="D67" s="402" t="s">
        <v>3857</v>
      </c>
      <c r="E67" s="6"/>
      <c r="F67" s="6"/>
      <c r="G67" s="6"/>
    </row>
    <row r="68" spans="1:7" x14ac:dyDescent="0.25">
      <c r="A68" s="157">
        <f t="shared" ref="A68:A94" si="1">IF(B68="","",A67+1)</f>
        <v>67</v>
      </c>
      <c r="B68" s="519" t="s">
        <v>3834</v>
      </c>
      <c r="C68" s="519" t="s">
        <v>3834</v>
      </c>
      <c r="D68" s="402" t="s">
        <v>3857</v>
      </c>
      <c r="E68" s="6"/>
      <c r="F68" s="6"/>
      <c r="G68" s="6"/>
    </row>
    <row r="69" spans="1:7" x14ac:dyDescent="0.25">
      <c r="A69" s="157">
        <f t="shared" si="1"/>
        <v>68</v>
      </c>
      <c r="B69" s="519" t="s">
        <v>2207</v>
      </c>
      <c r="C69" s="519" t="s">
        <v>2207</v>
      </c>
      <c r="D69" s="526" t="s">
        <v>5436</v>
      </c>
      <c r="E69" s="6"/>
      <c r="F69" s="6"/>
      <c r="G69" s="6"/>
    </row>
    <row r="70" spans="1:7" x14ac:dyDescent="0.25">
      <c r="A70" s="157">
        <f t="shared" si="1"/>
        <v>69</v>
      </c>
      <c r="B70" s="519" t="s">
        <v>6043</v>
      </c>
      <c r="C70" s="519" t="s">
        <v>7042</v>
      </c>
      <c r="D70" s="402" t="s">
        <v>3857</v>
      </c>
      <c r="E70" s="6"/>
      <c r="F70" s="6"/>
      <c r="G70" s="6"/>
    </row>
    <row r="71" spans="1:7" x14ac:dyDescent="0.25">
      <c r="A71" s="157">
        <f t="shared" si="1"/>
        <v>70</v>
      </c>
      <c r="B71" s="519" t="s">
        <v>3836</v>
      </c>
      <c r="C71" s="519" t="s">
        <v>3836</v>
      </c>
      <c r="D71" s="402" t="s">
        <v>3857</v>
      </c>
      <c r="E71" s="6"/>
      <c r="F71" s="6"/>
      <c r="G71" s="6"/>
    </row>
    <row r="72" spans="1:7" x14ac:dyDescent="0.25">
      <c r="A72" s="157">
        <f t="shared" si="1"/>
        <v>71</v>
      </c>
      <c r="B72" s="519" t="s">
        <v>3854</v>
      </c>
      <c r="C72" s="519" t="s">
        <v>3854</v>
      </c>
      <c r="D72" s="402" t="s">
        <v>3857</v>
      </c>
      <c r="E72" s="6"/>
      <c r="F72" s="6"/>
      <c r="G72" s="6"/>
    </row>
    <row r="73" spans="1:7" x14ac:dyDescent="0.25">
      <c r="A73" s="157">
        <f t="shared" si="1"/>
        <v>72</v>
      </c>
      <c r="B73" s="519" t="s">
        <v>3840</v>
      </c>
      <c r="C73" s="519" t="s">
        <v>3840</v>
      </c>
      <c r="D73" s="402" t="s">
        <v>3857</v>
      </c>
      <c r="E73" s="6"/>
      <c r="F73" s="6"/>
      <c r="G73" s="6"/>
    </row>
    <row r="74" spans="1:7" x14ac:dyDescent="0.25">
      <c r="A74" s="157">
        <f t="shared" si="1"/>
        <v>73</v>
      </c>
      <c r="B74" s="519" t="s">
        <v>2199</v>
      </c>
      <c r="C74" s="519" t="s">
        <v>2199</v>
      </c>
      <c r="D74" s="526" t="s">
        <v>5433</v>
      </c>
      <c r="E74" s="6"/>
      <c r="F74" s="6"/>
      <c r="G74" s="6"/>
    </row>
    <row r="75" spans="1:7" x14ac:dyDescent="0.25">
      <c r="A75" s="157">
        <f t="shared" si="1"/>
        <v>74</v>
      </c>
      <c r="B75" s="519" t="s">
        <v>5130</v>
      </c>
      <c r="C75" s="519" t="s">
        <v>5130</v>
      </c>
      <c r="D75" s="402" t="s">
        <v>5696</v>
      </c>
      <c r="E75" s="6"/>
      <c r="F75" s="6"/>
      <c r="G75" s="6"/>
    </row>
    <row r="76" spans="1:7" x14ac:dyDescent="0.25">
      <c r="A76" s="157">
        <f t="shared" si="1"/>
        <v>75</v>
      </c>
      <c r="B76" s="519" t="s">
        <v>2204</v>
      </c>
      <c r="C76" s="519" t="s">
        <v>2204</v>
      </c>
      <c r="D76" s="402" t="s">
        <v>5418</v>
      </c>
      <c r="E76" s="6"/>
      <c r="F76" s="6"/>
      <c r="G76" s="6"/>
    </row>
    <row r="77" spans="1:7" x14ac:dyDescent="0.25">
      <c r="A77" s="157">
        <f t="shared" si="1"/>
        <v>76</v>
      </c>
      <c r="B77" s="519" t="s">
        <v>2221</v>
      </c>
      <c r="C77" s="519" t="s">
        <v>2221</v>
      </c>
      <c r="D77" s="402" t="s">
        <v>5421</v>
      </c>
      <c r="E77" s="6"/>
      <c r="F77" s="6"/>
      <c r="G77" s="6"/>
    </row>
    <row r="78" spans="1:7" x14ac:dyDescent="0.25">
      <c r="A78" s="157">
        <f t="shared" si="1"/>
        <v>77</v>
      </c>
      <c r="B78" s="519" t="s">
        <v>3770</v>
      </c>
      <c r="C78" s="519" t="s">
        <v>3770</v>
      </c>
      <c r="D78" s="402" t="s">
        <v>5421</v>
      </c>
      <c r="E78" s="6"/>
      <c r="F78" s="6"/>
      <c r="G78" s="6"/>
    </row>
    <row r="79" spans="1:7" x14ac:dyDescent="0.25">
      <c r="A79" s="157">
        <f t="shared" si="1"/>
        <v>78</v>
      </c>
      <c r="B79" s="519" t="s">
        <v>4151</v>
      </c>
      <c r="C79" s="519" t="s">
        <v>4151</v>
      </c>
      <c r="D79" s="402" t="s">
        <v>5422</v>
      </c>
      <c r="E79" s="6"/>
      <c r="F79" s="6"/>
      <c r="G79" s="6"/>
    </row>
    <row r="80" spans="1:7" x14ac:dyDescent="0.25">
      <c r="A80" s="157">
        <f t="shared" si="1"/>
        <v>79</v>
      </c>
      <c r="B80" s="519" t="s">
        <v>3835</v>
      </c>
      <c r="C80" s="519" t="s">
        <v>3835</v>
      </c>
      <c r="D80" s="402" t="s">
        <v>3857</v>
      </c>
      <c r="E80" s="6"/>
      <c r="F80" s="6"/>
      <c r="G80" s="6"/>
    </row>
    <row r="81" spans="1:7" x14ac:dyDescent="0.25">
      <c r="A81" s="157">
        <f t="shared" si="1"/>
        <v>80</v>
      </c>
      <c r="B81" s="519" t="s">
        <v>5126</v>
      </c>
      <c r="C81" s="519" t="s">
        <v>5126</v>
      </c>
      <c r="D81" s="402" t="s">
        <v>5677</v>
      </c>
      <c r="E81" s="6"/>
      <c r="F81" s="6"/>
      <c r="G81" s="6"/>
    </row>
    <row r="82" spans="1:7" x14ac:dyDescent="0.25">
      <c r="A82" s="157">
        <f t="shared" si="1"/>
        <v>81</v>
      </c>
      <c r="B82" s="519" t="s">
        <v>5117</v>
      </c>
      <c r="C82" s="519" t="s">
        <v>5117</v>
      </c>
      <c r="D82" s="402" t="s">
        <v>5697</v>
      </c>
      <c r="E82" s="6"/>
      <c r="F82" s="6"/>
      <c r="G82" s="6"/>
    </row>
    <row r="83" spans="1:7" x14ac:dyDescent="0.25">
      <c r="A83" s="157">
        <f t="shared" si="1"/>
        <v>82</v>
      </c>
      <c r="B83" s="519" t="s">
        <v>2209</v>
      </c>
      <c r="C83" s="519" t="s">
        <v>2209</v>
      </c>
      <c r="D83" s="402" t="s">
        <v>5698</v>
      </c>
      <c r="E83" s="6"/>
      <c r="F83" s="6"/>
      <c r="G83" s="6"/>
    </row>
    <row r="84" spans="1:7" x14ac:dyDescent="0.25">
      <c r="A84" s="157">
        <f t="shared" si="1"/>
        <v>83</v>
      </c>
      <c r="B84" s="519" t="s">
        <v>572</v>
      </c>
      <c r="C84" s="519" t="s">
        <v>572</v>
      </c>
      <c r="D84" s="402" t="s">
        <v>3857</v>
      </c>
      <c r="E84" s="6"/>
      <c r="F84" s="6"/>
      <c r="G84" s="6"/>
    </row>
    <row r="85" spans="1:7" x14ac:dyDescent="0.25">
      <c r="A85" s="157">
        <f t="shared" si="1"/>
        <v>84</v>
      </c>
      <c r="B85" s="519" t="s">
        <v>5119</v>
      </c>
      <c r="C85" s="519" t="s">
        <v>5119</v>
      </c>
      <c r="D85" s="402" t="s">
        <v>5699</v>
      </c>
      <c r="E85" s="6"/>
      <c r="F85" s="6"/>
      <c r="G85" s="6"/>
    </row>
    <row r="86" spans="1:7" x14ac:dyDescent="0.25">
      <c r="A86" s="157">
        <f t="shared" si="1"/>
        <v>85</v>
      </c>
      <c r="B86" s="523" t="s">
        <v>5424</v>
      </c>
      <c r="C86" s="523" t="s">
        <v>5424</v>
      </c>
      <c r="D86" s="402" t="s">
        <v>5423</v>
      </c>
      <c r="E86" s="6"/>
      <c r="F86" s="6"/>
      <c r="G86" s="6"/>
    </row>
    <row r="87" spans="1:7" x14ac:dyDescent="0.25">
      <c r="A87" s="157">
        <f t="shared" si="1"/>
        <v>86</v>
      </c>
      <c r="B87" s="523" t="s">
        <v>7045</v>
      </c>
      <c r="C87" s="523" t="s">
        <v>7046</v>
      </c>
      <c r="D87" s="526" t="s">
        <v>5434</v>
      </c>
      <c r="E87" s="6"/>
      <c r="F87" s="6"/>
      <c r="G87" s="6"/>
    </row>
    <row r="88" spans="1:7" x14ac:dyDescent="0.25">
      <c r="A88" s="157">
        <f t="shared" si="1"/>
        <v>87</v>
      </c>
      <c r="B88" s="523" t="s">
        <v>5439</v>
      </c>
      <c r="C88" s="523" t="s">
        <v>5439</v>
      </c>
      <c r="D88" s="522" t="s">
        <v>5438</v>
      </c>
      <c r="E88" s="6"/>
      <c r="F88" s="6"/>
      <c r="G88" s="6"/>
    </row>
    <row r="89" spans="1:7" x14ac:dyDescent="0.25">
      <c r="A89" s="157">
        <f t="shared" si="1"/>
        <v>88</v>
      </c>
      <c r="B89" s="519" t="s">
        <v>5440</v>
      </c>
      <c r="C89" s="519" t="s">
        <v>5440</v>
      </c>
      <c r="D89" s="526" t="s">
        <v>7044</v>
      </c>
      <c r="E89" s="6"/>
      <c r="F89" s="6"/>
      <c r="G89" s="6"/>
    </row>
    <row r="90" spans="1:7" x14ac:dyDescent="0.25">
      <c r="A90" s="157">
        <f t="shared" si="1"/>
        <v>89</v>
      </c>
      <c r="B90" s="6" t="s">
        <v>5880</v>
      </c>
      <c r="C90" s="6" t="s">
        <v>5880</v>
      </c>
      <c r="D90" s="403" t="s">
        <v>6045</v>
      </c>
      <c r="E90" s="6"/>
      <c r="F90" s="6"/>
      <c r="G90" s="6"/>
    </row>
    <row r="91" spans="1:7" x14ac:dyDescent="0.25">
      <c r="A91" s="157">
        <f t="shared" si="1"/>
        <v>90</v>
      </c>
      <c r="B91" s="6" t="s">
        <v>5881</v>
      </c>
      <c r="C91" s="6" t="s">
        <v>5881</v>
      </c>
      <c r="D91" s="403" t="s">
        <v>6046</v>
      </c>
      <c r="E91" s="6"/>
      <c r="F91" s="6"/>
      <c r="G91" s="6"/>
    </row>
    <row r="92" spans="1:7" x14ac:dyDescent="0.25">
      <c r="A92" s="157">
        <f t="shared" si="1"/>
        <v>91</v>
      </c>
      <c r="B92" s="6" t="s">
        <v>5882</v>
      </c>
      <c r="C92" s="6" t="s">
        <v>5882</v>
      </c>
      <c r="D92" s="403" t="s">
        <v>6047</v>
      </c>
      <c r="E92" s="6"/>
      <c r="F92" s="6"/>
      <c r="G92" s="6"/>
    </row>
    <row r="93" spans="1:7" x14ac:dyDescent="0.25">
      <c r="A93" s="621">
        <f t="shared" si="1"/>
        <v>92</v>
      </c>
      <c r="B93" s="610" t="s">
        <v>7143</v>
      </c>
      <c r="C93" s="610" t="s">
        <v>7143</v>
      </c>
      <c r="D93" s="203" t="s">
        <v>7145</v>
      </c>
      <c r="E93" s="203"/>
      <c r="F93" s="203"/>
      <c r="G93" s="203"/>
    </row>
    <row r="94" spans="1:7" x14ac:dyDescent="0.25">
      <c r="A94" s="157">
        <f t="shared" si="1"/>
        <v>93</v>
      </c>
      <c r="B94" s="519" t="s">
        <v>7148</v>
      </c>
      <c r="C94" s="519" t="s">
        <v>7042</v>
      </c>
      <c r="D94" s="622" t="s">
        <v>7146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CO37"/>
  <sheetViews>
    <sheetView workbookViewId="0">
      <pane xSplit="2" ySplit="1" topLeftCell="C2" activePane="bottomRight" state="frozen"/>
      <selection activeCell="C780" sqref="C780"/>
      <selection pane="topRight" activeCell="C780" sqref="C780"/>
      <selection pane="bottomLeft" activeCell="C780" sqref="C780"/>
      <selection pane="bottomRight" activeCell="CI21" sqref="CI21"/>
    </sheetView>
  </sheetViews>
  <sheetFormatPr defaultRowHeight="12.75" x14ac:dyDescent="0.2"/>
  <cols>
    <col min="1" max="1" width="5" style="5" customWidth="1"/>
    <col min="2" max="82" width="20.7109375" style="5" customWidth="1"/>
    <col min="83" max="83" width="76.7109375" style="5" bestFit="1" customWidth="1"/>
    <col min="84" max="16384" width="9.140625" style="5"/>
  </cols>
  <sheetData>
    <row r="1" spans="1:93" x14ac:dyDescent="0.2">
      <c r="A1" s="10" t="s">
        <v>593</v>
      </c>
      <c r="B1" s="594" t="s">
        <v>2</v>
      </c>
      <c r="C1" s="569" t="s">
        <v>5144</v>
      </c>
      <c r="D1" s="605" t="s">
        <v>5104</v>
      </c>
      <c r="E1" s="570" t="s">
        <v>64</v>
      </c>
      <c r="F1" s="571" t="s">
        <v>65</v>
      </c>
      <c r="G1" s="572" t="s">
        <v>66</v>
      </c>
      <c r="H1" s="568" t="s">
        <v>67</v>
      </c>
      <c r="I1" s="605" t="s">
        <v>4979</v>
      </c>
      <c r="J1" s="593" t="s">
        <v>68</v>
      </c>
      <c r="K1" s="594" t="s">
        <v>69</v>
      </c>
      <c r="L1" s="570" t="s">
        <v>31</v>
      </c>
      <c r="M1" s="572" t="s">
        <v>32</v>
      </c>
      <c r="N1" s="568" t="s">
        <v>30</v>
      </c>
      <c r="O1" s="568" t="s">
        <v>553</v>
      </c>
      <c r="P1" s="568" t="s">
        <v>595</v>
      </c>
      <c r="Q1" s="568" t="s">
        <v>556</v>
      </c>
      <c r="R1" s="596" t="s">
        <v>599</v>
      </c>
      <c r="S1" s="570" t="s">
        <v>557</v>
      </c>
      <c r="T1" s="571" t="s">
        <v>558</v>
      </c>
      <c r="U1" s="571" t="s">
        <v>559</v>
      </c>
      <c r="V1" s="571" t="s">
        <v>560</v>
      </c>
      <c r="W1" s="571" t="s">
        <v>561</v>
      </c>
      <c r="X1" s="571" t="s">
        <v>562</v>
      </c>
      <c r="Y1" s="571" t="s">
        <v>563</v>
      </c>
      <c r="Z1" s="571" t="s">
        <v>564</v>
      </c>
      <c r="AA1" s="571" t="s">
        <v>565</v>
      </c>
      <c r="AB1" s="571" t="s">
        <v>566</v>
      </c>
      <c r="AC1" s="571" t="s">
        <v>1041</v>
      </c>
      <c r="AD1" s="571" t="s">
        <v>1042</v>
      </c>
      <c r="AE1" s="571" t="s">
        <v>1043</v>
      </c>
      <c r="AF1" s="571" t="s">
        <v>1044</v>
      </c>
      <c r="AG1" s="571" t="s">
        <v>1045</v>
      </c>
      <c r="AH1" s="571" t="s">
        <v>1046</v>
      </c>
      <c r="AI1" s="571" t="s">
        <v>1047</v>
      </c>
      <c r="AJ1" s="571" t="s">
        <v>1048</v>
      </c>
      <c r="AK1" s="571" t="s">
        <v>1049</v>
      </c>
      <c r="AL1" s="571" t="s">
        <v>1050</v>
      </c>
      <c r="AM1" s="572"/>
      <c r="AN1" s="597" t="s">
        <v>512</v>
      </c>
      <c r="AO1" s="598" t="s">
        <v>513</v>
      </c>
      <c r="AP1" s="598" t="s">
        <v>514</v>
      </c>
      <c r="AQ1" s="598" t="s">
        <v>515</v>
      </c>
      <c r="AR1" s="598" t="s">
        <v>516</v>
      </c>
      <c r="AS1" s="598" t="s">
        <v>517</v>
      </c>
      <c r="AT1" s="598" t="s">
        <v>518</v>
      </c>
      <c r="AU1" s="598" t="s">
        <v>519</v>
      </c>
      <c r="AV1" s="598" t="s">
        <v>521</v>
      </c>
      <c r="AW1" s="598" t="s">
        <v>522</v>
      </c>
      <c r="AX1" s="598"/>
      <c r="AY1" s="598" t="s">
        <v>523</v>
      </c>
      <c r="AZ1" s="598" t="s">
        <v>524</v>
      </c>
      <c r="BA1" s="598" t="s">
        <v>525</v>
      </c>
      <c r="BB1" s="598" t="s">
        <v>526</v>
      </c>
      <c r="BC1" s="598" t="s">
        <v>527</v>
      </c>
      <c r="BD1" s="598" t="s">
        <v>528</v>
      </c>
      <c r="BE1" s="598" t="s">
        <v>529</v>
      </c>
      <c r="BF1" s="598" t="s">
        <v>530</v>
      </c>
      <c r="BG1" s="598" t="s">
        <v>531</v>
      </c>
      <c r="BH1" s="598" t="s">
        <v>532</v>
      </c>
      <c r="BI1" s="598"/>
      <c r="BJ1" s="598" t="s">
        <v>533</v>
      </c>
      <c r="BK1" s="598" t="s">
        <v>534</v>
      </c>
      <c r="BL1" s="598" t="s">
        <v>535</v>
      </c>
      <c r="BM1" s="598" t="s">
        <v>536</v>
      </c>
      <c r="BN1" s="598" t="s">
        <v>537</v>
      </c>
      <c r="BO1" s="598" t="s">
        <v>538</v>
      </c>
      <c r="BP1" s="598" t="s">
        <v>539</v>
      </c>
      <c r="BQ1" s="598" t="s">
        <v>540</v>
      </c>
      <c r="BR1" s="598" t="s">
        <v>541</v>
      </c>
      <c r="BS1" s="598" t="s">
        <v>542</v>
      </c>
      <c r="BT1" s="598"/>
      <c r="BU1" s="598" t="s">
        <v>543</v>
      </c>
      <c r="BV1" s="598" t="s">
        <v>544</v>
      </c>
      <c r="BW1" s="598" t="s">
        <v>545</v>
      </c>
      <c r="BX1" s="598" t="s">
        <v>546</v>
      </c>
      <c r="BY1" s="598" t="s">
        <v>547</v>
      </c>
      <c r="BZ1" s="598" t="s">
        <v>548</v>
      </c>
      <c r="CA1" s="598" t="s">
        <v>549</v>
      </c>
      <c r="CB1" s="598" t="s">
        <v>550</v>
      </c>
      <c r="CC1" s="598" t="s">
        <v>551</v>
      </c>
      <c r="CD1" s="598" t="s">
        <v>552</v>
      </c>
      <c r="CE1" s="604" t="s">
        <v>5106</v>
      </c>
      <c r="CF1" s="595" t="s">
        <v>3540</v>
      </c>
      <c r="CG1" s="595" t="s">
        <v>3541</v>
      </c>
      <c r="CH1" s="595" t="s">
        <v>3542</v>
      </c>
      <c r="CI1" s="595" t="s">
        <v>3543</v>
      </c>
      <c r="CJ1" s="595" t="s">
        <v>3544</v>
      </c>
      <c r="CK1" s="595" t="s">
        <v>3545</v>
      </c>
      <c r="CL1" s="595" t="s">
        <v>3546</v>
      </c>
      <c r="CM1" s="595" t="s">
        <v>3556</v>
      </c>
      <c r="CN1" s="595" t="s">
        <v>3572</v>
      </c>
      <c r="CO1" s="595" t="s">
        <v>3573</v>
      </c>
    </row>
    <row r="2" spans="1:93" ht="15" x14ac:dyDescent="0.2">
      <c r="A2" s="157">
        <f>IF(B2="","",1)</f>
        <v>1</v>
      </c>
      <c r="B2" s="599" t="s">
        <v>70</v>
      </c>
      <c r="C2" s="599" t="s">
        <v>7113</v>
      </c>
      <c r="D2" s="600" t="str">
        <f>IFERROR(LEFT(TRIM(IF(E2="","",E2&amp;", ")&amp;IF(F2="","",F2&amp;", ")&amp;IF(G2="","",G2&amp;", ")),LEN(TRIM(IF(E2="","",E2&amp;", ")&amp;IF(F2="","",F2&amp;", ")&amp;IF(G2="","",G2&amp;", ")))-1),"")</f>
        <v>Insight, Religion</v>
      </c>
      <c r="E2" s="2" t="s">
        <v>71</v>
      </c>
      <c r="F2" s="2" t="s">
        <v>72</v>
      </c>
      <c r="G2" s="2"/>
      <c r="H2" s="3"/>
      <c r="I2" s="600" t="str">
        <f t="shared" ref="I2:I3" si="0">IFERROR(TRIM(IF(J2="","",J2&amp;", ")&amp;IF(K2="","",K2&amp;", ")),"")</f>
        <v/>
      </c>
      <c r="J2" s="3"/>
      <c r="K2" s="3"/>
      <c r="L2" s="2"/>
      <c r="M2" s="2"/>
      <c r="N2" s="3">
        <v>2</v>
      </c>
      <c r="O2" s="3" t="s">
        <v>632</v>
      </c>
      <c r="P2" s="601" t="s">
        <v>4161</v>
      </c>
      <c r="Q2" s="3" t="s">
        <v>1073</v>
      </c>
      <c r="R2" s="3">
        <f t="shared" ref="R2:R9" si="1">COUNTA(S2:AL2)</f>
        <v>3</v>
      </c>
      <c r="S2" s="3" t="s">
        <v>1039</v>
      </c>
      <c r="T2" s="3" t="s">
        <v>500</v>
      </c>
      <c r="U2" s="3" t="s">
        <v>1040</v>
      </c>
      <c r="V2" s="3"/>
      <c r="W2" s="3"/>
      <c r="X2" s="3"/>
      <c r="Y2" s="3"/>
      <c r="Z2" s="3"/>
      <c r="AA2" s="3"/>
      <c r="AB2" s="3"/>
      <c r="AC2" s="3"/>
      <c r="AD2" s="3"/>
      <c r="AE2" s="3"/>
      <c r="AF2" s="3"/>
      <c r="AG2" s="3"/>
      <c r="AH2" s="3"/>
      <c r="AI2" s="3"/>
      <c r="AJ2" s="3"/>
      <c r="AK2" s="3"/>
      <c r="AL2" s="3"/>
      <c r="AM2" s="3">
        <f>COUNTA(AN2:AW2)</f>
        <v>8</v>
      </c>
      <c r="AN2" s="3" t="s">
        <v>645</v>
      </c>
      <c r="AO2" s="3" t="s">
        <v>646</v>
      </c>
      <c r="AP2" s="3" t="s">
        <v>647</v>
      </c>
      <c r="AQ2" s="3" t="s">
        <v>648</v>
      </c>
      <c r="AR2" s="3" t="s">
        <v>649</v>
      </c>
      <c r="AS2" s="3" t="s">
        <v>650</v>
      </c>
      <c r="AT2" s="3" t="s">
        <v>651</v>
      </c>
      <c r="AU2" s="3" t="s">
        <v>652</v>
      </c>
      <c r="AV2" s="3"/>
      <c r="AW2" s="3"/>
      <c r="AX2" s="3">
        <f>COUNTA(AY2:BH2)</f>
        <v>6</v>
      </c>
      <c r="AY2" s="3" t="s">
        <v>749</v>
      </c>
      <c r="AZ2" s="3" t="s">
        <v>750</v>
      </c>
      <c r="BA2" s="3" t="s">
        <v>751</v>
      </c>
      <c r="BB2" s="3" t="s">
        <v>752</v>
      </c>
      <c r="BC2" s="3" t="s">
        <v>753</v>
      </c>
      <c r="BD2" s="3" t="s">
        <v>754</v>
      </c>
      <c r="BE2" s="3"/>
      <c r="BF2" s="3"/>
      <c r="BG2" s="3"/>
      <c r="BH2" s="3"/>
      <c r="BI2" s="3">
        <f>COUNTA(BJ2:BS2)</f>
        <v>6</v>
      </c>
      <c r="BJ2" s="3" t="s">
        <v>827</v>
      </c>
      <c r="BK2" s="3" t="s">
        <v>828</v>
      </c>
      <c r="BL2" s="3" t="s">
        <v>829</v>
      </c>
      <c r="BM2" s="3" t="s">
        <v>830</v>
      </c>
      <c r="BN2" s="3" t="s">
        <v>831</v>
      </c>
      <c r="BO2" s="3" t="s">
        <v>832</v>
      </c>
      <c r="BP2" s="3"/>
      <c r="BQ2" s="3"/>
      <c r="BR2" s="3"/>
      <c r="BS2" s="3"/>
      <c r="BT2" s="3">
        <f>COUNTA(BU2:CD2)</f>
        <v>6</v>
      </c>
      <c r="BU2" s="3" t="s">
        <v>905</v>
      </c>
      <c r="BV2" s="3" t="s">
        <v>906</v>
      </c>
      <c r="BW2" s="3" t="s">
        <v>907</v>
      </c>
      <c r="BX2" s="3" t="s">
        <v>908</v>
      </c>
      <c r="BY2" s="3" t="s">
        <v>909</v>
      </c>
      <c r="BZ2" s="3" t="s">
        <v>910</v>
      </c>
      <c r="CA2" s="3"/>
      <c r="CB2" s="3"/>
      <c r="CC2" s="3"/>
      <c r="CD2" s="3"/>
      <c r="CE2" s="602" t="str">
        <f>IFERROR(TRIM(IF(CF2="","",CF2&amp;", ")&amp;IF(CG2="","",CG2&amp;", ")&amp;IF(CH2="","",CH2&amp;", ")&amp;IF(CI2="","",CI2&amp;", ")&amp;IF(CJ2="","",CJ2&amp;", ")&amp;IF(CK2="","",CK2&amp;", ")&amp;IF(CL2="","",CL2&amp;", ")&amp;IF(CM2="","",CM2&amp;"gp, ")),"")</f>
        <v>holy symbol, prayer book, vestments, belt pouch, 5 sticks incense, common clothes, 15gp,</v>
      </c>
      <c r="CF2" s="3" t="s">
        <v>3547</v>
      </c>
      <c r="CG2" s="3" t="s">
        <v>3548</v>
      </c>
      <c r="CH2" s="3" t="s">
        <v>3549</v>
      </c>
      <c r="CI2" s="3" t="s">
        <v>3551</v>
      </c>
      <c r="CJ2" s="3" t="s">
        <v>3552</v>
      </c>
      <c r="CK2" s="3"/>
      <c r="CL2" s="3" t="s">
        <v>3550</v>
      </c>
      <c r="CM2" s="3">
        <v>15</v>
      </c>
      <c r="CN2" s="3"/>
      <c r="CO2" s="3"/>
    </row>
    <row r="3" spans="1:93" ht="15" x14ac:dyDescent="0.2">
      <c r="A3" s="157">
        <f>IF(B3="","",A2+1)</f>
        <v>2</v>
      </c>
      <c r="B3" s="599" t="s">
        <v>73</v>
      </c>
      <c r="C3" s="599" t="s">
        <v>7114</v>
      </c>
      <c r="D3" s="600" t="str">
        <f t="shared" ref="D3:D17" si="2">IFERROR(LEFT(TRIM(IF(E3="","",E3&amp;", ")&amp;IF(F3="","",F3&amp;", ")&amp;IF(G3="","",G3&amp;", ")),LEN(TRIM(IF(E3="","",E3&amp;", ")&amp;IF(F3="","",F3&amp;", ")&amp;IF(G3="","",G3&amp;", ")))-1),"")</f>
        <v>Deception, Stealth</v>
      </c>
      <c r="E3" s="2" t="s">
        <v>74</v>
      </c>
      <c r="F3" s="2" t="s">
        <v>75</v>
      </c>
      <c r="G3" s="2"/>
      <c r="H3" s="2">
        <v>1</v>
      </c>
      <c r="I3" s="600" t="str">
        <f t="shared" si="0"/>
        <v>Gaming set, Thieve's tools,</v>
      </c>
      <c r="J3" s="2" t="s">
        <v>77</v>
      </c>
      <c r="K3" s="3" t="s">
        <v>76</v>
      </c>
      <c r="L3" s="3"/>
      <c r="M3" s="3"/>
      <c r="N3" s="3">
        <v>0</v>
      </c>
      <c r="O3" s="3" t="s">
        <v>633</v>
      </c>
      <c r="P3" s="601" t="s">
        <v>4163</v>
      </c>
      <c r="Q3" s="3" t="s">
        <v>1074</v>
      </c>
      <c r="R3" s="3">
        <f t="shared" si="1"/>
        <v>9</v>
      </c>
      <c r="S3" s="3" t="s">
        <v>7050</v>
      </c>
      <c r="T3" s="3" t="s">
        <v>7051</v>
      </c>
      <c r="U3" s="3" t="s">
        <v>7052</v>
      </c>
      <c r="V3" s="3" t="s">
        <v>7053</v>
      </c>
      <c r="W3" s="3" t="s">
        <v>7054</v>
      </c>
      <c r="X3" s="3" t="s">
        <v>7055</v>
      </c>
      <c r="Y3" s="3" t="s">
        <v>7056</v>
      </c>
      <c r="Z3" s="3" t="s">
        <v>7057</v>
      </c>
      <c r="AA3" s="3" t="s">
        <v>7058</v>
      </c>
      <c r="AB3" s="3"/>
      <c r="AC3" s="3"/>
      <c r="AD3" s="3"/>
      <c r="AE3" s="3"/>
      <c r="AF3" s="3"/>
      <c r="AG3" s="3"/>
      <c r="AH3" s="3"/>
      <c r="AI3" s="3"/>
      <c r="AJ3" s="3"/>
      <c r="AK3" s="3"/>
      <c r="AL3" s="3"/>
      <c r="AM3" s="3">
        <f>COUNTA(AN3:AW3)</f>
        <v>8</v>
      </c>
      <c r="AN3" s="3" t="s">
        <v>653</v>
      </c>
      <c r="AO3" s="3" t="s">
        <v>654</v>
      </c>
      <c r="AP3" s="3" t="s">
        <v>655</v>
      </c>
      <c r="AQ3" s="3" t="s">
        <v>656</v>
      </c>
      <c r="AR3" s="3" t="s">
        <v>657</v>
      </c>
      <c r="AS3" s="3" t="s">
        <v>658</v>
      </c>
      <c r="AT3" s="3" t="s">
        <v>659</v>
      </c>
      <c r="AU3" s="3" t="s">
        <v>660</v>
      </c>
      <c r="AV3" s="3"/>
      <c r="AW3" s="3"/>
      <c r="AX3" s="3">
        <f>COUNTA(AY3:BH3)</f>
        <v>6</v>
      </c>
      <c r="AY3" s="3" t="s">
        <v>755</v>
      </c>
      <c r="AZ3" s="3" t="s">
        <v>756</v>
      </c>
      <c r="BA3" s="3" t="s">
        <v>757</v>
      </c>
      <c r="BB3" s="3" t="s">
        <v>758</v>
      </c>
      <c r="BC3" s="3" t="s">
        <v>759</v>
      </c>
      <c r="BD3" s="3" t="s">
        <v>760</v>
      </c>
      <c r="BE3" s="3"/>
      <c r="BF3" s="3"/>
      <c r="BG3" s="3"/>
      <c r="BH3" s="3"/>
      <c r="BI3" s="3">
        <f>COUNTA(BJ3:BS3)</f>
        <v>6</v>
      </c>
      <c r="BJ3" s="3" t="s">
        <v>833</v>
      </c>
      <c r="BK3" s="3" t="s">
        <v>834</v>
      </c>
      <c r="BL3" s="3" t="s">
        <v>835</v>
      </c>
      <c r="BM3" s="3" t="s">
        <v>836</v>
      </c>
      <c r="BN3" s="3" t="s">
        <v>837</v>
      </c>
      <c r="BO3" s="3" t="s">
        <v>838</v>
      </c>
      <c r="BP3" s="3"/>
      <c r="BQ3" s="3"/>
      <c r="BR3" s="3"/>
      <c r="BS3" s="3"/>
      <c r="BT3" s="3">
        <f>COUNTA(BU3:CD3)</f>
        <v>6</v>
      </c>
      <c r="BU3" s="3" t="s">
        <v>911</v>
      </c>
      <c r="BV3" s="3" t="s">
        <v>912</v>
      </c>
      <c r="BW3" s="3" t="s">
        <v>913</v>
      </c>
      <c r="BX3" s="3" t="s">
        <v>914</v>
      </c>
      <c r="BY3" s="3" t="s">
        <v>915</v>
      </c>
      <c r="BZ3" s="3" t="s">
        <v>916</v>
      </c>
      <c r="CA3" s="3"/>
      <c r="CB3" s="3"/>
      <c r="CC3" s="3"/>
      <c r="CD3" s="3"/>
      <c r="CE3" s="602" t="str">
        <f t="shared" ref="CE3:CE14" si="3">IFERROR(TRIM(IF(CF3="","",CF3&amp;", ")&amp;IF(CG3="","",CG3&amp;", ")&amp;IF(CH3="","",CH3&amp;", ")&amp;IF(CI3="","",CI3&amp;", ")&amp;IF(CJ3="","",CJ3&amp;", ")&amp;IF(CK3="","",CK3&amp;", ")&amp;IF(CL3="","",CL3&amp;", ")&amp;IF(CM3="","",CM3&amp;"gp, ")),"")</f>
        <v>crowbar, belt pouch, dark common clothes with hood, 15gp,</v>
      </c>
      <c r="CF3" s="3" t="s">
        <v>3553</v>
      </c>
      <c r="CG3" s="3" t="s">
        <v>3551</v>
      </c>
      <c r="CH3" s="3"/>
      <c r="CI3" s="3"/>
      <c r="CJ3" s="3"/>
      <c r="CK3" s="3"/>
      <c r="CL3" s="3" t="s">
        <v>3554</v>
      </c>
      <c r="CM3" s="3">
        <v>15</v>
      </c>
      <c r="CN3" s="3"/>
      <c r="CO3" s="3"/>
    </row>
    <row r="4" spans="1:93" ht="15" x14ac:dyDescent="0.2">
      <c r="A4" s="157">
        <f t="shared" ref="A4:A21" si="4">IF(B4="","",A3+1)</f>
        <v>3</v>
      </c>
      <c r="B4" s="599" t="s">
        <v>78</v>
      </c>
      <c r="C4" s="599" t="s">
        <v>7117</v>
      </c>
      <c r="D4" s="600" t="str">
        <f t="shared" si="2"/>
        <v>Animal Handling, Survival</v>
      </c>
      <c r="E4" s="4" t="s">
        <v>79</v>
      </c>
      <c r="F4" s="2" t="s">
        <v>80</v>
      </c>
      <c r="G4" s="2"/>
      <c r="H4" s="2">
        <v>1</v>
      </c>
      <c r="I4" s="600" t="str">
        <f>IFERROR(TRIM(IF(J4="","",J4&amp;", ")&amp;IF(K4="","",K4&amp;", ")),"")</f>
        <v>Artisan's Tools, Vehicles (land),</v>
      </c>
      <c r="J4" s="2" t="s">
        <v>1126</v>
      </c>
      <c r="K4" s="2" t="s">
        <v>81</v>
      </c>
      <c r="L4" s="3"/>
      <c r="M4" s="3"/>
      <c r="N4" s="3">
        <v>0</v>
      </c>
      <c r="O4" s="3" t="s">
        <v>634</v>
      </c>
      <c r="P4" s="601" t="s">
        <v>4165</v>
      </c>
      <c r="Q4" s="3" t="s">
        <v>1075</v>
      </c>
      <c r="R4" s="3">
        <f t="shared" si="1"/>
        <v>10</v>
      </c>
      <c r="S4" s="3" t="s">
        <v>999</v>
      </c>
      <c r="T4" s="3" t="s">
        <v>1000</v>
      </c>
      <c r="U4" s="3" t="s">
        <v>1001</v>
      </c>
      <c r="V4" s="3" t="s">
        <v>1002</v>
      </c>
      <c r="W4" s="3" t="s">
        <v>1003</v>
      </c>
      <c r="X4" s="3" t="s">
        <v>1004</v>
      </c>
      <c r="Y4" s="3" t="s">
        <v>1005</v>
      </c>
      <c r="Z4" s="3" t="s">
        <v>1006</v>
      </c>
      <c r="AA4" s="3" t="s">
        <v>1007</v>
      </c>
      <c r="AB4" s="3" t="s">
        <v>1008</v>
      </c>
      <c r="AC4" s="3"/>
      <c r="AD4" s="3"/>
      <c r="AE4" s="3"/>
      <c r="AF4" s="3"/>
      <c r="AG4" s="3"/>
      <c r="AH4" s="3"/>
      <c r="AI4" s="3"/>
      <c r="AJ4" s="3"/>
      <c r="AK4" s="3"/>
      <c r="AL4" s="3"/>
      <c r="AM4" s="3">
        <f>COUNTA(AN4:AW4)</f>
        <v>8</v>
      </c>
      <c r="AN4" s="3" t="s">
        <v>661</v>
      </c>
      <c r="AO4" s="3" t="s">
        <v>662</v>
      </c>
      <c r="AP4" s="3" t="s">
        <v>663</v>
      </c>
      <c r="AQ4" s="3" t="s">
        <v>664</v>
      </c>
      <c r="AR4" s="3" t="s">
        <v>665</v>
      </c>
      <c r="AS4" s="3" t="s">
        <v>666</v>
      </c>
      <c r="AT4" s="3" t="s">
        <v>667</v>
      </c>
      <c r="AU4" s="3" t="s">
        <v>668</v>
      </c>
      <c r="AV4" s="3"/>
      <c r="AW4" s="3"/>
      <c r="AX4" s="3">
        <f>COUNTA(AY4:BH4)</f>
        <v>6</v>
      </c>
      <c r="AY4" s="3" t="s">
        <v>761</v>
      </c>
      <c r="AZ4" s="3" t="s">
        <v>762</v>
      </c>
      <c r="BA4" s="3" t="s">
        <v>763</v>
      </c>
      <c r="BB4" s="3" t="s">
        <v>764</v>
      </c>
      <c r="BC4" s="3" t="s">
        <v>765</v>
      </c>
      <c r="BD4" s="3" t="s">
        <v>766</v>
      </c>
      <c r="BE4" s="3"/>
      <c r="BF4" s="3"/>
      <c r="BG4" s="3"/>
      <c r="BH4" s="3"/>
      <c r="BI4" s="3">
        <f>COUNTA(BJ4:BS4)</f>
        <v>6</v>
      </c>
      <c r="BJ4" s="3" t="s">
        <v>839</v>
      </c>
      <c r="BK4" s="3" t="s">
        <v>840</v>
      </c>
      <c r="BL4" s="3" t="s">
        <v>841</v>
      </c>
      <c r="BM4" s="3" t="s">
        <v>842</v>
      </c>
      <c r="BN4" s="3" t="s">
        <v>843</v>
      </c>
      <c r="BO4" s="3" t="s">
        <v>844</v>
      </c>
      <c r="BP4" s="3"/>
      <c r="BQ4" s="3"/>
      <c r="BR4" s="3"/>
      <c r="BS4" s="3"/>
      <c r="BT4" s="3">
        <f>COUNTA(BU4:CD4)</f>
        <v>6</v>
      </c>
      <c r="BU4" s="3" t="s">
        <v>917</v>
      </c>
      <c r="BV4" s="3" t="s">
        <v>918</v>
      </c>
      <c r="BW4" s="3" t="s">
        <v>919</v>
      </c>
      <c r="BX4" s="3" t="s">
        <v>920</v>
      </c>
      <c r="BY4" s="3" t="s">
        <v>921</v>
      </c>
      <c r="BZ4" s="3" t="s">
        <v>922</v>
      </c>
      <c r="CA4" s="3"/>
      <c r="CB4" s="3"/>
      <c r="CC4" s="3"/>
      <c r="CD4" s="3"/>
      <c r="CE4" s="602" t="str">
        <f t="shared" si="3"/>
        <v>Shovel, Iron pot, belt pouch, common clothes, 10gp,</v>
      </c>
      <c r="CF4" s="3" t="s">
        <v>3558</v>
      </c>
      <c r="CG4" s="3" t="s">
        <v>3559</v>
      </c>
      <c r="CH4" s="3" t="s">
        <v>3551</v>
      </c>
      <c r="CI4" s="3"/>
      <c r="CJ4" s="3"/>
      <c r="CK4" s="3"/>
      <c r="CL4" s="3" t="s">
        <v>3550</v>
      </c>
      <c r="CM4" s="3">
        <v>10</v>
      </c>
      <c r="CN4" s="3" t="s">
        <v>3557</v>
      </c>
      <c r="CO4" s="3"/>
    </row>
    <row r="5" spans="1:93" ht="15" x14ac:dyDescent="0.2">
      <c r="A5" s="157">
        <f t="shared" si="4"/>
        <v>4</v>
      </c>
      <c r="B5" s="599" t="s">
        <v>503</v>
      </c>
      <c r="C5" s="599" t="s">
        <v>7132</v>
      </c>
      <c r="D5" s="600" t="str">
        <f t="shared" si="2"/>
        <v>History, Persuasion</v>
      </c>
      <c r="E5" s="4" t="s">
        <v>84</v>
      </c>
      <c r="F5" s="2" t="s">
        <v>616</v>
      </c>
      <c r="G5" s="2"/>
      <c r="H5" s="3"/>
      <c r="I5" s="600" t="str">
        <f t="shared" ref="I5:I15" si="5">IFERROR(TRIM(IF(J5="","",J5&amp;", ")&amp;IF(K5="","",K5&amp;", ")),"")</f>
        <v>Gaming set,</v>
      </c>
      <c r="J5" s="2" t="s">
        <v>77</v>
      </c>
      <c r="K5" s="3"/>
      <c r="L5" s="603"/>
      <c r="M5" s="603"/>
      <c r="N5" s="3">
        <v>1</v>
      </c>
      <c r="O5" s="3" t="s">
        <v>635</v>
      </c>
      <c r="P5" s="601" t="s">
        <v>4168</v>
      </c>
      <c r="Q5" s="3"/>
      <c r="R5" s="3">
        <f t="shared" si="1"/>
        <v>1</v>
      </c>
      <c r="S5" s="3" t="str">
        <f>""</f>
        <v/>
      </c>
      <c r="T5" s="3"/>
      <c r="U5" s="3"/>
      <c r="V5" s="3"/>
      <c r="W5" s="3"/>
      <c r="X5" s="3"/>
      <c r="Y5" s="3"/>
      <c r="Z5" s="3"/>
      <c r="AA5" s="3"/>
      <c r="AB5" s="3"/>
      <c r="AC5" s="3"/>
      <c r="AD5" s="3"/>
      <c r="AE5" s="3"/>
      <c r="AF5" s="3"/>
      <c r="AG5" s="3"/>
      <c r="AH5" s="3"/>
      <c r="AI5" s="3"/>
      <c r="AJ5" s="3"/>
      <c r="AK5" s="3"/>
      <c r="AL5" s="3"/>
      <c r="AM5" s="3">
        <f>COUNTA(AN5:AW5)</f>
        <v>8</v>
      </c>
      <c r="AN5" s="3" t="s">
        <v>669</v>
      </c>
      <c r="AO5" s="3" t="s">
        <v>670</v>
      </c>
      <c r="AP5" s="3" t="s">
        <v>671</v>
      </c>
      <c r="AQ5" s="3" t="s">
        <v>672</v>
      </c>
      <c r="AR5" s="3" t="s">
        <v>673</v>
      </c>
      <c r="AS5" s="3" t="s">
        <v>674</v>
      </c>
      <c r="AT5" s="3" t="s">
        <v>675</v>
      </c>
      <c r="AU5" s="3" t="s">
        <v>676</v>
      </c>
      <c r="AV5" s="3"/>
      <c r="AW5" s="3"/>
      <c r="AX5" s="3">
        <f>COUNTA(AY5:BH5)</f>
        <v>6</v>
      </c>
      <c r="AY5" s="3" t="s">
        <v>767</v>
      </c>
      <c r="AZ5" s="3" t="s">
        <v>768</v>
      </c>
      <c r="BA5" s="3" t="s">
        <v>769</v>
      </c>
      <c r="BB5" s="3" t="s">
        <v>770</v>
      </c>
      <c r="BC5" s="3" t="s">
        <v>771</v>
      </c>
      <c r="BD5" s="3" t="s">
        <v>772</v>
      </c>
      <c r="BE5" s="3"/>
      <c r="BF5" s="3"/>
      <c r="BG5" s="3"/>
      <c r="BH5" s="3"/>
      <c r="BI5" s="3">
        <f>COUNTA(BJ5:BS5)</f>
        <v>6</v>
      </c>
      <c r="BJ5" s="3" t="s">
        <v>845</v>
      </c>
      <c r="BK5" s="3" t="s">
        <v>846</v>
      </c>
      <c r="BL5" s="3" t="s">
        <v>847</v>
      </c>
      <c r="BM5" s="3" t="s">
        <v>848</v>
      </c>
      <c r="BN5" s="3" t="s">
        <v>849</v>
      </c>
      <c r="BO5" s="3" t="s">
        <v>850</v>
      </c>
      <c r="BP5" s="3"/>
      <c r="BQ5" s="3"/>
      <c r="BR5" s="3"/>
      <c r="BS5" s="3"/>
      <c r="BT5" s="3">
        <f>COUNTA(BU5:CD5)</f>
        <v>6</v>
      </c>
      <c r="BU5" s="3" t="s">
        <v>923</v>
      </c>
      <c r="BV5" s="3" t="s">
        <v>924</v>
      </c>
      <c r="BW5" s="3" t="s">
        <v>925</v>
      </c>
      <c r="BX5" s="3" t="s">
        <v>926</v>
      </c>
      <c r="BY5" s="3" t="s">
        <v>927</v>
      </c>
      <c r="BZ5" s="3" t="s">
        <v>928</v>
      </c>
      <c r="CA5" s="3"/>
      <c r="CB5" s="3"/>
      <c r="CC5" s="3"/>
      <c r="CD5" s="3"/>
      <c r="CE5" s="602" t="str">
        <f t="shared" si="3"/>
        <v>signet ring, scroll of pedigree, purse, fine clothes, 25gp,</v>
      </c>
      <c r="CF5" s="3" t="s">
        <v>3562</v>
      </c>
      <c r="CG5" s="3" t="s">
        <v>3560</v>
      </c>
      <c r="CH5" s="3" t="s">
        <v>3563</v>
      </c>
      <c r="CI5" s="3"/>
      <c r="CJ5" s="3"/>
      <c r="CK5" s="3"/>
      <c r="CL5" s="3" t="s">
        <v>3561</v>
      </c>
      <c r="CM5" s="3">
        <v>25</v>
      </c>
      <c r="CN5" s="3"/>
      <c r="CO5" s="3"/>
    </row>
    <row r="6" spans="1:93" ht="15" x14ac:dyDescent="0.2">
      <c r="A6" s="157">
        <f t="shared" si="4"/>
        <v>5</v>
      </c>
      <c r="B6" s="599" t="s">
        <v>82</v>
      </c>
      <c r="C6" s="599" t="s">
        <v>7126</v>
      </c>
      <c r="D6" s="600" t="str">
        <f t="shared" si="2"/>
        <v>Arcana, History</v>
      </c>
      <c r="E6" s="4" t="s">
        <v>83</v>
      </c>
      <c r="F6" s="2" t="s">
        <v>84</v>
      </c>
      <c r="G6" s="2"/>
      <c r="H6" s="2">
        <v>1</v>
      </c>
      <c r="I6" s="600" t="str">
        <f t="shared" si="5"/>
        <v>Vehicles (land),</v>
      </c>
      <c r="J6" s="2" t="s">
        <v>81</v>
      </c>
      <c r="K6" s="3"/>
      <c r="L6" s="3"/>
      <c r="M6" s="3"/>
      <c r="N6" s="3">
        <v>2</v>
      </c>
      <c r="O6" s="3" t="s">
        <v>636</v>
      </c>
      <c r="P6" s="601" t="s">
        <v>4170</v>
      </c>
      <c r="Q6" s="3" t="s">
        <v>1074</v>
      </c>
      <c r="R6" s="3">
        <f t="shared" si="1"/>
        <v>8</v>
      </c>
      <c r="S6" s="3" t="s">
        <v>1027</v>
      </c>
      <c r="T6" s="3" t="s">
        <v>1028</v>
      </c>
      <c r="U6" s="3" t="s">
        <v>1029</v>
      </c>
      <c r="V6" s="3" t="s">
        <v>636</v>
      </c>
      <c r="W6" s="3" t="s">
        <v>3517</v>
      </c>
      <c r="X6" s="3" t="s">
        <v>1030</v>
      </c>
      <c r="Y6" s="3" t="s">
        <v>1031</v>
      </c>
      <c r="Z6" s="3" t="s">
        <v>1032</v>
      </c>
      <c r="AA6" s="3"/>
      <c r="AB6" s="3"/>
      <c r="AC6" s="3"/>
      <c r="AD6" s="3"/>
      <c r="AE6" s="3"/>
      <c r="AF6" s="3"/>
      <c r="AG6" s="3"/>
      <c r="AH6" s="3"/>
      <c r="AI6" s="3"/>
      <c r="AJ6" s="3"/>
      <c r="AK6" s="3"/>
      <c r="AL6" s="3"/>
      <c r="AM6" s="3">
        <f>COUNTA(AN6:AW6)</f>
        <v>10</v>
      </c>
      <c r="AN6" s="3" t="s">
        <v>677</v>
      </c>
      <c r="AO6" s="3" t="s">
        <v>678</v>
      </c>
      <c r="AP6" s="3" t="s">
        <v>679</v>
      </c>
      <c r="AQ6" s="3" t="s">
        <v>680</v>
      </c>
      <c r="AR6" s="3" t="s">
        <v>681</v>
      </c>
      <c r="AS6" s="3" t="s">
        <v>682</v>
      </c>
      <c r="AT6" s="3" t="s">
        <v>683</v>
      </c>
      <c r="AU6" s="3" t="s">
        <v>684</v>
      </c>
      <c r="AV6" s="3" t="s">
        <v>597</v>
      </c>
      <c r="AW6" s="3" t="s">
        <v>598</v>
      </c>
      <c r="AX6" s="3">
        <f>COUNTA(AY6:BH6)</f>
        <v>6</v>
      </c>
      <c r="AY6" s="3" t="s">
        <v>773</v>
      </c>
      <c r="AZ6" s="3" t="s">
        <v>774</v>
      </c>
      <c r="BA6" s="3" t="s">
        <v>775</v>
      </c>
      <c r="BB6" s="3" t="s">
        <v>776</v>
      </c>
      <c r="BC6" s="3" t="s">
        <v>777</v>
      </c>
      <c r="BD6" s="3" t="s">
        <v>778</v>
      </c>
      <c r="BE6" s="3"/>
      <c r="BF6" s="3"/>
      <c r="BG6" s="3"/>
      <c r="BH6" s="3"/>
      <c r="BI6" s="3">
        <f>COUNTA(BJ6:BS6)</f>
        <v>6</v>
      </c>
      <c r="BJ6" s="3" t="s">
        <v>851</v>
      </c>
      <c r="BK6" s="3" t="s">
        <v>852</v>
      </c>
      <c r="BL6" s="3" t="s">
        <v>853</v>
      </c>
      <c r="BM6" s="3" t="s">
        <v>854</v>
      </c>
      <c r="BN6" s="3" t="s">
        <v>855</v>
      </c>
      <c r="BO6" s="3" t="s">
        <v>856</v>
      </c>
      <c r="BP6" s="3"/>
      <c r="BQ6" s="3"/>
      <c r="BR6" s="3"/>
      <c r="BS6" s="3"/>
      <c r="BT6" s="3">
        <f>COUNTA(BU6:CD6)</f>
        <v>6</v>
      </c>
      <c r="BU6" s="3" t="s">
        <v>929</v>
      </c>
      <c r="BV6" s="3" t="s">
        <v>930</v>
      </c>
      <c r="BW6" s="3" t="s">
        <v>931</v>
      </c>
      <c r="BX6" s="3" t="s">
        <v>932</v>
      </c>
      <c r="BY6" s="3" t="s">
        <v>933</v>
      </c>
      <c r="BZ6" s="3" t="s">
        <v>934</v>
      </c>
      <c r="CA6" s="3"/>
      <c r="CB6" s="3"/>
      <c r="CC6" s="3"/>
      <c r="CD6" s="3"/>
      <c r="CE6" s="602" t="str">
        <f t="shared" si="3"/>
        <v>bottle of black ink, quill, small knife, a letter from a dead colleague posing a question you have not yet been able to answe, belt pouch, common clothes, 10gp,</v>
      </c>
      <c r="CF6" s="3" t="s">
        <v>3564</v>
      </c>
      <c r="CG6" s="3" t="s">
        <v>3565</v>
      </c>
      <c r="CH6" s="3" t="s">
        <v>3566</v>
      </c>
      <c r="CI6" s="3" t="s">
        <v>3567</v>
      </c>
      <c r="CJ6" s="3" t="s">
        <v>3551</v>
      </c>
      <c r="CK6" s="3"/>
      <c r="CL6" s="3" t="s">
        <v>3550</v>
      </c>
      <c r="CM6" s="3">
        <v>10</v>
      </c>
      <c r="CN6" s="3"/>
      <c r="CO6" s="3"/>
    </row>
    <row r="7" spans="1:93" ht="15" x14ac:dyDescent="0.2">
      <c r="A7" s="157">
        <f t="shared" si="4"/>
        <v>6</v>
      </c>
      <c r="B7" s="599" t="s">
        <v>85</v>
      </c>
      <c r="C7" s="599" t="s">
        <v>7129</v>
      </c>
      <c r="D7" s="600" t="str">
        <f t="shared" si="2"/>
        <v>Athletics, Intimidation</v>
      </c>
      <c r="E7" s="3" t="s">
        <v>86</v>
      </c>
      <c r="F7" s="3" t="s">
        <v>87</v>
      </c>
      <c r="G7" s="3"/>
      <c r="H7" s="3"/>
      <c r="I7" s="600" t="str">
        <f t="shared" si="5"/>
        <v>Gaming set, Vehicles (land),</v>
      </c>
      <c r="J7" s="2" t="s">
        <v>77</v>
      </c>
      <c r="K7" s="2" t="s">
        <v>81</v>
      </c>
      <c r="L7" s="3"/>
      <c r="M7" s="3"/>
      <c r="N7" s="3">
        <v>0</v>
      </c>
      <c r="O7" s="3" t="s">
        <v>637</v>
      </c>
      <c r="P7" s="601" t="s">
        <v>4160</v>
      </c>
      <c r="Q7" s="3" t="s">
        <v>1076</v>
      </c>
      <c r="R7" s="3">
        <f t="shared" si="1"/>
        <v>8</v>
      </c>
      <c r="S7" s="3" t="s">
        <v>1033</v>
      </c>
      <c r="T7" s="3" t="s">
        <v>1034</v>
      </c>
      <c r="U7" s="3" t="s">
        <v>1035</v>
      </c>
      <c r="V7" s="3" t="s">
        <v>1036</v>
      </c>
      <c r="W7" s="3" t="s">
        <v>596</v>
      </c>
      <c r="X7" s="3" t="s">
        <v>1037</v>
      </c>
      <c r="Y7" s="3" t="s">
        <v>567</v>
      </c>
      <c r="Z7" s="3" t="s">
        <v>1038</v>
      </c>
      <c r="AA7" s="3"/>
      <c r="AB7" s="3"/>
      <c r="AC7" s="3"/>
      <c r="AD7" s="3"/>
      <c r="AE7" s="3"/>
      <c r="AF7" s="3"/>
      <c r="AG7" s="3"/>
      <c r="AH7" s="3"/>
      <c r="AI7" s="3"/>
      <c r="AJ7" s="3"/>
      <c r="AK7" s="3"/>
      <c r="AL7" s="3"/>
      <c r="AM7" s="3">
        <f t="shared" ref="AM7:AM14" si="6">COUNTA(AN7:AW7)</f>
        <v>8</v>
      </c>
      <c r="AN7" s="3" t="s">
        <v>685</v>
      </c>
      <c r="AO7" s="3" t="s">
        <v>686</v>
      </c>
      <c r="AP7" s="3" t="s">
        <v>687</v>
      </c>
      <c r="AQ7" s="3" t="s">
        <v>688</v>
      </c>
      <c r="AR7" s="3" t="s">
        <v>689</v>
      </c>
      <c r="AS7" s="3" t="s">
        <v>690</v>
      </c>
      <c r="AT7" s="3" t="s">
        <v>691</v>
      </c>
      <c r="AU7" s="3" t="s">
        <v>692</v>
      </c>
      <c r="AV7" s="3"/>
      <c r="AW7" s="3"/>
      <c r="AX7" s="3">
        <f t="shared" ref="AX7:AX14" si="7">COUNTA(AY7:BH7)</f>
        <v>6</v>
      </c>
      <c r="AY7" s="3" t="s">
        <v>779</v>
      </c>
      <c r="AZ7" s="3" t="s">
        <v>780</v>
      </c>
      <c r="BA7" s="3" t="s">
        <v>781</v>
      </c>
      <c r="BB7" s="3" t="s">
        <v>782</v>
      </c>
      <c r="BC7" s="3" t="s">
        <v>783</v>
      </c>
      <c r="BD7" s="3" t="s">
        <v>784</v>
      </c>
      <c r="BE7" s="3"/>
      <c r="BF7" s="3"/>
      <c r="BG7" s="3"/>
      <c r="BH7" s="3"/>
      <c r="BI7" s="3">
        <f t="shared" ref="BI7:BI14" si="8">COUNTA(BJ7:BS7)</f>
        <v>6</v>
      </c>
      <c r="BJ7" s="3" t="s">
        <v>857</v>
      </c>
      <c r="BK7" s="3" t="s">
        <v>858</v>
      </c>
      <c r="BL7" s="3" t="s">
        <v>859</v>
      </c>
      <c r="BM7" s="3" t="s">
        <v>860</v>
      </c>
      <c r="BN7" s="3" t="s">
        <v>861</v>
      </c>
      <c r="BO7" s="3" t="s">
        <v>862</v>
      </c>
      <c r="BP7" s="3"/>
      <c r="BQ7" s="3"/>
      <c r="BR7" s="3"/>
      <c r="BS7" s="3"/>
      <c r="BT7" s="3">
        <f t="shared" ref="BT7:BT14" si="9">COUNTA(BU7:CD7)</f>
        <v>6</v>
      </c>
      <c r="BU7" s="3" t="s">
        <v>935</v>
      </c>
      <c r="BV7" s="3" t="s">
        <v>936</v>
      </c>
      <c r="BW7" s="3" t="s">
        <v>937</v>
      </c>
      <c r="BX7" s="3" t="s">
        <v>938</v>
      </c>
      <c r="BY7" s="3" t="s">
        <v>939</v>
      </c>
      <c r="BZ7" s="3" t="s">
        <v>940</v>
      </c>
      <c r="CA7" s="3"/>
      <c r="CB7" s="3"/>
      <c r="CC7" s="3"/>
      <c r="CD7" s="3"/>
      <c r="CE7" s="602" t="str">
        <f t="shared" si="3"/>
        <v>insignia of rank, gaming set, belt pouch, common clothes, 10gp,</v>
      </c>
      <c r="CF7" s="3" t="s">
        <v>3568</v>
      </c>
      <c r="CG7" s="3" t="s">
        <v>3570</v>
      </c>
      <c r="CH7" s="3" t="s">
        <v>3551</v>
      </c>
      <c r="CI7" s="3"/>
      <c r="CJ7" s="3"/>
      <c r="CK7" s="3"/>
      <c r="CL7" s="3" t="s">
        <v>3550</v>
      </c>
      <c r="CM7" s="3">
        <v>10</v>
      </c>
      <c r="CN7" s="3" t="s">
        <v>77</v>
      </c>
      <c r="CO7" s="3" t="s">
        <v>3569</v>
      </c>
    </row>
    <row r="8" spans="1:93" ht="15" x14ac:dyDescent="0.2">
      <c r="A8" s="157">
        <f t="shared" si="4"/>
        <v>7</v>
      </c>
      <c r="B8" s="599" t="s">
        <v>629</v>
      </c>
      <c r="C8" s="599" t="s">
        <v>7114</v>
      </c>
      <c r="D8" s="600" t="str">
        <f t="shared" si="2"/>
        <v>Deception, Sleight of Hand</v>
      </c>
      <c r="E8" s="3" t="s">
        <v>74</v>
      </c>
      <c r="F8" s="3" t="s">
        <v>617</v>
      </c>
      <c r="G8" s="3"/>
      <c r="H8" s="3"/>
      <c r="I8" s="600" t="str">
        <f t="shared" si="5"/>
        <v>Disguise kit, Forgery Kit,</v>
      </c>
      <c r="J8" s="3" t="s">
        <v>287</v>
      </c>
      <c r="K8" s="3" t="s">
        <v>5105</v>
      </c>
      <c r="L8" s="3"/>
      <c r="M8" s="3"/>
      <c r="N8" s="3">
        <v>0</v>
      </c>
      <c r="O8" s="3" t="s">
        <v>638</v>
      </c>
      <c r="P8" s="601" t="s">
        <v>4162</v>
      </c>
      <c r="Q8" s="3" t="s">
        <v>1077</v>
      </c>
      <c r="R8" s="3">
        <f t="shared" si="1"/>
        <v>6</v>
      </c>
      <c r="S8" s="3" t="s">
        <v>983</v>
      </c>
      <c r="T8" s="3" t="s">
        <v>984</v>
      </c>
      <c r="U8" s="3" t="s">
        <v>985</v>
      </c>
      <c r="V8" s="3" t="s">
        <v>986</v>
      </c>
      <c r="W8" s="3" t="s">
        <v>987</v>
      </c>
      <c r="X8" s="3" t="s">
        <v>988</v>
      </c>
      <c r="Y8" s="3"/>
      <c r="Z8" s="3"/>
      <c r="AA8" s="3"/>
      <c r="AB8" s="3"/>
      <c r="AC8" s="3"/>
      <c r="AD8" s="3"/>
      <c r="AE8" s="3"/>
      <c r="AF8" s="3"/>
      <c r="AG8" s="3"/>
      <c r="AH8" s="3"/>
      <c r="AI8" s="3"/>
      <c r="AJ8" s="3"/>
      <c r="AK8" s="3"/>
      <c r="AL8" s="3"/>
      <c r="AM8" s="3">
        <f t="shared" si="6"/>
        <v>8</v>
      </c>
      <c r="AN8" s="3" t="s">
        <v>693</v>
      </c>
      <c r="AO8" s="3" t="s">
        <v>694</v>
      </c>
      <c r="AP8" s="3" t="s">
        <v>695</v>
      </c>
      <c r="AQ8" s="3" t="s">
        <v>696</v>
      </c>
      <c r="AR8" s="3" t="s">
        <v>697</v>
      </c>
      <c r="AS8" s="3" t="s">
        <v>698</v>
      </c>
      <c r="AT8" s="3" t="s">
        <v>699</v>
      </c>
      <c r="AU8" s="3" t="s">
        <v>700</v>
      </c>
      <c r="AV8" s="3"/>
      <c r="AW8" s="3"/>
      <c r="AX8" s="3">
        <f t="shared" si="7"/>
        <v>6</v>
      </c>
      <c r="AY8" s="3" t="s">
        <v>785</v>
      </c>
      <c r="AZ8" s="3" t="s">
        <v>786</v>
      </c>
      <c r="BA8" s="3" t="s">
        <v>787</v>
      </c>
      <c r="BB8" s="3" t="s">
        <v>788</v>
      </c>
      <c r="BC8" s="3" t="s">
        <v>789</v>
      </c>
      <c r="BD8" s="3" t="s">
        <v>790</v>
      </c>
      <c r="BE8" s="3"/>
      <c r="BF8" s="3"/>
      <c r="BG8" s="3"/>
      <c r="BH8" s="3"/>
      <c r="BI8" s="3">
        <f t="shared" si="8"/>
        <v>6</v>
      </c>
      <c r="BJ8" s="3" t="s">
        <v>863</v>
      </c>
      <c r="BK8" s="3" t="s">
        <v>864</v>
      </c>
      <c r="BL8" s="3" t="s">
        <v>865</v>
      </c>
      <c r="BM8" s="3" t="s">
        <v>866</v>
      </c>
      <c r="BN8" s="3" t="s">
        <v>867</v>
      </c>
      <c r="BO8" s="3" t="s">
        <v>868</v>
      </c>
      <c r="BP8" s="3"/>
      <c r="BQ8" s="3"/>
      <c r="BR8" s="3"/>
      <c r="BS8" s="3"/>
      <c r="BT8" s="3">
        <f t="shared" si="9"/>
        <v>6</v>
      </c>
      <c r="BU8" s="3" t="s">
        <v>941</v>
      </c>
      <c r="BV8" s="3" t="s">
        <v>942</v>
      </c>
      <c r="BW8" s="3" t="s">
        <v>943</v>
      </c>
      <c r="BX8" s="3" t="s">
        <v>944</v>
      </c>
      <c r="BY8" s="3" t="s">
        <v>945</v>
      </c>
      <c r="BZ8" s="3" t="s">
        <v>946</v>
      </c>
      <c r="CA8" s="3"/>
      <c r="CB8" s="3"/>
      <c r="CC8" s="3"/>
      <c r="CD8" s="3"/>
      <c r="CE8" s="602" t="str">
        <f t="shared" si="3"/>
        <v>Disguise kit, belt pouch, fine clothes, 15gp,</v>
      </c>
      <c r="CF8" s="3" t="s">
        <v>287</v>
      </c>
      <c r="CG8" s="3" t="s">
        <v>3551</v>
      </c>
      <c r="CH8" s="3"/>
      <c r="CI8" s="3"/>
      <c r="CJ8" s="3"/>
      <c r="CK8" s="3"/>
      <c r="CL8" s="3" t="s">
        <v>3561</v>
      </c>
      <c r="CM8" s="3">
        <v>15</v>
      </c>
      <c r="CN8" s="3" t="s">
        <v>3571</v>
      </c>
      <c r="CO8" s="3"/>
    </row>
    <row r="9" spans="1:93" ht="15" x14ac:dyDescent="0.2">
      <c r="A9" s="157">
        <f t="shared" si="4"/>
        <v>8</v>
      </c>
      <c r="B9" s="599" t="s">
        <v>555</v>
      </c>
      <c r="C9" s="599" t="s">
        <v>7131</v>
      </c>
      <c r="D9" s="600" t="str">
        <f t="shared" si="2"/>
        <v>Acrobatics, Performance</v>
      </c>
      <c r="E9" s="3" t="s">
        <v>610</v>
      </c>
      <c r="F9" s="3" t="s">
        <v>615</v>
      </c>
      <c r="G9" s="3"/>
      <c r="H9" s="3"/>
      <c r="I9" s="600" t="str">
        <f t="shared" si="5"/>
        <v>Disguise kit, Musical Instrument,</v>
      </c>
      <c r="J9" s="3" t="s">
        <v>287</v>
      </c>
      <c r="K9" s="3" t="s">
        <v>3777</v>
      </c>
      <c r="L9" s="3"/>
      <c r="M9" s="3"/>
      <c r="N9" s="3">
        <v>0</v>
      </c>
      <c r="O9" s="3" t="s">
        <v>639</v>
      </c>
      <c r="P9" s="601" t="s">
        <v>4164</v>
      </c>
      <c r="Q9" s="3" t="s">
        <v>1078</v>
      </c>
      <c r="R9" s="3">
        <f t="shared" si="1"/>
        <v>10</v>
      </c>
      <c r="S9" s="3" t="s">
        <v>989</v>
      </c>
      <c r="T9" s="3" t="s">
        <v>990</v>
      </c>
      <c r="U9" s="3" t="s">
        <v>991</v>
      </c>
      <c r="V9" s="3" t="s">
        <v>992</v>
      </c>
      <c r="W9" s="3" t="s">
        <v>993</v>
      </c>
      <c r="X9" s="3" t="s">
        <v>994</v>
      </c>
      <c r="Y9" s="3" t="s">
        <v>995</v>
      </c>
      <c r="Z9" s="3" t="s">
        <v>996</v>
      </c>
      <c r="AA9" s="3" t="s">
        <v>997</v>
      </c>
      <c r="AB9" s="3" t="s">
        <v>998</v>
      </c>
      <c r="AC9" s="3"/>
      <c r="AD9" s="3"/>
      <c r="AE9" s="3"/>
      <c r="AF9" s="3"/>
      <c r="AG9" s="3"/>
      <c r="AH9" s="3"/>
      <c r="AI9" s="3"/>
      <c r="AJ9" s="3"/>
      <c r="AK9" s="3"/>
      <c r="AL9" s="3"/>
      <c r="AM9" s="3">
        <f t="shared" si="6"/>
        <v>8</v>
      </c>
      <c r="AN9" s="3" t="s">
        <v>701</v>
      </c>
      <c r="AO9" s="3" t="s">
        <v>702</v>
      </c>
      <c r="AP9" s="3" t="s">
        <v>703</v>
      </c>
      <c r="AQ9" s="3" t="s">
        <v>704</v>
      </c>
      <c r="AR9" s="3" t="s">
        <v>705</v>
      </c>
      <c r="AS9" s="3" t="s">
        <v>706</v>
      </c>
      <c r="AT9" s="3" t="s">
        <v>707</v>
      </c>
      <c r="AU9" s="3" t="s">
        <v>708</v>
      </c>
      <c r="AV9" s="3"/>
      <c r="AW9" s="3"/>
      <c r="AX9" s="3">
        <f t="shared" si="7"/>
        <v>6</v>
      </c>
      <c r="AY9" s="3" t="s">
        <v>791</v>
      </c>
      <c r="AZ9" s="3" t="s">
        <v>792</v>
      </c>
      <c r="BA9" s="3" t="s">
        <v>793</v>
      </c>
      <c r="BB9" s="3" t="s">
        <v>794</v>
      </c>
      <c r="BC9" s="3" t="s">
        <v>795</v>
      </c>
      <c r="BD9" s="3" t="s">
        <v>796</v>
      </c>
      <c r="BE9" s="3"/>
      <c r="BF9" s="3"/>
      <c r="BG9" s="3"/>
      <c r="BH9" s="3"/>
      <c r="BI9" s="3">
        <f t="shared" si="8"/>
        <v>6</v>
      </c>
      <c r="BJ9" s="3" t="s">
        <v>869</v>
      </c>
      <c r="BK9" s="3" t="s">
        <v>870</v>
      </c>
      <c r="BL9" s="3" t="s">
        <v>871</v>
      </c>
      <c r="BM9" s="3" t="s">
        <v>872</v>
      </c>
      <c r="BN9" s="3" t="s">
        <v>873</v>
      </c>
      <c r="BO9" s="3" t="s">
        <v>874</v>
      </c>
      <c r="BP9" s="3"/>
      <c r="BQ9" s="3"/>
      <c r="BR9" s="3"/>
      <c r="BS9" s="3"/>
      <c r="BT9" s="3">
        <f t="shared" si="9"/>
        <v>6</v>
      </c>
      <c r="BU9" s="3" t="s">
        <v>947</v>
      </c>
      <c r="BV9" s="3" t="s">
        <v>948</v>
      </c>
      <c r="BW9" s="3" t="s">
        <v>949</v>
      </c>
      <c r="BX9" s="3" t="s">
        <v>950</v>
      </c>
      <c r="BY9" s="3" t="s">
        <v>951</v>
      </c>
      <c r="BZ9" s="3" t="s">
        <v>952</v>
      </c>
      <c r="CA9" s="3"/>
      <c r="CB9" s="3"/>
      <c r="CC9" s="3"/>
      <c r="CD9" s="3"/>
      <c r="CE9" s="602" t="str">
        <f t="shared" si="3"/>
        <v>belt pouch, Costume, 15gp,</v>
      </c>
      <c r="CF9" s="3" t="s">
        <v>3551</v>
      </c>
      <c r="CG9" s="3"/>
      <c r="CH9" s="3"/>
      <c r="CI9" s="3"/>
      <c r="CJ9" s="3"/>
      <c r="CK9" s="3"/>
      <c r="CL9" s="3" t="s">
        <v>274</v>
      </c>
      <c r="CM9" s="3">
        <v>15</v>
      </c>
      <c r="CN9" s="3" t="s">
        <v>202</v>
      </c>
      <c r="CO9" s="3" t="s">
        <v>3574</v>
      </c>
    </row>
    <row r="10" spans="1:93" ht="15" x14ac:dyDescent="0.2">
      <c r="A10" s="157">
        <f t="shared" si="4"/>
        <v>9</v>
      </c>
      <c r="B10" s="599" t="s">
        <v>630</v>
      </c>
      <c r="C10" s="389" t="s">
        <v>7118</v>
      </c>
      <c r="D10" s="600" t="str">
        <f t="shared" si="2"/>
        <v>Insight, Persuasion</v>
      </c>
      <c r="E10" s="3" t="s">
        <v>71</v>
      </c>
      <c r="F10" s="3" t="s">
        <v>616</v>
      </c>
      <c r="G10" s="3"/>
      <c r="H10" s="3"/>
      <c r="I10" s="600" t="str">
        <f t="shared" si="5"/>
        <v>Artisan's Tools,</v>
      </c>
      <c r="J10" s="2" t="s">
        <v>1126</v>
      </c>
      <c r="K10" s="3"/>
      <c r="L10" s="3"/>
      <c r="M10" s="3"/>
      <c r="N10" s="3">
        <v>1</v>
      </c>
      <c r="O10" s="3" t="s">
        <v>640</v>
      </c>
      <c r="P10" s="601" t="s">
        <v>4166</v>
      </c>
      <c r="Q10" s="3" t="s">
        <v>1079</v>
      </c>
      <c r="R10" s="3">
        <f>COUNTA(S10:AL10)</f>
        <v>20</v>
      </c>
      <c r="S10" s="3" t="s">
        <v>1051</v>
      </c>
      <c r="T10" s="3" t="s">
        <v>1052</v>
      </c>
      <c r="U10" s="3" t="s">
        <v>1053</v>
      </c>
      <c r="V10" s="3" t="s">
        <v>1054</v>
      </c>
      <c r="W10" s="3" t="s">
        <v>1055</v>
      </c>
      <c r="X10" s="3" t="s">
        <v>1056</v>
      </c>
      <c r="Y10" s="3" t="s">
        <v>1057</v>
      </c>
      <c r="Z10" s="3" t="s">
        <v>1058</v>
      </c>
      <c r="AA10" s="3" t="s">
        <v>1059</v>
      </c>
      <c r="AB10" s="3" t="s">
        <v>1060</v>
      </c>
      <c r="AC10" s="3" t="s">
        <v>1061</v>
      </c>
      <c r="AD10" s="3" t="s">
        <v>1062</v>
      </c>
      <c r="AE10" s="3" t="s">
        <v>1063</v>
      </c>
      <c r="AF10" s="3" t="s">
        <v>1064</v>
      </c>
      <c r="AG10" s="3" t="s">
        <v>1065</v>
      </c>
      <c r="AH10" s="3" t="s">
        <v>1066</v>
      </c>
      <c r="AI10" s="3" t="s">
        <v>1067</v>
      </c>
      <c r="AJ10" s="3" t="s">
        <v>1068</v>
      </c>
      <c r="AK10" s="3" t="s">
        <v>1069</v>
      </c>
      <c r="AL10" s="3" t="s">
        <v>1070</v>
      </c>
      <c r="AM10" s="3">
        <f t="shared" si="6"/>
        <v>8</v>
      </c>
      <c r="AN10" s="3" t="s">
        <v>709</v>
      </c>
      <c r="AO10" s="3" t="s">
        <v>710</v>
      </c>
      <c r="AP10" s="3" t="s">
        <v>711</v>
      </c>
      <c r="AQ10" s="3" t="s">
        <v>712</v>
      </c>
      <c r="AR10" s="3" t="s">
        <v>713</v>
      </c>
      <c r="AS10" s="3" t="s">
        <v>714</v>
      </c>
      <c r="AT10" s="3" t="s">
        <v>715</v>
      </c>
      <c r="AU10" s="3" t="s">
        <v>716</v>
      </c>
      <c r="AV10" s="3"/>
      <c r="AW10" s="3"/>
      <c r="AX10" s="3">
        <f t="shared" si="7"/>
        <v>6</v>
      </c>
      <c r="AY10" s="3" t="s">
        <v>797</v>
      </c>
      <c r="AZ10" s="3" t="s">
        <v>798</v>
      </c>
      <c r="BA10" s="3" t="s">
        <v>799</v>
      </c>
      <c r="BB10" s="3" t="s">
        <v>800</v>
      </c>
      <c r="BC10" s="3" t="s">
        <v>801</v>
      </c>
      <c r="BD10" s="3" t="s">
        <v>802</v>
      </c>
      <c r="BE10" s="3"/>
      <c r="BF10" s="3"/>
      <c r="BG10" s="3"/>
      <c r="BH10" s="3"/>
      <c r="BI10" s="3">
        <f t="shared" si="8"/>
        <v>6</v>
      </c>
      <c r="BJ10" s="3" t="s">
        <v>875</v>
      </c>
      <c r="BK10" s="3" t="s">
        <v>876</v>
      </c>
      <c r="BL10" s="3" t="s">
        <v>877</v>
      </c>
      <c r="BM10" s="3" t="s">
        <v>878</v>
      </c>
      <c r="BN10" s="3" t="s">
        <v>879</v>
      </c>
      <c r="BO10" s="3" t="s">
        <v>880</v>
      </c>
      <c r="BP10" s="3"/>
      <c r="BQ10" s="3"/>
      <c r="BR10" s="3"/>
      <c r="BS10" s="3"/>
      <c r="BT10" s="3">
        <f t="shared" si="9"/>
        <v>6</v>
      </c>
      <c r="BU10" s="3" t="s">
        <v>953</v>
      </c>
      <c r="BV10" s="3" t="s">
        <v>954</v>
      </c>
      <c r="BW10" s="3" t="s">
        <v>955</v>
      </c>
      <c r="BX10" s="3" t="s">
        <v>956</v>
      </c>
      <c r="BY10" s="3" t="s">
        <v>957</v>
      </c>
      <c r="BZ10" s="3" t="s">
        <v>958</v>
      </c>
      <c r="CA10" s="3"/>
      <c r="CB10" s="3"/>
      <c r="CC10" s="3"/>
      <c r="CD10" s="3"/>
      <c r="CE10" s="602" t="str">
        <f t="shared" si="3"/>
        <v>Letter of introduction from your guild, belt pouch, traveler's clothes, 15gp,</v>
      </c>
      <c r="CF10" s="3" t="s">
        <v>3575</v>
      </c>
      <c r="CG10" s="3" t="s">
        <v>3551</v>
      </c>
      <c r="CH10" s="3"/>
      <c r="CI10" s="3"/>
      <c r="CJ10" s="3"/>
      <c r="CK10" s="3"/>
      <c r="CL10" s="3" t="s">
        <v>3576</v>
      </c>
      <c r="CM10" s="3">
        <v>15</v>
      </c>
      <c r="CN10" s="3" t="s">
        <v>3557</v>
      </c>
      <c r="CO10" s="3"/>
    </row>
    <row r="11" spans="1:93" ht="15" x14ac:dyDescent="0.2">
      <c r="A11" s="157">
        <f t="shared" si="4"/>
        <v>10</v>
      </c>
      <c r="B11" s="599" t="s">
        <v>507</v>
      </c>
      <c r="C11" s="599" t="s">
        <v>7123</v>
      </c>
      <c r="D11" s="600" t="str">
        <f t="shared" si="2"/>
        <v>Medicine, Religion</v>
      </c>
      <c r="E11" s="3" t="s">
        <v>613</v>
      </c>
      <c r="F11" s="3" t="s">
        <v>72</v>
      </c>
      <c r="G11" s="3"/>
      <c r="H11" s="3"/>
      <c r="I11" s="600" t="str">
        <f t="shared" si="5"/>
        <v>Herbalism kit,</v>
      </c>
      <c r="J11" s="3" t="s">
        <v>333</v>
      </c>
      <c r="K11" s="3"/>
      <c r="L11" s="3"/>
      <c r="M11" s="3"/>
      <c r="N11" s="3">
        <v>1</v>
      </c>
      <c r="O11" s="3" t="s">
        <v>641</v>
      </c>
      <c r="P11" s="601" t="s">
        <v>4167</v>
      </c>
      <c r="Q11" s="3" t="s">
        <v>1080</v>
      </c>
      <c r="R11" s="3">
        <f t="shared" ref="R11:R17" si="10">COUNTA(S11:AL11)</f>
        <v>8</v>
      </c>
      <c r="S11" s="3" t="s">
        <v>1009</v>
      </c>
      <c r="T11" s="3" t="s">
        <v>1010</v>
      </c>
      <c r="U11" s="3" t="s">
        <v>1011</v>
      </c>
      <c r="V11" s="3" t="s">
        <v>1012</v>
      </c>
      <c r="W11" s="3" t="s">
        <v>1013</v>
      </c>
      <c r="X11" s="3" t="s">
        <v>1014</v>
      </c>
      <c r="Y11" s="3" t="s">
        <v>1015</v>
      </c>
      <c r="Z11" s="3" t="s">
        <v>1016</v>
      </c>
      <c r="AA11" s="3"/>
      <c r="AB11" s="3"/>
      <c r="AC11" s="3"/>
      <c r="AD11" s="3"/>
      <c r="AE11" s="3"/>
      <c r="AF11" s="3"/>
      <c r="AG11" s="3"/>
      <c r="AH11" s="3"/>
      <c r="AI11" s="3"/>
      <c r="AJ11" s="3"/>
      <c r="AK11" s="3"/>
      <c r="AL11" s="3"/>
      <c r="AM11" s="3">
        <f t="shared" si="6"/>
        <v>8</v>
      </c>
      <c r="AN11" s="3" t="s">
        <v>717</v>
      </c>
      <c r="AO11" s="3" t="s">
        <v>718</v>
      </c>
      <c r="AP11" s="3" t="s">
        <v>719</v>
      </c>
      <c r="AQ11" s="3" t="s">
        <v>720</v>
      </c>
      <c r="AR11" s="3" t="s">
        <v>721</v>
      </c>
      <c r="AS11" s="3" t="s">
        <v>722</v>
      </c>
      <c r="AT11" s="3" t="s">
        <v>723</v>
      </c>
      <c r="AU11" s="3" t="s">
        <v>724</v>
      </c>
      <c r="AV11" s="3"/>
      <c r="AW11" s="3"/>
      <c r="AX11" s="3">
        <f t="shared" si="7"/>
        <v>6</v>
      </c>
      <c r="AY11" s="3" t="s">
        <v>803</v>
      </c>
      <c r="AZ11" s="3" t="s">
        <v>804</v>
      </c>
      <c r="BA11" s="3" t="s">
        <v>805</v>
      </c>
      <c r="BB11" s="3" t="s">
        <v>806</v>
      </c>
      <c r="BC11" s="3" t="s">
        <v>807</v>
      </c>
      <c r="BD11" s="3" t="s">
        <v>808</v>
      </c>
      <c r="BE11" s="3"/>
      <c r="BF11" s="3"/>
      <c r="BG11" s="3"/>
      <c r="BH11" s="3"/>
      <c r="BI11" s="3">
        <f t="shared" si="8"/>
        <v>6</v>
      </c>
      <c r="BJ11" s="3" t="s">
        <v>881</v>
      </c>
      <c r="BK11" s="3" t="s">
        <v>882</v>
      </c>
      <c r="BL11" s="3" t="s">
        <v>883</v>
      </c>
      <c r="BM11" s="3" t="s">
        <v>884</v>
      </c>
      <c r="BN11" s="3" t="s">
        <v>885</v>
      </c>
      <c r="BO11" s="3" t="s">
        <v>886</v>
      </c>
      <c r="BP11" s="3"/>
      <c r="BQ11" s="3"/>
      <c r="BR11" s="3"/>
      <c r="BS11" s="3"/>
      <c r="BT11" s="3">
        <f t="shared" si="9"/>
        <v>6</v>
      </c>
      <c r="BU11" s="3" t="s">
        <v>959</v>
      </c>
      <c r="BV11" s="3" t="s">
        <v>960</v>
      </c>
      <c r="BW11" s="3" t="s">
        <v>961</v>
      </c>
      <c r="BX11" s="3" t="s">
        <v>962</v>
      </c>
      <c r="BY11" s="3" t="s">
        <v>963</v>
      </c>
      <c r="BZ11" s="3" t="s">
        <v>964</v>
      </c>
      <c r="CA11" s="3"/>
      <c r="CB11" s="3"/>
      <c r="CC11" s="3"/>
      <c r="CD11" s="3"/>
      <c r="CE11" s="602" t="str">
        <f t="shared" si="3"/>
        <v>A scroll case stuffed full of notes from your studies or prayers, winter blanket, herbalism kit, common clothes, 5gp,</v>
      </c>
      <c r="CF11" s="3" t="s">
        <v>3577</v>
      </c>
      <c r="CG11" s="3" t="s">
        <v>3578</v>
      </c>
      <c r="CH11" s="3" t="s">
        <v>3555</v>
      </c>
      <c r="CI11" s="3"/>
      <c r="CJ11" s="3"/>
      <c r="CK11" s="3"/>
      <c r="CL11" s="3" t="s">
        <v>3550</v>
      </c>
      <c r="CM11" s="3">
        <v>5</v>
      </c>
      <c r="CN11" s="3"/>
      <c r="CO11" s="3"/>
    </row>
    <row r="12" spans="1:93" ht="15" x14ac:dyDescent="0.2">
      <c r="A12" s="157">
        <f t="shared" si="4"/>
        <v>11</v>
      </c>
      <c r="B12" s="3" t="s">
        <v>506</v>
      </c>
      <c r="C12" s="606" t="s">
        <v>7126</v>
      </c>
      <c r="D12" s="600" t="str">
        <f t="shared" si="2"/>
        <v>Athletics, Survival</v>
      </c>
      <c r="E12" s="3" t="s">
        <v>86</v>
      </c>
      <c r="F12" s="3" t="s">
        <v>80</v>
      </c>
      <c r="G12" s="3"/>
      <c r="H12" s="3"/>
      <c r="I12" s="600" t="str">
        <f t="shared" si="5"/>
        <v>Musical Instrument,</v>
      </c>
      <c r="J12" s="3" t="s">
        <v>3777</v>
      </c>
      <c r="K12" s="3"/>
      <c r="L12" s="3"/>
      <c r="M12" s="3"/>
      <c r="N12" s="3">
        <v>0</v>
      </c>
      <c r="O12" s="3" t="s">
        <v>642</v>
      </c>
      <c r="P12" s="601" t="s">
        <v>4169</v>
      </c>
      <c r="Q12" s="3" t="s">
        <v>1081</v>
      </c>
      <c r="R12" s="3">
        <f t="shared" si="10"/>
        <v>10</v>
      </c>
      <c r="S12" s="3" t="s">
        <v>1017</v>
      </c>
      <c r="T12" s="3" t="s">
        <v>1018</v>
      </c>
      <c r="U12" s="3" t="s">
        <v>1019</v>
      </c>
      <c r="V12" s="3" t="s">
        <v>1020</v>
      </c>
      <c r="W12" s="3" t="s">
        <v>1021</v>
      </c>
      <c r="X12" s="3" t="s">
        <v>1022</v>
      </c>
      <c r="Y12" s="3" t="s">
        <v>1023</v>
      </c>
      <c r="Z12" s="3" t="s">
        <v>1024</v>
      </c>
      <c r="AA12" s="3" t="s">
        <v>1025</v>
      </c>
      <c r="AB12" s="3" t="s">
        <v>1026</v>
      </c>
      <c r="AC12" s="3"/>
      <c r="AD12" s="3"/>
      <c r="AE12" s="3"/>
      <c r="AF12" s="3"/>
      <c r="AG12" s="3"/>
      <c r="AH12" s="3"/>
      <c r="AI12" s="3"/>
      <c r="AJ12" s="3"/>
      <c r="AK12" s="3"/>
      <c r="AL12" s="3"/>
      <c r="AM12" s="3">
        <f t="shared" si="6"/>
        <v>8</v>
      </c>
      <c r="AN12" s="3" t="s">
        <v>725</v>
      </c>
      <c r="AO12" s="3" t="s">
        <v>726</v>
      </c>
      <c r="AP12" s="3" t="s">
        <v>727</v>
      </c>
      <c r="AQ12" s="3" t="s">
        <v>728</v>
      </c>
      <c r="AR12" s="3" t="s">
        <v>729</v>
      </c>
      <c r="AS12" s="3" t="s">
        <v>730</v>
      </c>
      <c r="AT12" s="3" t="s">
        <v>731</v>
      </c>
      <c r="AU12" s="3" t="s">
        <v>732</v>
      </c>
      <c r="AV12" s="3"/>
      <c r="AW12" s="3"/>
      <c r="AX12" s="3">
        <f t="shared" si="7"/>
        <v>6</v>
      </c>
      <c r="AY12" s="3" t="s">
        <v>809</v>
      </c>
      <c r="AZ12" s="3" t="s">
        <v>810</v>
      </c>
      <c r="BA12" s="3" t="s">
        <v>811</v>
      </c>
      <c r="BB12" s="3" t="s">
        <v>812</v>
      </c>
      <c r="BC12" s="3" t="s">
        <v>813</v>
      </c>
      <c r="BD12" s="3" t="s">
        <v>814</v>
      </c>
      <c r="BE12" s="3"/>
      <c r="BF12" s="3"/>
      <c r="BG12" s="3"/>
      <c r="BH12" s="3"/>
      <c r="BI12" s="3">
        <f t="shared" si="8"/>
        <v>6</v>
      </c>
      <c r="BJ12" s="3" t="s">
        <v>887</v>
      </c>
      <c r="BK12" s="3" t="s">
        <v>888</v>
      </c>
      <c r="BL12" s="3" t="s">
        <v>889</v>
      </c>
      <c r="BM12" s="3" t="s">
        <v>890</v>
      </c>
      <c r="BN12" s="3" t="s">
        <v>891</v>
      </c>
      <c r="BO12" s="3" t="s">
        <v>892</v>
      </c>
      <c r="BP12" s="3"/>
      <c r="BQ12" s="3"/>
      <c r="BR12" s="3"/>
      <c r="BS12" s="3"/>
      <c r="BT12" s="3">
        <f t="shared" si="9"/>
        <v>6</v>
      </c>
      <c r="BU12" s="3" t="s">
        <v>965</v>
      </c>
      <c r="BV12" s="3" t="s">
        <v>966</v>
      </c>
      <c r="BW12" s="3" t="s">
        <v>967</v>
      </c>
      <c r="BX12" s="3" t="s">
        <v>968</v>
      </c>
      <c r="BY12" s="3" t="s">
        <v>969</v>
      </c>
      <c r="BZ12" s="3" t="s">
        <v>970</v>
      </c>
      <c r="CA12" s="3"/>
      <c r="CB12" s="3"/>
      <c r="CC12" s="3"/>
      <c r="CD12" s="3"/>
      <c r="CE12" s="602" t="str">
        <f t="shared" si="3"/>
        <v>staff, hunting trap, belt pouch, traveler's clothes, 10gp,</v>
      </c>
      <c r="CF12" s="3" t="s">
        <v>3579</v>
      </c>
      <c r="CG12" s="3" t="s">
        <v>3580</v>
      </c>
      <c r="CH12" s="3" t="s">
        <v>3551</v>
      </c>
      <c r="CI12" s="3"/>
      <c r="CJ12" s="3"/>
      <c r="CK12" s="3"/>
      <c r="CL12" s="3" t="s">
        <v>3576</v>
      </c>
      <c r="CM12" s="3">
        <v>10</v>
      </c>
      <c r="CN12" s="3" t="s">
        <v>3581</v>
      </c>
      <c r="CO12" s="3"/>
    </row>
    <row r="13" spans="1:93" ht="15" x14ac:dyDescent="0.2">
      <c r="A13" s="157">
        <f t="shared" si="4"/>
        <v>12</v>
      </c>
      <c r="B13" s="3" t="s">
        <v>505</v>
      </c>
      <c r="C13" s="606" t="s">
        <v>7127</v>
      </c>
      <c r="D13" s="600" t="str">
        <f t="shared" si="2"/>
        <v>Athletics, Perception</v>
      </c>
      <c r="E13" s="3" t="s">
        <v>86</v>
      </c>
      <c r="F13" s="3" t="s">
        <v>49</v>
      </c>
      <c r="G13" s="3"/>
      <c r="H13" s="3"/>
      <c r="I13" s="600" t="str">
        <f t="shared" si="5"/>
        <v>Navigator's tools, Vehicles (water),</v>
      </c>
      <c r="J13" s="3" t="s">
        <v>3778</v>
      </c>
      <c r="K13" s="3" t="s">
        <v>4401</v>
      </c>
      <c r="L13" s="3"/>
      <c r="M13" s="3"/>
      <c r="N13" s="3">
        <v>0</v>
      </c>
      <c r="O13" s="3" t="s">
        <v>643</v>
      </c>
      <c r="P13" s="601" t="s">
        <v>4171</v>
      </c>
      <c r="Q13" s="3" t="s">
        <v>1082</v>
      </c>
      <c r="R13" s="3">
        <f t="shared" si="10"/>
        <v>1</v>
      </c>
      <c r="S13" s="3" t="str">
        <f>""</f>
        <v/>
      </c>
      <c r="T13" s="3"/>
      <c r="U13" s="3"/>
      <c r="V13" s="3"/>
      <c r="W13" s="3"/>
      <c r="X13" s="3"/>
      <c r="Y13" s="3"/>
      <c r="Z13" s="3"/>
      <c r="AA13" s="3"/>
      <c r="AB13" s="3"/>
      <c r="AC13" s="3"/>
      <c r="AD13" s="3"/>
      <c r="AE13" s="3"/>
      <c r="AF13" s="3"/>
      <c r="AG13" s="3"/>
      <c r="AH13" s="3"/>
      <c r="AI13" s="3"/>
      <c r="AJ13" s="3"/>
      <c r="AK13" s="3"/>
      <c r="AL13" s="3"/>
      <c r="AM13" s="3">
        <f t="shared" si="6"/>
        <v>8</v>
      </c>
      <c r="AN13" s="3" t="s">
        <v>733</v>
      </c>
      <c r="AO13" s="3" t="s">
        <v>734</v>
      </c>
      <c r="AP13" s="3" t="s">
        <v>735</v>
      </c>
      <c r="AQ13" s="3" t="s">
        <v>736</v>
      </c>
      <c r="AR13" s="3" t="s">
        <v>737</v>
      </c>
      <c r="AS13" s="3" t="s">
        <v>738</v>
      </c>
      <c r="AT13" s="3" t="s">
        <v>739</v>
      </c>
      <c r="AU13" s="3" t="s">
        <v>740</v>
      </c>
      <c r="AV13" s="3"/>
      <c r="AW13" s="3"/>
      <c r="AX13" s="3">
        <f t="shared" si="7"/>
        <v>6</v>
      </c>
      <c r="AY13" s="3" t="s">
        <v>815</v>
      </c>
      <c r="AZ13" s="3" t="s">
        <v>816</v>
      </c>
      <c r="BA13" s="3" t="s">
        <v>817</v>
      </c>
      <c r="BB13" s="3" t="s">
        <v>818</v>
      </c>
      <c r="BC13" s="3" t="s">
        <v>819</v>
      </c>
      <c r="BD13" s="3" t="s">
        <v>820</v>
      </c>
      <c r="BE13" s="3"/>
      <c r="BF13" s="3"/>
      <c r="BG13" s="3"/>
      <c r="BH13" s="3"/>
      <c r="BI13" s="3">
        <f t="shared" si="8"/>
        <v>6</v>
      </c>
      <c r="BJ13" s="3" t="s">
        <v>893</v>
      </c>
      <c r="BK13" s="3" t="s">
        <v>894</v>
      </c>
      <c r="BL13" s="3" t="s">
        <v>895</v>
      </c>
      <c r="BM13" s="3" t="s">
        <v>896</v>
      </c>
      <c r="BN13" s="3" t="s">
        <v>897</v>
      </c>
      <c r="BO13" s="3" t="s">
        <v>898</v>
      </c>
      <c r="BP13" s="3"/>
      <c r="BQ13" s="3"/>
      <c r="BR13" s="3"/>
      <c r="BS13" s="3"/>
      <c r="BT13" s="3">
        <f t="shared" si="9"/>
        <v>6</v>
      </c>
      <c r="BU13" s="3" t="s">
        <v>971</v>
      </c>
      <c r="BV13" s="3" t="s">
        <v>972</v>
      </c>
      <c r="BW13" s="3" t="s">
        <v>973</v>
      </c>
      <c r="BX13" s="3" t="s">
        <v>974</v>
      </c>
      <c r="BY13" s="3" t="s">
        <v>975</v>
      </c>
      <c r="BZ13" s="3" t="s">
        <v>976</v>
      </c>
      <c r="CA13" s="3"/>
      <c r="CB13" s="3"/>
      <c r="CC13" s="3"/>
      <c r="CD13" s="3"/>
      <c r="CE13" s="602" t="str">
        <f t="shared" si="3"/>
        <v>club, silk rope (50ft), belt pouch, common clothes, 10gp,</v>
      </c>
      <c r="CF13" s="3" t="s">
        <v>3583</v>
      </c>
      <c r="CG13" s="3" t="s">
        <v>3584</v>
      </c>
      <c r="CH13" s="3" t="s">
        <v>3551</v>
      </c>
      <c r="CI13" s="3"/>
      <c r="CJ13" s="3"/>
      <c r="CK13" s="3"/>
      <c r="CL13" s="3" t="s">
        <v>3550</v>
      </c>
      <c r="CM13" s="3">
        <v>10</v>
      </c>
      <c r="CN13" s="3" t="s">
        <v>3582</v>
      </c>
      <c r="CO13" s="3"/>
    </row>
    <row r="14" spans="1:93" ht="15" x14ac:dyDescent="0.2">
      <c r="A14" s="157">
        <f t="shared" si="4"/>
        <v>13</v>
      </c>
      <c r="B14" s="599" t="s">
        <v>502</v>
      </c>
      <c r="C14" s="599" t="s">
        <v>7130</v>
      </c>
      <c r="D14" s="600" t="str">
        <f t="shared" si="2"/>
        <v>Sleight of Hand, Stealth</v>
      </c>
      <c r="E14" s="3" t="s">
        <v>617</v>
      </c>
      <c r="F14" s="2" t="s">
        <v>75</v>
      </c>
      <c r="G14" s="3"/>
      <c r="H14" s="3"/>
      <c r="I14" s="600" t="str">
        <f t="shared" si="5"/>
        <v>Disguise kit, Thieve's tools,</v>
      </c>
      <c r="J14" s="3" t="s">
        <v>287</v>
      </c>
      <c r="K14" s="3" t="s">
        <v>76</v>
      </c>
      <c r="L14" s="3"/>
      <c r="M14" s="3"/>
      <c r="N14" s="3">
        <v>0</v>
      </c>
      <c r="O14" s="3" t="s">
        <v>644</v>
      </c>
      <c r="P14" s="601" t="s">
        <v>4172</v>
      </c>
      <c r="Q14" s="3" t="s">
        <v>1072</v>
      </c>
      <c r="R14" s="3">
        <f t="shared" si="10"/>
        <v>1</v>
      </c>
      <c r="S14" s="3" t="str">
        <f>""</f>
        <v/>
      </c>
      <c r="T14" s="3"/>
      <c r="U14" s="3"/>
      <c r="V14" s="3"/>
      <c r="W14" s="3"/>
      <c r="X14" s="3"/>
      <c r="Y14" s="3"/>
      <c r="Z14" s="3"/>
      <c r="AA14" s="3"/>
      <c r="AB14" s="3"/>
      <c r="AC14" s="3"/>
      <c r="AD14" s="3"/>
      <c r="AE14" s="3"/>
      <c r="AF14" s="3"/>
      <c r="AG14" s="3"/>
      <c r="AH14" s="3"/>
      <c r="AI14" s="3"/>
      <c r="AJ14" s="3"/>
      <c r="AK14" s="3"/>
      <c r="AL14" s="3"/>
      <c r="AM14" s="3">
        <f t="shared" si="6"/>
        <v>8</v>
      </c>
      <c r="AN14" s="3" t="s">
        <v>741</v>
      </c>
      <c r="AO14" s="3" t="s">
        <v>742</v>
      </c>
      <c r="AP14" s="3" t="s">
        <v>743</v>
      </c>
      <c r="AQ14" s="3" t="s">
        <v>744</v>
      </c>
      <c r="AR14" s="3" t="s">
        <v>745</v>
      </c>
      <c r="AS14" s="3" t="s">
        <v>746</v>
      </c>
      <c r="AT14" s="3" t="s">
        <v>747</v>
      </c>
      <c r="AU14" s="3" t="s">
        <v>748</v>
      </c>
      <c r="AV14" s="3"/>
      <c r="AW14" s="3"/>
      <c r="AX14" s="3">
        <f t="shared" si="7"/>
        <v>6</v>
      </c>
      <c r="AY14" s="3" t="s">
        <v>821</v>
      </c>
      <c r="AZ14" s="3" t="s">
        <v>822</v>
      </c>
      <c r="BA14" s="3" t="s">
        <v>823</v>
      </c>
      <c r="BB14" s="3" t="s">
        <v>824</v>
      </c>
      <c r="BC14" s="3" t="s">
        <v>825</v>
      </c>
      <c r="BD14" s="3" t="s">
        <v>826</v>
      </c>
      <c r="BE14" s="3"/>
      <c r="BF14" s="3"/>
      <c r="BG14" s="3"/>
      <c r="BH14" s="3"/>
      <c r="BI14" s="3">
        <f t="shared" si="8"/>
        <v>6</v>
      </c>
      <c r="BJ14" s="3" t="s">
        <v>899</v>
      </c>
      <c r="BK14" s="3" t="s">
        <v>900</v>
      </c>
      <c r="BL14" s="3" t="s">
        <v>901</v>
      </c>
      <c r="BM14" s="3" t="s">
        <v>902</v>
      </c>
      <c r="BN14" s="3" t="s">
        <v>903</v>
      </c>
      <c r="BO14" s="3" t="s">
        <v>904</v>
      </c>
      <c r="BP14" s="3"/>
      <c r="BQ14" s="3"/>
      <c r="BR14" s="3"/>
      <c r="BS14" s="3"/>
      <c r="BT14" s="3">
        <f t="shared" si="9"/>
        <v>6</v>
      </c>
      <c r="BU14" s="3" t="s">
        <v>977</v>
      </c>
      <c r="BV14" s="3" t="s">
        <v>978</v>
      </c>
      <c r="BW14" s="3" t="s">
        <v>979</v>
      </c>
      <c r="BX14" s="3" t="s">
        <v>980</v>
      </c>
      <c r="BY14" s="3" t="s">
        <v>981</v>
      </c>
      <c r="BZ14" s="3" t="s">
        <v>982</v>
      </c>
      <c r="CA14" s="3"/>
      <c r="CB14" s="3"/>
      <c r="CC14" s="3"/>
      <c r="CD14" s="3"/>
      <c r="CE14" s="602" t="str">
        <f t="shared" si="3"/>
        <v>pet mouse, small knife, belt pouch, map of the city, common clothes, 10gp,</v>
      </c>
      <c r="CF14" s="3" t="s">
        <v>3586</v>
      </c>
      <c r="CG14" s="3" t="s">
        <v>3566</v>
      </c>
      <c r="CH14" s="3" t="s">
        <v>3551</v>
      </c>
      <c r="CI14" s="3" t="s">
        <v>3587</v>
      </c>
      <c r="CJ14" s="3"/>
      <c r="CK14" s="3"/>
      <c r="CL14" s="3" t="s">
        <v>3550</v>
      </c>
      <c r="CM14" s="3">
        <v>10</v>
      </c>
      <c r="CN14" s="3" t="s">
        <v>3585</v>
      </c>
      <c r="CO14" s="3"/>
    </row>
    <row r="15" spans="1:93" ht="15" x14ac:dyDescent="0.2">
      <c r="A15" s="157">
        <f t="shared" si="4"/>
        <v>14</v>
      </c>
      <c r="B15" s="599" t="s">
        <v>631</v>
      </c>
      <c r="C15" s="389" t="s">
        <v>7115</v>
      </c>
      <c r="D15" s="600" t="str">
        <f t="shared" si="2"/>
        <v>Deception, Stealth</v>
      </c>
      <c r="E15" s="2" t="s">
        <v>74</v>
      </c>
      <c r="F15" s="2" t="s">
        <v>75</v>
      </c>
      <c r="G15" s="3"/>
      <c r="H15" s="3"/>
      <c r="I15" s="600" t="str">
        <f t="shared" si="5"/>
        <v>Gaming set, Thieve's tools,</v>
      </c>
      <c r="J15" s="2" t="s">
        <v>77</v>
      </c>
      <c r="K15" s="3" t="s">
        <v>76</v>
      </c>
      <c r="L15" s="3"/>
      <c r="M15" s="3"/>
      <c r="N15" s="3">
        <v>0</v>
      </c>
      <c r="O15" s="3" t="s">
        <v>633</v>
      </c>
      <c r="P15" s="601" t="s">
        <v>4163</v>
      </c>
      <c r="Q15" s="3" t="s">
        <v>1074</v>
      </c>
      <c r="R15" s="3">
        <f t="shared" si="10"/>
        <v>9</v>
      </c>
      <c r="S15" s="3" t="s">
        <v>7050</v>
      </c>
      <c r="T15" s="3" t="s">
        <v>7051</v>
      </c>
      <c r="U15" s="3" t="s">
        <v>7052</v>
      </c>
      <c r="V15" s="3" t="s">
        <v>7053</v>
      </c>
      <c r="W15" s="3" t="s">
        <v>7054</v>
      </c>
      <c r="X15" s="3" t="s">
        <v>7055</v>
      </c>
      <c r="Y15" s="3" t="s">
        <v>7056</v>
      </c>
      <c r="Z15" s="3" t="s">
        <v>7057</v>
      </c>
      <c r="AA15" s="3" t="s">
        <v>7058</v>
      </c>
      <c r="AB15" s="3"/>
      <c r="AC15" s="3"/>
      <c r="AD15" s="3"/>
      <c r="AE15" s="3"/>
      <c r="AF15" s="3"/>
      <c r="AG15" s="3"/>
      <c r="AH15" s="3"/>
      <c r="AI15" s="3"/>
      <c r="AJ15" s="3"/>
      <c r="AK15" s="3"/>
      <c r="AL15" s="3"/>
      <c r="AM15" s="3">
        <f>COUNTA(AN15:AW15)</f>
        <v>8</v>
      </c>
      <c r="AN15" s="3" t="s">
        <v>653</v>
      </c>
      <c r="AO15" s="3" t="s">
        <v>654</v>
      </c>
      <c r="AP15" s="3" t="s">
        <v>655</v>
      </c>
      <c r="AQ15" s="3" t="s">
        <v>656</v>
      </c>
      <c r="AR15" s="3" t="s">
        <v>657</v>
      </c>
      <c r="AS15" s="3" t="s">
        <v>658</v>
      </c>
      <c r="AT15" s="3" t="s">
        <v>659</v>
      </c>
      <c r="AU15" s="3" t="s">
        <v>660</v>
      </c>
      <c r="AV15" s="3"/>
      <c r="AW15" s="3"/>
      <c r="AX15" s="3">
        <f>COUNTA(AY15:BH15)</f>
        <v>6</v>
      </c>
      <c r="AY15" s="3" t="s">
        <v>755</v>
      </c>
      <c r="AZ15" s="3" t="s">
        <v>756</v>
      </c>
      <c r="BA15" s="3" t="s">
        <v>757</v>
      </c>
      <c r="BB15" s="3" t="s">
        <v>758</v>
      </c>
      <c r="BC15" s="3" t="s">
        <v>759</v>
      </c>
      <c r="BD15" s="3" t="s">
        <v>760</v>
      </c>
      <c r="BE15" s="3"/>
      <c r="BF15" s="3"/>
      <c r="BG15" s="3"/>
      <c r="BH15" s="3"/>
      <c r="BI15" s="3">
        <f>COUNTA(BJ15:BS15)</f>
        <v>6</v>
      </c>
      <c r="BJ15" s="3" t="s">
        <v>833</v>
      </c>
      <c r="BK15" s="3" t="s">
        <v>834</v>
      </c>
      <c r="BL15" s="3" t="s">
        <v>835</v>
      </c>
      <c r="BM15" s="3" t="s">
        <v>836</v>
      </c>
      <c r="BN15" s="3" t="s">
        <v>837</v>
      </c>
      <c r="BO15" s="3" t="s">
        <v>838</v>
      </c>
      <c r="BP15" s="3"/>
      <c r="BQ15" s="3"/>
      <c r="BR15" s="3"/>
      <c r="BS15" s="3"/>
      <c r="BT15" s="3">
        <f>COUNTA(BU15:CD15)</f>
        <v>6</v>
      </c>
      <c r="BU15" s="3" t="s">
        <v>911</v>
      </c>
      <c r="BV15" s="3" t="s">
        <v>912</v>
      </c>
      <c r="BW15" s="3" t="s">
        <v>913</v>
      </c>
      <c r="BX15" s="3" t="s">
        <v>914</v>
      </c>
      <c r="BY15" s="3" t="s">
        <v>915</v>
      </c>
      <c r="BZ15" s="3" t="s">
        <v>916</v>
      </c>
      <c r="CA15" s="3"/>
      <c r="CB15" s="3"/>
      <c r="CC15" s="3"/>
      <c r="CD15" s="3"/>
      <c r="CE15" s="602" t="str">
        <f t="shared" ref="CE15:CE20" si="11">IFERROR(TRIM(IF(CF15="","",CF15&amp;", ")&amp;IF(CG15="","",CG15&amp;", ")&amp;IF(CH15="","",CH15&amp;", ")&amp;IF(CI15="","",CI15&amp;", ")&amp;IF(CJ15="","",CJ15&amp;", ")&amp;IF(CK15="","",CK15&amp;", ")&amp;IF(CL15="","",CL15&amp;", ")&amp;IF(CM15="","",CM15&amp;"gp, ")),"")</f>
        <v>crowbar, belt pouch, dark common clothes with hood, 15gp,</v>
      </c>
      <c r="CF15" s="3" t="s">
        <v>3553</v>
      </c>
      <c r="CG15" s="3" t="s">
        <v>3551</v>
      </c>
      <c r="CH15" s="3"/>
      <c r="CI15" s="3"/>
      <c r="CJ15" s="3"/>
      <c r="CK15" s="3"/>
      <c r="CL15" s="3" t="s">
        <v>3554</v>
      </c>
      <c r="CM15" s="3">
        <v>15</v>
      </c>
      <c r="CN15" s="3"/>
      <c r="CO15" s="3"/>
    </row>
    <row r="16" spans="1:93" ht="15" x14ac:dyDescent="0.2">
      <c r="A16" s="157">
        <f t="shared" si="4"/>
        <v>15</v>
      </c>
      <c r="B16" s="3" t="s">
        <v>554</v>
      </c>
      <c r="C16" s="606" t="s">
        <v>7116</v>
      </c>
      <c r="D16" s="600" t="str">
        <f t="shared" si="2"/>
        <v>Deception, Stealth</v>
      </c>
      <c r="E16" s="2" t="s">
        <v>74</v>
      </c>
      <c r="F16" s="2" t="s">
        <v>75</v>
      </c>
      <c r="G16" s="3"/>
      <c r="H16" s="3"/>
      <c r="I16" s="600" t="str">
        <f t="shared" ref="I16" si="12">IFERROR(TRIM(IF(J16="","",J16&amp;", ")&amp;IF(K16="","",K16&amp;", ")),"")</f>
        <v>Disguise kit, Musical Instrument,</v>
      </c>
      <c r="J16" s="3" t="s">
        <v>287</v>
      </c>
      <c r="K16" s="3" t="s">
        <v>3777</v>
      </c>
      <c r="L16" s="3"/>
      <c r="M16" s="3"/>
      <c r="N16" s="3">
        <v>0</v>
      </c>
      <c r="O16" s="3" t="s">
        <v>639</v>
      </c>
      <c r="P16" s="601" t="s">
        <v>7060</v>
      </c>
      <c r="Q16" s="3" t="s">
        <v>1078</v>
      </c>
      <c r="R16" s="3">
        <f t="shared" si="10"/>
        <v>10</v>
      </c>
      <c r="S16" s="3" t="s">
        <v>989</v>
      </c>
      <c r="T16" s="3" t="s">
        <v>990</v>
      </c>
      <c r="U16" s="3" t="s">
        <v>991</v>
      </c>
      <c r="V16" s="3" t="s">
        <v>992</v>
      </c>
      <c r="W16" s="3" t="s">
        <v>993</v>
      </c>
      <c r="X16" s="3" t="s">
        <v>994</v>
      </c>
      <c r="Y16" s="3" t="s">
        <v>995</v>
      </c>
      <c r="Z16" s="3" t="s">
        <v>996</v>
      </c>
      <c r="AA16" s="3" t="s">
        <v>997</v>
      </c>
      <c r="AB16" s="3" t="s">
        <v>998</v>
      </c>
      <c r="AC16" s="3"/>
      <c r="AD16" s="3"/>
      <c r="AE16" s="3"/>
      <c r="AF16" s="3"/>
      <c r="AG16" s="3"/>
      <c r="AH16" s="3"/>
      <c r="AI16" s="3"/>
      <c r="AJ16" s="3"/>
      <c r="AK16" s="3"/>
      <c r="AL16" s="3"/>
      <c r="AM16" s="3">
        <f t="shared" ref="AM16" si="13">COUNTA(AN16:AW16)</f>
        <v>8</v>
      </c>
      <c r="AN16" s="3" t="s">
        <v>701</v>
      </c>
      <c r="AO16" s="3" t="s">
        <v>702</v>
      </c>
      <c r="AP16" s="3" t="s">
        <v>703</v>
      </c>
      <c r="AQ16" s="3" t="s">
        <v>704</v>
      </c>
      <c r="AR16" s="3" t="s">
        <v>705</v>
      </c>
      <c r="AS16" s="3" t="s">
        <v>706</v>
      </c>
      <c r="AT16" s="3" t="s">
        <v>707</v>
      </c>
      <c r="AU16" s="3" t="s">
        <v>708</v>
      </c>
      <c r="AV16" s="3"/>
      <c r="AW16" s="3"/>
      <c r="AX16" s="3">
        <f t="shared" ref="AX16" si="14">COUNTA(AY16:BH16)</f>
        <v>6</v>
      </c>
      <c r="AY16" s="3" t="s">
        <v>791</v>
      </c>
      <c r="AZ16" s="3" t="s">
        <v>792</v>
      </c>
      <c r="BA16" s="3" t="s">
        <v>793</v>
      </c>
      <c r="BB16" s="3" t="s">
        <v>794</v>
      </c>
      <c r="BC16" s="3" t="s">
        <v>795</v>
      </c>
      <c r="BD16" s="3" t="s">
        <v>796</v>
      </c>
      <c r="BE16" s="3"/>
      <c r="BF16" s="3"/>
      <c r="BG16" s="3"/>
      <c r="BH16" s="3"/>
      <c r="BI16" s="3">
        <f t="shared" ref="BI16" si="15">COUNTA(BJ16:BS16)</f>
        <v>6</v>
      </c>
      <c r="BJ16" s="3" t="s">
        <v>869</v>
      </c>
      <c r="BK16" s="3" t="s">
        <v>870</v>
      </c>
      <c r="BL16" s="3" t="s">
        <v>871</v>
      </c>
      <c r="BM16" s="3" t="s">
        <v>872</v>
      </c>
      <c r="BN16" s="3" t="s">
        <v>873</v>
      </c>
      <c r="BO16" s="3" t="s">
        <v>874</v>
      </c>
      <c r="BP16" s="3"/>
      <c r="BQ16" s="3"/>
      <c r="BR16" s="3"/>
      <c r="BS16" s="3"/>
      <c r="BT16" s="3">
        <f t="shared" ref="BT16" si="16">COUNTA(BU16:CD16)</f>
        <v>6</v>
      </c>
      <c r="BU16" s="3" t="s">
        <v>947</v>
      </c>
      <c r="BV16" s="3" t="s">
        <v>948</v>
      </c>
      <c r="BW16" s="3" t="s">
        <v>949</v>
      </c>
      <c r="BX16" s="3" t="s">
        <v>950</v>
      </c>
      <c r="BY16" s="3" t="s">
        <v>951</v>
      </c>
      <c r="BZ16" s="3" t="s">
        <v>952</v>
      </c>
      <c r="CA16" s="3"/>
      <c r="CB16" s="3"/>
      <c r="CC16" s="3"/>
      <c r="CD16" s="3"/>
      <c r="CE16" s="602" t="str">
        <f t="shared" si="11"/>
        <v>belt pouch, Costume, 15gp,</v>
      </c>
      <c r="CF16" s="3" t="s">
        <v>3551</v>
      </c>
      <c r="CG16" s="3"/>
      <c r="CH16" s="3"/>
      <c r="CI16" s="3"/>
      <c r="CJ16" s="3"/>
      <c r="CK16" s="3"/>
      <c r="CL16" s="3" t="s">
        <v>274</v>
      </c>
      <c r="CM16" s="3">
        <v>15</v>
      </c>
      <c r="CN16" s="3" t="s">
        <v>202</v>
      </c>
      <c r="CO16" s="3" t="s">
        <v>3574</v>
      </c>
    </row>
    <row r="17" spans="1:93" x14ac:dyDescent="0.2">
      <c r="A17" s="157">
        <f t="shared" si="4"/>
        <v>16</v>
      </c>
      <c r="B17" s="3" t="s">
        <v>504</v>
      </c>
      <c r="C17" s="606" t="s">
        <v>7125</v>
      </c>
      <c r="D17" s="600" t="str">
        <f t="shared" si="2"/>
        <v>History, Persuasion</v>
      </c>
      <c r="E17" s="4" t="s">
        <v>84</v>
      </c>
      <c r="F17" s="2" t="s">
        <v>616</v>
      </c>
      <c r="G17" s="3"/>
      <c r="H17" s="3"/>
      <c r="I17" s="600" t="str">
        <f t="shared" ref="I17:I20" si="17">IFERROR(TRIM(IF(J17="","",J17&amp;", ")&amp;IF(K17="","",K17&amp;", ")),"")</f>
        <v>Gaming set,</v>
      </c>
      <c r="J17" s="2" t="s">
        <v>77</v>
      </c>
      <c r="K17" s="3"/>
      <c r="L17" s="603"/>
      <c r="M17" s="603"/>
      <c r="N17" s="3">
        <v>1</v>
      </c>
      <c r="O17" s="3" t="s">
        <v>7059</v>
      </c>
      <c r="P17" s="609" t="s">
        <v>7124</v>
      </c>
      <c r="Q17" s="3"/>
      <c r="R17" s="3">
        <f t="shared" si="10"/>
        <v>1</v>
      </c>
      <c r="S17" s="3" t="str">
        <f>""</f>
        <v/>
      </c>
      <c r="T17" s="3"/>
      <c r="U17" s="3"/>
      <c r="V17" s="3"/>
      <c r="W17" s="3"/>
      <c r="X17" s="3"/>
      <c r="Y17" s="3"/>
      <c r="Z17" s="3"/>
      <c r="AA17" s="3"/>
      <c r="AB17" s="3"/>
      <c r="AC17" s="3"/>
      <c r="AD17" s="3"/>
      <c r="AE17" s="3"/>
      <c r="AF17" s="3"/>
      <c r="AG17" s="3"/>
      <c r="AH17" s="3"/>
      <c r="AI17" s="3"/>
      <c r="AJ17" s="3"/>
      <c r="AK17" s="3"/>
      <c r="AL17" s="3"/>
      <c r="AM17" s="3">
        <f>COUNTA(AN17:AW17)</f>
        <v>8</v>
      </c>
      <c r="AN17" s="3" t="s">
        <v>669</v>
      </c>
      <c r="AO17" s="3" t="s">
        <v>670</v>
      </c>
      <c r="AP17" s="3" t="s">
        <v>671</v>
      </c>
      <c r="AQ17" s="3" t="s">
        <v>672</v>
      </c>
      <c r="AR17" s="3" t="s">
        <v>673</v>
      </c>
      <c r="AS17" s="3" t="s">
        <v>674</v>
      </c>
      <c r="AT17" s="3" t="s">
        <v>675</v>
      </c>
      <c r="AU17" s="3" t="s">
        <v>676</v>
      </c>
      <c r="AV17" s="3"/>
      <c r="AW17" s="3"/>
      <c r="AX17" s="3">
        <f>COUNTA(AY17:BH17)</f>
        <v>6</v>
      </c>
      <c r="AY17" s="3" t="s">
        <v>767</v>
      </c>
      <c r="AZ17" s="3" t="s">
        <v>768</v>
      </c>
      <c r="BA17" s="3" t="s">
        <v>769</v>
      </c>
      <c r="BB17" s="3" t="s">
        <v>770</v>
      </c>
      <c r="BC17" s="3" t="s">
        <v>771</v>
      </c>
      <c r="BD17" s="3" t="s">
        <v>772</v>
      </c>
      <c r="BE17" s="3"/>
      <c r="BF17" s="3"/>
      <c r="BG17" s="3"/>
      <c r="BH17" s="3"/>
      <c r="BI17" s="3">
        <f>COUNTA(BJ17:BS17)</f>
        <v>6</v>
      </c>
      <c r="BJ17" s="3" t="s">
        <v>845</v>
      </c>
      <c r="BK17" s="3" t="s">
        <v>846</v>
      </c>
      <c r="BL17" s="3" t="s">
        <v>847</v>
      </c>
      <c r="BM17" s="3" t="s">
        <v>848</v>
      </c>
      <c r="BN17" s="3" t="s">
        <v>849</v>
      </c>
      <c r="BO17" s="3" t="s">
        <v>850</v>
      </c>
      <c r="BP17" s="3"/>
      <c r="BQ17" s="3"/>
      <c r="BR17" s="3"/>
      <c r="BS17" s="3"/>
      <c r="BT17" s="3">
        <f>COUNTA(BU17:CD17)</f>
        <v>6</v>
      </c>
      <c r="BU17" s="3" t="s">
        <v>923</v>
      </c>
      <c r="BV17" s="3" t="s">
        <v>924</v>
      </c>
      <c r="BW17" s="3" t="s">
        <v>925</v>
      </c>
      <c r="BX17" s="3" t="s">
        <v>926</v>
      </c>
      <c r="BY17" s="3" t="s">
        <v>927</v>
      </c>
      <c r="BZ17" s="3" t="s">
        <v>928</v>
      </c>
      <c r="CA17" s="3"/>
      <c r="CB17" s="3"/>
      <c r="CC17" s="3"/>
      <c r="CD17" s="3"/>
      <c r="CE17" s="602" t="str">
        <f t="shared" si="11"/>
        <v>signet ring, scroll of pedigree, purse, fine clothes, 25gp,</v>
      </c>
      <c r="CF17" s="3" t="s">
        <v>3562</v>
      </c>
      <c r="CG17" s="3" t="s">
        <v>3560</v>
      </c>
      <c r="CH17" s="3" t="s">
        <v>3563</v>
      </c>
      <c r="CI17" s="3"/>
      <c r="CJ17" s="3"/>
      <c r="CK17" s="3"/>
      <c r="CL17" s="3" t="s">
        <v>3561</v>
      </c>
      <c r="CM17" s="3">
        <v>25</v>
      </c>
      <c r="CN17" s="3"/>
      <c r="CO17" s="3"/>
    </row>
    <row r="18" spans="1:93" ht="15" x14ac:dyDescent="0.2">
      <c r="A18" s="10">
        <f t="shared" si="4"/>
        <v>17</v>
      </c>
      <c r="B18" s="3" t="s">
        <v>7061</v>
      </c>
      <c r="C18" s="606" t="s">
        <v>7128</v>
      </c>
      <c r="D18" s="600" t="str">
        <f t="shared" ref="D18:D25" si="18">IFERROR(LEFT(TRIM(IF(E18="","",E18&amp;", ")&amp;IF(F18="","",F18&amp;", ")&amp;IF(G18="","",G18&amp;", ")),LEN(TRIM(IF(E18="","",E18&amp;", ")&amp;IF(F18="","",F18&amp;", ")&amp;IF(G18="","",G18&amp;", ")))-1),"")</f>
        <v>Athletics, Perception</v>
      </c>
      <c r="E18" s="3" t="s">
        <v>86</v>
      </c>
      <c r="F18" s="3" t="s">
        <v>49</v>
      </c>
      <c r="G18" s="3"/>
      <c r="H18" s="3"/>
      <c r="I18" s="600" t="str">
        <f t="shared" si="17"/>
        <v>Navigator's tools, Vehicles (water),</v>
      </c>
      <c r="J18" s="3" t="s">
        <v>3778</v>
      </c>
      <c r="K18" s="3" t="s">
        <v>4401</v>
      </c>
      <c r="L18" s="3"/>
      <c r="M18" s="3"/>
      <c r="N18" s="3">
        <v>0</v>
      </c>
      <c r="O18" s="3" t="s">
        <v>7062</v>
      </c>
      <c r="P18" s="601" t="s">
        <v>7063</v>
      </c>
      <c r="Q18" s="3" t="s">
        <v>1082</v>
      </c>
      <c r="R18" s="3">
        <f t="shared" ref="R18" si="19">COUNTA(S18:AL18)</f>
        <v>1</v>
      </c>
      <c r="S18" s="3" t="str">
        <f>""</f>
        <v/>
      </c>
      <c r="T18" s="3"/>
      <c r="U18" s="3"/>
      <c r="V18" s="3"/>
      <c r="W18" s="3"/>
      <c r="X18" s="3"/>
      <c r="Y18" s="3"/>
      <c r="Z18" s="3"/>
      <c r="AA18" s="3"/>
      <c r="AB18" s="3"/>
      <c r="AC18" s="3"/>
      <c r="AD18" s="3"/>
      <c r="AE18" s="3"/>
      <c r="AF18" s="3"/>
      <c r="AG18" s="3"/>
      <c r="AH18" s="3"/>
      <c r="AI18" s="3"/>
      <c r="AJ18" s="3"/>
      <c r="AK18" s="3"/>
      <c r="AL18" s="3"/>
      <c r="AM18" s="3">
        <f t="shared" ref="AM18:AM24" si="20">COUNTA(AN18:AW18)</f>
        <v>8</v>
      </c>
      <c r="AN18" s="3" t="s">
        <v>733</v>
      </c>
      <c r="AO18" s="3" t="s">
        <v>734</v>
      </c>
      <c r="AP18" s="3" t="s">
        <v>735</v>
      </c>
      <c r="AQ18" s="3" t="s">
        <v>736</v>
      </c>
      <c r="AR18" s="3" t="s">
        <v>737</v>
      </c>
      <c r="AS18" s="3" t="s">
        <v>738</v>
      </c>
      <c r="AT18" s="3" t="s">
        <v>739</v>
      </c>
      <c r="AU18" s="3" t="s">
        <v>740</v>
      </c>
      <c r="AV18" s="3"/>
      <c r="AW18" s="3"/>
      <c r="AX18" s="3">
        <f t="shared" ref="AX18:AX25" si="21">COUNTA(AY18:BH18)</f>
        <v>6</v>
      </c>
      <c r="AY18" s="3" t="s">
        <v>815</v>
      </c>
      <c r="AZ18" s="3" t="s">
        <v>816</v>
      </c>
      <c r="BA18" s="3" t="s">
        <v>817</v>
      </c>
      <c r="BB18" s="3" t="s">
        <v>818</v>
      </c>
      <c r="BC18" s="3" t="s">
        <v>819</v>
      </c>
      <c r="BD18" s="3" t="s">
        <v>820</v>
      </c>
      <c r="BE18" s="3"/>
      <c r="BF18" s="3"/>
      <c r="BG18" s="3"/>
      <c r="BH18" s="3"/>
      <c r="BI18" s="3">
        <f t="shared" ref="BI18:BI20" si="22">COUNTA(BJ18:BS18)</f>
        <v>6</v>
      </c>
      <c r="BJ18" s="3" t="s">
        <v>893</v>
      </c>
      <c r="BK18" s="3" t="s">
        <v>894</v>
      </c>
      <c r="BL18" s="3" t="s">
        <v>895</v>
      </c>
      <c r="BM18" s="3" t="s">
        <v>896</v>
      </c>
      <c r="BN18" s="3" t="s">
        <v>897</v>
      </c>
      <c r="BO18" s="3" t="s">
        <v>898</v>
      </c>
      <c r="BP18" s="3"/>
      <c r="BQ18" s="3"/>
      <c r="BR18" s="3"/>
      <c r="BS18" s="3"/>
      <c r="BT18" s="3">
        <f t="shared" ref="BT18:BT20" si="23">COUNTA(BU18:CD18)</f>
        <v>6</v>
      </c>
      <c r="BU18" s="3" t="s">
        <v>971</v>
      </c>
      <c r="BV18" s="3" t="s">
        <v>972</v>
      </c>
      <c r="BW18" s="3" t="s">
        <v>973</v>
      </c>
      <c r="BX18" s="3" t="s">
        <v>974</v>
      </c>
      <c r="BY18" s="3" t="s">
        <v>975</v>
      </c>
      <c r="BZ18" s="3" t="s">
        <v>976</v>
      </c>
      <c r="CA18" s="3"/>
      <c r="CB18" s="3"/>
      <c r="CC18" s="3"/>
      <c r="CD18" s="3"/>
      <c r="CE18" s="602" t="str">
        <f t="shared" si="11"/>
        <v>club, silk rope (50ft), belt pouch, common clothes, 10gp,</v>
      </c>
      <c r="CF18" s="3" t="s">
        <v>3583</v>
      </c>
      <c r="CG18" s="3" t="s">
        <v>3584</v>
      </c>
      <c r="CH18" s="3" t="s">
        <v>3551</v>
      </c>
      <c r="CI18" s="3"/>
      <c r="CJ18" s="3"/>
      <c r="CK18" s="3"/>
      <c r="CL18" s="3" t="s">
        <v>3550</v>
      </c>
      <c r="CM18" s="3">
        <v>10</v>
      </c>
      <c r="CN18" s="3" t="s">
        <v>3582</v>
      </c>
      <c r="CO18" s="3"/>
    </row>
    <row r="19" spans="1:93" ht="15" x14ac:dyDescent="0.2">
      <c r="A19" s="10">
        <f t="shared" si="4"/>
        <v>18</v>
      </c>
      <c r="B19" s="5" t="s">
        <v>7119</v>
      </c>
      <c r="C19" s="608" t="s">
        <v>7120</v>
      </c>
      <c r="D19" s="600" t="str">
        <f t="shared" si="18"/>
        <v>Insight, Persuasion</v>
      </c>
      <c r="E19" s="3" t="s">
        <v>71</v>
      </c>
      <c r="F19" s="3" t="s">
        <v>616</v>
      </c>
      <c r="G19" s="3"/>
      <c r="H19" s="3"/>
      <c r="I19" s="600" t="str">
        <f t="shared" si="17"/>
        <v>Navigator's tools,</v>
      </c>
      <c r="J19" s="2" t="s">
        <v>3778</v>
      </c>
      <c r="K19" s="3"/>
      <c r="L19" s="3"/>
      <c r="M19" s="3"/>
      <c r="N19" s="3">
        <v>1</v>
      </c>
      <c r="O19" s="3" t="s">
        <v>640</v>
      </c>
      <c r="P19" s="601" t="s">
        <v>4166</v>
      </c>
      <c r="Q19" s="3" t="s">
        <v>1079</v>
      </c>
      <c r="R19" s="3">
        <f>COUNTA(S19:AL19)</f>
        <v>20</v>
      </c>
      <c r="S19" s="3" t="s">
        <v>1051</v>
      </c>
      <c r="T19" s="3" t="s">
        <v>1052</v>
      </c>
      <c r="U19" s="3" t="s">
        <v>1053</v>
      </c>
      <c r="V19" s="3" t="s">
        <v>1054</v>
      </c>
      <c r="W19" s="3" t="s">
        <v>1055</v>
      </c>
      <c r="X19" s="3" t="s">
        <v>1056</v>
      </c>
      <c r="Y19" s="3" t="s">
        <v>1057</v>
      </c>
      <c r="Z19" s="3" t="s">
        <v>1058</v>
      </c>
      <c r="AA19" s="3" t="s">
        <v>1059</v>
      </c>
      <c r="AB19" s="3" t="s">
        <v>1060</v>
      </c>
      <c r="AC19" s="3" t="s">
        <v>1061</v>
      </c>
      <c r="AD19" s="3" t="s">
        <v>1062</v>
      </c>
      <c r="AE19" s="3" t="s">
        <v>1063</v>
      </c>
      <c r="AF19" s="3" t="s">
        <v>1064</v>
      </c>
      <c r="AG19" s="3" t="s">
        <v>1065</v>
      </c>
      <c r="AH19" s="3" t="s">
        <v>1066</v>
      </c>
      <c r="AI19" s="3" t="s">
        <v>1067</v>
      </c>
      <c r="AJ19" s="3" t="s">
        <v>1068</v>
      </c>
      <c r="AK19" s="3" t="s">
        <v>1069</v>
      </c>
      <c r="AL19" s="3" t="s">
        <v>1070</v>
      </c>
      <c r="AM19" s="3">
        <f t="shared" si="20"/>
        <v>8</v>
      </c>
      <c r="AN19" s="3" t="s">
        <v>709</v>
      </c>
      <c r="AO19" s="3" t="s">
        <v>710</v>
      </c>
      <c r="AP19" s="3" t="s">
        <v>711</v>
      </c>
      <c r="AQ19" s="3" t="s">
        <v>712</v>
      </c>
      <c r="AR19" s="3" t="s">
        <v>713</v>
      </c>
      <c r="AS19" s="3" t="s">
        <v>714</v>
      </c>
      <c r="AT19" s="3" t="s">
        <v>715</v>
      </c>
      <c r="AU19" s="3" t="s">
        <v>716</v>
      </c>
      <c r="AV19" s="3"/>
      <c r="AW19" s="3"/>
      <c r="AX19" s="3">
        <f t="shared" si="21"/>
        <v>6</v>
      </c>
      <c r="AY19" s="3" t="s">
        <v>797</v>
      </c>
      <c r="AZ19" s="3" t="s">
        <v>798</v>
      </c>
      <c r="BA19" s="3" t="s">
        <v>799</v>
      </c>
      <c r="BB19" s="3" t="s">
        <v>800</v>
      </c>
      <c r="BC19" s="3" t="s">
        <v>801</v>
      </c>
      <c r="BD19" s="3" t="s">
        <v>802</v>
      </c>
      <c r="BE19" s="3"/>
      <c r="BF19" s="3"/>
      <c r="BG19" s="3"/>
      <c r="BH19" s="3"/>
      <c r="BI19" s="3">
        <f t="shared" si="22"/>
        <v>6</v>
      </c>
      <c r="BJ19" s="3" t="s">
        <v>875</v>
      </c>
      <c r="BK19" s="3" t="s">
        <v>876</v>
      </c>
      <c r="BL19" s="3" t="s">
        <v>877</v>
      </c>
      <c r="BM19" s="3" t="s">
        <v>878</v>
      </c>
      <c r="BN19" s="3" t="s">
        <v>879</v>
      </c>
      <c r="BO19" s="3" t="s">
        <v>880</v>
      </c>
      <c r="BP19" s="3"/>
      <c r="BQ19" s="3"/>
      <c r="BR19" s="3"/>
      <c r="BS19" s="3"/>
      <c r="BT19" s="3">
        <f t="shared" si="23"/>
        <v>6</v>
      </c>
      <c r="BU19" s="3" t="s">
        <v>953</v>
      </c>
      <c r="BV19" s="3" t="s">
        <v>954</v>
      </c>
      <c r="BW19" s="3" t="s">
        <v>955</v>
      </c>
      <c r="BX19" s="3" t="s">
        <v>956</v>
      </c>
      <c r="BY19" s="3" t="s">
        <v>957</v>
      </c>
      <c r="BZ19" s="3" t="s">
        <v>958</v>
      </c>
      <c r="CA19" s="3"/>
      <c r="CB19" s="3"/>
      <c r="CC19" s="3"/>
      <c r="CD19" s="3"/>
      <c r="CE19" s="602" t="str">
        <f t="shared" si="11"/>
        <v>Letter of introduction from your guild, belt pouch, mule, cart, traveler's clothes, 15gp,</v>
      </c>
      <c r="CF19" s="3" t="s">
        <v>3575</v>
      </c>
      <c r="CG19" s="3" t="s">
        <v>3551</v>
      </c>
      <c r="CH19" s="3" t="s">
        <v>7121</v>
      </c>
      <c r="CI19" s="3" t="s">
        <v>7122</v>
      </c>
      <c r="CJ19" s="3"/>
      <c r="CK19" s="3"/>
      <c r="CL19" s="3" t="s">
        <v>3576</v>
      </c>
      <c r="CM19" s="3">
        <v>15</v>
      </c>
      <c r="CN19" s="3"/>
      <c r="CO19" s="3"/>
    </row>
    <row r="20" spans="1:93" x14ac:dyDescent="0.2">
      <c r="A20" s="10">
        <f t="shared" si="4"/>
        <v>19</v>
      </c>
      <c r="B20" s="1362" t="s">
        <v>7312</v>
      </c>
      <c r="D20" s="600" t="str">
        <f t="shared" si="18"/>
        <v>Athletics, Medicine</v>
      </c>
      <c r="E20" s="3" t="s">
        <v>86</v>
      </c>
      <c r="F20" s="3" t="s">
        <v>613</v>
      </c>
      <c r="I20" s="600"/>
      <c r="J20" s="2" t="s">
        <v>77</v>
      </c>
      <c r="K20" s="2" t="s">
        <v>81</v>
      </c>
      <c r="N20" s="5">
        <v>1</v>
      </c>
      <c r="O20" s="1359" t="s">
        <v>7312</v>
      </c>
      <c r="P20" s="608"/>
      <c r="Q20" s="5" t="s">
        <v>7313</v>
      </c>
      <c r="R20" s="3">
        <f>COUNTA(S20:AL20)</f>
        <v>5</v>
      </c>
      <c r="S20" s="5" t="s">
        <v>596</v>
      </c>
      <c r="T20" s="5" t="s">
        <v>7314</v>
      </c>
      <c r="U20" s="5" t="s">
        <v>567</v>
      </c>
      <c r="V20" s="5" t="s">
        <v>7315</v>
      </c>
      <c r="W20" s="5" t="s">
        <v>1038</v>
      </c>
      <c r="AM20" s="3">
        <f t="shared" si="20"/>
        <v>7</v>
      </c>
      <c r="AN20" s="3" t="s">
        <v>654</v>
      </c>
      <c r="AO20" s="3" t="s">
        <v>653</v>
      </c>
      <c r="AP20" s="3" t="s">
        <v>659</v>
      </c>
      <c r="AQ20" s="3" t="s">
        <v>690</v>
      </c>
      <c r="AR20" s="3" t="s">
        <v>689</v>
      </c>
      <c r="AS20" s="3" t="s">
        <v>691</v>
      </c>
      <c r="AT20" s="3" t="s">
        <v>692</v>
      </c>
      <c r="AX20" s="3"/>
      <c r="AY20" s="3" t="s">
        <v>781</v>
      </c>
      <c r="AZ20" s="3" t="s">
        <v>782</v>
      </c>
      <c r="BA20" s="3" t="s">
        <v>783</v>
      </c>
      <c r="BB20" s="3" t="s">
        <v>758</v>
      </c>
      <c r="BI20" s="3"/>
      <c r="BT20" s="3"/>
      <c r="BU20" s="1361"/>
      <c r="BV20" s="1361"/>
      <c r="BW20" s="1361"/>
      <c r="BX20" s="1361"/>
      <c r="BY20" s="1361"/>
      <c r="BZ20" s="1361"/>
      <c r="CE20" s="602" t="str">
        <f t="shared" si="11"/>
        <v>backpack, short sword, leather armor, light crossbow, traveler's clothes, 15gp,</v>
      </c>
      <c r="CF20" s="5" t="s">
        <v>3619</v>
      </c>
      <c r="CG20" s="5" t="s">
        <v>7316</v>
      </c>
      <c r="CH20" s="5" t="s">
        <v>3594</v>
      </c>
      <c r="CI20" s="5" t="s">
        <v>7317</v>
      </c>
      <c r="CL20" s="3" t="s">
        <v>3576</v>
      </c>
      <c r="CM20" s="5">
        <v>15</v>
      </c>
    </row>
    <row r="21" spans="1:93" x14ac:dyDescent="0.2">
      <c r="A21" s="10" t="str">
        <f t="shared" si="4"/>
        <v/>
      </c>
      <c r="B21" s="1359"/>
      <c r="C21" s="1362"/>
      <c r="D21" s="600"/>
      <c r="E21" s="3"/>
      <c r="F21" s="2"/>
      <c r="I21" s="600"/>
      <c r="J21" s="2"/>
      <c r="AM21" s="3">
        <f t="shared" si="20"/>
        <v>0</v>
      </c>
      <c r="AN21" s="1360"/>
      <c r="AX21" s="3"/>
    </row>
    <row r="22" spans="1:93" x14ac:dyDescent="0.2">
      <c r="A22" s="10"/>
      <c r="D22" s="600" t="str">
        <f t="shared" si="18"/>
        <v/>
      </c>
      <c r="AM22" s="3">
        <f t="shared" si="20"/>
        <v>0</v>
      </c>
      <c r="AN22" s="1360"/>
      <c r="AX22" s="3">
        <f t="shared" si="21"/>
        <v>0</v>
      </c>
    </row>
    <row r="23" spans="1:93" x14ac:dyDescent="0.2">
      <c r="A23" s="10"/>
      <c r="D23" s="600" t="str">
        <f t="shared" si="18"/>
        <v/>
      </c>
      <c r="AM23" s="3">
        <f t="shared" si="20"/>
        <v>0</v>
      </c>
      <c r="AN23" s="1360"/>
      <c r="AX23" s="3">
        <f t="shared" si="21"/>
        <v>0</v>
      </c>
    </row>
    <row r="24" spans="1:93" x14ac:dyDescent="0.2">
      <c r="A24" s="10"/>
      <c r="D24" s="600" t="str">
        <f t="shared" si="18"/>
        <v/>
      </c>
      <c r="AM24" s="3">
        <f t="shared" si="20"/>
        <v>0</v>
      </c>
      <c r="AN24" s="1360"/>
      <c r="AX24" s="3">
        <f t="shared" si="21"/>
        <v>0</v>
      </c>
    </row>
    <row r="25" spans="1:93" x14ac:dyDescent="0.2">
      <c r="A25" s="10"/>
      <c r="D25" s="600" t="str">
        <f t="shared" si="18"/>
        <v/>
      </c>
      <c r="AN25" s="1360"/>
      <c r="AX25" s="3">
        <f t="shared" si="21"/>
        <v>0</v>
      </c>
    </row>
    <row r="26" spans="1:93" x14ac:dyDescent="0.2">
      <c r="A26" s="10"/>
    </row>
    <row r="27" spans="1:93" x14ac:dyDescent="0.2">
      <c r="A27" s="10"/>
    </row>
    <row r="28" spans="1:93" x14ac:dyDescent="0.2">
      <c r="A28" s="10"/>
    </row>
    <row r="29" spans="1:93" x14ac:dyDescent="0.2">
      <c r="A29" s="10"/>
    </row>
    <row r="37" spans="3:3" x14ac:dyDescent="0.2">
      <c r="C37" s="297"/>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BY45"/>
  <sheetViews>
    <sheetView zoomScale="70" zoomScaleNormal="70" workbookViewId="0">
      <selection activeCell="P27" sqref="P27"/>
    </sheetView>
  </sheetViews>
  <sheetFormatPr defaultRowHeight="15" x14ac:dyDescent="0.25"/>
  <cols>
    <col min="3" max="3" width="11.85546875" customWidth="1"/>
    <col min="22" max="22" width="14.28515625" bestFit="1" customWidth="1"/>
    <col min="23" max="23" width="17.140625" bestFit="1" customWidth="1"/>
    <col min="26" max="26" width="21.42578125" bestFit="1" customWidth="1"/>
  </cols>
  <sheetData>
    <row r="1" spans="1:73" ht="15.75" thickBot="1" x14ac:dyDescent="0.3">
      <c r="A1" s="546"/>
      <c r="B1" s="546" t="s">
        <v>7039</v>
      </c>
      <c r="C1" s="546" t="s">
        <v>7040</v>
      </c>
      <c r="D1" s="546" t="s">
        <v>619</v>
      </c>
      <c r="E1" s="546" t="s">
        <v>1112</v>
      </c>
      <c r="F1" s="546" t="s">
        <v>620</v>
      </c>
      <c r="G1" s="546" t="s">
        <v>621</v>
      </c>
      <c r="H1" s="546" t="s">
        <v>622</v>
      </c>
      <c r="I1" s="546" t="s">
        <v>623</v>
      </c>
      <c r="J1" s="546" t="s">
        <v>1113</v>
      </c>
      <c r="K1" s="546" t="s">
        <v>624</v>
      </c>
      <c r="L1" s="546" t="s">
        <v>625</v>
      </c>
      <c r="M1" s="546" t="s">
        <v>626</v>
      </c>
      <c r="N1" s="546" t="s">
        <v>627</v>
      </c>
      <c r="O1" s="546" t="s">
        <v>628</v>
      </c>
      <c r="P1" s="546" t="s">
        <v>5571</v>
      </c>
      <c r="Q1" s="546" t="s">
        <v>5545</v>
      </c>
      <c r="R1" s="546" t="s">
        <v>6145</v>
      </c>
      <c r="V1" t="s">
        <v>6905</v>
      </c>
    </row>
    <row r="2" spans="1:73" x14ac:dyDescent="0.25">
      <c r="A2" s="10">
        <f>IF(B2="","",1)</f>
        <v>1</v>
      </c>
      <c r="B2" s="565" t="s">
        <v>610</v>
      </c>
      <c r="C2" s="565" t="s">
        <v>4</v>
      </c>
      <c r="D2" s="562"/>
      <c r="E2" s="562">
        <v>1</v>
      </c>
      <c r="F2" s="562"/>
      <c r="G2" s="562"/>
      <c r="H2" s="562">
        <v>1</v>
      </c>
      <c r="I2" s="562">
        <v>1</v>
      </c>
      <c r="J2" s="562"/>
      <c r="K2" s="562"/>
      <c r="L2" s="562">
        <v>1</v>
      </c>
      <c r="M2" s="562"/>
      <c r="N2" s="562"/>
      <c r="O2" s="562"/>
      <c r="P2" s="562"/>
      <c r="Q2" s="562"/>
      <c r="R2" s="562"/>
      <c r="U2" s="6"/>
      <c r="V2" s="558" t="s">
        <v>6906</v>
      </c>
      <c r="W2" s="558" t="s">
        <v>6907</v>
      </c>
      <c r="Z2" s="559"/>
      <c r="AA2" s="560" t="s">
        <v>33</v>
      </c>
      <c r="AB2" s="560" t="s">
        <v>583</v>
      </c>
      <c r="AC2" s="560" t="s">
        <v>1126</v>
      </c>
      <c r="AD2" s="560" t="s">
        <v>3777</v>
      </c>
      <c r="AE2" s="560" t="s">
        <v>4400</v>
      </c>
      <c r="AF2" s="560" t="s">
        <v>77</v>
      </c>
      <c r="AG2" s="560" t="s">
        <v>6909</v>
      </c>
      <c r="AH2" s="560" t="s">
        <v>623</v>
      </c>
      <c r="AI2" s="560" t="s">
        <v>186</v>
      </c>
      <c r="AJ2" s="560" t="s">
        <v>229</v>
      </c>
      <c r="AK2" s="560" t="s">
        <v>234</v>
      </c>
      <c r="AL2" s="560" t="s">
        <v>244</v>
      </c>
      <c r="AM2" s="560" t="s">
        <v>248</v>
      </c>
      <c r="AN2" s="560" t="s">
        <v>264</v>
      </c>
      <c r="AO2" s="560" t="s">
        <v>273</v>
      </c>
      <c r="AP2" s="560" t="s">
        <v>325</v>
      </c>
      <c r="AQ2" s="560" t="s">
        <v>349</v>
      </c>
      <c r="AR2" s="560" t="s">
        <v>359</v>
      </c>
      <c r="AS2" s="560" t="s">
        <v>373</v>
      </c>
      <c r="AT2" s="560" t="s">
        <v>394</v>
      </c>
      <c r="AU2" s="560" t="s">
        <v>413</v>
      </c>
      <c r="AV2" s="560" t="s">
        <v>454</v>
      </c>
      <c r="AW2" s="560" t="s">
        <v>475</v>
      </c>
      <c r="AX2" s="560" t="s">
        <v>495</v>
      </c>
      <c r="AY2" s="560" t="s">
        <v>497</v>
      </c>
      <c r="AZ2" s="560" t="s">
        <v>287</v>
      </c>
      <c r="BA2" s="560" t="s">
        <v>317</v>
      </c>
      <c r="BB2" s="560" t="s">
        <v>284</v>
      </c>
      <c r="BC2" s="560" t="s">
        <v>294</v>
      </c>
      <c r="BD2" s="560" t="s">
        <v>400</v>
      </c>
      <c r="BE2" s="560" t="s">
        <v>472</v>
      </c>
      <c r="BF2" s="560" t="s">
        <v>333</v>
      </c>
      <c r="BG2" s="560" t="s">
        <v>203</v>
      </c>
      <c r="BH2" s="560" t="s">
        <v>295</v>
      </c>
      <c r="BI2" s="560" t="s">
        <v>296</v>
      </c>
      <c r="BJ2" s="560" t="s">
        <v>316</v>
      </c>
      <c r="BK2" s="560" t="s">
        <v>339</v>
      </c>
      <c r="BL2" s="560" t="s">
        <v>365</v>
      </c>
      <c r="BM2" s="560" t="s">
        <v>366</v>
      </c>
      <c r="BN2" s="560" t="s">
        <v>395</v>
      </c>
      <c r="BO2" s="560" t="s">
        <v>441</v>
      </c>
      <c r="BP2" s="560" t="s">
        <v>485</v>
      </c>
      <c r="BQ2" s="560" t="s">
        <v>387</v>
      </c>
      <c r="BR2" s="560" t="s">
        <v>401</v>
      </c>
      <c r="BS2" s="560" t="s">
        <v>470</v>
      </c>
      <c r="BT2" s="560" t="s">
        <v>81</v>
      </c>
      <c r="BU2" s="561" t="s">
        <v>4401</v>
      </c>
    </row>
    <row r="3" spans="1:73" x14ac:dyDescent="0.25">
      <c r="A3" s="10">
        <f t="shared" ref="A3:A19" si="0">IF(B3="","",A2+1)</f>
        <v>2</v>
      </c>
      <c r="B3" s="565" t="s">
        <v>79</v>
      </c>
      <c r="C3" s="565" t="s">
        <v>7</v>
      </c>
      <c r="D3" s="562">
        <v>1</v>
      </c>
      <c r="E3" s="562">
        <v>1</v>
      </c>
      <c r="F3" s="562"/>
      <c r="G3" s="562">
        <v>1</v>
      </c>
      <c r="H3" s="562">
        <v>1</v>
      </c>
      <c r="I3" s="562"/>
      <c r="J3" s="562"/>
      <c r="K3" s="562">
        <v>1</v>
      </c>
      <c r="L3" s="562"/>
      <c r="M3" s="562"/>
      <c r="N3" s="562"/>
      <c r="O3" s="562"/>
      <c r="P3" s="562"/>
      <c r="Q3" s="562">
        <v>1</v>
      </c>
      <c r="R3" s="562"/>
      <c r="U3" s="157">
        <f>IF(V3="","",1)</f>
        <v>1</v>
      </c>
      <c r="V3" s="565" t="s">
        <v>43</v>
      </c>
      <c r="W3" s="6"/>
      <c r="Z3" s="563" t="s">
        <v>186</v>
      </c>
      <c r="AA3" s="562"/>
      <c r="AB3" s="562"/>
      <c r="AC3" s="562">
        <v>1</v>
      </c>
      <c r="AD3" s="562"/>
      <c r="AE3" s="562"/>
      <c r="AF3" s="562"/>
      <c r="AG3" s="562">
        <v>1</v>
      </c>
      <c r="AH3" s="562" t="str">
        <f>AC3&amp;AD3</f>
        <v>1</v>
      </c>
      <c r="AI3" s="562">
        <v>1</v>
      </c>
      <c r="AJ3" s="562"/>
      <c r="AK3" s="562"/>
      <c r="AL3" s="562"/>
      <c r="AM3" s="562"/>
      <c r="AN3" s="562"/>
      <c r="AO3" s="562"/>
      <c r="AP3" s="562"/>
      <c r="AQ3" s="562"/>
      <c r="AR3" s="562"/>
      <c r="AS3" s="562"/>
      <c r="AT3" s="562"/>
      <c r="AU3" s="562"/>
      <c r="AV3" s="562"/>
      <c r="AW3" s="562"/>
      <c r="AX3" s="562"/>
      <c r="AY3" s="562"/>
      <c r="AZ3" s="562"/>
      <c r="BA3" s="562"/>
      <c r="BB3" s="562"/>
      <c r="BC3" s="562"/>
      <c r="BD3" s="562"/>
      <c r="BE3" s="562"/>
      <c r="BF3" s="562"/>
      <c r="BG3" s="562"/>
      <c r="BH3" s="562"/>
      <c r="BI3" s="562"/>
      <c r="BJ3" s="562"/>
      <c r="BK3" s="562"/>
      <c r="BL3" s="562"/>
      <c r="BM3" s="562"/>
      <c r="BN3" s="562"/>
      <c r="BO3" s="562"/>
      <c r="BP3" s="562"/>
      <c r="BQ3" s="562"/>
      <c r="BR3" s="562"/>
      <c r="BS3" s="562"/>
      <c r="BT3" s="562"/>
      <c r="BU3" s="562"/>
    </row>
    <row r="4" spans="1:73" x14ac:dyDescent="0.25">
      <c r="A4" s="10">
        <f t="shared" si="0"/>
        <v>3</v>
      </c>
      <c r="B4" s="565" t="s">
        <v>83</v>
      </c>
      <c r="C4" s="565" t="s">
        <v>6</v>
      </c>
      <c r="D4" s="562"/>
      <c r="E4" s="562">
        <v>1</v>
      </c>
      <c r="F4" s="562"/>
      <c r="G4" s="562">
        <v>1</v>
      </c>
      <c r="H4" s="562"/>
      <c r="I4" s="562"/>
      <c r="J4" s="562"/>
      <c r="K4" s="562"/>
      <c r="L4" s="562"/>
      <c r="M4" s="562">
        <v>1</v>
      </c>
      <c r="N4" s="562">
        <v>1</v>
      </c>
      <c r="O4" s="562">
        <v>1</v>
      </c>
      <c r="P4" s="562">
        <v>1</v>
      </c>
      <c r="Q4" s="562"/>
      <c r="R4" s="562"/>
      <c r="U4" s="157">
        <f t="shared" ref="U4:U18" si="1">IF(V4="","",U3+1)</f>
        <v>2</v>
      </c>
      <c r="V4" s="565" t="s">
        <v>54</v>
      </c>
      <c r="W4" s="6"/>
      <c r="Z4" s="563" t="s">
        <v>229</v>
      </c>
      <c r="AA4" s="562">
        <v>1</v>
      </c>
      <c r="AB4" s="562"/>
      <c r="AC4" s="562">
        <v>1</v>
      </c>
      <c r="AD4" s="562"/>
      <c r="AE4" s="562"/>
      <c r="AF4" s="562"/>
      <c r="AG4" s="562">
        <v>1</v>
      </c>
      <c r="AH4" s="562" t="str">
        <f t="shared" ref="AH4:AH41" si="2">AC4&amp;AD4</f>
        <v>1</v>
      </c>
      <c r="AI4" s="562"/>
      <c r="AJ4" s="562">
        <v>1</v>
      </c>
      <c r="AK4" s="562"/>
      <c r="AL4" s="562"/>
      <c r="AM4" s="562"/>
      <c r="AN4" s="562"/>
      <c r="AO4" s="562"/>
      <c r="AP4" s="562"/>
      <c r="AQ4" s="562"/>
      <c r="AR4" s="562"/>
      <c r="AS4" s="562"/>
      <c r="AT4" s="562"/>
      <c r="AU4" s="562"/>
      <c r="AV4" s="562"/>
      <c r="AW4" s="562"/>
      <c r="AX4" s="562"/>
      <c r="AY4" s="562"/>
      <c r="AZ4" s="562"/>
      <c r="BA4" s="562"/>
      <c r="BB4" s="562"/>
      <c r="BC4" s="562"/>
      <c r="BD4" s="562"/>
      <c r="BE4" s="562"/>
      <c r="BF4" s="562"/>
      <c r="BG4" s="562"/>
      <c r="BH4" s="562"/>
      <c r="BI4" s="562"/>
      <c r="BJ4" s="562"/>
      <c r="BK4" s="562"/>
      <c r="BL4" s="562"/>
      <c r="BM4" s="562"/>
      <c r="BN4" s="562"/>
      <c r="BO4" s="562"/>
      <c r="BP4" s="562"/>
      <c r="BQ4" s="562"/>
      <c r="BR4" s="562"/>
      <c r="BS4" s="562"/>
      <c r="BT4" s="562"/>
      <c r="BU4" s="562"/>
    </row>
    <row r="5" spans="1:73" x14ac:dyDescent="0.25">
      <c r="A5" s="10">
        <f t="shared" si="0"/>
        <v>4</v>
      </c>
      <c r="B5" s="565" t="s">
        <v>86</v>
      </c>
      <c r="C5" s="565" t="s">
        <v>3</v>
      </c>
      <c r="D5" s="562">
        <v>1</v>
      </c>
      <c r="E5" s="562">
        <v>1</v>
      </c>
      <c r="F5" s="562"/>
      <c r="G5" s="562"/>
      <c r="H5" s="562">
        <v>1</v>
      </c>
      <c r="I5" s="562">
        <v>1</v>
      </c>
      <c r="J5" s="562">
        <v>1</v>
      </c>
      <c r="K5" s="562">
        <v>1</v>
      </c>
      <c r="L5" s="562">
        <v>1</v>
      </c>
      <c r="M5" s="562"/>
      <c r="N5" s="562"/>
      <c r="O5" s="562"/>
      <c r="P5" s="562"/>
      <c r="Q5" s="562"/>
      <c r="R5" s="562"/>
      <c r="U5" s="157">
        <f t="shared" si="1"/>
        <v>3</v>
      </c>
      <c r="V5" s="565" t="s">
        <v>42</v>
      </c>
      <c r="W5" s="6"/>
      <c r="Z5" s="563" t="s">
        <v>234</v>
      </c>
      <c r="AA5" s="562"/>
      <c r="AB5" s="562"/>
      <c r="AC5" s="562">
        <v>1</v>
      </c>
      <c r="AD5" s="562"/>
      <c r="AE5" s="562"/>
      <c r="AF5" s="562"/>
      <c r="AG5" s="562">
        <v>1</v>
      </c>
      <c r="AH5" s="562" t="str">
        <f t="shared" si="2"/>
        <v>1</v>
      </c>
      <c r="AI5" s="562"/>
      <c r="AJ5" s="562"/>
      <c r="AK5" s="562">
        <v>1</v>
      </c>
      <c r="AL5" s="562"/>
      <c r="AM5" s="562"/>
      <c r="AN5" s="562"/>
      <c r="AO5" s="562"/>
      <c r="AP5" s="562"/>
      <c r="AQ5" s="562"/>
      <c r="AR5" s="562"/>
      <c r="AS5" s="562"/>
      <c r="AT5" s="562"/>
      <c r="AU5" s="562"/>
      <c r="AV5" s="562"/>
      <c r="AW5" s="562"/>
      <c r="AX5" s="562"/>
      <c r="AY5" s="562"/>
      <c r="AZ5" s="562"/>
      <c r="BA5" s="562"/>
      <c r="BB5" s="562"/>
      <c r="BC5" s="562"/>
      <c r="BD5" s="562"/>
      <c r="BE5" s="562"/>
      <c r="BF5" s="562"/>
      <c r="BG5" s="562"/>
      <c r="BH5" s="562"/>
      <c r="BI5" s="562"/>
      <c r="BJ5" s="562"/>
      <c r="BK5" s="562"/>
      <c r="BL5" s="562"/>
      <c r="BM5" s="562"/>
      <c r="BN5" s="562"/>
      <c r="BO5" s="562"/>
      <c r="BP5" s="562"/>
      <c r="BQ5" s="562"/>
      <c r="BR5" s="562"/>
      <c r="BS5" s="562"/>
      <c r="BT5" s="562"/>
      <c r="BU5" s="562"/>
    </row>
    <row r="6" spans="1:73" x14ac:dyDescent="0.25">
      <c r="A6" s="10">
        <f t="shared" si="0"/>
        <v>5</v>
      </c>
      <c r="B6" s="565" t="s">
        <v>74</v>
      </c>
      <c r="C6" s="565" t="s">
        <v>8</v>
      </c>
      <c r="D6" s="562"/>
      <c r="E6" s="562">
        <v>1</v>
      </c>
      <c r="F6" s="562"/>
      <c r="G6" s="562"/>
      <c r="H6" s="562"/>
      <c r="I6" s="562"/>
      <c r="J6" s="562"/>
      <c r="K6" s="562"/>
      <c r="L6" s="562">
        <v>1</v>
      </c>
      <c r="M6" s="562">
        <v>1</v>
      </c>
      <c r="N6" s="562">
        <v>1</v>
      </c>
      <c r="O6" s="562"/>
      <c r="P6" s="562"/>
      <c r="Q6" s="562"/>
      <c r="R6" s="562">
        <v>1</v>
      </c>
      <c r="U6" s="157">
        <f t="shared" si="1"/>
        <v>4</v>
      </c>
      <c r="V6" s="565" t="s">
        <v>1100</v>
      </c>
      <c r="W6" s="6"/>
      <c r="Z6" s="563" t="s">
        <v>244</v>
      </c>
      <c r="AA6" s="562"/>
      <c r="AB6" s="562"/>
      <c r="AC6" s="562">
        <v>1</v>
      </c>
      <c r="AD6" s="562"/>
      <c r="AE6" s="562"/>
      <c r="AF6" s="562"/>
      <c r="AG6" s="562">
        <v>1</v>
      </c>
      <c r="AH6" s="562" t="str">
        <f t="shared" si="2"/>
        <v>1</v>
      </c>
      <c r="AI6" s="562"/>
      <c r="AJ6" s="562"/>
      <c r="AK6" s="562"/>
      <c r="AL6" s="562">
        <v>1</v>
      </c>
      <c r="AM6" s="562"/>
      <c r="AN6" s="562"/>
      <c r="AO6" s="562"/>
      <c r="AP6" s="562"/>
      <c r="AQ6" s="562"/>
      <c r="AR6" s="562"/>
      <c r="AS6" s="562"/>
      <c r="AT6" s="562"/>
      <c r="AU6" s="562"/>
      <c r="AV6" s="562"/>
      <c r="AW6" s="562"/>
      <c r="AX6" s="562"/>
      <c r="AY6" s="562"/>
      <c r="AZ6" s="562"/>
      <c r="BA6" s="562"/>
      <c r="BB6" s="562"/>
      <c r="BC6" s="562"/>
      <c r="BD6" s="562"/>
      <c r="BE6" s="562"/>
      <c r="BF6" s="562"/>
      <c r="BG6" s="562"/>
      <c r="BH6" s="562"/>
      <c r="BI6" s="562"/>
      <c r="BJ6" s="562"/>
      <c r="BK6" s="562"/>
      <c r="BL6" s="562"/>
      <c r="BM6" s="562"/>
      <c r="BN6" s="562"/>
      <c r="BO6" s="562"/>
      <c r="BP6" s="562"/>
      <c r="BQ6" s="562"/>
      <c r="BR6" s="562"/>
      <c r="BS6" s="562"/>
      <c r="BT6" s="562"/>
      <c r="BU6" s="562"/>
    </row>
    <row r="7" spans="1:73" x14ac:dyDescent="0.25">
      <c r="A7" s="10">
        <f t="shared" si="0"/>
        <v>6</v>
      </c>
      <c r="B7" s="565" t="s">
        <v>84</v>
      </c>
      <c r="C7" s="565" t="s">
        <v>6</v>
      </c>
      <c r="D7" s="562"/>
      <c r="E7" s="562">
        <v>1</v>
      </c>
      <c r="F7" s="562">
        <v>1</v>
      </c>
      <c r="G7" s="562"/>
      <c r="H7" s="562">
        <v>1</v>
      </c>
      <c r="I7" s="562">
        <v>1</v>
      </c>
      <c r="J7" s="562"/>
      <c r="K7" s="562"/>
      <c r="L7" s="562"/>
      <c r="M7" s="562"/>
      <c r="N7" s="562">
        <v>1</v>
      </c>
      <c r="O7" s="562">
        <v>1</v>
      </c>
      <c r="P7" s="562">
        <v>1</v>
      </c>
      <c r="Q7" s="562"/>
      <c r="R7" s="562"/>
      <c r="U7" s="157">
        <f t="shared" si="1"/>
        <v>5</v>
      </c>
      <c r="V7" s="565" t="s">
        <v>1101</v>
      </c>
      <c r="W7" s="6"/>
      <c r="Z7" s="563" t="s">
        <v>248</v>
      </c>
      <c r="AA7" s="562"/>
      <c r="AB7" s="562"/>
      <c r="AC7" s="562">
        <v>1</v>
      </c>
      <c r="AD7" s="562"/>
      <c r="AE7" s="562"/>
      <c r="AF7" s="562"/>
      <c r="AG7" s="562">
        <v>1</v>
      </c>
      <c r="AH7" s="562" t="str">
        <f t="shared" si="2"/>
        <v>1</v>
      </c>
      <c r="AI7" s="562"/>
      <c r="AJ7" s="562"/>
      <c r="AK7" s="562"/>
      <c r="AL7" s="562"/>
      <c r="AM7" s="562">
        <v>1</v>
      </c>
      <c r="AN7" s="562"/>
      <c r="AO7" s="562"/>
      <c r="AP7" s="562"/>
      <c r="AQ7" s="562"/>
      <c r="AR7" s="562"/>
      <c r="AS7" s="562"/>
      <c r="AT7" s="562"/>
      <c r="AU7" s="562"/>
      <c r="AV7" s="562"/>
      <c r="AW7" s="562"/>
      <c r="AX7" s="562"/>
      <c r="AY7" s="562"/>
      <c r="AZ7" s="562"/>
      <c r="BA7" s="562"/>
      <c r="BB7" s="562"/>
      <c r="BC7" s="562"/>
      <c r="BD7" s="562"/>
      <c r="BE7" s="562"/>
      <c r="BF7" s="562"/>
      <c r="BG7" s="562"/>
      <c r="BH7" s="562"/>
      <c r="BI7" s="562"/>
      <c r="BJ7" s="562"/>
      <c r="BK7" s="562"/>
      <c r="BL7" s="562"/>
      <c r="BM7" s="562"/>
      <c r="BN7" s="562"/>
      <c r="BO7" s="562"/>
      <c r="BP7" s="562"/>
      <c r="BQ7" s="562"/>
      <c r="BR7" s="562"/>
      <c r="BS7" s="562"/>
      <c r="BT7" s="562"/>
      <c r="BU7" s="562"/>
    </row>
    <row r="8" spans="1:73" x14ac:dyDescent="0.25">
      <c r="A8" s="10">
        <f t="shared" si="0"/>
        <v>7</v>
      </c>
      <c r="B8" s="565" t="s">
        <v>71</v>
      </c>
      <c r="C8" s="565" t="s">
        <v>7</v>
      </c>
      <c r="D8" s="562"/>
      <c r="E8" s="562">
        <v>1</v>
      </c>
      <c r="F8" s="562">
        <v>1</v>
      </c>
      <c r="G8" s="562">
        <v>1</v>
      </c>
      <c r="H8" s="562">
        <v>1</v>
      </c>
      <c r="I8" s="562">
        <v>1</v>
      </c>
      <c r="J8" s="562">
        <v>1</v>
      </c>
      <c r="K8" s="562">
        <v>1</v>
      </c>
      <c r="L8" s="562">
        <v>1</v>
      </c>
      <c r="M8" s="562">
        <v>1</v>
      </c>
      <c r="N8" s="562"/>
      <c r="O8" s="562">
        <v>1</v>
      </c>
      <c r="P8" s="562"/>
      <c r="Q8" s="562"/>
      <c r="R8" s="562"/>
      <c r="U8" s="157">
        <f t="shared" si="1"/>
        <v>6</v>
      </c>
      <c r="V8" s="565" t="s">
        <v>1102</v>
      </c>
      <c r="W8" s="6"/>
      <c r="Z8" s="563" t="s">
        <v>264</v>
      </c>
      <c r="AA8" s="562"/>
      <c r="AB8" s="562"/>
      <c r="AC8" s="562">
        <v>1</v>
      </c>
      <c r="AD8" s="562"/>
      <c r="AE8" s="562"/>
      <c r="AF8" s="562"/>
      <c r="AG8" s="562">
        <v>1</v>
      </c>
      <c r="AH8" s="562" t="str">
        <f t="shared" si="2"/>
        <v>1</v>
      </c>
      <c r="AI8" s="562"/>
      <c r="AJ8" s="562"/>
      <c r="AK8" s="562"/>
      <c r="AL8" s="562"/>
      <c r="AM8" s="562"/>
      <c r="AN8" s="562">
        <v>1</v>
      </c>
      <c r="AO8" s="562"/>
      <c r="AP8" s="562"/>
      <c r="AQ8" s="562"/>
      <c r="AR8" s="562"/>
      <c r="AS8" s="562"/>
      <c r="AT8" s="562"/>
      <c r="AU8" s="562"/>
      <c r="AV8" s="562"/>
      <c r="AW8" s="562"/>
      <c r="AX8" s="562"/>
      <c r="AY8" s="562"/>
      <c r="AZ8" s="562"/>
      <c r="BA8" s="562"/>
      <c r="BB8" s="562"/>
      <c r="BC8" s="562"/>
      <c r="BD8" s="562"/>
      <c r="BE8" s="562"/>
      <c r="BF8" s="562"/>
      <c r="BG8" s="562"/>
      <c r="BH8" s="562"/>
      <c r="BI8" s="562"/>
      <c r="BJ8" s="562"/>
      <c r="BK8" s="562"/>
      <c r="BL8" s="562"/>
      <c r="BM8" s="562"/>
      <c r="BN8" s="562"/>
      <c r="BO8" s="562"/>
      <c r="BP8" s="562"/>
      <c r="BQ8" s="562"/>
      <c r="BR8" s="562"/>
      <c r="BS8" s="562"/>
      <c r="BT8" s="562"/>
      <c r="BU8" s="562"/>
    </row>
    <row r="9" spans="1:73" x14ac:dyDescent="0.25">
      <c r="A9" s="10">
        <f t="shared" si="0"/>
        <v>8</v>
      </c>
      <c r="B9" s="565" t="s">
        <v>87</v>
      </c>
      <c r="C9" s="565" t="s">
        <v>8</v>
      </c>
      <c r="D9" s="562">
        <v>1</v>
      </c>
      <c r="E9" s="562">
        <v>1</v>
      </c>
      <c r="F9" s="562"/>
      <c r="G9" s="562"/>
      <c r="H9" s="562">
        <v>1</v>
      </c>
      <c r="I9" s="562"/>
      <c r="J9" s="562">
        <v>1</v>
      </c>
      <c r="K9" s="562"/>
      <c r="L9" s="562">
        <v>1</v>
      </c>
      <c r="M9" s="562">
        <v>1</v>
      </c>
      <c r="N9" s="562">
        <v>1</v>
      </c>
      <c r="O9" s="562"/>
      <c r="P9" s="562"/>
      <c r="Q9" s="562"/>
      <c r="R9" s="562">
        <v>1</v>
      </c>
      <c r="U9" s="157">
        <f t="shared" si="1"/>
        <v>7</v>
      </c>
      <c r="V9" s="565" t="s">
        <v>56</v>
      </c>
      <c r="W9" s="6"/>
      <c r="Z9" s="563" t="s">
        <v>273</v>
      </c>
      <c r="AA9" s="562"/>
      <c r="AB9" s="562"/>
      <c r="AC9" s="562">
        <v>1</v>
      </c>
      <c r="AD9" s="562"/>
      <c r="AE9" s="562"/>
      <c r="AF9" s="562"/>
      <c r="AG9" s="562">
        <v>1</v>
      </c>
      <c r="AH9" s="562" t="str">
        <f t="shared" si="2"/>
        <v>1</v>
      </c>
      <c r="AI9" s="562"/>
      <c r="AJ9" s="562"/>
      <c r="AK9" s="562"/>
      <c r="AL9" s="562"/>
      <c r="AM9" s="562"/>
      <c r="AN9" s="562"/>
      <c r="AO9" s="562">
        <v>1</v>
      </c>
      <c r="AP9" s="562"/>
      <c r="AQ9" s="562"/>
      <c r="AR9" s="562"/>
      <c r="AS9" s="562"/>
      <c r="AT9" s="562"/>
      <c r="AU9" s="562"/>
      <c r="AV9" s="562"/>
      <c r="AW9" s="562"/>
      <c r="AX9" s="562"/>
      <c r="AY9" s="562"/>
      <c r="AZ9" s="562"/>
      <c r="BA9" s="562"/>
      <c r="BB9" s="562"/>
      <c r="BC9" s="562"/>
      <c r="BD9" s="562"/>
      <c r="BE9" s="562"/>
      <c r="BF9" s="562"/>
      <c r="BG9" s="562"/>
      <c r="BH9" s="562"/>
      <c r="BI9" s="562"/>
      <c r="BJ9" s="562"/>
      <c r="BK9" s="562"/>
      <c r="BL9" s="562"/>
      <c r="BM9" s="562"/>
      <c r="BN9" s="562"/>
      <c r="BO9" s="562"/>
      <c r="BP9" s="562"/>
      <c r="BQ9" s="562"/>
      <c r="BR9" s="562"/>
      <c r="BS9" s="562"/>
      <c r="BT9" s="562"/>
      <c r="BU9" s="562"/>
    </row>
    <row r="10" spans="1:73" x14ac:dyDescent="0.25">
      <c r="A10" s="10">
        <f t="shared" si="0"/>
        <v>9</v>
      </c>
      <c r="B10" s="565" t="s">
        <v>612</v>
      </c>
      <c r="C10" s="565" t="s">
        <v>6</v>
      </c>
      <c r="D10" s="562"/>
      <c r="E10" s="562">
        <v>1</v>
      </c>
      <c r="F10" s="562"/>
      <c r="G10" s="562"/>
      <c r="H10" s="562"/>
      <c r="I10" s="562"/>
      <c r="J10" s="562"/>
      <c r="K10" s="562">
        <v>1</v>
      </c>
      <c r="L10" s="562">
        <v>1</v>
      </c>
      <c r="M10" s="562"/>
      <c r="N10" s="562">
        <v>1</v>
      </c>
      <c r="O10" s="562">
        <v>1</v>
      </c>
      <c r="P10" s="562"/>
      <c r="Q10" s="562"/>
      <c r="R10" s="562"/>
      <c r="U10" s="157">
        <f t="shared" si="1"/>
        <v>8</v>
      </c>
      <c r="V10" s="565" t="s">
        <v>1103</v>
      </c>
      <c r="W10" s="6"/>
      <c r="Z10" s="563" t="s">
        <v>325</v>
      </c>
      <c r="AA10" s="562"/>
      <c r="AB10" s="562"/>
      <c r="AC10" s="562">
        <v>1</v>
      </c>
      <c r="AD10" s="562"/>
      <c r="AE10" s="562"/>
      <c r="AF10" s="562"/>
      <c r="AG10" s="562">
        <v>1</v>
      </c>
      <c r="AH10" s="562" t="str">
        <f t="shared" si="2"/>
        <v>1</v>
      </c>
      <c r="AI10" s="562"/>
      <c r="AJ10" s="562"/>
      <c r="AK10" s="562"/>
      <c r="AL10" s="562"/>
      <c r="AM10" s="562"/>
      <c r="AN10" s="562"/>
      <c r="AO10" s="562"/>
      <c r="AP10" s="562">
        <v>1</v>
      </c>
      <c r="AQ10" s="562"/>
      <c r="AR10" s="562"/>
      <c r="AS10" s="562"/>
      <c r="AT10" s="562"/>
      <c r="AU10" s="562"/>
      <c r="AV10" s="562"/>
      <c r="AW10" s="562"/>
      <c r="AX10" s="562"/>
      <c r="AY10" s="562"/>
      <c r="AZ10" s="562"/>
      <c r="BA10" s="562"/>
      <c r="BB10" s="562"/>
      <c r="BC10" s="562"/>
      <c r="BD10" s="562"/>
      <c r="BE10" s="562"/>
      <c r="BF10" s="562"/>
      <c r="BG10" s="562"/>
      <c r="BH10" s="562"/>
      <c r="BI10" s="562"/>
      <c r="BJ10" s="562"/>
      <c r="BK10" s="562"/>
      <c r="BL10" s="562"/>
      <c r="BM10" s="562"/>
      <c r="BN10" s="562"/>
      <c r="BO10" s="562"/>
      <c r="BP10" s="562"/>
      <c r="BQ10" s="562"/>
      <c r="BR10" s="562"/>
      <c r="BS10" s="562"/>
      <c r="BT10" s="562"/>
      <c r="BU10" s="562"/>
    </row>
    <row r="11" spans="1:73" x14ac:dyDescent="0.25">
      <c r="A11" s="10">
        <f t="shared" si="0"/>
        <v>10</v>
      </c>
      <c r="B11" s="565" t="s">
        <v>613</v>
      </c>
      <c r="C11" s="565" t="s">
        <v>7</v>
      </c>
      <c r="D11" s="562"/>
      <c r="E11" s="562">
        <v>1</v>
      </c>
      <c r="F11" s="562">
        <v>1</v>
      </c>
      <c r="G11" s="562">
        <v>1</v>
      </c>
      <c r="H11" s="562"/>
      <c r="I11" s="562"/>
      <c r="J11" s="562">
        <v>1</v>
      </c>
      <c r="K11" s="562"/>
      <c r="L11" s="562"/>
      <c r="M11" s="562"/>
      <c r="N11" s="562"/>
      <c r="O11" s="562">
        <v>1</v>
      </c>
      <c r="P11" s="562"/>
      <c r="Q11" s="562"/>
      <c r="R11" s="562"/>
      <c r="U11" s="157">
        <f t="shared" si="1"/>
        <v>9</v>
      </c>
      <c r="V11" s="565" t="s">
        <v>1104</v>
      </c>
      <c r="W11" s="6"/>
      <c r="Z11" s="563" t="s">
        <v>349</v>
      </c>
      <c r="AA11" s="562"/>
      <c r="AB11" s="562"/>
      <c r="AC11" s="562">
        <v>1</v>
      </c>
      <c r="AD11" s="562"/>
      <c r="AE11" s="562"/>
      <c r="AF11" s="562"/>
      <c r="AG11" s="562">
        <v>1</v>
      </c>
      <c r="AH11" s="562" t="str">
        <f t="shared" si="2"/>
        <v>1</v>
      </c>
      <c r="AI11" s="562"/>
      <c r="AJ11" s="562"/>
      <c r="AK11" s="562"/>
      <c r="AL11" s="562"/>
      <c r="AM11" s="562"/>
      <c r="AN11" s="562"/>
      <c r="AO11" s="562"/>
      <c r="AP11" s="562"/>
      <c r="AQ11" s="562">
        <v>1</v>
      </c>
      <c r="AR11" s="562"/>
      <c r="AS11" s="562"/>
      <c r="AT11" s="562"/>
      <c r="AU11" s="562"/>
      <c r="AV11" s="562"/>
      <c r="AW11" s="562"/>
      <c r="AX11" s="562"/>
      <c r="AY11" s="562"/>
      <c r="AZ11" s="562"/>
      <c r="BA11" s="562"/>
      <c r="BB11" s="562"/>
      <c r="BC11" s="562"/>
      <c r="BD11" s="562"/>
      <c r="BE11" s="562"/>
      <c r="BF11" s="562"/>
      <c r="BG11" s="562"/>
      <c r="BH11" s="562"/>
      <c r="BI11" s="562"/>
      <c r="BJ11" s="562"/>
      <c r="BK11" s="562"/>
      <c r="BL11" s="562"/>
      <c r="BM11" s="562"/>
      <c r="BN11" s="562"/>
      <c r="BO11" s="562"/>
      <c r="BP11" s="562"/>
      <c r="BQ11" s="562"/>
      <c r="BR11" s="562"/>
      <c r="BS11" s="562"/>
      <c r="BT11" s="562"/>
      <c r="BU11" s="562"/>
    </row>
    <row r="12" spans="1:73" x14ac:dyDescent="0.25">
      <c r="A12" s="10">
        <f t="shared" si="0"/>
        <v>11</v>
      </c>
      <c r="B12" s="565" t="s">
        <v>614</v>
      </c>
      <c r="C12" s="565" t="s">
        <v>6</v>
      </c>
      <c r="D12" s="562">
        <v>1</v>
      </c>
      <c r="E12" s="562">
        <v>1</v>
      </c>
      <c r="F12" s="562"/>
      <c r="G12" s="562">
        <v>1</v>
      </c>
      <c r="H12" s="562"/>
      <c r="I12" s="562"/>
      <c r="J12" s="562"/>
      <c r="K12" s="562">
        <v>1</v>
      </c>
      <c r="L12" s="562"/>
      <c r="M12" s="562"/>
      <c r="N12" s="562">
        <v>1</v>
      </c>
      <c r="O12" s="562"/>
      <c r="P12" s="562">
        <v>1</v>
      </c>
      <c r="Q12" s="562">
        <v>1</v>
      </c>
      <c r="R12" s="562"/>
      <c r="U12" s="157">
        <f t="shared" si="1"/>
        <v>10</v>
      </c>
      <c r="V12" s="565" t="s">
        <v>1105</v>
      </c>
      <c r="W12" s="6"/>
      <c r="Z12" s="563" t="s">
        <v>359</v>
      </c>
      <c r="AA12" s="562"/>
      <c r="AB12" s="562"/>
      <c r="AC12" s="562">
        <v>1</v>
      </c>
      <c r="AD12" s="562"/>
      <c r="AE12" s="562"/>
      <c r="AF12" s="562"/>
      <c r="AG12" s="562">
        <v>1</v>
      </c>
      <c r="AH12" s="562" t="str">
        <f t="shared" si="2"/>
        <v>1</v>
      </c>
      <c r="AI12" s="562"/>
      <c r="AJ12" s="562"/>
      <c r="AK12" s="562"/>
      <c r="AL12" s="562"/>
      <c r="AM12" s="562"/>
      <c r="AN12" s="562"/>
      <c r="AO12" s="562"/>
      <c r="AP12" s="562"/>
      <c r="AQ12" s="562"/>
      <c r="AR12" s="562">
        <v>1</v>
      </c>
      <c r="AS12" s="562"/>
      <c r="AT12" s="562"/>
      <c r="AU12" s="562"/>
      <c r="AV12" s="562"/>
      <c r="AW12" s="562"/>
      <c r="AX12" s="562"/>
      <c r="AY12" s="562"/>
      <c r="AZ12" s="562"/>
      <c r="BA12" s="562"/>
      <c r="BB12" s="562"/>
      <c r="BC12" s="562"/>
      <c r="BD12" s="562"/>
      <c r="BE12" s="562"/>
      <c r="BF12" s="562"/>
      <c r="BG12" s="562"/>
      <c r="BH12" s="562"/>
      <c r="BI12" s="562"/>
      <c r="BJ12" s="562"/>
      <c r="BK12" s="562"/>
      <c r="BL12" s="562"/>
      <c r="BM12" s="562"/>
      <c r="BN12" s="562"/>
      <c r="BO12" s="562"/>
      <c r="BP12" s="562"/>
      <c r="BQ12" s="562"/>
      <c r="BR12" s="562"/>
      <c r="BS12" s="562"/>
      <c r="BT12" s="562"/>
      <c r="BU12" s="562"/>
    </row>
    <row r="13" spans="1:73" x14ac:dyDescent="0.25">
      <c r="A13" s="10">
        <f t="shared" si="0"/>
        <v>12</v>
      </c>
      <c r="B13" s="565" t="s">
        <v>49</v>
      </c>
      <c r="C13" s="565" t="s">
        <v>7</v>
      </c>
      <c r="D13" s="562">
        <v>1</v>
      </c>
      <c r="E13" s="562">
        <v>1</v>
      </c>
      <c r="F13" s="562"/>
      <c r="G13" s="562">
        <v>1</v>
      </c>
      <c r="H13" s="562">
        <v>1</v>
      </c>
      <c r="I13" s="562"/>
      <c r="J13" s="562"/>
      <c r="K13" s="562">
        <v>1</v>
      </c>
      <c r="L13" s="562">
        <v>1</v>
      </c>
      <c r="M13" s="562">
        <v>1</v>
      </c>
      <c r="N13" s="562"/>
      <c r="O13" s="562"/>
      <c r="P13" s="562"/>
      <c r="Q13" s="562"/>
      <c r="R13" s="562"/>
      <c r="U13" s="157">
        <f t="shared" si="1"/>
        <v>11</v>
      </c>
      <c r="V13" s="565" t="s">
        <v>1106</v>
      </c>
      <c r="W13" s="6"/>
      <c r="Z13" s="563" t="s">
        <v>373</v>
      </c>
      <c r="AA13" s="562">
        <v>1</v>
      </c>
      <c r="AB13" s="562"/>
      <c r="AC13" s="562">
        <v>1</v>
      </c>
      <c r="AD13" s="562"/>
      <c r="AE13" s="562"/>
      <c r="AF13" s="562"/>
      <c r="AG13" s="562">
        <v>1</v>
      </c>
      <c r="AH13" s="562" t="str">
        <f t="shared" si="2"/>
        <v>1</v>
      </c>
      <c r="AI13" s="562"/>
      <c r="AJ13" s="562"/>
      <c r="AK13" s="562"/>
      <c r="AL13" s="562"/>
      <c r="AM13" s="562"/>
      <c r="AN13" s="562"/>
      <c r="AO13" s="562"/>
      <c r="AP13" s="562"/>
      <c r="AQ13" s="562"/>
      <c r="AR13" s="562"/>
      <c r="AS13" s="562">
        <v>1</v>
      </c>
      <c r="AT13" s="562"/>
      <c r="AU13" s="562"/>
      <c r="AV13" s="562"/>
      <c r="AW13" s="562"/>
      <c r="AX13" s="562"/>
      <c r="AY13" s="562"/>
      <c r="AZ13" s="562"/>
      <c r="BA13" s="562"/>
      <c r="BB13" s="562"/>
      <c r="BC13" s="562"/>
      <c r="BD13" s="562"/>
      <c r="BE13" s="562"/>
      <c r="BF13" s="562"/>
      <c r="BG13" s="562"/>
      <c r="BH13" s="562"/>
      <c r="BI13" s="562"/>
      <c r="BJ13" s="562"/>
      <c r="BK13" s="562"/>
      <c r="BL13" s="562"/>
      <c r="BM13" s="562"/>
      <c r="BN13" s="562"/>
      <c r="BO13" s="562"/>
      <c r="BP13" s="562"/>
      <c r="BQ13" s="562"/>
      <c r="BR13" s="562"/>
      <c r="BS13" s="562"/>
      <c r="BT13" s="562"/>
      <c r="BU13" s="562"/>
    </row>
    <row r="14" spans="1:73" x14ac:dyDescent="0.25">
      <c r="A14" s="10">
        <f t="shared" si="0"/>
        <v>13</v>
      </c>
      <c r="B14" s="565" t="s">
        <v>615</v>
      </c>
      <c r="C14" s="565" t="s">
        <v>8</v>
      </c>
      <c r="D14" s="562"/>
      <c r="E14" s="562">
        <v>1</v>
      </c>
      <c r="F14" s="562"/>
      <c r="G14" s="562"/>
      <c r="H14" s="562"/>
      <c r="I14" s="562"/>
      <c r="J14" s="562"/>
      <c r="K14" s="562"/>
      <c r="L14" s="562">
        <v>1</v>
      </c>
      <c r="M14" s="562"/>
      <c r="N14" s="562"/>
      <c r="O14" s="562"/>
      <c r="P14" s="562"/>
      <c r="Q14" s="562"/>
      <c r="R14" s="562"/>
      <c r="U14" s="157">
        <f t="shared" si="1"/>
        <v>12</v>
      </c>
      <c r="V14" s="565" t="s">
        <v>1107</v>
      </c>
      <c r="W14" s="6"/>
      <c r="Z14" s="563" t="s">
        <v>394</v>
      </c>
      <c r="AA14" s="562"/>
      <c r="AB14" s="562"/>
      <c r="AC14" s="562">
        <v>1</v>
      </c>
      <c r="AD14" s="562"/>
      <c r="AE14" s="562"/>
      <c r="AF14" s="562"/>
      <c r="AG14" s="562">
        <v>1</v>
      </c>
      <c r="AH14" s="562" t="str">
        <f t="shared" si="2"/>
        <v>1</v>
      </c>
      <c r="AI14" s="562"/>
      <c r="AJ14" s="562"/>
      <c r="AK14" s="562"/>
      <c r="AL14" s="562"/>
      <c r="AM14" s="562"/>
      <c r="AN14" s="562"/>
      <c r="AO14" s="562"/>
      <c r="AP14" s="562"/>
      <c r="AQ14" s="562"/>
      <c r="AR14" s="562"/>
      <c r="AS14" s="562"/>
      <c r="AT14" s="562">
        <v>1</v>
      </c>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row>
    <row r="15" spans="1:73" x14ac:dyDescent="0.25">
      <c r="A15" s="10">
        <f t="shared" si="0"/>
        <v>14</v>
      </c>
      <c r="B15" s="565" t="s">
        <v>616</v>
      </c>
      <c r="C15" s="565" t="s">
        <v>8</v>
      </c>
      <c r="D15" s="562"/>
      <c r="E15" s="562">
        <v>1</v>
      </c>
      <c r="F15" s="562">
        <v>1</v>
      </c>
      <c r="G15" s="562"/>
      <c r="H15" s="562"/>
      <c r="I15" s="562"/>
      <c r="J15" s="562">
        <v>1</v>
      </c>
      <c r="K15" s="562"/>
      <c r="L15" s="562">
        <v>1</v>
      </c>
      <c r="M15" s="562"/>
      <c r="N15" s="562"/>
      <c r="O15" s="562"/>
      <c r="P15" s="562"/>
      <c r="Q15" s="562"/>
      <c r="R15" s="562"/>
      <c r="U15" s="157">
        <f t="shared" si="1"/>
        <v>13</v>
      </c>
      <c r="V15" s="565" t="s">
        <v>1108</v>
      </c>
      <c r="W15" s="6"/>
      <c r="Z15" s="563" t="s">
        <v>413</v>
      </c>
      <c r="AA15" s="562"/>
      <c r="AB15" s="562"/>
      <c r="AC15" s="562">
        <v>1</v>
      </c>
      <c r="AD15" s="562"/>
      <c r="AE15" s="562"/>
      <c r="AF15" s="562"/>
      <c r="AG15" s="562">
        <v>1</v>
      </c>
      <c r="AH15" s="562" t="str">
        <f t="shared" si="2"/>
        <v>1</v>
      </c>
      <c r="AI15" s="562"/>
      <c r="AJ15" s="562"/>
      <c r="AK15" s="562"/>
      <c r="AL15" s="562"/>
      <c r="AM15" s="562"/>
      <c r="AN15" s="562"/>
      <c r="AO15" s="562"/>
      <c r="AP15" s="562"/>
      <c r="AQ15" s="562"/>
      <c r="AR15" s="562"/>
      <c r="AS15" s="562"/>
      <c r="AT15" s="562"/>
      <c r="AU15" s="562">
        <v>1</v>
      </c>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row>
    <row r="16" spans="1:73" x14ac:dyDescent="0.25">
      <c r="A16" s="10">
        <f t="shared" si="0"/>
        <v>15</v>
      </c>
      <c r="B16" s="565" t="s">
        <v>72</v>
      </c>
      <c r="C16" s="565" t="s">
        <v>6</v>
      </c>
      <c r="D16" s="562"/>
      <c r="E16" s="562">
        <v>1</v>
      </c>
      <c r="F16" s="562">
        <v>1</v>
      </c>
      <c r="G16" s="562">
        <v>1</v>
      </c>
      <c r="H16" s="562"/>
      <c r="I16" s="562">
        <v>1</v>
      </c>
      <c r="J16" s="562">
        <v>1</v>
      </c>
      <c r="K16" s="562"/>
      <c r="L16" s="562"/>
      <c r="M16" s="562">
        <v>1</v>
      </c>
      <c r="N16" s="562">
        <v>1</v>
      </c>
      <c r="O16" s="562">
        <v>1</v>
      </c>
      <c r="P16" s="562">
        <v>1</v>
      </c>
      <c r="Q16" s="562"/>
      <c r="R16" s="562"/>
      <c r="U16" s="157">
        <f t="shared" si="1"/>
        <v>14</v>
      </c>
      <c r="V16" s="565" t="s">
        <v>1109</v>
      </c>
      <c r="W16" s="6"/>
      <c r="Z16" s="563" t="s">
        <v>454</v>
      </c>
      <c r="AA16" s="562">
        <v>1</v>
      </c>
      <c r="AB16" s="562"/>
      <c r="AC16" s="562">
        <v>1</v>
      </c>
      <c r="AD16" s="562"/>
      <c r="AE16" s="562"/>
      <c r="AF16" s="562"/>
      <c r="AG16" s="562">
        <v>1</v>
      </c>
      <c r="AH16" s="562" t="str">
        <f t="shared" si="2"/>
        <v>1</v>
      </c>
      <c r="AI16" s="562"/>
      <c r="AJ16" s="562"/>
      <c r="AK16" s="562"/>
      <c r="AL16" s="562"/>
      <c r="AM16" s="562"/>
      <c r="AN16" s="562"/>
      <c r="AO16" s="562"/>
      <c r="AP16" s="562"/>
      <c r="AQ16" s="562"/>
      <c r="AR16" s="562"/>
      <c r="AS16" s="562"/>
      <c r="AT16" s="562"/>
      <c r="AU16" s="562"/>
      <c r="AV16" s="562">
        <v>1</v>
      </c>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row>
    <row r="17" spans="1:73" x14ac:dyDescent="0.25">
      <c r="A17" s="10">
        <f t="shared" si="0"/>
        <v>16</v>
      </c>
      <c r="B17" s="565" t="s">
        <v>617</v>
      </c>
      <c r="C17" s="565" t="s">
        <v>4</v>
      </c>
      <c r="D17" s="562"/>
      <c r="E17" s="562">
        <v>1</v>
      </c>
      <c r="F17" s="562"/>
      <c r="G17" s="562"/>
      <c r="H17" s="562"/>
      <c r="I17" s="562"/>
      <c r="J17" s="562"/>
      <c r="K17" s="562"/>
      <c r="L17" s="562">
        <v>1</v>
      </c>
      <c r="M17" s="562"/>
      <c r="N17" s="562"/>
      <c r="O17" s="562"/>
      <c r="P17" s="562"/>
      <c r="Q17" s="562"/>
      <c r="R17" s="562"/>
      <c r="U17" s="157">
        <f t="shared" si="1"/>
        <v>15</v>
      </c>
      <c r="V17" s="565" t="s">
        <v>1110</v>
      </c>
      <c r="W17" s="6"/>
      <c r="Z17" s="563" t="s">
        <v>475</v>
      </c>
      <c r="AA17" s="562"/>
      <c r="AB17" s="562">
        <v>1</v>
      </c>
      <c r="AC17" s="562">
        <v>1</v>
      </c>
      <c r="AD17" s="562"/>
      <c r="AE17" s="562"/>
      <c r="AF17" s="562"/>
      <c r="AG17" s="562">
        <v>1</v>
      </c>
      <c r="AH17" s="562" t="str">
        <f t="shared" si="2"/>
        <v>1</v>
      </c>
      <c r="AI17" s="562"/>
      <c r="AJ17" s="562"/>
      <c r="AK17" s="562"/>
      <c r="AL17" s="562"/>
      <c r="AM17" s="562"/>
      <c r="AN17" s="562"/>
      <c r="AO17" s="562"/>
      <c r="AP17" s="562"/>
      <c r="AQ17" s="562"/>
      <c r="AR17" s="562"/>
      <c r="AS17" s="562"/>
      <c r="AT17" s="562"/>
      <c r="AU17" s="562"/>
      <c r="AV17" s="562"/>
      <c r="AW17" s="562">
        <v>1</v>
      </c>
      <c r="AX17" s="562"/>
      <c r="AY17" s="562"/>
      <c r="AZ17" s="562"/>
      <c r="BA17" s="562"/>
      <c r="BB17" s="562"/>
      <c r="BC17" s="562"/>
      <c r="BD17" s="562"/>
      <c r="BE17" s="562"/>
      <c r="BF17" s="562"/>
      <c r="BG17" s="562"/>
      <c r="BH17" s="562"/>
      <c r="BI17" s="562"/>
      <c r="BJ17" s="562"/>
      <c r="BK17" s="562"/>
      <c r="BL17" s="562"/>
      <c r="BM17" s="562"/>
      <c r="BN17" s="562"/>
      <c r="BO17" s="562"/>
      <c r="BP17" s="562"/>
      <c r="BQ17" s="562"/>
      <c r="BR17" s="562"/>
      <c r="BS17" s="562"/>
      <c r="BT17" s="562"/>
      <c r="BU17" s="562"/>
    </row>
    <row r="18" spans="1:73" x14ac:dyDescent="0.25">
      <c r="A18" s="10">
        <f t="shared" si="0"/>
        <v>17</v>
      </c>
      <c r="B18" s="565" t="s">
        <v>75</v>
      </c>
      <c r="C18" s="565" t="s">
        <v>4</v>
      </c>
      <c r="D18" s="562"/>
      <c r="E18" s="562">
        <v>1</v>
      </c>
      <c r="F18" s="562"/>
      <c r="G18" s="562"/>
      <c r="H18" s="562"/>
      <c r="I18" s="562">
        <v>1</v>
      </c>
      <c r="J18" s="562"/>
      <c r="K18" s="562">
        <v>1</v>
      </c>
      <c r="L18" s="562">
        <v>1</v>
      </c>
      <c r="M18" s="562"/>
      <c r="N18" s="562"/>
      <c r="O18" s="562"/>
      <c r="P18" s="562"/>
      <c r="Q18" s="562"/>
      <c r="R18" s="562"/>
      <c r="U18" s="157">
        <f t="shared" si="1"/>
        <v>16</v>
      </c>
      <c r="V18" s="565" t="s">
        <v>1111</v>
      </c>
      <c r="W18" s="6"/>
      <c r="Z18" s="563" t="s">
        <v>495</v>
      </c>
      <c r="AA18" s="562"/>
      <c r="AB18" s="562"/>
      <c r="AC18" s="562">
        <v>1</v>
      </c>
      <c r="AD18" s="562"/>
      <c r="AE18" s="562"/>
      <c r="AF18" s="562"/>
      <c r="AG18" s="562">
        <v>1</v>
      </c>
      <c r="AH18" s="562" t="str">
        <f t="shared" si="2"/>
        <v>1</v>
      </c>
      <c r="AI18" s="562"/>
      <c r="AJ18" s="562"/>
      <c r="AK18" s="562"/>
      <c r="AL18" s="562"/>
      <c r="AM18" s="562"/>
      <c r="AN18" s="562"/>
      <c r="AO18" s="562"/>
      <c r="AP18" s="562"/>
      <c r="AQ18" s="562"/>
      <c r="AR18" s="562"/>
      <c r="AS18" s="562"/>
      <c r="AT18" s="562"/>
      <c r="AU18" s="562"/>
      <c r="AV18" s="562"/>
      <c r="AW18" s="562"/>
      <c r="AX18" s="562">
        <v>1</v>
      </c>
      <c r="AY18" s="562"/>
      <c r="AZ18" s="562"/>
      <c r="BA18" s="562"/>
      <c r="BB18" s="562"/>
      <c r="BC18" s="562"/>
      <c r="BD18" s="562"/>
      <c r="BE18" s="562"/>
      <c r="BF18" s="562"/>
      <c r="BG18" s="562"/>
      <c r="BH18" s="562"/>
      <c r="BI18" s="562"/>
      <c r="BJ18" s="562"/>
      <c r="BK18" s="562"/>
      <c r="BL18" s="562"/>
      <c r="BM18" s="562"/>
      <c r="BN18" s="562"/>
      <c r="BO18" s="562"/>
      <c r="BP18" s="562"/>
      <c r="BQ18" s="562"/>
      <c r="BR18" s="562"/>
      <c r="BS18" s="562"/>
      <c r="BT18" s="562"/>
      <c r="BU18" s="562"/>
    </row>
    <row r="19" spans="1:73" x14ac:dyDescent="0.25">
      <c r="A19" s="10">
        <f t="shared" si="0"/>
        <v>18</v>
      </c>
      <c r="B19" s="565" t="s">
        <v>80</v>
      </c>
      <c r="C19" s="565" t="s">
        <v>7</v>
      </c>
      <c r="D19" s="562">
        <v>1</v>
      </c>
      <c r="E19" s="562">
        <v>1</v>
      </c>
      <c r="F19" s="562"/>
      <c r="G19" s="562">
        <v>1</v>
      </c>
      <c r="H19" s="562">
        <v>1</v>
      </c>
      <c r="I19" s="562"/>
      <c r="J19" s="562"/>
      <c r="K19" s="562">
        <v>1</v>
      </c>
      <c r="L19" s="562"/>
      <c r="M19" s="562"/>
      <c r="N19" s="562"/>
      <c r="O19" s="562"/>
      <c r="P19" s="562"/>
      <c r="Q19" s="562">
        <v>1</v>
      </c>
      <c r="R19" s="562"/>
      <c r="U19" s="157">
        <f t="shared" ref="U19:U21" si="3">IF(V19="","",U18+1)</f>
        <v>17</v>
      </c>
      <c r="V19" s="566" t="s">
        <v>1100</v>
      </c>
      <c r="W19" s="6"/>
      <c r="Z19" s="563" t="s">
        <v>497</v>
      </c>
      <c r="AA19" s="562"/>
      <c r="AB19" s="562"/>
      <c r="AC19" s="562">
        <v>1</v>
      </c>
      <c r="AD19" s="562"/>
      <c r="AE19" s="562"/>
      <c r="AF19" s="562"/>
      <c r="AG19" s="562">
        <v>1</v>
      </c>
      <c r="AH19" s="562" t="str">
        <f t="shared" si="2"/>
        <v>1</v>
      </c>
      <c r="AI19" s="562"/>
      <c r="AJ19" s="562"/>
      <c r="AK19" s="562"/>
      <c r="AL19" s="562"/>
      <c r="AM19" s="562"/>
      <c r="AN19" s="562"/>
      <c r="AO19" s="562"/>
      <c r="AP19" s="562"/>
      <c r="AQ19" s="562"/>
      <c r="AR19" s="562"/>
      <c r="AS19" s="562"/>
      <c r="AT19" s="562"/>
      <c r="AU19" s="562"/>
      <c r="AV19" s="562"/>
      <c r="AW19" s="562"/>
      <c r="AX19" s="562"/>
      <c r="AY19" s="562">
        <v>1</v>
      </c>
      <c r="AZ19" s="562"/>
      <c r="BA19" s="562"/>
      <c r="BB19" s="562"/>
      <c r="BC19" s="562"/>
      <c r="BD19" s="562"/>
      <c r="BE19" s="562"/>
      <c r="BF19" s="562"/>
      <c r="BG19" s="562"/>
      <c r="BH19" s="562"/>
      <c r="BI19" s="562"/>
      <c r="BJ19" s="562"/>
      <c r="BK19" s="562"/>
      <c r="BL19" s="562"/>
      <c r="BM19" s="562"/>
      <c r="BN19" s="562"/>
      <c r="BO19" s="562"/>
      <c r="BP19" s="562"/>
      <c r="BQ19" s="562"/>
      <c r="BR19" s="562"/>
      <c r="BS19" s="562"/>
      <c r="BT19" s="562"/>
      <c r="BU19" s="562"/>
    </row>
    <row r="20" spans="1:73" x14ac:dyDescent="0.25">
      <c r="U20" s="157">
        <f t="shared" si="3"/>
        <v>18</v>
      </c>
      <c r="V20" s="567" t="s">
        <v>3775</v>
      </c>
      <c r="W20" s="6"/>
      <c r="Z20" s="563" t="s">
        <v>287</v>
      </c>
      <c r="AA20" s="562"/>
      <c r="AB20" s="562"/>
      <c r="AC20" s="562"/>
      <c r="AD20" s="562"/>
      <c r="AE20" s="562"/>
      <c r="AF20" s="562"/>
      <c r="AG20" s="562">
        <v>1</v>
      </c>
      <c r="AH20" s="562" t="str">
        <f t="shared" si="2"/>
        <v/>
      </c>
      <c r="AI20" s="562"/>
      <c r="AJ20" s="562"/>
      <c r="AK20" s="562"/>
      <c r="AL20" s="562"/>
      <c r="AM20" s="562"/>
      <c r="AN20" s="562"/>
      <c r="AO20" s="562"/>
      <c r="AP20" s="562"/>
      <c r="AQ20" s="562"/>
      <c r="AR20" s="562"/>
      <c r="AS20" s="562"/>
      <c r="AT20" s="562"/>
      <c r="AU20" s="562"/>
      <c r="AV20" s="562"/>
      <c r="AW20" s="562"/>
      <c r="AX20" s="562"/>
      <c r="AY20" s="562"/>
      <c r="AZ20" s="562">
        <v>1</v>
      </c>
      <c r="BA20" s="562"/>
      <c r="BB20" s="562"/>
      <c r="BC20" s="562"/>
      <c r="BD20" s="562"/>
      <c r="BE20" s="562"/>
      <c r="BF20" s="562"/>
      <c r="BG20" s="562"/>
      <c r="BH20" s="562"/>
      <c r="BI20" s="562"/>
      <c r="BJ20" s="562"/>
      <c r="BK20" s="562"/>
      <c r="BL20" s="562"/>
      <c r="BM20" s="562"/>
      <c r="BN20" s="562"/>
      <c r="BO20" s="562"/>
      <c r="BP20" s="562"/>
      <c r="BQ20" s="562"/>
      <c r="BR20" s="562"/>
      <c r="BS20" s="562"/>
      <c r="BT20" s="562"/>
      <c r="BU20" s="562"/>
    </row>
    <row r="21" spans="1:73" x14ac:dyDescent="0.25">
      <c r="U21" s="157">
        <f t="shared" si="3"/>
        <v>19</v>
      </c>
      <c r="V21" s="567" t="s">
        <v>6908</v>
      </c>
      <c r="W21" s="6"/>
      <c r="Z21" s="563" t="s">
        <v>317</v>
      </c>
      <c r="AA21" s="562"/>
      <c r="AB21" s="562"/>
      <c r="AC21" s="562"/>
      <c r="AD21" s="562"/>
      <c r="AE21" s="562"/>
      <c r="AF21" s="562"/>
      <c r="AG21" s="562">
        <v>1</v>
      </c>
      <c r="AH21" s="562" t="str">
        <f t="shared" si="2"/>
        <v/>
      </c>
      <c r="AI21" s="562"/>
      <c r="AJ21" s="562"/>
      <c r="AK21" s="562"/>
      <c r="AL21" s="562"/>
      <c r="AM21" s="562"/>
      <c r="AN21" s="562"/>
      <c r="AO21" s="562"/>
      <c r="AP21" s="562"/>
      <c r="AQ21" s="562"/>
      <c r="AR21" s="562"/>
      <c r="AS21" s="562"/>
      <c r="AT21" s="562"/>
      <c r="AU21" s="562"/>
      <c r="AV21" s="562"/>
      <c r="AW21" s="562"/>
      <c r="AX21" s="562"/>
      <c r="AY21" s="562"/>
      <c r="AZ21" s="562"/>
      <c r="BA21" s="562">
        <v>1</v>
      </c>
      <c r="BB21" s="562"/>
      <c r="BC21" s="562"/>
      <c r="BD21" s="562"/>
      <c r="BE21" s="562"/>
      <c r="BF21" s="562"/>
      <c r="BG21" s="562"/>
      <c r="BH21" s="562"/>
      <c r="BI21" s="562"/>
      <c r="BJ21" s="562"/>
      <c r="BK21" s="562"/>
      <c r="BL21" s="562"/>
      <c r="BM21" s="562"/>
      <c r="BN21" s="562"/>
      <c r="BO21" s="562"/>
      <c r="BP21" s="562"/>
      <c r="BQ21" s="562"/>
      <c r="BR21" s="562"/>
      <c r="BS21" s="562"/>
      <c r="BT21" s="562"/>
      <c r="BU21" s="562"/>
    </row>
    <row r="22" spans="1:73" x14ac:dyDescent="0.25">
      <c r="Z22" s="563" t="s">
        <v>284</v>
      </c>
      <c r="AA22" s="562"/>
      <c r="AB22" s="562"/>
      <c r="AC22" s="562"/>
      <c r="AD22" s="562"/>
      <c r="AE22" s="562"/>
      <c r="AF22" s="562">
        <v>1</v>
      </c>
      <c r="AG22" s="562">
        <v>1</v>
      </c>
      <c r="AH22" s="562" t="str">
        <f t="shared" si="2"/>
        <v/>
      </c>
      <c r="AI22" s="562"/>
      <c r="AJ22" s="562"/>
      <c r="AK22" s="562"/>
      <c r="AL22" s="562"/>
      <c r="AM22" s="562"/>
      <c r="AN22" s="562"/>
      <c r="AO22" s="562"/>
      <c r="AP22" s="562"/>
      <c r="AQ22" s="562"/>
      <c r="AR22" s="562"/>
      <c r="AS22" s="562"/>
      <c r="AT22" s="562"/>
      <c r="AU22" s="562"/>
      <c r="AV22" s="562"/>
      <c r="AW22" s="562"/>
      <c r="AX22" s="562"/>
      <c r="AY22" s="562"/>
      <c r="AZ22" s="562"/>
      <c r="BA22" s="562"/>
      <c r="BB22" s="562">
        <v>1</v>
      </c>
      <c r="BC22" s="562"/>
      <c r="BD22" s="562"/>
      <c r="BE22" s="562"/>
      <c r="BF22" s="562"/>
      <c r="BG22" s="562"/>
      <c r="BH22" s="562"/>
      <c r="BI22" s="562"/>
      <c r="BJ22" s="562"/>
      <c r="BK22" s="562"/>
      <c r="BL22" s="562"/>
      <c r="BM22" s="562"/>
      <c r="BN22" s="562"/>
      <c r="BO22" s="562"/>
      <c r="BP22" s="562"/>
      <c r="BQ22" s="562"/>
      <c r="BR22" s="562"/>
      <c r="BS22" s="562"/>
      <c r="BT22" s="562"/>
      <c r="BU22" s="562"/>
    </row>
    <row r="23" spans="1:73" x14ac:dyDescent="0.25">
      <c r="Z23" s="563" t="s">
        <v>294</v>
      </c>
      <c r="AA23" s="562"/>
      <c r="AB23" s="562"/>
      <c r="AC23" s="562"/>
      <c r="AD23" s="562"/>
      <c r="AE23" s="562"/>
      <c r="AF23" s="562">
        <v>1</v>
      </c>
      <c r="AG23" s="562">
        <v>1</v>
      </c>
      <c r="AH23" s="562" t="str">
        <f t="shared" si="2"/>
        <v/>
      </c>
      <c r="AI23" s="562"/>
      <c r="AJ23" s="562"/>
      <c r="AK23" s="562"/>
      <c r="AL23" s="562"/>
      <c r="AM23" s="562"/>
      <c r="AN23" s="562"/>
      <c r="AO23" s="562"/>
      <c r="AP23" s="562"/>
      <c r="AQ23" s="562"/>
      <c r="AR23" s="562"/>
      <c r="AS23" s="562"/>
      <c r="AT23" s="562"/>
      <c r="AU23" s="562"/>
      <c r="AV23" s="562"/>
      <c r="AW23" s="562"/>
      <c r="AX23" s="562"/>
      <c r="AY23" s="562"/>
      <c r="AZ23" s="562"/>
      <c r="BA23" s="562"/>
      <c r="BB23" s="562"/>
      <c r="BC23" s="562">
        <v>1</v>
      </c>
      <c r="BD23" s="562"/>
      <c r="BE23" s="562"/>
      <c r="BF23" s="562"/>
      <c r="BG23" s="562"/>
      <c r="BH23" s="562"/>
      <c r="BI23" s="562"/>
      <c r="BJ23" s="562"/>
      <c r="BK23" s="562"/>
      <c r="BL23" s="562"/>
      <c r="BM23" s="562"/>
      <c r="BN23" s="562"/>
      <c r="BO23" s="562"/>
      <c r="BP23" s="562"/>
      <c r="BQ23" s="562"/>
      <c r="BR23" s="562"/>
      <c r="BS23" s="562"/>
      <c r="BT23" s="562"/>
      <c r="BU23" s="562"/>
    </row>
    <row r="24" spans="1:73" x14ac:dyDescent="0.25">
      <c r="Z24" s="563" t="s">
        <v>400</v>
      </c>
      <c r="AA24" s="562"/>
      <c r="AB24" s="562"/>
      <c r="AC24" s="562"/>
      <c r="AD24" s="562"/>
      <c r="AE24" s="562"/>
      <c r="AF24" s="562">
        <v>1</v>
      </c>
      <c r="AG24" s="562">
        <v>1</v>
      </c>
      <c r="AH24" s="562" t="str">
        <f t="shared" si="2"/>
        <v/>
      </c>
      <c r="AI24" s="562"/>
      <c r="AJ24" s="562"/>
      <c r="AK24" s="562"/>
      <c r="AL24" s="562"/>
      <c r="AM24" s="562"/>
      <c r="AN24" s="562"/>
      <c r="AO24" s="562"/>
      <c r="AP24" s="562"/>
      <c r="AQ24" s="562"/>
      <c r="AR24" s="562"/>
      <c r="AS24" s="562"/>
      <c r="AT24" s="562"/>
      <c r="AU24" s="562"/>
      <c r="AV24" s="562"/>
      <c r="AW24" s="562"/>
      <c r="AX24" s="562"/>
      <c r="AY24" s="562"/>
      <c r="AZ24" s="562"/>
      <c r="BA24" s="562"/>
      <c r="BB24" s="562"/>
      <c r="BC24" s="562"/>
      <c r="BD24" s="562">
        <v>1</v>
      </c>
      <c r="BE24" s="562"/>
      <c r="BF24" s="562"/>
      <c r="BG24" s="562"/>
      <c r="BH24" s="562"/>
      <c r="BI24" s="562"/>
      <c r="BJ24" s="562"/>
      <c r="BK24" s="562"/>
      <c r="BL24" s="562"/>
      <c r="BM24" s="562"/>
      <c r="BN24" s="562"/>
      <c r="BO24" s="562"/>
      <c r="BP24" s="562"/>
      <c r="BQ24" s="562"/>
      <c r="BR24" s="562"/>
      <c r="BS24" s="562"/>
      <c r="BT24" s="562"/>
      <c r="BU24" s="562"/>
    </row>
    <row r="25" spans="1:73" x14ac:dyDescent="0.25">
      <c r="Z25" s="563" t="s">
        <v>472</v>
      </c>
      <c r="AA25" s="562"/>
      <c r="AB25" s="562"/>
      <c r="AC25" s="562"/>
      <c r="AD25" s="562"/>
      <c r="AE25" s="562"/>
      <c r="AF25" s="562">
        <v>1</v>
      </c>
      <c r="AG25" s="562">
        <v>1</v>
      </c>
      <c r="AH25" s="562" t="str">
        <f t="shared" si="2"/>
        <v/>
      </c>
      <c r="AI25" s="562"/>
      <c r="AJ25" s="562"/>
      <c r="AK25" s="562"/>
      <c r="AL25" s="562"/>
      <c r="AM25" s="562"/>
      <c r="AN25" s="562"/>
      <c r="AO25" s="562"/>
      <c r="AP25" s="562"/>
      <c r="AQ25" s="562"/>
      <c r="AR25" s="562"/>
      <c r="AS25" s="562"/>
      <c r="AT25" s="562"/>
      <c r="AU25" s="562"/>
      <c r="AV25" s="562"/>
      <c r="AW25" s="562"/>
      <c r="AX25" s="562"/>
      <c r="AY25" s="562"/>
      <c r="AZ25" s="562"/>
      <c r="BA25" s="562"/>
      <c r="BB25" s="562"/>
      <c r="BC25" s="562"/>
      <c r="BD25" s="562"/>
      <c r="BE25" s="562">
        <v>1</v>
      </c>
      <c r="BF25" s="562"/>
      <c r="BG25" s="562"/>
      <c r="BH25" s="562"/>
      <c r="BI25" s="562"/>
      <c r="BJ25" s="562"/>
      <c r="BK25" s="562"/>
      <c r="BL25" s="562"/>
      <c r="BM25" s="562"/>
      <c r="BN25" s="562"/>
      <c r="BO25" s="562"/>
      <c r="BP25" s="562"/>
      <c r="BQ25" s="562"/>
      <c r="BR25" s="562"/>
      <c r="BS25" s="562"/>
      <c r="BT25" s="562"/>
      <c r="BU25" s="562"/>
    </row>
    <row r="26" spans="1:73" x14ac:dyDescent="0.25">
      <c r="Z26" s="563" t="s">
        <v>333</v>
      </c>
      <c r="AA26" s="562"/>
      <c r="AB26" s="562"/>
      <c r="AC26" s="562"/>
      <c r="AD26" s="562"/>
      <c r="AE26" s="562"/>
      <c r="AF26" s="562"/>
      <c r="AG26" s="562">
        <v>1</v>
      </c>
      <c r="AH26" s="562" t="str">
        <f t="shared" si="2"/>
        <v/>
      </c>
      <c r="AI26" s="562"/>
      <c r="AJ26" s="562"/>
      <c r="AK26" s="562"/>
      <c r="AL26" s="562"/>
      <c r="AM26" s="562"/>
      <c r="AN26" s="562"/>
      <c r="AO26" s="562"/>
      <c r="AP26" s="562"/>
      <c r="AQ26" s="562"/>
      <c r="AR26" s="562"/>
      <c r="AS26" s="562"/>
      <c r="AT26" s="562"/>
      <c r="AU26" s="562"/>
      <c r="AV26" s="562"/>
      <c r="AW26" s="562"/>
      <c r="AX26" s="562"/>
      <c r="AY26" s="562"/>
      <c r="AZ26" s="562"/>
      <c r="BA26" s="562"/>
      <c r="BB26" s="562"/>
      <c r="BC26" s="562"/>
      <c r="BD26" s="562"/>
      <c r="BE26" s="562"/>
      <c r="BF26" s="562">
        <v>1</v>
      </c>
      <c r="BG26" s="562"/>
      <c r="BH26" s="562"/>
      <c r="BI26" s="562"/>
      <c r="BJ26" s="562"/>
      <c r="BK26" s="562"/>
      <c r="BL26" s="562"/>
      <c r="BM26" s="562"/>
      <c r="BN26" s="562"/>
      <c r="BO26" s="562"/>
      <c r="BP26" s="562"/>
      <c r="BQ26" s="562"/>
      <c r="BR26" s="562"/>
      <c r="BS26" s="562"/>
      <c r="BT26" s="562"/>
      <c r="BU26" s="562"/>
    </row>
    <row r="27" spans="1:73" x14ac:dyDescent="0.25">
      <c r="Z27" s="563" t="s">
        <v>203</v>
      </c>
      <c r="AA27" s="562"/>
      <c r="AB27" s="562"/>
      <c r="AC27" s="562"/>
      <c r="AD27" s="562">
        <v>1</v>
      </c>
      <c r="AE27" s="562"/>
      <c r="AF27" s="562"/>
      <c r="AG27" s="562">
        <v>1</v>
      </c>
      <c r="AH27" s="562" t="str">
        <f t="shared" si="2"/>
        <v>1</v>
      </c>
      <c r="AI27" s="562"/>
      <c r="AJ27" s="562"/>
      <c r="AK27" s="562"/>
      <c r="AL27" s="562"/>
      <c r="AM27" s="562"/>
      <c r="AN27" s="562"/>
      <c r="AO27" s="562"/>
      <c r="AP27" s="562"/>
      <c r="AQ27" s="562"/>
      <c r="AR27" s="562"/>
      <c r="AS27" s="562"/>
      <c r="AT27" s="562"/>
      <c r="AU27" s="562"/>
      <c r="AV27" s="562"/>
      <c r="AW27" s="562"/>
      <c r="AX27" s="562"/>
      <c r="AY27" s="562"/>
      <c r="AZ27" s="562"/>
      <c r="BA27" s="562"/>
      <c r="BB27" s="562"/>
      <c r="BC27" s="562"/>
      <c r="BD27" s="562"/>
      <c r="BE27" s="562"/>
      <c r="BF27" s="562"/>
      <c r="BG27" s="562">
        <v>1</v>
      </c>
      <c r="BH27" s="562"/>
      <c r="BI27" s="562"/>
      <c r="BJ27" s="562"/>
      <c r="BK27" s="562"/>
      <c r="BL27" s="562"/>
      <c r="BM27" s="562"/>
      <c r="BN27" s="562"/>
      <c r="BO27" s="562"/>
      <c r="BP27" s="562"/>
      <c r="BQ27" s="562"/>
      <c r="BR27" s="562"/>
      <c r="BS27" s="562"/>
      <c r="BT27" s="562"/>
      <c r="BU27" s="562"/>
    </row>
    <row r="28" spans="1:73" x14ac:dyDescent="0.25">
      <c r="Z28" s="563" t="s">
        <v>295</v>
      </c>
      <c r="AA28" s="562"/>
      <c r="AB28" s="562"/>
      <c r="AC28" s="562"/>
      <c r="AD28" s="562">
        <v>1</v>
      </c>
      <c r="AE28" s="562"/>
      <c r="AF28" s="562"/>
      <c r="AG28" s="562">
        <v>1</v>
      </c>
      <c r="AH28" s="562" t="str">
        <f t="shared" si="2"/>
        <v>1</v>
      </c>
      <c r="AI28" s="562"/>
      <c r="AJ28" s="562"/>
      <c r="AK28" s="562"/>
      <c r="AL28" s="562"/>
      <c r="AM28" s="562"/>
      <c r="AN28" s="562"/>
      <c r="AO28" s="562"/>
      <c r="AP28" s="562"/>
      <c r="AQ28" s="562"/>
      <c r="AR28" s="562"/>
      <c r="AS28" s="562"/>
      <c r="AT28" s="562"/>
      <c r="AU28" s="562"/>
      <c r="AV28" s="562"/>
      <c r="AW28" s="562"/>
      <c r="AX28" s="562"/>
      <c r="AY28" s="562"/>
      <c r="AZ28" s="562"/>
      <c r="BA28" s="562"/>
      <c r="BB28" s="562"/>
      <c r="BC28" s="562"/>
      <c r="BD28" s="562"/>
      <c r="BE28" s="562"/>
      <c r="BF28" s="562"/>
      <c r="BG28" s="562"/>
      <c r="BH28" s="562">
        <v>1</v>
      </c>
      <c r="BI28" s="562"/>
      <c r="BJ28" s="562"/>
      <c r="BK28" s="562"/>
      <c r="BL28" s="562"/>
      <c r="BM28" s="562"/>
      <c r="BN28" s="562"/>
      <c r="BO28" s="562"/>
      <c r="BP28" s="562"/>
      <c r="BQ28" s="562"/>
      <c r="BR28" s="562"/>
      <c r="BS28" s="562"/>
      <c r="BT28" s="562"/>
      <c r="BU28" s="562"/>
    </row>
    <row r="29" spans="1:73" x14ac:dyDescent="0.25">
      <c r="Z29" s="563" t="s">
        <v>296</v>
      </c>
      <c r="AA29" s="562"/>
      <c r="AB29" s="562"/>
      <c r="AC29" s="562"/>
      <c r="AD29" s="562">
        <v>1</v>
      </c>
      <c r="AE29" s="562"/>
      <c r="AF29" s="562"/>
      <c r="AG29" s="562">
        <v>1</v>
      </c>
      <c r="AH29" s="562" t="str">
        <f t="shared" si="2"/>
        <v>1</v>
      </c>
      <c r="AI29" s="562"/>
      <c r="AJ29" s="562"/>
      <c r="AK29" s="562"/>
      <c r="AL29" s="562"/>
      <c r="AM29" s="562"/>
      <c r="AN29" s="562"/>
      <c r="AO29" s="562"/>
      <c r="AP29" s="562"/>
      <c r="AQ29" s="562"/>
      <c r="AR29" s="562"/>
      <c r="AS29" s="562"/>
      <c r="AT29" s="562"/>
      <c r="AU29" s="562"/>
      <c r="AV29" s="562"/>
      <c r="AW29" s="562"/>
      <c r="AX29" s="562"/>
      <c r="AY29" s="562"/>
      <c r="AZ29" s="562"/>
      <c r="BA29" s="562"/>
      <c r="BB29" s="562"/>
      <c r="BC29" s="562"/>
      <c r="BD29" s="562"/>
      <c r="BE29" s="562"/>
      <c r="BF29" s="562"/>
      <c r="BG29" s="562"/>
      <c r="BH29" s="562"/>
      <c r="BI29" s="562">
        <v>1</v>
      </c>
      <c r="BJ29" s="562"/>
      <c r="BK29" s="562"/>
      <c r="BL29" s="562"/>
      <c r="BM29" s="562"/>
      <c r="BN29" s="562"/>
      <c r="BO29" s="562"/>
      <c r="BP29" s="562"/>
      <c r="BQ29" s="562"/>
      <c r="BR29" s="562"/>
      <c r="BS29" s="562"/>
      <c r="BT29" s="562"/>
      <c r="BU29" s="562"/>
    </row>
    <row r="30" spans="1:73" x14ac:dyDescent="0.25">
      <c r="Z30" s="563" t="s">
        <v>316</v>
      </c>
      <c r="AA30" s="562"/>
      <c r="AB30" s="562"/>
      <c r="AC30" s="562"/>
      <c r="AD30" s="562">
        <v>1</v>
      </c>
      <c r="AE30" s="562"/>
      <c r="AF30" s="562"/>
      <c r="AG30" s="562">
        <v>1</v>
      </c>
      <c r="AH30" s="562" t="str">
        <f t="shared" si="2"/>
        <v>1</v>
      </c>
      <c r="AI30" s="562"/>
      <c r="AJ30" s="562"/>
      <c r="AK30" s="562"/>
      <c r="AL30" s="562"/>
      <c r="AM30" s="562"/>
      <c r="AN30" s="562"/>
      <c r="AO30" s="562"/>
      <c r="AP30" s="562"/>
      <c r="AQ30" s="562"/>
      <c r="AR30" s="562"/>
      <c r="AS30" s="562"/>
      <c r="AT30" s="562"/>
      <c r="AU30" s="562"/>
      <c r="AV30" s="562"/>
      <c r="AW30" s="562"/>
      <c r="AX30" s="562"/>
      <c r="AY30" s="562"/>
      <c r="AZ30" s="562"/>
      <c r="BA30" s="562"/>
      <c r="BB30" s="562"/>
      <c r="BC30" s="562"/>
      <c r="BD30" s="562"/>
      <c r="BE30" s="562"/>
      <c r="BF30" s="562"/>
      <c r="BG30" s="562"/>
      <c r="BH30" s="562"/>
      <c r="BI30" s="562"/>
      <c r="BJ30" s="562">
        <v>1</v>
      </c>
      <c r="BK30" s="562"/>
      <c r="BL30" s="562"/>
      <c r="BM30" s="562"/>
      <c r="BN30" s="562"/>
      <c r="BO30" s="562"/>
      <c r="BP30" s="562"/>
      <c r="BQ30" s="562"/>
      <c r="BR30" s="562"/>
      <c r="BS30" s="562"/>
      <c r="BT30" s="562"/>
      <c r="BU30" s="562"/>
    </row>
    <row r="31" spans="1:73" x14ac:dyDescent="0.25">
      <c r="Z31" s="563" t="s">
        <v>339</v>
      </c>
      <c r="AA31" s="562"/>
      <c r="AB31" s="562"/>
      <c r="AC31" s="562"/>
      <c r="AD31" s="562">
        <v>1</v>
      </c>
      <c r="AE31" s="562"/>
      <c r="AF31" s="562"/>
      <c r="AG31" s="562">
        <v>1</v>
      </c>
      <c r="AH31" s="562" t="str">
        <f t="shared" si="2"/>
        <v>1</v>
      </c>
      <c r="AI31" s="562"/>
      <c r="AJ31" s="562"/>
      <c r="AK31" s="562"/>
      <c r="AL31" s="562"/>
      <c r="AM31" s="562"/>
      <c r="AN31" s="562"/>
      <c r="AO31" s="562"/>
      <c r="AP31" s="562"/>
      <c r="AQ31" s="562"/>
      <c r="AR31" s="562"/>
      <c r="AS31" s="562"/>
      <c r="AT31" s="562"/>
      <c r="AU31" s="562"/>
      <c r="AV31" s="562"/>
      <c r="AW31" s="562"/>
      <c r="AX31" s="562"/>
      <c r="AY31" s="562"/>
      <c r="AZ31" s="562"/>
      <c r="BA31" s="562"/>
      <c r="BB31" s="562"/>
      <c r="BC31" s="562"/>
      <c r="BD31" s="562"/>
      <c r="BE31" s="562"/>
      <c r="BF31" s="562"/>
      <c r="BG31" s="562"/>
      <c r="BH31" s="562"/>
      <c r="BI31" s="562"/>
      <c r="BJ31" s="562"/>
      <c r="BK31" s="562">
        <v>1</v>
      </c>
      <c r="BL31" s="562"/>
      <c r="BM31" s="562"/>
      <c r="BN31" s="562"/>
      <c r="BO31" s="562"/>
      <c r="BP31" s="562"/>
      <c r="BQ31" s="562"/>
      <c r="BR31" s="562"/>
      <c r="BS31" s="562"/>
      <c r="BT31" s="562"/>
      <c r="BU31" s="562"/>
    </row>
    <row r="32" spans="1:73" x14ac:dyDescent="0.25">
      <c r="Z32" s="563" t="s">
        <v>365</v>
      </c>
      <c r="AA32" s="562"/>
      <c r="AB32" s="562"/>
      <c r="AC32" s="562"/>
      <c r="AD32" s="562">
        <v>1</v>
      </c>
      <c r="AE32" s="562"/>
      <c r="AF32" s="562"/>
      <c r="AG32" s="562">
        <v>1</v>
      </c>
      <c r="AH32" s="562" t="str">
        <f t="shared" si="2"/>
        <v>1</v>
      </c>
      <c r="AI32" s="562"/>
      <c r="AJ32" s="562"/>
      <c r="AK32" s="562"/>
      <c r="AL32" s="562"/>
      <c r="AM32" s="562"/>
      <c r="AN32" s="562"/>
      <c r="AO32" s="562"/>
      <c r="AP32" s="562"/>
      <c r="AQ32" s="562"/>
      <c r="AR32" s="562"/>
      <c r="AS32" s="562"/>
      <c r="AT32" s="562"/>
      <c r="AU32" s="562"/>
      <c r="AV32" s="562"/>
      <c r="AW32" s="562"/>
      <c r="AX32" s="562"/>
      <c r="AY32" s="562"/>
      <c r="AZ32" s="562"/>
      <c r="BA32" s="562"/>
      <c r="BB32" s="562"/>
      <c r="BC32" s="562"/>
      <c r="BD32" s="562"/>
      <c r="BE32" s="562"/>
      <c r="BF32" s="562"/>
      <c r="BG32" s="562"/>
      <c r="BH32" s="562"/>
      <c r="BI32" s="562"/>
      <c r="BJ32" s="562"/>
      <c r="BK32" s="562"/>
      <c r="BL32" s="562">
        <v>1</v>
      </c>
      <c r="BM32" s="562"/>
      <c r="BN32" s="562"/>
      <c r="BO32" s="562"/>
      <c r="BP32" s="562"/>
      <c r="BQ32" s="562"/>
      <c r="BR32" s="562"/>
      <c r="BS32" s="562"/>
      <c r="BT32" s="562"/>
      <c r="BU32" s="562"/>
    </row>
    <row r="33" spans="26:77" x14ac:dyDescent="0.25">
      <c r="Z33" s="563" t="s">
        <v>366</v>
      </c>
      <c r="AA33" s="562"/>
      <c r="AB33" s="562"/>
      <c r="AC33" s="562"/>
      <c r="AD33" s="562">
        <v>1</v>
      </c>
      <c r="AE33" s="562"/>
      <c r="AF33" s="562"/>
      <c r="AG33" s="562">
        <v>1</v>
      </c>
      <c r="AH33" s="562" t="str">
        <f t="shared" si="2"/>
        <v>1</v>
      </c>
      <c r="AI33" s="562"/>
      <c r="AJ33" s="562"/>
      <c r="AK33" s="562"/>
      <c r="AL33" s="562"/>
      <c r="AM33" s="562"/>
      <c r="AN33" s="562"/>
      <c r="AO33" s="562"/>
      <c r="AP33" s="562"/>
      <c r="AQ33" s="562"/>
      <c r="AR33" s="562"/>
      <c r="AS33" s="562"/>
      <c r="AT33" s="562"/>
      <c r="AU33" s="562"/>
      <c r="AV33" s="562"/>
      <c r="AW33" s="562"/>
      <c r="AX33" s="562"/>
      <c r="AY33" s="562"/>
      <c r="AZ33" s="562"/>
      <c r="BA33" s="562"/>
      <c r="BB33" s="562"/>
      <c r="BC33" s="562"/>
      <c r="BD33" s="562"/>
      <c r="BE33" s="562"/>
      <c r="BF33" s="562"/>
      <c r="BG33" s="562"/>
      <c r="BH33" s="562"/>
      <c r="BI33" s="562"/>
      <c r="BJ33" s="562"/>
      <c r="BK33" s="562"/>
      <c r="BL33" s="562"/>
      <c r="BM33" s="562">
        <v>1</v>
      </c>
      <c r="BN33" s="562"/>
      <c r="BO33" s="562"/>
      <c r="BP33" s="562"/>
      <c r="BQ33" s="562"/>
      <c r="BR33" s="562"/>
      <c r="BS33" s="562"/>
      <c r="BT33" s="562"/>
      <c r="BU33" s="562"/>
    </row>
    <row r="34" spans="26:77" x14ac:dyDescent="0.25">
      <c r="Z34" s="563" t="s">
        <v>395</v>
      </c>
      <c r="AA34" s="562"/>
      <c r="AB34" s="562"/>
      <c r="AC34" s="562"/>
      <c r="AD34" s="562">
        <v>1</v>
      </c>
      <c r="AE34" s="562"/>
      <c r="AF34" s="562"/>
      <c r="AG34" s="562">
        <v>1</v>
      </c>
      <c r="AH34" s="562" t="str">
        <f t="shared" si="2"/>
        <v>1</v>
      </c>
      <c r="AI34" s="562"/>
      <c r="AJ34" s="562"/>
      <c r="AK34" s="562"/>
      <c r="AL34" s="562"/>
      <c r="AM34" s="562"/>
      <c r="AN34" s="562"/>
      <c r="AO34" s="562"/>
      <c r="AP34" s="562"/>
      <c r="AQ34" s="562"/>
      <c r="AR34" s="562"/>
      <c r="AS34" s="562"/>
      <c r="AT34" s="562"/>
      <c r="AU34" s="562"/>
      <c r="AV34" s="562"/>
      <c r="AW34" s="562"/>
      <c r="AX34" s="562"/>
      <c r="AY34" s="562"/>
      <c r="AZ34" s="562"/>
      <c r="BA34" s="562"/>
      <c r="BB34" s="562"/>
      <c r="BC34" s="562"/>
      <c r="BD34" s="562"/>
      <c r="BE34" s="562"/>
      <c r="BF34" s="562"/>
      <c r="BG34" s="562"/>
      <c r="BH34" s="562"/>
      <c r="BI34" s="562"/>
      <c r="BJ34" s="562"/>
      <c r="BK34" s="562"/>
      <c r="BL34" s="562"/>
      <c r="BM34" s="562"/>
      <c r="BN34" s="562">
        <v>1</v>
      </c>
      <c r="BO34" s="562"/>
      <c r="BP34" s="562"/>
      <c r="BQ34" s="562"/>
      <c r="BR34" s="562"/>
      <c r="BS34" s="562"/>
      <c r="BT34" s="562"/>
      <c r="BU34" s="562"/>
    </row>
    <row r="35" spans="26:77" x14ac:dyDescent="0.25">
      <c r="Z35" s="563" t="s">
        <v>441</v>
      </c>
      <c r="AA35" s="562"/>
      <c r="AB35" s="562"/>
      <c r="AC35" s="562"/>
      <c r="AD35" s="562">
        <v>1</v>
      </c>
      <c r="AE35" s="562"/>
      <c r="AF35" s="562"/>
      <c r="AG35" s="562">
        <v>1</v>
      </c>
      <c r="AH35" s="562" t="str">
        <f t="shared" si="2"/>
        <v>1</v>
      </c>
      <c r="AI35" s="562"/>
      <c r="AJ35" s="562"/>
      <c r="AK35" s="562"/>
      <c r="AL35" s="562"/>
      <c r="AM35" s="562"/>
      <c r="AN35" s="562"/>
      <c r="AO35" s="562"/>
      <c r="AP35" s="562"/>
      <c r="AQ35" s="562"/>
      <c r="AR35" s="562"/>
      <c r="AS35" s="562"/>
      <c r="AT35" s="562"/>
      <c r="AU35" s="562"/>
      <c r="AV35" s="562"/>
      <c r="AW35" s="562"/>
      <c r="AX35" s="562"/>
      <c r="AY35" s="562"/>
      <c r="AZ35" s="562"/>
      <c r="BA35" s="562"/>
      <c r="BB35" s="562"/>
      <c r="BC35" s="562"/>
      <c r="BD35" s="562"/>
      <c r="BE35" s="562"/>
      <c r="BF35" s="562"/>
      <c r="BG35" s="562"/>
      <c r="BH35" s="562"/>
      <c r="BI35" s="562"/>
      <c r="BJ35" s="562"/>
      <c r="BK35" s="562"/>
      <c r="BL35" s="562"/>
      <c r="BM35" s="562"/>
      <c r="BN35" s="562"/>
      <c r="BO35" s="562">
        <v>1</v>
      </c>
      <c r="BP35" s="562"/>
      <c r="BQ35" s="562"/>
      <c r="BR35" s="562"/>
      <c r="BS35" s="562"/>
      <c r="BT35" s="562"/>
      <c r="BU35" s="562"/>
    </row>
    <row r="36" spans="26:77" x14ac:dyDescent="0.25">
      <c r="Z36" s="563" t="s">
        <v>485</v>
      </c>
      <c r="AA36" s="562"/>
      <c r="AB36" s="562"/>
      <c r="AC36" s="562"/>
      <c r="AD36" s="562">
        <v>1</v>
      </c>
      <c r="AE36" s="562"/>
      <c r="AF36" s="562"/>
      <c r="AG36" s="562">
        <v>1</v>
      </c>
      <c r="AH36" s="562" t="str">
        <f t="shared" si="2"/>
        <v>1</v>
      </c>
      <c r="AI36" s="562"/>
      <c r="AJ36" s="562"/>
      <c r="AK36" s="562"/>
      <c r="AL36" s="562"/>
      <c r="AM36" s="562"/>
      <c r="AN36" s="562"/>
      <c r="AO36" s="562"/>
      <c r="AP36" s="562"/>
      <c r="AQ36" s="562"/>
      <c r="AR36" s="562"/>
      <c r="AS36" s="562"/>
      <c r="AT36" s="562"/>
      <c r="AU36" s="562"/>
      <c r="AV36" s="562"/>
      <c r="AW36" s="562"/>
      <c r="AX36" s="562"/>
      <c r="AY36" s="562"/>
      <c r="AZ36" s="562"/>
      <c r="BA36" s="562"/>
      <c r="BB36" s="562"/>
      <c r="BC36" s="562"/>
      <c r="BD36" s="562"/>
      <c r="BE36" s="562"/>
      <c r="BF36" s="562"/>
      <c r="BG36" s="562"/>
      <c r="BH36" s="562"/>
      <c r="BI36" s="562"/>
      <c r="BJ36" s="562"/>
      <c r="BK36" s="562"/>
      <c r="BL36" s="562"/>
      <c r="BM36" s="562"/>
      <c r="BN36" s="562"/>
      <c r="BO36" s="562"/>
      <c r="BP36" s="562">
        <v>1</v>
      </c>
      <c r="BQ36" s="562"/>
      <c r="BR36" s="562"/>
      <c r="BS36" s="562"/>
      <c r="BT36" s="562"/>
      <c r="BU36" s="562"/>
    </row>
    <row r="37" spans="26:77" x14ac:dyDescent="0.25">
      <c r="Z37" s="563" t="s">
        <v>387</v>
      </c>
      <c r="AA37" s="562"/>
      <c r="AB37" s="562"/>
      <c r="AC37" s="562"/>
      <c r="AD37" s="562"/>
      <c r="AE37" s="562"/>
      <c r="AF37" s="562"/>
      <c r="AG37" s="562">
        <v>1</v>
      </c>
      <c r="AH37" s="562" t="str">
        <f t="shared" si="2"/>
        <v/>
      </c>
      <c r="AI37" s="562"/>
      <c r="AJ37" s="562"/>
      <c r="AK37" s="562"/>
      <c r="AL37" s="562"/>
      <c r="AM37" s="562"/>
      <c r="AN37" s="562"/>
      <c r="AO37" s="562"/>
      <c r="AP37" s="562"/>
      <c r="AQ37" s="562"/>
      <c r="AR37" s="562"/>
      <c r="AS37" s="562"/>
      <c r="AT37" s="562"/>
      <c r="AU37" s="562"/>
      <c r="AV37" s="562"/>
      <c r="AW37" s="562"/>
      <c r="AX37" s="562"/>
      <c r="AY37" s="562"/>
      <c r="AZ37" s="562"/>
      <c r="BA37" s="562"/>
      <c r="BB37" s="562"/>
      <c r="BC37" s="562"/>
      <c r="BD37" s="562"/>
      <c r="BE37" s="562"/>
      <c r="BF37" s="562"/>
      <c r="BG37" s="562"/>
      <c r="BH37" s="562"/>
      <c r="BI37" s="562"/>
      <c r="BJ37" s="562"/>
      <c r="BK37" s="562"/>
      <c r="BL37" s="562"/>
      <c r="BM37" s="562"/>
      <c r="BN37" s="562"/>
      <c r="BO37" s="562"/>
      <c r="BP37" s="562"/>
      <c r="BQ37" s="562">
        <v>1</v>
      </c>
      <c r="BR37" s="562"/>
      <c r="BS37" s="562"/>
      <c r="BT37" s="562"/>
      <c r="BU37" s="562"/>
    </row>
    <row r="38" spans="26:77" x14ac:dyDescent="0.25">
      <c r="Z38" s="563" t="s">
        <v>401</v>
      </c>
      <c r="AA38" s="562"/>
      <c r="AB38" s="562"/>
      <c r="AC38" s="562"/>
      <c r="AD38" s="562"/>
      <c r="AE38" s="562"/>
      <c r="AF38" s="562"/>
      <c r="AG38" s="562">
        <v>1</v>
      </c>
      <c r="AH38" s="562" t="str">
        <f t="shared" si="2"/>
        <v/>
      </c>
      <c r="AI38" s="562"/>
      <c r="AJ38" s="562"/>
      <c r="AK38" s="562"/>
      <c r="AL38" s="562"/>
      <c r="AM38" s="562"/>
      <c r="AN38" s="562"/>
      <c r="AO38" s="562"/>
      <c r="AP38" s="562"/>
      <c r="AQ38" s="562"/>
      <c r="AR38" s="562"/>
      <c r="AS38" s="562"/>
      <c r="AT38" s="562"/>
      <c r="AU38" s="562"/>
      <c r="AV38" s="562"/>
      <c r="AW38" s="562"/>
      <c r="AX38" s="562"/>
      <c r="AY38" s="562"/>
      <c r="AZ38" s="562"/>
      <c r="BA38" s="562"/>
      <c r="BB38" s="562"/>
      <c r="BC38" s="562"/>
      <c r="BD38" s="562"/>
      <c r="BE38" s="562"/>
      <c r="BF38" s="562"/>
      <c r="BG38" s="562"/>
      <c r="BH38" s="562"/>
      <c r="BI38" s="562"/>
      <c r="BJ38" s="562"/>
      <c r="BK38" s="562"/>
      <c r="BL38" s="562"/>
      <c r="BM38" s="562"/>
      <c r="BN38" s="562"/>
      <c r="BO38" s="562"/>
      <c r="BP38" s="562"/>
      <c r="BQ38" s="562"/>
      <c r="BR38" s="562">
        <v>1</v>
      </c>
      <c r="BS38" s="562"/>
      <c r="BT38" s="562"/>
      <c r="BU38" s="562"/>
    </row>
    <row r="39" spans="26:77" x14ac:dyDescent="0.25">
      <c r="Z39" s="563" t="s">
        <v>76</v>
      </c>
      <c r="AA39" s="562"/>
      <c r="AB39" s="562"/>
      <c r="AC39" s="562"/>
      <c r="AD39" s="562"/>
      <c r="AE39" s="562">
        <v>1</v>
      </c>
      <c r="AF39" s="562"/>
      <c r="AG39" s="562">
        <v>1</v>
      </c>
      <c r="AH39" s="562" t="str">
        <f t="shared" si="2"/>
        <v/>
      </c>
      <c r="AI39" s="562"/>
      <c r="AJ39" s="562"/>
      <c r="AK39" s="562"/>
      <c r="AL39" s="562"/>
      <c r="AM39" s="562"/>
      <c r="AN39" s="562"/>
      <c r="AO39" s="562"/>
      <c r="AP39" s="562"/>
      <c r="AQ39" s="562"/>
      <c r="AR39" s="562"/>
      <c r="AS39" s="562"/>
      <c r="AT39" s="562"/>
      <c r="AU39" s="562"/>
      <c r="AV39" s="562"/>
      <c r="AW39" s="562"/>
      <c r="AX39" s="562"/>
      <c r="AY39" s="562"/>
      <c r="AZ39" s="562"/>
      <c r="BA39" s="562"/>
      <c r="BB39" s="562"/>
      <c r="BC39" s="562"/>
      <c r="BD39" s="562"/>
      <c r="BE39" s="562"/>
      <c r="BF39" s="562"/>
      <c r="BG39" s="562"/>
      <c r="BH39" s="562"/>
      <c r="BI39" s="562"/>
      <c r="BJ39" s="562"/>
      <c r="BK39" s="562"/>
      <c r="BL39" s="562"/>
      <c r="BM39" s="562"/>
      <c r="BN39" s="562"/>
      <c r="BO39" s="562"/>
      <c r="BP39" s="562"/>
      <c r="BQ39" s="562"/>
      <c r="BR39" s="562"/>
      <c r="BS39" s="562">
        <v>1</v>
      </c>
      <c r="BT39" s="562"/>
      <c r="BU39" s="562"/>
    </row>
    <row r="40" spans="26:77" x14ac:dyDescent="0.25">
      <c r="Z40" s="563" t="s">
        <v>81</v>
      </c>
      <c r="AA40" s="562"/>
      <c r="AB40" s="562"/>
      <c r="AC40" s="562"/>
      <c r="AD40" s="562"/>
      <c r="AE40" s="562"/>
      <c r="AF40" s="562"/>
      <c r="AG40" s="562">
        <v>1</v>
      </c>
      <c r="AH40" s="562" t="str">
        <f t="shared" si="2"/>
        <v/>
      </c>
      <c r="AI40" s="562"/>
      <c r="AJ40" s="562"/>
      <c r="AK40" s="562"/>
      <c r="AL40" s="562"/>
      <c r="AM40" s="562"/>
      <c r="AN40" s="562"/>
      <c r="AO40" s="562"/>
      <c r="AP40" s="562"/>
      <c r="AQ40" s="562"/>
      <c r="AR40" s="562"/>
      <c r="AS40" s="562"/>
      <c r="AT40" s="562"/>
      <c r="AU40" s="562"/>
      <c r="AV40" s="562"/>
      <c r="AW40" s="562"/>
      <c r="AX40" s="562"/>
      <c r="AY40" s="562"/>
      <c r="AZ40" s="562"/>
      <c r="BA40" s="562"/>
      <c r="BB40" s="562"/>
      <c r="BC40" s="562"/>
      <c r="BD40" s="562"/>
      <c r="BE40" s="562"/>
      <c r="BF40" s="562"/>
      <c r="BG40" s="562"/>
      <c r="BH40" s="562"/>
      <c r="BI40" s="562"/>
      <c r="BJ40" s="562"/>
      <c r="BK40" s="562"/>
      <c r="BL40" s="562"/>
      <c r="BM40" s="562"/>
      <c r="BN40" s="562"/>
      <c r="BO40" s="562"/>
      <c r="BP40" s="562"/>
      <c r="BQ40" s="562"/>
      <c r="BR40" s="562"/>
      <c r="BS40" s="562"/>
      <c r="BT40" s="562">
        <v>1</v>
      </c>
      <c r="BU40" s="562"/>
    </row>
    <row r="41" spans="26:77" ht="15.75" thickBot="1" x14ac:dyDescent="0.3">
      <c r="Z41" s="564" t="s">
        <v>4401</v>
      </c>
      <c r="AA41" s="562"/>
      <c r="AB41" s="562"/>
      <c r="AC41" s="562"/>
      <c r="AD41" s="562"/>
      <c r="AE41" s="562"/>
      <c r="AF41" s="562"/>
      <c r="AG41" s="562">
        <v>1</v>
      </c>
      <c r="AH41" s="562" t="str">
        <f t="shared" si="2"/>
        <v/>
      </c>
      <c r="AI41" s="562"/>
      <c r="AJ41" s="562"/>
      <c r="AK41" s="562"/>
      <c r="AL41" s="562"/>
      <c r="AM41" s="562"/>
      <c r="AN41" s="562"/>
      <c r="AO41" s="562"/>
      <c r="AP41" s="562"/>
      <c r="AQ41" s="562"/>
      <c r="AR41" s="562"/>
      <c r="AS41" s="562"/>
      <c r="AT41" s="562"/>
      <c r="AU41" s="562"/>
      <c r="AV41" s="562"/>
      <c r="AW41" s="562"/>
      <c r="AX41" s="562"/>
      <c r="AY41" s="562"/>
      <c r="AZ41" s="562"/>
      <c r="BA41" s="562"/>
      <c r="BB41" s="562"/>
      <c r="BC41" s="562"/>
      <c r="BD41" s="562"/>
      <c r="BE41" s="562"/>
      <c r="BF41" s="562"/>
      <c r="BG41" s="562"/>
      <c r="BH41" s="562"/>
      <c r="BI41" s="562"/>
      <c r="BJ41" s="562"/>
      <c r="BK41" s="562"/>
      <c r="BL41" s="562"/>
      <c r="BM41" s="562"/>
      <c r="BN41" s="562"/>
      <c r="BO41" s="562"/>
      <c r="BP41" s="562"/>
      <c r="BQ41" s="562"/>
      <c r="BR41" s="562"/>
      <c r="BS41" s="562"/>
      <c r="BT41" s="562"/>
      <c r="BU41" s="562">
        <v>1</v>
      </c>
    </row>
    <row r="42" spans="26:77" x14ac:dyDescent="0.25">
      <c r="BV42">
        <v>1</v>
      </c>
    </row>
    <row r="43" spans="26:77" x14ac:dyDescent="0.25">
      <c r="BW43">
        <v>1</v>
      </c>
    </row>
    <row r="44" spans="26:77" x14ac:dyDescent="0.25">
      <c r="BX44">
        <v>1</v>
      </c>
    </row>
    <row r="45" spans="26:77" x14ac:dyDescent="0.25">
      <c r="BY45">
        <v>1</v>
      </c>
    </row>
  </sheetData>
  <conditionalFormatting sqref="AA3:BU41">
    <cfRule type="expression" dxfId="4" priority="2">
      <formula>AA3&lt;&gt;0</formula>
    </cfRule>
  </conditionalFormatting>
  <conditionalFormatting sqref="D2:R101">
    <cfRule type="expression" dxfId="3" priority="1">
      <formula>D2&lt;&gt;0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DB103"/>
  <sheetViews>
    <sheetView zoomScale="115" zoomScaleNormal="115" workbookViewId="0">
      <selection activeCell="G10" sqref="G10"/>
    </sheetView>
  </sheetViews>
  <sheetFormatPr defaultRowHeight="15" outlineLevelCol="1" x14ac:dyDescent="0.25"/>
  <cols>
    <col min="3" max="3" width="14.140625" customWidth="1"/>
    <col min="6" max="6" width="13.7109375" customWidth="1"/>
    <col min="7" max="7" width="11.140625" customWidth="1"/>
    <col min="8" max="8" width="12.28515625" customWidth="1"/>
    <col min="9" max="9" width="10.7109375" customWidth="1"/>
    <col min="12" max="12" width="11.7109375" customWidth="1"/>
    <col min="13" max="13" width="11.85546875" customWidth="1"/>
    <col min="14" max="14" width="12" customWidth="1"/>
    <col min="15" max="15" width="14.28515625" customWidth="1"/>
    <col min="18" max="18" width="12" customWidth="1"/>
    <col min="20" max="21" width="9.140625" customWidth="1" outlineLevel="1"/>
    <col min="23" max="24" width="9.140625" customWidth="1" outlineLevel="1"/>
    <col min="27" max="31" width="9.140625" customWidth="1" outlineLevel="1"/>
    <col min="33" max="51" width="9.140625" customWidth="1" outlineLevel="1"/>
    <col min="52" max="52" width="9.140625" customWidth="1"/>
    <col min="53" max="71" width="9.140625" customWidth="1" outlineLevel="1"/>
    <col min="79" max="86" width="9.140625" customWidth="1" outlineLevel="1"/>
    <col min="90" max="105" width="9.140625" customWidth="1" outlineLevel="1"/>
  </cols>
  <sheetData>
    <row r="1" spans="1:106" ht="15.75" customHeight="1" thickBot="1" x14ac:dyDescent="0.3">
      <c r="A1" s="544"/>
      <c r="B1" s="1324" t="s">
        <v>60</v>
      </c>
      <c r="C1" s="1324" t="s">
        <v>177</v>
      </c>
      <c r="D1" s="1324" t="s">
        <v>61</v>
      </c>
      <c r="E1" s="545"/>
      <c r="F1" s="1324" t="s">
        <v>6853</v>
      </c>
      <c r="G1" s="1326" t="s">
        <v>5008</v>
      </c>
      <c r="H1" s="1328" t="s">
        <v>5009</v>
      </c>
      <c r="I1" s="1328" t="s">
        <v>4979</v>
      </c>
      <c r="J1" s="1332" t="s">
        <v>1115</v>
      </c>
      <c r="K1" s="1333"/>
      <c r="L1" s="1334"/>
      <c r="M1" s="1324" t="s">
        <v>4129</v>
      </c>
      <c r="N1" s="1330" t="s">
        <v>4984</v>
      </c>
      <c r="O1" s="1338" t="s">
        <v>4175</v>
      </c>
      <c r="P1" s="1339"/>
      <c r="Q1" s="1324"/>
      <c r="R1" s="1330" t="s">
        <v>4984</v>
      </c>
      <c r="S1" s="1340" t="s">
        <v>392</v>
      </c>
      <c r="T1" s="1340"/>
      <c r="U1" s="1341"/>
      <c r="V1" s="1340" t="s">
        <v>89</v>
      </c>
      <c r="W1" s="1340"/>
      <c r="X1" s="1341"/>
      <c r="Y1" s="545" t="s">
        <v>3761</v>
      </c>
      <c r="Z1" s="1340" t="s">
        <v>3762</v>
      </c>
      <c r="AA1" s="1340"/>
      <c r="AB1" s="1340"/>
      <c r="AC1" s="1340"/>
      <c r="AD1" s="1340"/>
      <c r="AE1" s="1341"/>
      <c r="AF1" s="1339" t="s">
        <v>3759</v>
      </c>
      <c r="AG1" s="1339"/>
      <c r="AH1" s="1339"/>
      <c r="AI1" s="1339"/>
      <c r="AJ1" s="1339"/>
      <c r="AK1" s="1339"/>
      <c r="AL1" s="1339"/>
      <c r="AM1" s="1339"/>
      <c r="AN1" s="1339"/>
      <c r="AO1" s="1339"/>
      <c r="AP1" s="1339"/>
      <c r="AQ1" s="1339"/>
      <c r="AR1" s="1339"/>
      <c r="AS1" s="1339"/>
      <c r="AT1" s="1339"/>
      <c r="AU1" s="1339"/>
      <c r="AV1" s="1339"/>
      <c r="AW1" s="1339"/>
      <c r="AX1" s="1339"/>
      <c r="AY1" s="1324"/>
      <c r="AZ1" s="1339" t="s">
        <v>3760</v>
      </c>
      <c r="BA1" s="1339"/>
      <c r="BB1" s="1339"/>
      <c r="BC1" s="1339"/>
      <c r="BD1" s="1339"/>
      <c r="BE1" s="1339"/>
      <c r="BF1" s="1339"/>
      <c r="BG1" s="1339"/>
      <c r="BH1" s="1339"/>
      <c r="BI1" s="1339"/>
      <c r="BJ1" s="1339"/>
      <c r="BK1" s="1339"/>
      <c r="BL1" s="1339"/>
      <c r="BM1" s="1339"/>
      <c r="BN1" s="1339"/>
      <c r="BO1" s="1339"/>
      <c r="BP1" s="1339"/>
      <c r="BQ1" s="1339"/>
      <c r="BR1" s="1339"/>
      <c r="BS1" s="1324"/>
      <c r="BT1" s="1339" t="s">
        <v>3730</v>
      </c>
      <c r="BU1" s="1324"/>
      <c r="BV1" s="1330" t="s">
        <v>2243</v>
      </c>
      <c r="BW1" s="1339" t="s">
        <v>3916</v>
      </c>
      <c r="BX1" s="1339"/>
      <c r="BY1" s="1339"/>
      <c r="BZ1" s="1339"/>
      <c r="CA1" s="1339"/>
      <c r="CB1" s="1339"/>
      <c r="CC1" s="1339"/>
      <c r="CD1" s="1339"/>
      <c r="CE1" s="1339"/>
      <c r="CF1" s="1339"/>
      <c r="CG1" s="1339"/>
      <c r="CH1" s="1335" t="s">
        <v>5147</v>
      </c>
      <c r="CI1" s="1336"/>
      <c r="CJ1" s="1336"/>
      <c r="CK1" s="1336"/>
      <c r="CL1" s="1336"/>
      <c r="CM1" s="1336"/>
      <c r="CN1" s="1336"/>
      <c r="CO1" s="1336"/>
      <c r="CP1" s="1336"/>
      <c r="CQ1" s="1336"/>
      <c r="CR1" s="1336"/>
      <c r="CS1" s="1336"/>
      <c r="CT1" s="1336"/>
      <c r="CU1" s="1336"/>
      <c r="CV1" s="1336"/>
      <c r="CW1" s="1336"/>
      <c r="CX1" s="1336"/>
      <c r="CY1" s="1336"/>
      <c r="CZ1" s="1336"/>
      <c r="DA1" s="1337"/>
      <c r="DB1" s="546"/>
    </row>
    <row r="2" spans="1:106" ht="60.75" thickBot="1" x14ac:dyDescent="0.3">
      <c r="A2" s="547">
        <f>MAX(A3:A102)</f>
        <v>12</v>
      </c>
      <c r="B2" s="1325"/>
      <c r="C2" s="1325"/>
      <c r="D2" s="1325"/>
      <c r="E2" s="548"/>
      <c r="F2" s="1325"/>
      <c r="G2" s="1327"/>
      <c r="H2" s="1329"/>
      <c r="I2" s="1329"/>
      <c r="J2" s="540" t="s">
        <v>5145</v>
      </c>
      <c r="K2" s="540" t="s">
        <v>5146</v>
      </c>
      <c r="L2" s="540" t="s">
        <v>4980</v>
      </c>
      <c r="M2" s="1325"/>
      <c r="N2" s="1331"/>
      <c r="O2" s="557" t="s">
        <v>4175</v>
      </c>
      <c r="P2" s="541" t="s">
        <v>2256</v>
      </c>
      <c r="Q2" s="548" t="s">
        <v>2257</v>
      </c>
      <c r="R2" s="1331"/>
      <c r="S2" s="549" t="s">
        <v>3590</v>
      </c>
      <c r="T2" s="550" t="s">
        <v>3591</v>
      </c>
      <c r="U2" s="551" t="s">
        <v>3606</v>
      </c>
      <c r="V2" s="549" t="s">
        <v>3607</v>
      </c>
      <c r="W2" s="550" t="s">
        <v>3608</v>
      </c>
      <c r="X2" s="551" t="s">
        <v>3609</v>
      </c>
      <c r="Y2" s="552" t="s">
        <v>3610</v>
      </c>
      <c r="Z2" s="549" t="s">
        <v>3540</v>
      </c>
      <c r="AA2" s="550" t="s">
        <v>3612</v>
      </c>
      <c r="AB2" s="550" t="s">
        <v>3541</v>
      </c>
      <c r="AC2" s="550" t="s">
        <v>3613</v>
      </c>
      <c r="AD2" s="550" t="s">
        <v>3542</v>
      </c>
      <c r="AE2" s="551" t="s">
        <v>3617</v>
      </c>
      <c r="AF2" s="553" t="s">
        <v>3690</v>
      </c>
      <c r="AG2" s="554" t="s">
        <v>3691</v>
      </c>
      <c r="AH2" s="554" t="s">
        <v>3692</v>
      </c>
      <c r="AI2" s="554" t="s">
        <v>3693</v>
      </c>
      <c r="AJ2" s="554" t="s">
        <v>3694</v>
      </c>
      <c r="AK2" s="554" t="s">
        <v>3695</v>
      </c>
      <c r="AL2" s="554" t="s">
        <v>3696</v>
      </c>
      <c r="AM2" s="554" t="s">
        <v>3697</v>
      </c>
      <c r="AN2" s="554" t="s">
        <v>3698</v>
      </c>
      <c r="AO2" s="554" t="s">
        <v>3699</v>
      </c>
      <c r="AP2" s="554" t="s">
        <v>3700</v>
      </c>
      <c r="AQ2" s="554" t="s">
        <v>3701</v>
      </c>
      <c r="AR2" s="554" t="s">
        <v>3702</v>
      </c>
      <c r="AS2" s="554" t="s">
        <v>3703</v>
      </c>
      <c r="AT2" s="554" t="s">
        <v>3704</v>
      </c>
      <c r="AU2" s="554" t="s">
        <v>3705</v>
      </c>
      <c r="AV2" s="554" t="s">
        <v>3706</v>
      </c>
      <c r="AW2" s="554" t="s">
        <v>3707</v>
      </c>
      <c r="AX2" s="554" t="s">
        <v>3708</v>
      </c>
      <c r="AY2" s="555" t="s">
        <v>3709</v>
      </c>
      <c r="AZ2" s="553" t="s">
        <v>3710</v>
      </c>
      <c r="BA2" s="554" t="s">
        <v>3711</v>
      </c>
      <c r="BB2" s="554" t="s">
        <v>3712</v>
      </c>
      <c r="BC2" s="554" t="s">
        <v>3713</v>
      </c>
      <c r="BD2" s="554" t="s">
        <v>3714</v>
      </c>
      <c r="BE2" s="554" t="s">
        <v>3715</v>
      </c>
      <c r="BF2" s="554" t="s">
        <v>3716</v>
      </c>
      <c r="BG2" s="554" t="s">
        <v>3717</v>
      </c>
      <c r="BH2" s="554" t="s">
        <v>3718</v>
      </c>
      <c r="BI2" s="554" t="s">
        <v>3719</v>
      </c>
      <c r="BJ2" s="554" t="s">
        <v>3720</v>
      </c>
      <c r="BK2" s="554" t="s">
        <v>3721</v>
      </c>
      <c r="BL2" s="554" t="s">
        <v>3722</v>
      </c>
      <c r="BM2" s="554" t="s">
        <v>3723</v>
      </c>
      <c r="BN2" s="554" t="s">
        <v>3724</v>
      </c>
      <c r="BO2" s="554" t="s">
        <v>3725</v>
      </c>
      <c r="BP2" s="554" t="s">
        <v>3726</v>
      </c>
      <c r="BQ2" s="554" t="s">
        <v>3727</v>
      </c>
      <c r="BR2" s="554" t="s">
        <v>3728</v>
      </c>
      <c r="BS2" s="555" t="s">
        <v>3729</v>
      </c>
      <c r="BT2" s="553" t="s">
        <v>3738</v>
      </c>
      <c r="BU2" s="555" t="s">
        <v>3730</v>
      </c>
      <c r="BV2" s="1331"/>
      <c r="BW2" s="556" t="s">
        <v>3903</v>
      </c>
      <c r="BX2" s="542"/>
      <c r="BY2" s="556" t="s">
        <v>5029</v>
      </c>
      <c r="BZ2" s="542"/>
      <c r="CA2" s="542" t="s">
        <v>20</v>
      </c>
      <c r="CB2" s="542" t="s">
        <v>21</v>
      </c>
      <c r="CC2" s="542" t="s">
        <v>22</v>
      </c>
      <c r="CD2" s="542" t="s">
        <v>23</v>
      </c>
      <c r="CE2" s="542" t="s">
        <v>24</v>
      </c>
      <c r="CF2" s="542" t="s">
        <v>4984</v>
      </c>
      <c r="CG2" s="542" t="s">
        <v>4979</v>
      </c>
      <c r="CH2" s="543">
        <v>1</v>
      </c>
      <c r="CI2" s="543">
        <v>2</v>
      </c>
      <c r="CJ2" s="543">
        <v>3</v>
      </c>
      <c r="CK2" s="543">
        <v>4</v>
      </c>
      <c r="CL2" s="543">
        <v>5</v>
      </c>
      <c r="CM2" s="543">
        <v>6</v>
      </c>
      <c r="CN2" s="543">
        <v>7</v>
      </c>
      <c r="CO2" s="543">
        <v>8</v>
      </c>
      <c r="CP2" s="543">
        <v>9</v>
      </c>
      <c r="CQ2" s="543">
        <v>10</v>
      </c>
      <c r="CR2" s="543">
        <v>11</v>
      </c>
      <c r="CS2" s="543">
        <v>12</v>
      </c>
      <c r="CT2" s="543">
        <v>13</v>
      </c>
      <c r="CU2" s="543">
        <v>14</v>
      </c>
      <c r="CV2" s="543">
        <v>15</v>
      </c>
      <c r="CW2" s="543">
        <v>16</v>
      </c>
      <c r="CX2" s="543">
        <v>17</v>
      </c>
      <c r="CY2" s="543">
        <v>18</v>
      </c>
      <c r="CZ2" s="543">
        <v>19</v>
      </c>
      <c r="DA2" s="543">
        <v>20</v>
      </c>
      <c r="DB2" s="546" t="s">
        <v>62</v>
      </c>
    </row>
    <row r="3" spans="1:106" x14ac:dyDescent="0.25">
      <c r="A3" s="257">
        <f>IF(B3="","",1)</f>
        <v>1</v>
      </c>
      <c r="B3" s="180" t="s">
        <v>619</v>
      </c>
      <c r="C3" s="299" t="s">
        <v>6024</v>
      </c>
      <c r="D3" s="180">
        <v>12</v>
      </c>
      <c r="E3" s="159" t="s">
        <v>7101</v>
      </c>
      <c r="F3" s="412" t="s">
        <v>6036</v>
      </c>
      <c r="G3" s="180" t="s">
        <v>4999</v>
      </c>
      <c r="H3" s="180" t="s">
        <v>5005</v>
      </c>
      <c r="I3" s="180" t="s">
        <v>1117</v>
      </c>
      <c r="J3" s="180" t="s">
        <v>1117</v>
      </c>
      <c r="K3" s="180" t="s">
        <v>1117</v>
      </c>
      <c r="L3" s="180" t="s">
        <v>1117</v>
      </c>
      <c r="M3" s="180" t="s">
        <v>5014</v>
      </c>
      <c r="N3" s="180">
        <v>2</v>
      </c>
      <c r="O3" s="292" t="str">
        <f>IF(P3="Str","Strength",IF(P3="Dex","Dexterity",IF(P3="Con","Constitution",IF(P3="Int","Intelligence",IF(P3="Wis","Wisdom",IF(P3="Cha","Charisma;"""))))))&amp;", "&amp;IF(Q3="Str","Strength",IF(Q3="Dex","Dexterity",IF(Q3="Con","Constitution",IF(Q3="Int","Intelligence",IF(Q3="Wis","Wisdom",IF(Q3="Cha","Charisma",""))))))</f>
        <v>Strength, Constitution</v>
      </c>
      <c r="P3" s="159" t="s">
        <v>3</v>
      </c>
      <c r="Q3" s="180" t="s">
        <v>5</v>
      </c>
      <c r="R3" s="159"/>
      <c r="S3" s="259" t="s">
        <v>3589</v>
      </c>
      <c r="T3" s="256"/>
      <c r="U3" s="260"/>
      <c r="V3" s="259" t="s">
        <v>1071</v>
      </c>
      <c r="W3" s="256" t="s">
        <v>1071</v>
      </c>
      <c r="X3" s="260" t="s">
        <v>1071</v>
      </c>
      <c r="Y3" s="264"/>
      <c r="Z3" s="262"/>
      <c r="AA3" s="256"/>
      <c r="AB3" s="256"/>
      <c r="AC3" s="256"/>
      <c r="AD3" s="256"/>
      <c r="AE3" s="260"/>
      <c r="AF3" s="159" t="s">
        <v>35</v>
      </c>
      <c r="AG3" s="159" t="s">
        <v>125</v>
      </c>
      <c r="AH3" s="159" t="s">
        <v>127</v>
      </c>
      <c r="AI3" s="159" t="s">
        <v>130</v>
      </c>
      <c r="AJ3" s="159" t="s">
        <v>132</v>
      </c>
      <c r="AK3" s="159" t="s">
        <v>134</v>
      </c>
      <c r="AL3" s="159" t="s">
        <v>140</v>
      </c>
      <c r="AM3" s="159" t="s">
        <v>50</v>
      </c>
      <c r="AN3" s="159" t="s">
        <v>144</v>
      </c>
      <c r="AO3" s="159" t="s">
        <v>145</v>
      </c>
      <c r="AP3" s="159" t="s">
        <v>146</v>
      </c>
      <c r="AQ3" s="159" t="s">
        <v>147</v>
      </c>
      <c r="AR3" s="159" t="s">
        <v>149</v>
      </c>
      <c r="AS3" s="159" t="s">
        <v>151</v>
      </c>
      <c r="AT3" s="159" t="s">
        <v>51</v>
      </c>
      <c r="AU3" s="159" t="s">
        <v>156</v>
      </c>
      <c r="AV3" s="159" t="s">
        <v>158</v>
      </c>
      <c r="AW3" s="159" t="s">
        <v>38</v>
      </c>
      <c r="AX3" s="159" t="s">
        <v>159</v>
      </c>
      <c r="AY3" s="180"/>
      <c r="AZ3" s="159" t="s">
        <v>1071</v>
      </c>
      <c r="BA3" s="159"/>
      <c r="BB3" s="159"/>
      <c r="BC3" s="159"/>
      <c r="BD3" s="159"/>
      <c r="BE3" s="159"/>
      <c r="BF3" s="159"/>
      <c r="BG3" s="159"/>
      <c r="BH3" s="159"/>
      <c r="BI3" s="159"/>
      <c r="BJ3" s="159"/>
      <c r="BK3" s="159"/>
      <c r="BL3" s="159"/>
      <c r="BM3" s="159"/>
      <c r="BN3" s="159"/>
      <c r="BO3" s="159"/>
      <c r="BP3" s="159"/>
      <c r="BQ3" s="159"/>
      <c r="BR3" s="159"/>
      <c r="BS3" s="180"/>
      <c r="BT3" s="159"/>
      <c r="BU3" s="180"/>
      <c r="BV3" s="180" t="s">
        <v>2245</v>
      </c>
      <c r="BW3" s="287" t="s">
        <v>93</v>
      </c>
      <c r="BX3" s="159"/>
      <c r="BY3" s="287" t="s">
        <v>5022</v>
      </c>
      <c r="BZ3" s="414"/>
      <c r="CA3" s="159"/>
      <c r="CB3" s="159"/>
      <c r="CC3" s="159"/>
      <c r="CD3" s="159"/>
      <c r="CE3" s="159"/>
      <c r="CF3" s="159"/>
      <c r="CG3" s="180"/>
      <c r="CH3" s="159" t="s">
        <v>5351</v>
      </c>
      <c r="CI3" s="159" t="s">
        <v>5030</v>
      </c>
      <c r="CJ3" s="159" t="s">
        <v>5347</v>
      </c>
      <c r="CK3" s="159" t="s">
        <v>5031</v>
      </c>
      <c r="CL3" s="159" t="s">
        <v>5032</v>
      </c>
      <c r="CM3" s="159" t="s">
        <v>5176</v>
      </c>
      <c r="CN3" s="159" t="s">
        <v>5033</v>
      </c>
      <c r="CO3" s="159" t="s">
        <v>5031</v>
      </c>
      <c r="CP3" s="159" t="s">
        <v>5034</v>
      </c>
      <c r="CQ3" s="159" t="s">
        <v>5177</v>
      </c>
      <c r="CR3" s="159" t="s">
        <v>5035</v>
      </c>
      <c r="CS3" s="159" t="s">
        <v>5031</v>
      </c>
      <c r="CT3" s="159" t="s">
        <v>5034</v>
      </c>
      <c r="CU3" s="159" t="s">
        <v>5178</v>
      </c>
      <c r="CV3" s="159" t="s">
        <v>5036</v>
      </c>
      <c r="CW3" s="159" t="s">
        <v>5031</v>
      </c>
      <c r="CX3" s="159" t="s">
        <v>5034</v>
      </c>
      <c r="CY3" s="159" t="s">
        <v>5037</v>
      </c>
      <c r="CZ3" s="159" t="s">
        <v>5031</v>
      </c>
      <c r="DA3" s="159" t="s">
        <v>5038</v>
      </c>
      <c r="DB3">
        <v>3</v>
      </c>
    </row>
    <row r="4" spans="1:106" x14ac:dyDescent="0.25">
      <c r="A4" s="257">
        <f>IF(B4="","",A3+1)</f>
        <v>2</v>
      </c>
      <c r="B4" s="180" t="s">
        <v>1112</v>
      </c>
      <c r="C4" s="299" t="s">
        <v>6025</v>
      </c>
      <c r="D4" s="180">
        <v>8</v>
      </c>
      <c r="E4" s="412" t="s">
        <v>7102</v>
      </c>
      <c r="F4" s="412" t="s">
        <v>6037</v>
      </c>
      <c r="G4" s="180" t="s">
        <v>5000</v>
      </c>
      <c r="H4" s="180" t="s">
        <v>5006</v>
      </c>
      <c r="I4" s="180" t="s">
        <v>3777</v>
      </c>
      <c r="J4" s="180" t="s">
        <v>3777</v>
      </c>
      <c r="K4" s="180"/>
      <c r="L4" s="180">
        <v>3</v>
      </c>
      <c r="M4" s="180" t="s">
        <v>5010</v>
      </c>
      <c r="N4" s="180">
        <v>3</v>
      </c>
      <c r="O4" s="292" t="str">
        <f t="shared" ref="O4:O67" si="0">IF(P4="Str","Strength",IF(P4="Dex","Dexterity",IF(P4="Con","Constitution",IF(P4="Int","Intelligence",IF(P4="Wis","Wisdom",IF(P4="Cha","Charisma;"""))))))&amp;", "&amp;IF(Q4="Str","Strength",IF(Q4="Dex","Dexterity",IF(Q4="Con","Constitution",IF(Q4="Int","Intelligence",IF(Q4="Wis","Wisdom",IF(Q4="Cha","Charisma",""))))))</f>
        <v>Dexterity, Charisma</v>
      </c>
      <c r="P4" s="159" t="s">
        <v>4</v>
      </c>
      <c r="Q4" s="180" t="s">
        <v>8</v>
      </c>
      <c r="R4" s="159"/>
      <c r="S4" s="198" t="s">
        <v>3592</v>
      </c>
      <c r="T4" s="6" t="s">
        <v>3648</v>
      </c>
      <c r="U4" s="261"/>
      <c r="V4" s="198" t="s">
        <v>3594</v>
      </c>
      <c r="W4" s="6"/>
      <c r="X4" s="261"/>
      <c r="Y4" s="265" t="s">
        <v>3593</v>
      </c>
      <c r="Z4" s="263" t="s">
        <v>3595</v>
      </c>
      <c r="AA4" s="6">
        <v>1</v>
      </c>
      <c r="AB4" s="6"/>
      <c r="AC4" s="6"/>
      <c r="AD4" s="6"/>
      <c r="AE4" s="261"/>
      <c r="AF4" s="159" t="s">
        <v>119</v>
      </c>
      <c r="AG4" s="159" t="s">
        <v>123</v>
      </c>
      <c r="AH4" s="159" t="s">
        <v>124</v>
      </c>
      <c r="AI4" s="159" t="s">
        <v>129</v>
      </c>
      <c r="AJ4" s="159" t="s">
        <v>36</v>
      </c>
      <c r="AK4" s="159" t="s">
        <v>138</v>
      </c>
      <c r="AL4" s="159" t="s">
        <v>142</v>
      </c>
      <c r="AM4" s="159" t="s">
        <v>143</v>
      </c>
      <c r="AN4" s="159" t="s">
        <v>148</v>
      </c>
      <c r="AO4" s="159" t="s">
        <v>152</v>
      </c>
      <c r="AP4" s="159" t="s">
        <v>155</v>
      </c>
      <c r="AQ4" s="159" t="s">
        <v>149</v>
      </c>
      <c r="AR4" s="159" t="s">
        <v>50</v>
      </c>
      <c r="AS4" s="159"/>
      <c r="AT4" s="159"/>
      <c r="AU4" s="159"/>
      <c r="AV4" s="159"/>
      <c r="AW4" s="159"/>
      <c r="AX4" s="159"/>
      <c r="AY4" s="180"/>
      <c r="AZ4" s="159" t="s">
        <v>1071</v>
      </c>
      <c r="BA4" s="159"/>
      <c r="BB4" s="159"/>
      <c r="BC4" s="159"/>
      <c r="BD4" s="159"/>
      <c r="BE4" s="159"/>
      <c r="BF4" s="159"/>
      <c r="BG4" s="159"/>
      <c r="BH4" s="159"/>
      <c r="BI4" s="159"/>
      <c r="BJ4" s="159"/>
      <c r="BK4" s="159"/>
      <c r="BL4" s="159"/>
      <c r="BM4" s="159"/>
      <c r="BN4" s="159"/>
      <c r="BO4" s="159"/>
      <c r="BP4" s="159"/>
      <c r="BQ4" s="159"/>
      <c r="BR4" s="159"/>
      <c r="BS4" s="180"/>
      <c r="BT4" s="159"/>
      <c r="BU4" s="180"/>
      <c r="BV4" s="180" t="s">
        <v>2244</v>
      </c>
      <c r="BW4" s="288" t="s">
        <v>3771</v>
      </c>
      <c r="BX4" s="159"/>
      <c r="BY4" s="288" t="s">
        <v>5023</v>
      </c>
      <c r="BZ4" s="414"/>
      <c r="CA4" s="159" t="s">
        <v>3909</v>
      </c>
      <c r="CB4" s="159"/>
      <c r="CC4" s="159"/>
      <c r="CD4" s="159"/>
      <c r="CE4" s="159"/>
      <c r="CF4" s="159" t="s">
        <v>3910</v>
      </c>
      <c r="CG4" s="159" t="s">
        <v>3911</v>
      </c>
      <c r="CH4" s="159" t="s">
        <v>5171</v>
      </c>
      <c r="CI4" s="159" t="s">
        <v>5039</v>
      </c>
      <c r="CJ4" s="159" t="s">
        <v>7154</v>
      </c>
      <c r="CK4" s="159" t="s">
        <v>5031</v>
      </c>
      <c r="CL4" s="159" t="s">
        <v>5040</v>
      </c>
      <c r="CM4" s="159" t="s">
        <v>5165</v>
      </c>
      <c r="CN4" s="159" t="s">
        <v>3857</v>
      </c>
      <c r="CO4" s="159" t="s">
        <v>5031</v>
      </c>
      <c r="CP4" s="159" t="s">
        <v>5041</v>
      </c>
      <c r="CQ4" s="159" t="s">
        <v>5042</v>
      </c>
      <c r="CR4" s="159" t="s">
        <v>3857</v>
      </c>
      <c r="CS4" s="159" t="s">
        <v>5031</v>
      </c>
      <c r="CT4" s="159" t="s">
        <v>5041</v>
      </c>
      <c r="CU4" s="159" t="s">
        <v>5166</v>
      </c>
      <c r="CV4" s="159" t="s">
        <v>5043</v>
      </c>
      <c r="CW4" s="159" t="s">
        <v>5031</v>
      </c>
      <c r="CX4" s="159" t="s">
        <v>5041</v>
      </c>
      <c r="CY4" s="159" t="s">
        <v>5044</v>
      </c>
      <c r="CZ4" s="159" t="s">
        <v>5031</v>
      </c>
      <c r="DA4" s="159" t="s">
        <v>5045</v>
      </c>
      <c r="DB4">
        <v>3</v>
      </c>
    </row>
    <row r="5" spans="1:106" x14ac:dyDescent="0.25">
      <c r="A5" s="257">
        <f t="shared" ref="A5:A68" si="1">IF(B5="","",A4+1)</f>
        <v>3</v>
      </c>
      <c r="B5" s="180" t="s">
        <v>620</v>
      </c>
      <c r="C5" s="299" t="s">
        <v>6026</v>
      </c>
      <c r="D5" s="180">
        <v>8</v>
      </c>
      <c r="E5" s="412" t="s">
        <v>7103</v>
      </c>
      <c r="F5" s="412" t="s">
        <v>6037</v>
      </c>
      <c r="G5" s="180" t="s">
        <v>3907</v>
      </c>
      <c r="H5" s="180" t="s">
        <v>5005</v>
      </c>
      <c r="I5" s="180" t="s">
        <v>1117</v>
      </c>
      <c r="J5" s="180" t="s">
        <v>1117</v>
      </c>
      <c r="K5" s="180" t="s">
        <v>1117</v>
      </c>
      <c r="L5" s="180" t="s">
        <v>1117</v>
      </c>
      <c r="M5" s="180" t="s">
        <v>5015</v>
      </c>
      <c r="N5" s="180">
        <v>2</v>
      </c>
      <c r="O5" s="292" t="str">
        <f t="shared" si="0"/>
        <v>Wisdom, Charisma</v>
      </c>
      <c r="P5" s="159" t="s">
        <v>7</v>
      </c>
      <c r="Q5" s="180" t="s">
        <v>8</v>
      </c>
      <c r="R5" s="159"/>
      <c r="S5" s="198" t="s">
        <v>3598</v>
      </c>
      <c r="T5" s="6" t="s">
        <v>3589</v>
      </c>
      <c r="U5" s="261"/>
      <c r="V5" s="198" t="s">
        <v>3594</v>
      </c>
      <c r="W5" s="6" t="s">
        <v>3596</v>
      </c>
      <c r="X5" s="261" t="s">
        <v>3597</v>
      </c>
      <c r="Y5" s="265" t="s">
        <v>3547</v>
      </c>
      <c r="Z5" s="263" t="s">
        <v>3614</v>
      </c>
      <c r="AA5" s="6">
        <v>1</v>
      </c>
      <c r="AB5" s="6"/>
      <c r="AC5" s="6"/>
      <c r="AD5" s="6"/>
      <c r="AE5" s="261"/>
      <c r="AF5" s="159" t="s">
        <v>143</v>
      </c>
      <c r="AG5" s="159" t="s">
        <v>38</v>
      </c>
      <c r="AH5" s="159"/>
      <c r="AI5" s="159"/>
      <c r="AJ5" s="159"/>
      <c r="AK5" s="159"/>
      <c r="AL5" s="159"/>
      <c r="AM5" s="159"/>
      <c r="AN5" s="159"/>
      <c r="AO5" s="159"/>
      <c r="AP5" s="159"/>
      <c r="AQ5" s="159"/>
      <c r="AR5" s="159"/>
      <c r="AS5" s="159"/>
      <c r="AT5" s="159"/>
      <c r="AU5" s="159"/>
      <c r="AV5" s="159"/>
      <c r="AW5" s="159"/>
      <c r="AX5" s="159"/>
      <c r="AY5" s="180"/>
      <c r="AZ5" s="159" t="s">
        <v>119</v>
      </c>
      <c r="BA5" s="159" t="s">
        <v>123</v>
      </c>
      <c r="BB5" s="159" t="s">
        <v>124</v>
      </c>
      <c r="BC5" s="159" t="s">
        <v>129</v>
      </c>
      <c r="BD5" s="159" t="s">
        <v>36</v>
      </c>
      <c r="BE5" s="159" t="s">
        <v>138</v>
      </c>
      <c r="BF5" s="159" t="s">
        <v>141</v>
      </c>
      <c r="BG5" s="159" t="s">
        <v>142</v>
      </c>
      <c r="BH5" s="159" t="s">
        <v>143</v>
      </c>
      <c r="BI5" s="159" t="s">
        <v>148</v>
      </c>
      <c r="BJ5" s="159" t="s">
        <v>52</v>
      </c>
      <c r="BK5" s="159" t="s">
        <v>152</v>
      </c>
      <c r="BL5" s="159" t="s">
        <v>153</v>
      </c>
      <c r="BM5" s="159" t="s">
        <v>155</v>
      </c>
      <c r="BN5" s="159"/>
      <c r="BO5" s="159"/>
      <c r="BP5" s="159"/>
      <c r="BQ5" s="159"/>
      <c r="BR5" s="159"/>
      <c r="BS5" s="180"/>
      <c r="BT5" s="159"/>
      <c r="BU5" s="180"/>
      <c r="BV5" s="180" t="s">
        <v>2246</v>
      </c>
      <c r="BW5" s="288" t="s">
        <v>3772</v>
      </c>
      <c r="BX5" s="159"/>
      <c r="BY5" s="288" t="s">
        <v>5024</v>
      </c>
      <c r="BZ5" s="414"/>
      <c r="CA5" s="159" t="s">
        <v>3909</v>
      </c>
      <c r="CB5" s="159" t="s">
        <v>3912</v>
      </c>
      <c r="CC5" s="159" t="s">
        <v>3913</v>
      </c>
      <c r="CD5" s="159"/>
      <c r="CE5" s="159"/>
      <c r="CF5" s="159"/>
      <c r="CG5" s="180"/>
      <c r="CH5" s="159" t="s">
        <v>5179</v>
      </c>
      <c r="CI5" s="159" t="s">
        <v>5180</v>
      </c>
      <c r="CJ5" s="159" t="s">
        <v>3857</v>
      </c>
      <c r="CK5" s="159" t="s">
        <v>5031</v>
      </c>
      <c r="CL5" s="159" t="s">
        <v>5046</v>
      </c>
      <c r="CM5" s="159" t="s">
        <v>5181</v>
      </c>
      <c r="CN5" s="159" t="s">
        <v>3857</v>
      </c>
      <c r="CO5" s="159" t="s">
        <v>5182</v>
      </c>
      <c r="CP5" s="159" t="s">
        <v>3857</v>
      </c>
      <c r="CQ5" s="159" t="s">
        <v>5047</v>
      </c>
      <c r="CR5" s="159" t="s">
        <v>5046</v>
      </c>
      <c r="CS5" s="159" t="s">
        <v>5031</v>
      </c>
      <c r="CT5" s="159" t="s">
        <v>3857</v>
      </c>
      <c r="CU5" s="159" t="s">
        <v>5046</v>
      </c>
      <c r="CV5" s="159" t="s">
        <v>3857</v>
      </c>
      <c r="CW5" s="159" t="s">
        <v>5031</v>
      </c>
      <c r="CX5" s="159" t="s">
        <v>5183</v>
      </c>
      <c r="CY5" s="159" t="s">
        <v>5048</v>
      </c>
      <c r="CZ5" s="159" t="s">
        <v>5031</v>
      </c>
      <c r="DA5" s="159" t="s">
        <v>5049</v>
      </c>
      <c r="DB5">
        <v>1</v>
      </c>
    </row>
    <row r="6" spans="1:106" x14ac:dyDescent="0.25">
      <c r="A6" s="257">
        <f t="shared" si="1"/>
        <v>4</v>
      </c>
      <c r="B6" s="180" t="s">
        <v>621</v>
      </c>
      <c r="C6" s="299" t="s">
        <v>6027</v>
      </c>
      <c r="D6" s="180">
        <v>8</v>
      </c>
      <c r="E6" s="412" t="s">
        <v>7104</v>
      </c>
      <c r="F6" s="412" t="s">
        <v>6036</v>
      </c>
      <c r="G6" s="180" t="s">
        <v>5001</v>
      </c>
      <c r="H6" s="180" t="s">
        <v>5005</v>
      </c>
      <c r="I6" s="180" t="s">
        <v>1119</v>
      </c>
      <c r="J6" s="180" t="s">
        <v>1119</v>
      </c>
      <c r="K6" s="180" t="s">
        <v>1117</v>
      </c>
      <c r="L6" s="180">
        <v>1</v>
      </c>
      <c r="M6" s="180" t="s">
        <v>5016</v>
      </c>
      <c r="N6" s="180">
        <v>2</v>
      </c>
      <c r="O6" s="292" t="str">
        <f t="shared" si="0"/>
        <v>Intelligence, Wisdom</v>
      </c>
      <c r="P6" s="159" t="s">
        <v>6</v>
      </c>
      <c r="Q6" s="180" t="s">
        <v>7</v>
      </c>
      <c r="R6" s="159"/>
      <c r="S6" s="198" t="s">
        <v>3589</v>
      </c>
      <c r="T6" s="6"/>
      <c r="U6" s="261"/>
      <c r="V6" s="198" t="s">
        <v>3594</v>
      </c>
      <c r="W6" s="6"/>
      <c r="X6" s="261"/>
      <c r="Y6" s="265" t="s">
        <v>3599</v>
      </c>
      <c r="Z6" s="198"/>
      <c r="AA6" s="6"/>
      <c r="AB6" s="6"/>
      <c r="AC6" s="6"/>
      <c r="AD6" s="6"/>
      <c r="AE6" s="261"/>
      <c r="AF6" s="159" t="s">
        <v>119</v>
      </c>
      <c r="AG6" s="159" t="s">
        <v>123</v>
      </c>
      <c r="AH6" s="159" t="s">
        <v>124</v>
      </c>
      <c r="AI6" s="159" t="s">
        <v>129</v>
      </c>
      <c r="AJ6" s="159" t="s">
        <v>36</v>
      </c>
      <c r="AK6" s="159" t="s">
        <v>138</v>
      </c>
      <c r="AL6" s="159" t="s">
        <v>142</v>
      </c>
      <c r="AM6" s="159" t="s">
        <v>143</v>
      </c>
      <c r="AN6" s="159" t="s">
        <v>148</v>
      </c>
      <c r="AO6" s="159" t="s">
        <v>152</v>
      </c>
      <c r="AP6" s="159" t="s">
        <v>155</v>
      </c>
      <c r="AQ6" s="159" t="s">
        <v>151</v>
      </c>
      <c r="AR6" s="159"/>
      <c r="AS6" s="159"/>
      <c r="AT6" s="159"/>
      <c r="AU6" s="159"/>
      <c r="AV6" s="159"/>
      <c r="AW6" s="159"/>
      <c r="AX6" s="159"/>
      <c r="AY6" s="180"/>
      <c r="AZ6" s="159" t="s">
        <v>119</v>
      </c>
      <c r="BA6" s="159" t="s">
        <v>123</v>
      </c>
      <c r="BB6" s="159" t="s">
        <v>124</v>
      </c>
      <c r="BC6" s="159" t="s">
        <v>129</v>
      </c>
      <c r="BD6" s="159" t="s">
        <v>36</v>
      </c>
      <c r="BE6" s="159" t="s">
        <v>138</v>
      </c>
      <c r="BF6" s="159" t="s">
        <v>141</v>
      </c>
      <c r="BG6" s="159" t="s">
        <v>142</v>
      </c>
      <c r="BH6" s="159" t="s">
        <v>143</v>
      </c>
      <c r="BI6" s="159" t="s">
        <v>148</v>
      </c>
      <c r="BJ6" s="159" t="s">
        <v>52</v>
      </c>
      <c r="BK6" s="159" t="s">
        <v>152</v>
      </c>
      <c r="BL6" s="159" t="s">
        <v>153</v>
      </c>
      <c r="BM6" s="159" t="s">
        <v>155</v>
      </c>
      <c r="BN6" s="159" t="s">
        <v>110</v>
      </c>
      <c r="BO6" s="159"/>
      <c r="BP6" s="159"/>
      <c r="BQ6" s="159"/>
      <c r="BR6" s="159"/>
      <c r="BS6" s="180"/>
      <c r="BT6" s="159"/>
      <c r="BU6" s="180"/>
      <c r="BV6" s="180" t="s">
        <v>2247</v>
      </c>
      <c r="BW6" s="288" t="s">
        <v>3772</v>
      </c>
      <c r="BX6" s="159"/>
      <c r="BY6" s="288" t="s">
        <v>5024</v>
      </c>
      <c r="BZ6" s="414"/>
      <c r="CA6" s="159" t="s">
        <v>3909</v>
      </c>
      <c r="CB6" s="159" t="s">
        <v>3912</v>
      </c>
      <c r="CC6" s="159" t="s">
        <v>3913</v>
      </c>
      <c r="CD6" s="159"/>
      <c r="CE6" s="159"/>
      <c r="CF6" s="159"/>
      <c r="CG6" s="180"/>
      <c r="CH6" s="159" t="s">
        <v>5184</v>
      </c>
      <c r="CI6" s="159" t="s">
        <v>5050</v>
      </c>
      <c r="CJ6" t="s">
        <v>5325</v>
      </c>
      <c r="CK6" s="159" t="s">
        <v>5051</v>
      </c>
      <c r="CL6" s="159" t="s">
        <v>3857</v>
      </c>
      <c r="CM6" s="159" t="s">
        <v>5185</v>
      </c>
      <c r="CN6" s="159" t="s">
        <v>3857</v>
      </c>
      <c r="CO6" s="159" t="s">
        <v>5051</v>
      </c>
      <c r="CP6" s="159" t="s">
        <v>3857</v>
      </c>
      <c r="CQ6" s="159" t="s">
        <v>5186</v>
      </c>
      <c r="CR6" s="159" t="s">
        <v>3857</v>
      </c>
      <c r="CS6" s="159" t="s">
        <v>5031</v>
      </c>
      <c r="CT6" s="159" t="s">
        <v>3857</v>
      </c>
      <c r="CU6" s="159" t="s">
        <v>5187</v>
      </c>
      <c r="CV6" s="159" t="s">
        <v>3857</v>
      </c>
      <c r="CW6" s="159" t="s">
        <v>5031</v>
      </c>
      <c r="CX6" s="159" t="s">
        <v>3857</v>
      </c>
      <c r="CY6" s="159" t="s">
        <v>5052</v>
      </c>
      <c r="CZ6" s="159" t="s">
        <v>5031</v>
      </c>
      <c r="DA6" s="159" t="s">
        <v>5053</v>
      </c>
      <c r="DB6">
        <v>2</v>
      </c>
    </row>
    <row r="7" spans="1:106" x14ac:dyDescent="0.25">
      <c r="A7" s="257">
        <f t="shared" si="1"/>
        <v>5</v>
      </c>
      <c r="B7" s="392" t="s">
        <v>622</v>
      </c>
      <c r="C7" s="393" t="s">
        <v>6028</v>
      </c>
      <c r="D7" s="392">
        <v>10</v>
      </c>
      <c r="E7" s="412" t="s">
        <v>7105</v>
      </c>
      <c r="F7" s="412" t="s">
        <v>6037</v>
      </c>
      <c r="G7" s="392" t="s">
        <v>5002</v>
      </c>
      <c r="H7" s="392" t="s">
        <v>5007</v>
      </c>
      <c r="I7" s="392" t="s">
        <v>1117</v>
      </c>
      <c r="J7" s="392" t="s">
        <v>1117</v>
      </c>
      <c r="K7" s="392" t="s">
        <v>1117</v>
      </c>
      <c r="L7" s="392" t="s">
        <v>1117</v>
      </c>
      <c r="M7" s="392" t="s">
        <v>5011</v>
      </c>
      <c r="N7" s="392">
        <v>2</v>
      </c>
      <c r="O7" s="394" t="str">
        <f t="shared" si="0"/>
        <v>Strength, Constitution</v>
      </c>
      <c r="P7" s="394" t="s">
        <v>3</v>
      </c>
      <c r="Q7" s="392" t="s">
        <v>5</v>
      </c>
      <c r="R7" s="394"/>
      <c r="S7" s="395" t="s">
        <v>3600</v>
      </c>
      <c r="T7" s="396" t="s">
        <v>3589</v>
      </c>
      <c r="U7" s="397"/>
      <c r="V7" s="395" t="s">
        <v>3594</v>
      </c>
      <c r="W7" s="396" t="s">
        <v>3597</v>
      </c>
      <c r="X7" s="397"/>
      <c r="Y7" s="398"/>
      <c r="Z7" s="395"/>
      <c r="AA7" s="396"/>
      <c r="AB7" s="396"/>
      <c r="AC7" s="396"/>
      <c r="AD7" s="396"/>
      <c r="AE7" s="397"/>
      <c r="AF7" s="394" t="s">
        <v>35</v>
      </c>
      <c r="AG7" s="394" t="s">
        <v>125</v>
      </c>
      <c r="AH7" s="394" t="s">
        <v>127</v>
      </c>
      <c r="AI7" s="394" t="s">
        <v>130</v>
      </c>
      <c r="AJ7" s="394" t="s">
        <v>132</v>
      </c>
      <c r="AK7" s="394" t="s">
        <v>134</v>
      </c>
      <c r="AL7" s="394" t="s">
        <v>140</v>
      </c>
      <c r="AM7" s="394" t="s">
        <v>50</v>
      </c>
      <c r="AN7" s="394" t="s">
        <v>144</v>
      </c>
      <c r="AO7" s="394" t="s">
        <v>145</v>
      </c>
      <c r="AP7" s="394" t="s">
        <v>146</v>
      </c>
      <c r="AQ7" s="394" t="s">
        <v>147</v>
      </c>
      <c r="AR7" s="394" t="s">
        <v>149</v>
      </c>
      <c r="AS7" s="394" t="s">
        <v>151</v>
      </c>
      <c r="AT7" s="394" t="s">
        <v>51</v>
      </c>
      <c r="AU7" s="394" t="s">
        <v>156</v>
      </c>
      <c r="AV7" s="394" t="s">
        <v>158</v>
      </c>
      <c r="AW7" s="394" t="s">
        <v>38</v>
      </c>
      <c r="AX7" s="394" t="s">
        <v>159</v>
      </c>
      <c r="AY7" s="392"/>
      <c r="AZ7" s="394" t="s">
        <v>119</v>
      </c>
      <c r="BA7" s="394" t="s">
        <v>123</v>
      </c>
      <c r="BB7" s="394" t="s">
        <v>124</v>
      </c>
      <c r="BC7" s="394" t="s">
        <v>129</v>
      </c>
      <c r="BD7" s="394" t="s">
        <v>36</v>
      </c>
      <c r="BE7" s="394" t="s">
        <v>138</v>
      </c>
      <c r="BF7" s="394" t="s">
        <v>141</v>
      </c>
      <c r="BG7" s="394" t="s">
        <v>142</v>
      </c>
      <c r="BH7" s="394" t="s">
        <v>143</v>
      </c>
      <c r="BI7" s="394" t="s">
        <v>148</v>
      </c>
      <c r="BJ7" s="394" t="s">
        <v>52</v>
      </c>
      <c r="BK7" s="394" t="s">
        <v>152</v>
      </c>
      <c r="BL7" s="394" t="s">
        <v>153</v>
      </c>
      <c r="BM7" s="394" t="s">
        <v>155</v>
      </c>
      <c r="BN7" s="394"/>
      <c r="BO7" s="394"/>
      <c r="BP7" s="394"/>
      <c r="BQ7" s="394"/>
      <c r="BR7" s="394"/>
      <c r="BS7" s="392"/>
      <c r="BT7" s="394" t="s">
        <v>3594</v>
      </c>
      <c r="BU7" s="397" t="s">
        <v>53</v>
      </c>
      <c r="BV7" s="392" t="s">
        <v>2248</v>
      </c>
      <c r="BW7" s="399" t="s">
        <v>3904</v>
      </c>
      <c r="BX7" s="394"/>
      <c r="BY7" s="399" t="s">
        <v>5025</v>
      </c>
      <c r="BZ7" s="414"/>
      <c r="CA7" s="394" t="s">
        <v>3909</v>
      </c>
      <c r="CB7" s="394" t="s">
        <v>3912</v>
      </c>
      <c r="CC7" s="394" t="s">
        <v>3913</v>
      </c>
      <c r="CD7" s="394" t="s">
        <v>3907</v>
      </c>
      <c r="CE7" s="394" t="s">
        <v>3908</v>
      </c>
      <c r="CF7" s="390"/>
      <c r="CG7" s="392"/>
      <c r="CH7" s="394" t="s">
        <v>5246</v>
      </c>
      <c r="CI7" s="394" t="s">
        <v>5054</v>
      </c>
      <c r="CJ7" s="394" t="s">
        <v>5164</v>
      </c>
      <c r="CK7" s="394" t="s">
        <v>5031</v>
      </c>
      <c r="CL7" s="394" t="s">
        <v>5055</v>
      </c>
      <c r="CM7" s="394" t="s">
        <v>5031</v>
      </c>
      <c r="CN7" s="394" t="s">
        <v>5149</v>
      </c>
      <c r="CO7" s="394" t="s">
        <v>5031</v>
      </c>
      <c r="CP7" s="394" t="s">
        <v>5056</v>
      </c>
      <c r="CQ7" s="394" t="s">
        <v>5150</v>
      </c>
      <c r="CR7" s="394" t="s">
        <v>5057</v>
      </c>
      <c r="CS7" s="394" t="s">
        <v>5031</v>
      </c>
      <c r="CT7" s="394" t="s">
        <v>5056</v>
      </c>
      <c r="CU7" s="394" t="s">
        <v>5031</v>
      </c>
      <c r="CV7" s="394" t="s">
        <v>5151</v>
      </c>
      <c r="CW7" s="394" t="s">
        <v>5031</v>
      </c>
      <c r="CX7" s="394" t="s">
        <v>5058</v>
      </c>
      <c r="CY7" s="394" t="s">
        <v>5152</v>
      </c>
      <c r="CZ7" s="394" t="s">
        <v>5031</v>
      </c>
      <c r="DA7" s="394" t="s">
        <v>5059</v>
      </c>
      <c r="DB7" s="390">
        <v>3</v>
      </c>
    </row>
    <row r="8" spans="1:106" x14ac:dyDescent="0.25">
      <c r="A8" s="257">
        <f t="shared" si="1"/>
        <v>6</v>
      </c>
      <c r="B8" s="180" t="s">
        <v>623</v>
      </c>
      <c r="C8" s="299" t="s">
        <v>6029</v>
      </c>
      <c r="D8" s="180">
        <v>8</v>
      </c>
      <c r="E8" s="607" t="s">
        <v>7106</v>
      </c>
      <c r="F8" s="413" t="s">
        <v>6038</v>
      </c>
      <c r="G8" s="180" t="s">
        <v>5003</v>
      </c>
      <c r="H8" s="180" t="s">
        <v>4031</v>
      </c>
      <c r="I8" s="180" t="s">
        <v>5136</v>
      </c>
      <c r="J8" s="180" t="s">
        <v>3777</v>
      </c>
      <c r="K8" s="180" t="s">
        <v>3557</v>
      </c>
      <c r="L8" s="180">
        <v>1</v>
      </c>
      <c r="M8" s="180" t="s">
        <v>5012</v>
      </c>
      <c r="N8" s="180">
        <v>2</v>
      </c>
      <c r="O8" s="292" t="str">
        <f t="shared" si="0"/>
        <v>Strength, Dexterity</v>
      </c>
      <c r="P8" s="159" t="s">
        <v>3</v>
      </c>
      <c r="Q8" s="180" t="s">
        <v>4</v>
      </c>
      <c r="R8" s="159"/>
      <c r="S8" s="198" t="s">
        <v>3600</v>
      </c>
      <c r="T8" s="6" t="s">
        <v>3589</v>
      </c>
      <c r="U8" s="261"/>
      <c r="V8" s="198" t="s">
        <v>1071</v>
      </c>
      <c r="W8" s="6"/>
      <c r="X8" s="261"/>
      <c r="Y8" s="265"/>
      <c r="Z8" s="198" t="s">
        <v>3615</v>
      </c>
      <c r="AA8" s="6">
        <v>10</v>
      </c>
      <c r="AB8" s="6"/>
      <c r="AC8" s="6"/>
      <c r="AD8" s="6"/>
      <c r="AE8" s="261"/>
      <c r="AF8" s="159" t="s">
        <v>119</v>
      </c>
      <c r="AG8" s="159" t="s">
        <v>123</v>
      </c>
      <c r="AH8" s="159" t="s">
        <v>124</v>
      </c>
      <c r="AI8" s="159" t="s">
        <v>129</v>
      </c>
      <c r="AJ8" s="159" t="s">
        <v>36</v>
      </c>
      <c r="AK8" s="159" t="s">
        <v>138</v>
      </c>
      <c r="AL8" s="159" t="s">
        <v>142</v>
      </c>
      <c r="AM8" s="159" t="s">
        <v>143</v>
      </c>
      <c r="AN8" s="159" t="s">
        <v>148</v>
      </c>
      <c r="AO8" s="159" t="s">
        <v>152</v>
      </c>
      <c r="AP8" s="159" t="s">
        <v>155</v>
      </c>
      <c r="AQ8" s="159" t="s">
        <v>51</v>
      </c>
      <c r="AR8" s="159"/>
      <c r="AS8" s="159"/>
      <c r="AT8" s="159"/>
      <c r="AU8" s="159"/>
      <c r="AV8" s="159"/>
      <c r="AW8" s="159"/>
      <c r="AX8" s="159"/>
      <c r="AY8" s="180"/>
      <c r="AZ8" s="159" t="s">
        <v>1071</v>
      </c>
      <c r="BA8" s="159"/>
      <c r="BB8" s="159"/>
      <c r="BC8" s="159"/>
      <c r="BD8" s="159"/>
      <c r="BE8" s="159"/>
      <c r="BF8" s="159"/>
      <c r="BG8" s="159"/>
      <c r="BH8" s="159"/>
      <c r="BI8" s="159"/>
      <c r="BJ8" s="159"/>
      <c r="BK8" s="159"/>
      <c r="BL8" s="159"/>
      <c r="BM8" s="159"/>
      <c r="BN8" s="159"/>
      <c r="BO8" s="159"/>
      <c r="BP8" s="159"/>
      <c r="BQ8" s="159"/>
      <c r="BR8" s="159"/>
      <c r="BS8" s="180"/>
      <c r="BT8" s="159"/>
      <c r="BU8" s="180"/>
      <c r="BV8" s="180" t="s">
        <v>2250</v>
      </c>
      <c r="BW8" s="288" t="s">
        <v>3905</v>
      </c>
      <c r="BX8" s="159"/>
      <c r="BY8" s="288" t="s">
        <v>5003</v>
      </c>
      <c r="BZ8" s="414"/>
      <c r="CA8" s="159" t="s">
        <v>3907</v>
      </c>
      <c r="CB8" s="159" t="s">
        <v>3914</v>
      </c>
      <c r="CC8" s="159"/>
      <c r="CD8" s="159"/>
      <c r="CE8" s="159"/>
      <c r="CG8" s="180"/>
      <c r="CH8" s="159" t="s">
        <v>5352</v>
      </c>
      <c r="CI8" s="159" t="s">
        <v>5060</v>
      </c>
      <c r="CJ8" s="159" t="s">
        <v>5348</v>
      </c>
      <c r="CK8" s="159" t="s">
        <v>5031</v>
      </c>
      <c r="CL8" s="159" t="s">
        <v>5061</v>
      </c>
      <c r="CM8" s="159" t="s">
        <v>5190</v>
      </c>
      <c r="CN8" s="159" t="s">
        <v>5062</v>
      </c>
      <c r="CO8" s="159" t="s">
        <v>5031</v>
      </c>
      <c r="CP8" s="159" t="s">
        <v>5063</v>
      </c>
      <c r="CQ8" s="159" t="s">
        <v>5064</v>
      </c>
      <c r="CR8" s="159" t="s">
        <v>5189</v>
      </c>
      <c r="CS8" s="159" t="s">
        <v>5031</v>
      </c>
      <c r="CT8" s="159" t="s">
        <v>5065</v>
      </c>
      <c r="CU8" s="159" t="s">
        <v>5066</v>
      </c>
      <c r="CV8" s="159" t="s">
        <v>5067</v>
      </c>
      <c r="CW8" s="159" t="s">
        <v>5031</v>
      </c>
      <c r="CX8" s="159" t="s">
        <v>5188</v>
      </c>
      <c r="CY8" s="159" t="s">
        <v>5068</v>
      </c>
      <c r="CZ8" s="159" t="s">
        <v>5031</v>
      </c>
      <c r="DA8" s="159" t="s">
        <v>5069</v>
      </c>
      <c r="DB8">
        <v>3</v>
      </c>
    </row>
    <row r="9" spans="1:106" x14ac:dyDescent="0.25">
      <c r="A9" s="257">
        <f t="shared" si="1"/>
        <v>7</v>
      </c>
      <c r="B9" s="180" t="s">
        <v>1113</v>
      </c>
      <c r="C9" s="299" t="s">
        <v>6030</v>
      </c>
      <c r="D9" s="180">
        <v>10</v>
      </c>
      <c r="E9" s="412" t="s">
        <v>7107</v>
      </c>
      <c r="F9" s="412" t="s">
        <v>6037</v>
      </c>
      <c r="G9" s="180" t="s">
        <v>5002</v>
      </c>
      <c r="H9" s="180" t="s">
        <v>5007</v>
      </c>
      <c r="I9" s="180" t="s">
        <v>1117</v>
      </c>
      <c r="J9" s="180" t="s">
        <v>1117</v>
      </c>
      <c r="K9" s="180" t="s">
        <v>1117</v>
      </c>
      <c r="L9" s="180" t="s">
        <v>1117</v>
      </c>
      <c r="M9" s="180" t="s">
        <v>5017</v>
      </c>
      <c r="N9" s="180">
        <v>2</v>
      </c>
      <c r="O9" s="292" t="str">
        <f t="shared" si="0"/>
        <v>Wisdom, Charisma</v>
      </c>
      <c r="P9" s="159" t="s">
        <v>7</v>
      </c>
      <c r="Q9" s="180" t="s">
        <v>8</v>
      </c>
      <c r="R9" s="159"/>
      <c r="S9" s="198" t="s">
        <v>3598</v>
      </c>
      <c r="T9" s="6" t="s">
        <v>3589</v>
      </c>
      <c r="U9" s="261"/>
      <c r="V9" s="198" t="s">
        <v>3597</v>
      </c>
      <c r="W9" s="6"/>
      <c r="X9" s="261"/>
      <c r="Y9" s="265" t="s">
        <v>3547</v>
      </c>
      <c r="Z9" s="198"/>
      <c r="AA9" s="6"/>
      <c r="AB9" s="6"/>
      <c r="AC9" s="6"/>
      <c r="AD9" s="6"/>
      <c r="AE9" s="261"/>
      <c r="AF9" s="159" t="s">
        <v>35</v>
      </c>
      <c r="AG9" s="159" t="s">
        <v>125</v>
      </c>
      <c r="AH9" s="159" t="s">
        <v>127</v>
      </c>
      <c r="AI9" s="159" t="s">
        <v>130</v>
      </c>
      <c r="AJ9" s="159" t="s">
        <v>132</v>
      </c>
      <c r="AK9" s="159" t="s">
        <v>134</v>
      </c>
      <c r="AL9" s="159" t="s">
        <v>140</v>
      </c>
      <c r="AM9" s="159" t="s">
        <v>50</v>
      </c>
      <c r="AN9" s="159" t="s">
        <v>144</v>
      </c>
      <c r="AO9" s="159" t="s">
        <v>145</v>
      </c>
      <c r="AP9" s="159" t="s">
        <v>146</v>
      </c>
      <c r="AQ9" s="159" t="s">
        <v>147</v>
      </c>
      <c r="AR9" s="159" t="s">
        <v>149</v>
      </c>
      <c r="AS9" s="159" t="s">
        <v>151</v>
      </c>
      <c r="AT9" s="159" t="s">
        <v>51</v>
      </c>
      <c r="AU9" s="159" t="s">
        <v>156</v>
      </c>
      <c r="AV9" s="159" t="s">
        <v>158</v>
      </c>
      <c r="AW9" s="159" t="s">
        <v>38</v>
      </c>
      <c r="AX9" s="159" t="s">
        <v>159</v>
      </c>
      <c r="AY9" s="180"/>
      <c r="AZ9" s="159" t="s">
        <v>119</v>
      </c>
      <c r="BA9" s="159" t="s">
        <v>123</v>
      </c>
      <c r="BB9" s="159" t="s">
        <v>124</v>
      </c>
      <c r="BC9" s="159" t="s">
        <v>129</v>
      </c>
      <c r="BD9" s="159" t="s">
        <v>36</v>
      </c>
      <c r="BE9" s="159" t="s">
        <v>138</v>
      </c>
      <c r="BF9" s="159" t="s">
        <v>142</v>
      </c>
      <c r="BG9" s="159" t="s">
        <v>143</v>
      </c>
      <c r="BH9" s="159" t="s">
        <v>148</v>
      </c>
      <c r="BI9" s="159" t="s">
        <v>152</v>
      </c>
      <c r="BJ9" s="159" t="s">
        <v>155</v>
      </c>
      <c r="BK9" s="159"/>
      <c r="BL9" s="159"/>
      <c r="BM9" s="159"/>
      <c r="BN9" s="159"/>
      <c r="BO9" s="159"/>
      <c r="BP9" s="159"/>
      <c r="BQ9" s="159"/>
      <c r="BR9" s="159"/>
      <c r="BS9" s="180"/>
      <c r="BT9" s="159"/>
      <c r="BU9" s="180"/>
      <c r="BV9" s="180" t="s">
        <v>2249</v>
      </c>
      <c r="BW9" s="288" t="s">
        <v>3906</v>
      </c>
      <c r="BX9" s="159"/>
      <c r="BY9" s="288" t="s">
        <v>5025</v>
      </c>
      <c r="BZ9" s="414"/>
      <c r="CA9" s="159" t="s">
        <v>3909</v>
      </c>
      <c r="CB9" s="159" t="s">
        <v>3912</v>
      </c>
      <c r="CC9" s="159" t="s">
        <v>3913</v>
      </c>
      <c r="CD9" s="159" t="s">
        <v>3907</v>
      </c>
      <c r="CE9" s="159" t="s">
        <v>3908</v>
      </c>
      <c r="CG9" s="180"/>
      <c r="CH9" s="159" t="s">
        <v>5070</v>
      </c>
      <c r="CI9" s="159" t="s">
        <v>5356</v>
      </c>
      <c r="CJ9" s="159" t="s">
        <v>5349</v>
      </c>
      <c r="CK9" s="159" t="s">
        <v>5031</v>
      </c>
      <c r="CL9" s="159" t="s">
        <v>5055</v>
      </c>
      <c r="CM9" s="159" t="s">
        <v>5071</v>
      </c>
      <c r="CN9" s="159" t="s">
        <v>5191</v>
      </c>
      <c r="CO9" s="159" t="s">
        <v>5031</v>
      </c>
      <c r="CP9" s="159" t="s">
        <v>3857</v>
      </c>
      <c r="CQ9" s="159" t="s">
        <v>5072</v>
      </c>
      <c r="CR9" s="159" t="s">
        <v>5073</v>
      </c>
      <c r="CS9" s="159" t="s">
        <v>5031</v>
      </c>
      <c r="CT9" s="159" t="s">
        <v>3857</v>
      </c>
      <c r="CU9" s="159" t="s">
        <v>5074</v>
      </c>
      <c r="CV9" s="159" t="s">
        <v>5192</v>
      </c>
      <c r="CW9" s="159" t="s">
        <v>5031</v>
      </c>
      <c r="CX9" s="159" t="s">
        <v>3857</v>
      </c>
      <c r="CY9" s="159" t="s">
        <v>5075</v>
      </c>
      <c r="CZ9" s="159" t="s">
        <v>5031</v>
      </c>
      <c r="DA9" s="159" t="s">
        <v>5193</v>
      </c>
      <c r="DB9">
        <v>3</v>
      </c>
    </row>
    <row r="10" spans="1:106" x14ac:dyDescent="0.25">
      <c r="A10" s="257">
        <f t="shared" si="1"/>
        <v>8</v>
      </c>
      <c r="B10" s="180" t="s">
        <v>624</v>
      </c>
      <c r="C10" s="299" t="s">
        <v>6031</v>
      </c>
      <c r="D10" s="180">
        <v>10</v>
      </c>
      <c r="E10" s="412" t="s">
        <v>7108</v>
      </c>
      <c r="F10" s="412" t="s">
        <v>6037</v>
      </c>
      <c r="G10" s="180" t="s">
        <v>5002</v>
      </c>
      <c r="H10" s="180" t="s">
        <v>5005</v>
      </c>
      <c r="I10" s="180" t="s">
        <v>1117</v>
      </c>
      <c r="J10" s="180" t="s">
        <v>1117</v>
      </c>
      <c r="K10" s="180" t="s">
        <v>1117</v>
      </c>
      <c r="L10" s="180" t="s">
        <v>1117</v>
      </c>
      <c r="M10" s="180" t="s">
        <v>5018</v>
      </c>
      <c r="N10" s="180">
        <v>3</v>
      </c>
      <c r="O10" s="292" t="str">
        <f t="shared" si="0"/>
        <v>Strength, Dexterity</v>
      </c>
      <c r="P10" s="159" t="s">
        <v>3</v>
      </c>
      <c r="Q10" s="180" t="s">
        <v>4</v>
      </c>
      <c r="R10" s="159"/>
      <c r="S10" s="198" t="s">
        <v>3600</v>
      </c>
      <c r="T10" s="6" t="s">
        <v>3589</v>
      </c>
      <c r="U10" s="261"/>
      <c r="V10" s="198" t="s">
        <v>3596</v>
      </c>
      <c r="W10" s="6" t="s">
        <v>3594</v>
      </c>
      <c r="X10" s="261"/>
      <c r="Y10" s="265"/>
      <c r="Z10" s="198" t="s">
        <v>3601</v>
      </c>
      <c r="AA10" s="6">
        <v>1</v>
      </c>
      <c r="AB10" s="6"/>
      <c r="AC10" s="6"/>
      <c r="AD10" s="6"/>
      <c r="AE10" s="261"/>
      <c r="AF10" s="159" t="s">
        <v>119</v>
      </c>
      <c r="AG10" s="159" t="s">
        <v>123</v>
      </c>
      <c r="AH10" s="159" t="s">
        <v>124</v>
      </c>
      <c r="AI10" s="159" t="s">
        <v>129</v>
      </c>
      <c r="AJ10" s="159" t="s">
        <v>36</v>
      </c>
      <c r="AK10" s="159" t="s">
        <v>138</v>
      </c>
      <c r="AL10" s="159" t="s">
        <v>142</v>
      </c>
      <c r="AM10" s="159" t="s">
        <v>143</v>
      </c>
      <c r="AN10" s="159" t="s">
        <v>148</v>
      </c>
      <c r="AO10" s="159" t="s">
        <v>152</v>
      </c>
      <c r="AP10" s="159" t="s">
        <v>155</v>
      </c>
      <c r="AQ10" s="159" t="s">
        <v>51</v>
      </c>
      <c r="AR10" s="159"/>
      <c r="AS10" s="159"/>
      <c r="AT10" s="159"/>
      <c r="AU10" s="159"/>
      <c r="AV10" s="159"/>
      <c r="AW10" s="159"/>
      <c r="AX10" s="159"/>
      <c r="AY10" s="180"/>
      <c r="AZ10" s="159" t="s">
        <v>1071</v>
      </c>
      <c r="BA10" s="159" t="s">
        <v>119</v>
      </c>
      <c r="BB10" s="159" t="s">
        <v>123</v>
      </c>
      <c r="BC10" s="159" t="s">
        <v>124</v>
      </c>
      <c r="BD10" s="159" t="s">
        <v>129</v>
      </c>
      <c r="BE10" s="159" t="s">
        <v>36</v>
      </c>
      <c r="BF10" s="159" t="s">
        <v>138</v>
      </c>
      <c r="BG10" s="159" t="s">
        <v>142</v>
      </c>
      <c r="BH10" s="159" t="s">
        <v>143</v>
      </c>
      <c r="BI10" s="159" t="s">
        <v>148</v>
      </c>
      <c r="BJ10" s="159" t="s">
        <v>152</v>
      </c>
      <c r="BK10" s="159" t="s">
        <v>155</v>
      </c>
      <c r="BL10" s="159" t="s">
        <v>51</v>
      </c>
      <c r="BM10" s="159"/>
      <c r="BN10" s="159"/>
      <c r="BO10" s="159"/>
      <c r="BP10" s="159"/>
      <c r="BQ10" s="159"/>
      <c r="BR10" s="159"/>
      <c r="BS10" s="180"/>
      <c r="BT10" s="159"/>
      <c r="BU10" s="180"/>
      <c r="BV10" s="180" t="s">
        <v>2251</v>
      </c>
      <c r="BW10" s="288" t="s">
        <v>3905</v>
      </c>
      <c r="BX10" s="159"/>
      <c r="BY10" s="288" t="s">
        <v>5026</v>
      </c>
      <c r="BZ10" s="414"/>
      <c r="CA10" s="159" t="s">
        <v>3909</v>
      </c>
      <c r="CB10" s="159" t="s">
        <v>3912</v>
      </c>
      <c r="CC10" s="159" t="s">
        <v>3913</v>
      </c>
      <c r="CD10" s="159" t="s">
        <v>3907</v>
      </c>
      <c r="CE10" s="159" t="s">
        <v>3908</v>
      </c>
      <c r="CF10" s="197" t="s">
        <v>3910</v>
      </c>
      <c r="CG10" s="180"/>
      <c r="CH10" s="159" t="s">
        <v>5076</v>
      </c>
      <c r="CI10" s="159" t="s">
        <v>5355</v>
      </c>
      <c r="CJ10" s="159" t="s">
        <v>5361</v>
      </c>
      <c r="CK10" s="159" t="s">
        <v>5031</v>
      </c>
      <c r="CL10" s="159" t="s">
        <v>5055</v>
      </c>
      <c r="CM10" s="159" t="s">
        <v>5076</v>
      </c>
      <c r="CN10" s="159" t="s">
        <v>5196</v>
      </c>
      <c r="CO10" s="159" t="s">
        <v>5575</v>
      </c>
      <c r="CP10" s="159" t="s">
        <v>3857</v>
      </c>
      <c r="CQ10" s="159" t="s">
        <v>5077</v>
      </c>
      <c r="CR10" s="159" t="s">
        <v>5195</v>
      </c>
      <c r="CS10" s="159" t="s">
        <v>5031</v>
      </c>
      <c r="CT10" s="159" t="s">
        <v>3857</v>
      </c>
      <c r="CU10" s="159" t="s">
        <v>5078</v>
      </c>
      <c r="CV10" s="159" t="s">
        <v>5194</v>
      </c>
      <c r="CW10" s="159" t="s">
        <v>5031</v>
      </c>
      <c r="CX10" s="159" t="s">
        <v>3857</v>
      </c>
      <c r="CY10" s="159" t="s">
        <v>5079</v>
      </c>
      <c r="CZ10" s="159" t="s">
        <v>5031</v>
      </c>
      <c r="DA10" s="159" t="s">
        <v>5080</v>
      </c>
      <c r="DB10">
        <v>3</v>
      </c>
    </row>
    <row r="11" spans="1:106" x14ac:dyDescent="0.25">
      <c r="A11" s="257">
        <f t="shared" si="1"/>
        <v>9</v>
      </c>
      <c r="B11" s="180" t="s">
        <v>625</v>
      </c>
      <c r="C11" s="299" t="s">
        <v>6032</v>
      </c>
      <c r="D11" s="180">
        <v>8</v>
      </c>
      <c r="E11" s="412" t="s">
        <v>7109</v>
      </c>
      <c r="F11" s="412" t="s">
        <v>6039</v>
      </c>
      <c r="G11" s="180" t="s">
        <v>5000</v>
      </c>
      <c r="H11" s="180" t="s">
        <v>5006</v>
      </c>
      <c r="I11" s="180" t="s">
        <v>1118</v>
      </c>
      <c r="J11" s="180" t="s">
        <v>1118</v>
      </c>
      <c r="K11" s="180" t="s">
        <v>1117</v>
      </c>
      <c r="L11" s="180">
        <v>1</v>
      </c>
      <c r="M11" s="180" t="s">
        <v>5013</v>
      </c>
      <c r="N11" s="180">
        <v>4</v>
      </c>
      <c r="O11" s="292" t="str">
        <f t="shared" si="0"/>
        <v>Dexterity, Intelligence</v>
      </c>
      <c r="P11" s="159" t="s">
        <v>4</v>
      </c>
      <c r="Q11" s="180" t="s">
        <v>6</v>
      </c>
      <c r="R11" s="159"/>
      <c r="S11" s="198" t="s">
        <v>3602</v>
      </c>
      <c r="T11" s="6" t="s">
        <v>3600</v>
      </c>
      <c r="U11" s="261" t="s">
        <v>3589</v>
      </c>
      <c r="V11" s="198" t="s">
        <v>3594</v>
      </c>
      <c r="W11" s="6"/>
      <c r="X11" s="261"/>
      <c r="Y11" s="265"/>
      <c r="Z11" s="198" t="s">
        <v>3595</v>
      </c>
      <c r="AA11" s="6">
        <v>2</v>
      </c>
      <c r="AB11" s="6" t="s">
        <v>3603</v>
      </c>
      <c r="AC11" s="6">
        <v>1</v>
      </c>
      <c r="AD11" s="6"/>
      <c r="AE11" s="261"/>
      <c r="AF11" s="159" t="s">
        <v>149</v>
      </c>
      <c r="AG11" s="159" t="s">
        <v>51</v>
      </c>
      <c r="AH11" s="159"/>
      <c r="AI11" s="159"/>
      <c r="AJ11" s="159"/>
      <c r="AK11" s="159"/>
      <c r="AL11" s="159"/>
      <c r="AM11" s="159"/>
      <c r="AN11" s="159"/>
      <c r="AO11" s="159"/>
      <c r="AP11" s="159"/>
      <c r="AQ11" s="159"/>
      <c r="AR11" s="159"/>
      <c r="AS11" s="159"/>
      <c r="AT11" s="159"/>
      <c r="AU11" s="159"/>
      <c r="AV11" s="159"/>
      <c r="AW11" s="159"/>
      <c r="AX11" s="159"/>
      <c r="AY11" s="180"/>
      <c r="AZ11" s="159" t="s">
        <v>52</v>
      </c>
      <c r="BA11" s="159" t="s">
        <v>51</v>
      </c>
      <c r="BB11" s="159"/>
      <c r="BC11" s="159"/>
      <c r="BD11" s="159"/>
      <c r="BE11" s="159"/>
      <c r="BF11" s="159"/>
      <c r="BG11" s="159"/>
      <c r="BH11" s="159"/>
      <c r="BI11" s="159"/>
      <c r="BJ11" s="159"/>
      <c r="BK11" s="159"/>
      <c r="BL11" s="159"/>
      <c r="BM11" s="159"/>
      <c r="BN11" s="159"/>
      <c r="BO11" s="159"/>
      <c r="BP11" s="159"/>
      <c r="BQ11" s="159"/>
      <c r="BR11" s="159"/>
      <c r="BS11" s="180"/>
      <c r="BT11" s="159"/>
      <c r="BU11" s="180"/>
      <c r="BV11" s="180" t="s">
        <v>2252</v>
      </c>
      <c r="BW11" s="288" t="s">
        <v>3773</v>
      </c>
      <c r="BX11" s="159"/>
      <c r="BY11" s="288" t="s">
        <v>5027</v>
      </c>
      <c r="BZ11" s="414"/>
      <c r="CA11" s="159" t="s">
        <v>3909</v>
      </c>
      <c r="CB11" s="159" t="s">
        <v>3910</v>
      </c>
      <c r="CD11" s="159"/>
      <c r="CE11" s="159"/>
      <c r="CF11" s="159"/>
      <c r="CG11" s="159" t="s">
        <v>3915</v>
      </c>
      <c r="CH11" s="159" t="s">
        <v>5081</v>
      </c>
      <c r="CI11" s="159" t="s">
        <v>5082</v>
      </c>
      <c r="CJ11" s="159" t="s">
        <v>6938</v>
      </c>
      <c r="CK11" s="159" t="s">
        <v>5031</v>
      </c>
      <c r="CL11" s="159" t="s">
        <v>5083</v>
      </c>
      <c r="CM11" s="159" t="s">
        <v>5084</v>
      </c>
      <c r="CN11" s="159" t="s">
        <v>5085</v>
      </c>
      <c r="CO11" s="159" t="s">
        <v>5031</v>
      </c>
      <c r="CP11" s="159" t="s">
        <v>5197</v>
      </c>
      <c r="CQ11" s="159" t="s">
        <v>5031</v>
      </c>
      <c r="CR11" s="159" t="s">
        <v>5086</v>
      </c>
      <c r="CS11" s="159" t="s">
        <v>5031</v>
      </c>
      <c r="CT11" s="159" t="s">
        <v>5198</v>
      </c>
      <c r="CU11" s="159" t="s">
        <v>5087</v>
      </c>
      <c r="CV11" s="159" t="s">
        <v>5088</v>
      </c>
      <c r="CW11" s="159" t="s">
        <v>5031</v>
      </c>
      <c r="CX11" s="159" t="s">
        <v>5199</v>
      </c>
      <c r="CY11" s="159" t="s">
        <v>5089</v>
      </c>
      <c r="CZ11" s="159" t="s">
        <v>5031</v>
      </c>
      <c r="DA11" s="159" t="s">
        <v>5090</v>
      </c>
      <c r="DB11">
        <v>3</v>
      </c>
    </row>
    <row r="12" spans="1:106" x14ac:dyDescent="0.25">
      <c r="A12" s="257">
        <f t="shared" si="1"/>
        <v>10</v>
      </c>
      <c r="B12" s="180" t="s">
        <v>626</v>
      </c>
      <c r="C12" s="299" t="s">
        <v>6033</v>
      </c>
      <c r="D12" s="180">
        <v>6</v>
      </c>
      <c r="E12" s="412" t="s">
        <v>7110</v>
      </c>
      <c r="F12" s="412" t="s">
        <v>6040</v>
      </c>
      <c r="G12" s="180" t="s">
        <v>5004</v>
      </c>
      <c r="H12" s="180" t="s">
        <v>4031</v>
      </c>
      <c r="I12" s="180" t="s">
        <v>1117</v>
      </c>
      <c r="J12" s="180" t="s">
        <v>1117</v>
      </c>
      <c r="K12" s="180" t="s">
        <v>1117</v>
      </c>
      <c r="L12" s="180" t="s">
        <v>1117</v>
      </c>
      <c r="M12" s="180" t="s">
        <v>5019</v>
      </c>
      <c r="N12" s="180">
        <v>2</v>
      </c>
      <c r="O12" s="292" t="str">
        <f t="shared" si="0"/>
        <v>Dexterity, Charisma</v>
      </c>
      <c r="P12" s="159" t="s">
        <v>4</v>
      </c>
      <c r="Q12" s="180" t="s">
        <v>8</v>
      </c>
      <c r="R12" s="159"/>
      <c r="S12" s="198" t="s">
        <v>3600</v>
      </c>
      <c r="T12" s="6" t="s">
        <v>3589</v>
      </c>
      <c r="U12" s="261"/>
      <c r="V12" s="198" t="s">
        <v>1071</v>
      </c>
      <c r="W12" s="6"/>
      <c r="X12" s="261"/>
      <c r="Y12" s="265" t="s">
        <v>3611</v>
      </c>
      <c r="Z12" s="198" t="s">
        <v>3595</v>
      </c>
      <c r="AA12" s="6">
        <v>2</v>
      </c>
      <c r="AB12" s="6"/>
      <c r="AC12" s="6"/>
      <c r="AD12" s="6"/>
      <c r="AE12" s="261"/>
      <c r="AF12" s="159" t="s">
        <v>119</v>
      </c>
      <c r="AG12" s="159" t="s">
        <v>123</v>
      </c>
      <c r="AH12" s="159" t="s">
        <v>124</v>
      </c>
      <c r="AI12" s="159" t="s">
        <v>129</v>
      </c>
      <c r="AJ12" s="159" t="s">
        <v>36</v>
      </c>
      <c r="AK12" s="159" t="s">
        <v>138</v>
      </c>
      <c r="AL12" s="159" t="s">
        <v>141</v>
      </c>
      <c r="AM12" s="159" t="s">
        <v>142</v>
      </c>
      <c r="AN12" s="159" t="s">
        <v>143</v>
      </c>
      <c r="AO12" s="159" t="s">
        <v>148</v>
      </c>
      <c r="AP12" s="159" t="s">
        <v>52</v>
      </c>
      <c r="AQ12" s="159" t="s">
        <v>152</v>
      </c>
      <c r="AR12" s="159" t="s">
        <v>153</v>
      </c>
      <c r="AS12" s="159" t="s">
        <v>155</v>
      </c>
      <c r="AT12" s="159"/>
      <c r="AU12" s="159"/>
      <c r="AV12" s="159"/>
      <c r="AW12" s="159"/>
      <c r="AX12" s="159"/>
      <c r="AY12" s="180"/>
      <c r="AZ12" s="159" t="s">
        <v>1071</v>
      </c>
      <c r="BA12" s="159"/>
      <c r="BB12" s="159"/>
      <c r="BC12" s="159"/>
      <c r="BD12" s="159"/>
      <c r="BE12" s="159"/>
      <c r="BF12" s="159"/>
      <c r="BG12" s="159"/>
      <c r="BH12" s="159"/>
      <c r="BI12" s="159"/>
      <c r="BJ12" s="159"/>
      <c r="BK12" s="159"/>
      <c r="BL12" s="159"/>
      <c r="BM12" s="159"/>
      <c r="BN12" s="159"/>
      <c r="BO12" s="159"/>
      <c r="BP12" s="159"/>
      <c r="BQ12" s="159"/>
      <c r="BR12" s="159"/>
      <c r="BS12" s="180"/>
      <c r="BT12" s="159"/>
      <c r="BU12" s="180"/>
      <c r="BV12" s="180" t="s">
        <v>2253</v>
      </c>
      <c r="BW12" s="288" t="s">
        <v>3771</v>
      </c>
      <c r="BX12" s="159"/>
      <c r="BY12" s="288" t="s">
        <v>3857</v>
      </c>
      <c r="BZ12" s="414"/>
      <c r="CA12" s="159"/>
      <c r="CB12" s="159"/>
      <c r="CC12" s="159"/>
      <c r="CD12" s="159"/>
      <c r="CE12" s="159"/>
      <c r="CF12" s="159"/>
      <c r="CG12" s="180"/>
      <c r="CH12" s="159" t="s">
        <v>5200</v>
      </c>
      <c r="CI12" s="159" t="s">
        <v>5091</v>
      </c>
      <c r="CJ12" s="159" t="s">
        <v>5092</v>
      </c>
      <c r="CK12" s="159" t="s">
        <v>5031</v>
      </c>
      <c r="CL12" s="159" t="s">
        <v>3857</v>
      </c>
      <c r="CM12" s="159" t="s">
        <v>5201</v>
      </c>
      <c r="CN12" s="159" t="s">
        <v>3857</v>
      </c>
      <c r="CO12" s="159" t="s">
        <v>5031</v>
      </c>
      <c r="CP12" s="159" t="s">
        <v>3857</v>
      </c>
      <c r="CQ12" s="159" t="s">
        <v>5092</v>
      </c>
      <c r="CR12" s="159" t="s">
        <v>3857</v>
      </c>
      <c r="CS12" s="159" t="s">
        <v>5031</v>
      </c>
      <c r="CT12" s="159" t="s">
        <v>3857</v>
      </c>
      <c r="CU12" s="159" t="s">
        <v>5202</v>
      </c>
      <c r="CV12" s="159" t="s">
        <v>3857</v>
      </c>
      <c r="CW12" s="159" t="s">
        <v>5031</v>
      </c>
      <c r="CX12" s="159" t="s">
        <v>5092</v>
      </c>
      <c r="CY12" s="159" t="s">
        <v>5203</v>
      </c>
      <c r="CZ12" s="159" t="s">
        <v>5031</v>
      </c>
      <c r="DA12" s="159" t="s">
        <v>5093</v>
      </c>
      <c r="DB12">
        <v>1</v>
      </c>
    </row>
    <row r="13" spans="1:106" x14ac:dyDescent="0.25">
      <c r="A13" s="257">
        <f t="shared" si="1"/>
        <v>11</v>
      </c>
      <c r="B13" s="180" t="s">
        <v>627</v>
      </c>
      <c r="C13" s="299" t="s">
        <v>6035</v>
      </c>
      <c r="D13" s="180">
        <v>6</v>
      </c>
      <c r="E13" s="412" t="s">
        <v>7111</v>
      </c>
      <c r="F13" s="412" t="s">
        <v>6039</v>
      </c>
      <c r="G13" s="180" t="s">
        <v>5004</v>
      </c>
      <c r="H13" s="180" t="s">
        <v>4031</v>
      </c>
      <c r="I13" s="180" t="s">
        <v>1117</v>
      </c>
      <c r="J13" s="180" t="s">
        <v>1117</v>
      </c>
      <c r="K13" s="180" t="s">
        <v>1117</v>
      </c>
      <c r="L13" s="180" t="s">
        <v>1117</v>
      </c>
      <c r="M13" s="180" t="s">
        <v>5020</v>
      </c>
      <c r="N13" s="180">
        <v>2</v>
      </c>
      <c r="O13" s="292" t="str">
        <f t="shared" si="0"/>
        <v>Wisdom, Charisma</v>
      </c>
      <c r="P13" s="159" t="s">
        <v>7</v>
      </c>
      <c r="Q13" s="180" t="s">
        <v>8</v>
      </c>
      <c r="R13" s="159"/>
      <c r="S13" s="198" t="s">
        <v>3604</v>
      </c>
      <c r="T13" s="6" t="s">
        <v>3600</v>
      </c>
      <c r="U13" s="261"/>
      <c r="V13" s="198" t="s">
        <v>3594</v>
      </c>
      <c r="W13" s="6"/>
      <c r="X13" s="261"/>
      <c r="Y13" s="265" t="s">
        <v>3611</v>
      </c>
      <c r="Z13" s="198" t="s">
        <v>3595</v>
      </c>
      <c r="AA13" s="6">
        <v>2</v>
      </c>
      <c r="AB13" s="6"/>
      <c r="AC13" s="6"/>
      <c r="AD13" s="6"/>
      <c r="AE13" s="261"/>
      <c r="AF13" s="159" t="s">
        <v>119</v>
      </c>
      <c r="AG13" s="159" t="s">
        <v>123</v>
      </c>
      <c r="AH13" s="159" t="s">
        <v>124</v>
      </c>
      <c r="AI13" s="159" t="s">
        <v>129</v>
      </c>
      <c r="AJ13" s="159" t="s">
        <v>36</v>
      </c>
      <c r="AK13" s="159" t="s">
        <v>138</v>
      </c>
      <c r="AL13" s="159" t="s">
        <v>141</v>
      </c>
      <c r="AM13" s="159" t="s">
        <v>142</v>
      </c>
      <c r="AN13" s="159" t="s">
        <v>143</v>
      </c>
      <c r="AO13" s="159" t="s">
        <v>148</v>
      </c>
      <c r="AP13" s="159" t="s">
        <v>52</v>
      </c>
      <c r="AQ13" s="159" t="s">
        <v>152</v>
      </c>
      <c r="AR13" s="159" t="s">
        <v>153</v>
      </c>
      <c r="AS13" s="159" t="s">
        <v>155</v>
      </c>
      <c r="AT13" s="159"/>
      <c r="AU13" s="159"/>
      <c r="AV13" s="159"/>
      <c r="AW13" s="159"/>
      <c r="AX13" s="159"/>
      <c r="AY13" s="180"/>
      <c r="AZ13" s="159" t="s">
        <v>1071</v>
      </c>
      <c r="BA13" s="159"/>
      <c r="BB13" s="159"/>
      <c r="BC13" s="159"/>
      <c r="BD13" s="159"/>
      <c r="BE13" s="159"/>
      <c r="BF13" s="159"/>
      <c r="BG13" s="159"/>
      <c r="BH13" s="159"/>
      <c r="BI13" s="159"/>
      <c r="BJ13" s="159"/>
      <c r="BK13" s="159"/>
      <c r="BL13" s="159"/>
      <c r="BM13" s="159"/>
      <c r="BN13" s="159"/>
      <c r="BO13" s="159"/>
      <c r="BP13" s="159"/>
      <c r="BQ13" s="159"/>
      <c r="BR13" s="159"/>
      <c r="BS13" s="180"/>
      <c r="BT13" s="159"/>
      <c r="BU13" s="180"/>
      <c r="BV13" s="180" t="s">
        <v>2254</v>
      </c>
      <c r="BW13" s="288" t="s">
        <v>3771</v>
      </c>
      <c r="BX13" s="159"/>
      <c r="BY13" s="288" t="s">
        <v>5028</v>
      </c>
      <c r="BZ13" s="414"/>
      <c r="CA13" s="159" t="s">
        <v>3909</v>
      </c>
      <c r="CB13" s="159" t="s">
        <v>3907</v>
      </c>
      <c r="CC13" s="159"/>
      <c r="CD13" s="159"/>
      <c r="CE13" s="159"/>
      <c r="CF13" s="159"/>
      <c r="CG13" s="180"/>
      <c r="CH13" s="159" t="s">
        <v>5094</v>
      </c>
      <c r="CI13" s="159" t="s">
        <v>5095</v>
      </c>
      <c r="CJ13" s="159" t="s">
        <v>5096</v>
      </c>
      <c r="CK13" s="159" t="s">
        <v>5031</v>
      </c>
      <c r="CL13" s="159" t="s">
        <v>3857</v>
      </c>
      <c r="CM13" s="159" t="s">
        <v>5206</v>
      </c>
      <c r="CN13" s="159" t="s">
        <v>3857</v>
      </c>
      <c r="CO13" s="159" t="s">
        <v>5031</v>
      </c>
      <c r="CP13" s="159" t="s">
        <v>3857</v>
      </c>
      <c r="CQ13" s="159" t="s">
        <v>5205</v>
      </c>
      <c r="CR13" s="159" t="s">
        <v>5097</v>
      </c>
      <c r="CS13" s="159" t="s">
        <v>5031</v>
      </c>
      <c r="CT13" s="159" t="s">
        <v>5097</v>
      </c>
      <c r="CU13" s="159" t="s">
        <v>5204</v>
      </c>
      <c r="CV13" s="159" t="s">
        <v>5097</v>
      </c>
      <c r="CW13" s="159" t="s">
        <v>5031</v>
      </c>
      <c r="CX13" s="159" t="s">
        <v>5097</v>
      </c>
      <c r="CY13" s="159" t="s">
        <v>3857</v>
      </c>
      <c r="CZ13" s="159" t="s">
        <v>5031</v>
      </c>
      <c r="DA13" s="159" t="s">
        <v>5098</v>
      </c>
      <c r="DB13">
        <v>1</v>
      </c>
    </row>
    <row r="14" spans="1:106" ht="15.75" thickBot="1" x14ac:dyDescent="0.3">
      <c r="A14" s="257">
        <f t="shared" si="1"/>
        <v>12</v>
      </c>
      <c r="B14" s="180" t="s">
        <v>628</v>
      </c>
      <c r="C14" s="299" t="s">
        <v>6034</v>
      </c>
      <c r="D14" s="180">
        <v>6</v>
      </c>
      <c r="E14" s="412" t="s">
        <v>7112</v>
      </c>
      <c r="F14" s="412" t="s">
        <v>6039</v>
      </c>
      <c r="G14" s="180" t="s">
        <v>5004</v>
      </c>
      <c r="H14" s="180" t="s">
        <v>4031</v>
      </c>
      <c r="I14" s="180" t="s">
        <v>1117</v>
      </c>
      <c r="J14" s="180" t="s">
        <v>1117</v>
      </c>
      <c r="K14" s="180" t="s">
        <v>1117</v>
      </c>
      <c r="L14" s="180" t="s">
        <v>1117</v>
      </c>
      <c r="M14" s="180" t="s">
        <v>5021</v>
      </c>
      <c r="N14" s="180">
        <v>2</v>
      </c>
      <c r="O14" s="292" t="str">
        <f t="shared" si="0"/>
        <v>Intelligence, Wisdom</v>
      </c>
      <c r="P14" s="159" t="s">
        <v>6</v>
      </c>
      <c r="Q14" s="180" t="s">
        <v>7</v>
      </c>
      <c r="R14" s="159"/>
      <c r="S14" s="198" t="s">
        <v>3604</v>
      </c>
      <c r="T14" s="6" t="s">
        <v>3589</v>
      </c>
      <c r="U14" s="261"/>
      <c r="V14" s="198" t="s">
        <v>1071</v>
      </c>
      <c r="W14" s="6"/>
      <c r="X14" s="261"/>
      <c r="Y14" s="265" t="s">
        <v>3611</v>
      </c>
      <c r="Z14" s="263" t="s">
        <v>3605</v>
      </c>
      <c r="AA14" s="160">
        <v>1</v>
      </c>
      <c r="AB14" s="6"/>
      <c r="AC14" s="6"/>
      <c r="AD14" s="6"/>
      <c r="AE14" s="261"/>
      <c r="AF14" s="159" t="s">
        <v>123</v>
      </c>
      <c r="AG14" s="159" t="s">
        <v>148</v>
      </c>
      <c r="AH14" s="159"/>
      <c r="AI14" s="159"/>
      <c r="AJ14" s="159"/>
      <c r="AK14" s="159"/>
      <c r="AL14" s="159"/>
      <c r="AM14" s="159"/>
      <c r="AN14" s="159"/>
      <c r="AO14" s="159"/>
      <c r="AP14" s="159"/>
      <c r="AQ14" s="159"/>
      <c r="AR14" s="159"/>
      <c r="AS14" s="159"/>
      <c r="AT14" s="159"/>
      <c r="AU14" s="159"/>
      <c r="AV14" s="159"/>
      <c r="AW14" s="159"/>
      <c r="AX14" s="159"/>
      <c r="AY14" s="180"/>
      <c r="AZ14" s="159" t="s">
        <v>1071</v>
      </c>
      <c r="BA14" s="159"/>
      <c r="BB14" s="159"/>
      <c r="BC14" s="159"/>
      <c r="BD14" s="159"/>
      <c r="BE14" s="159"/>
      <c r="BF14" s="159"/>
      <c r="BG14" s="159"/>
      <c r="BH14" s="159"/>
      <c r="BI14" s="159"/>
      <c r="BJ14" s="159"/>
      <c r="BK14" s="159"/>
      <c r="BL14" s="159"/>
      <c r="BM14" s="159"/>
      <c r="BN14" s="159"/>
      <c r="BO14" s="159"/>
      <c r="BP14" s="159"/>
      <c r="BQ14" s="159"/>
      <c r="BR14" s="159"/>
      <c r="BS14" s="180"/>
      <c r="BT14" s="159"/>
      <c r="BU14" s="180"/>
      <c r="BV14" s="180" t="s">
        <v>1122</v>
      </c>
      <c r="BW14" s="289" t="s">
        <v>3774</v>
      </c>
      <c r="BX14" s="159"/>
      <c r="BY14" s="289" t="s">
        <v>3857</v>
      </c>
      <c r="BZ14" s="415"/>
      <c r="CA14" s="159"/>
      <c r="CB14" s="159"/>
      <c r="CC14" s="159"/>
      <c r="CD14" s="159"/>
      <c r="CE14" s="159"/>
      <c r="CF14" s="159"/>
      <c r="CG14" s="180"/>
      <c r="CH14" s="159" t="s">
        <v>5350</v>
      </c>
      <c r="CI14" s="159" t="s">
        <v>5099</v>
      </c>
      <c r="CJ14" s="159" t="s">
        <v>3857</v>
      </c>
      <c r="CK14" s="159" t="s">
        <v>5031</v>
      </c>
      <c r="CL14" s="159" t="s">
        <v>3857</v>
      </c>
      <c r="CM14" s="159" t="s">
        <v>5207</v>
      </c>
      <c r="CN14" s="159" t="s">
        <v>3857</v>
      </c>
      <c r="CO14" s="159" t="s">
        <v>5031</v>
      </c>
      <c r="CP14" s="159" t="s">
        <v>3857</v>
      </c>
      <c r="CQ14" s="159" t="s">
        <v>5208</v>
      </c>
      <c r="CR14" s="159" t="s">
        <v>3857</v>
      </c>
      <c r="CS14" s="159" t="s">
        <v>5031</v>
      </c>
      <c r="CT14" s="159" t="s">
        <v>3857</v>
      </c>
      <c r="CU14" s="159" t="s">
        <v>5209</v>
      </c>
      <c r="CV14" s="159" t="s">
        <v>3857</v>
      </c>
      <c r="CW14" s="159" t="s">
        <v>5031</v>
      </c>
      <c r="CX14" s="159" t="s">
        <v>3857</v>
      </c>
      <c r="CY14" s="159" t="s">
        <v>5100</v>
      </c>
      <c r="CZ14" s="159" t="s">
        <v>5031</v>
      </c>
      <c r="DA14" s="159" t="s">
        <v>5101</v>
      </c>
      <c r="DB14">
        <v>2</v>
      </c>
    </row>
    <row r="15" spans="1:106" x14ac:dyDescent="0.25">
      <c r="A15" s="257" t="str">
        <f t="shared" si="1"/>
        <v/>
      </c>
      <c r="B15" s="180"/>
      <c r="C15" s="180"/>
      <c r="D15" s="180"/>
      <c r="E15" s="180"/>
      <c r="F15" s="180"/>
      <c r="G15" s="180"/>
      <c r="H15" s="180"/>
      <c r="I15" s="180"/>
      <c r="J15" s="180"/>
      <c r="K15" s="180"/>
      <c r="L15" s="180"/>
      <c r="M15" s="180"/>
      <c r="N15" s="180"/>
      <c r="O15" s="292" t="str">
        <f t="shared" si="0"/>
        <v xml:space="preserve">ЛОЖЬ, </v>
      </c>
      <c r="P15" s="159"/>
      <c r="Q15" s="180"/>
      <c r="R15" s="159"/>
      <c r="S15" s="159"/>
      <c r="T15" s="159"/>
      <c r="U15" s="180"/>
      <c r="V15" s="159"/>
      <c r="W15" s="159"/>
      <c r="X15" s="180"/>
      <c r="Y15" s="180"/>
      <c r="Z15" s="159"/>
      <c r="AA15" s="159"/>
      <c r="AB15" s="159"/>
      <c r="AC15" s="159"/>
      <c r="AD15" s="159"/>
      <c r="AE15" s="180"/>
      <c r="AF15" s="159"/>
      <c r="AG15" s="159"/>
      <c r="AH15" s="159"/>
      <c r="AI15" s="159"/>
      <c r="AJ15" s="159"/>
      <c r="AK15" s="159"/>
      <c r="AL15" s="159"/>
      <c r="AM15" s="159"/>
      <c r="AN15" s="159"/>
      <c r="AO15" s="159"/>
      <c r="AP15" s="159"/>
      <c r="AQ15" s="159"/>
      <c r="AR15" s="159"/>
      <c r="AS15" s="159"/>
      <c r="AT15" s="159"/>
      <c r="AU15" s="159"/>
      <c r="AV15" s="159"/>
      <c r="AW15" s="159"/>
      <c r="AX15" s="159"/>
      <c r="AY15" s="180"/>
      <c r="AZ15" s="159"/>
      <c r="BA15" s="159"/>
      <c r="BB15" s="159"/>
      <c r="BC15" s="159"/>
      <c r="BD15" s="159"/>
      <c r="BE15" s="159"/>
      <c r="BF15" s="159"/>
      <c r="BG15" s="159"/>
      <c r="BH15" s="159"/>
      <c r="BI15" s="159"/>
      <c r="BJ15" s="159"/>
      <c r="BK15" s="159"/>
      <c r="BL15" s="159"/>
      <c r="BM15" s="159"/>
      <c r="BN15" s="159"/>
      <c r="BO15" s="159"/>
      <c r="BP15" s="159"/>
      <c r="BQ15" s="159"/>
      <c r="BR15" s="159"/>
      <c r="BS15" s="180"/>
      <c r="BT15" s="159"/>
      <c r="BU15" s="180"/>
      <c r="BV15" s="180"/>
      <c r="BW15" s="159"/>
      <c r="BX15" s="159"/>
      <c r="BY15" s="159"/>
      <c r="BZ15" s="159"/>
      <c r="CA15" s="159"/>
      <c r="CB15" s="159"/>
      <c r="CC15" s="159"/>
      <c r="CD15" s="159"/>
      <c r="CE15" s="159"/>
      <c r="CF15" s="159"/>
      <c r="CG15" s="180"/>
      <c r="CH15" s="159"/>
    </row>
    <row r="16" spans="1:106" x14ac:dyDescent="0.25">
      <c r="A16" s="257" t="str">
        <f t="shared" si="1"/>
        <v/>
      </c>
      <c r="B16" s="180"/>
      <c r="C16" s="180"/>
      <c r="D16" s="180"/>
      <c r="E16" s="180"/>
      <c r="F16" s="180"/>
      <c r="G16" s="180"/>
      <c r="H16" s="180"/>
      <c r="I16" s="180"/>
      <c r="J16" s="180"/>
      <c r="K16" s="180"/>
      <c r="L16" s="180"/>
      <c r="M16" s="180"/>
      <c r="N16" s="180"/>
      <c r="O16" s="292" t="str">
        <f t="shared" si="0"/>
        <v xml:space="preserve">ЛОЖЬ, </v>
      </c>
      <c r="P16" s="159"/>
      <c r="Q16" s="180"/>
      <c r="R16" s="159"/>
      <c r="S16" s="159"/>
      <c r="T16" s="159"/>
      <c r="U16" s="180"/>
      <c r="V16" s="159"/>
      <c r="W16" s="159"/>
      <c r="X16" s="180"/>
      <c r="Y16" s="180"/>
      <c r="Z16" s="159"/>
      <c r="AA16" s="159"/>
      <c r="AB16" s="159"/>
      <c r="AC16" s="159"/>
      <c r="AD16" s="159"/>
      <c r="AE16" s="180"/>
      <c r="AF16" s="159"/>
      <c r="AG16" s="159"/>
      <c r="AH16" s="159"/>
      <c r="AI16" s="159"/>
      <c r="AJ16" s="159"/>
      <c r="AK16" s="159"/>
      <c r="AL16" s="159"/>
      <c r="AM16" s="159"/>
      <c r="AN16" s="159"/>
      <c r="AO16" s="159"/>
      <c r="AP16" s="159"/>
      <c r="AQ16" s="159"/>
      <c r="AR16" s="159"/>
      <c r="AS16" s="159"/>
      <c r="AT16" s="159"/>
      <c r="AU16" s="159"/>
      <c r="AV16" s="159"/>
      <c r="AW16" s="159"/>
      <c r="AX16" s="159"/>
      <c r="AY16" s="180"/>
      <c r="AZ16" s="159"/>
      <c r="BA16" s="159"/>
      <c r="BB16" s="159"/>
      <c r="BC16" s="159"/>
      <c r="BD16" s="159"/>
      <c r="BE16" s="159"/>
      <c r="BF16" s="159"/>
      <c r="BG16" s="159"/>
      <c r="BH16" s="159"/>
      <c r="BI16" s="159"/>
      <c r="BJ16" s="159"/>
      <c r="BK16" s="159"/>
      <c r="BL16" s="159"/>
      <c r="BM16" s="159"/>
      <c r="BN16" s="159"/>
      <c r="BO16" s="159"/>
      <c r="BP16" s="159"/>
      <c r="BQ16" s="159"/>
      <c r="BR16" s="159"/>
      <c r="BS16" s="180"/>
      <c r="BT16" s="159"/>
      <c r="BU16" s="180"/>
      <c r="BV16" s="180"/>
      <c r="BW16" s="159"/>
      <c r="BX16" s="159"/>
      <c r="BY16" s="159"/>
      <c r="BZ16" s="159"/>
      <c r="CA16" s="159"/>
      <c r="CB16" s="159"/>
      <c r="CC16" s="159"/>
      <c r="CD16" s="159"/>
      <c r="CE16" s="159"/>
      <c r="CF16" s="159"/>
      <c r="CG16" s="180"/>
      <c r="CH16" s="159"/>
    </row>
    <row r="17" spans="1:86" x14ac:dyDescent="0.25">
      <c r="A17" s="257" t="str">
        <f t="shared" si="1"/>
        <v/>
      </c>
      <c r="B17" s="180"/>
      <c r="C17" s="180"/>
      <c r="D17" s="180"/>
      <c r="E17" s="180"/>
      <c r="F17" s="180"/>
      <c r="G17" s="180"/>
      <c r="H17" s="180"/>
      <c r="I17" s="180"/>
      <c r="J17" s="180"/>
      <c r="K17" s="180"/>
      <c r="L17" s="180"/>
      <c r="M17" s="180"/>
      <c r="N17" s="180"/>
      <c r="O17" s="292" t="str">
        <f t="shared" si="0"/>
        <v xml:space="preserve">ЛОЖЬ, </v>
      </c>
      <c r="P17" s="159"/>
      <c r="Q17" s="180"/>
      <c r="R17" s="159"/>
      <c r="S17" s="159"/>
      <c r="T17" s="159"/>
      <c r="U17" s="180"/>
      <c r="V17" s="159"/>
      <c r="W17" s="159"/>
      <c r="X17" s="180"/>
      <c r="Y17" s="180"/>
      <c r="Z17" s="159"/>
      <c r="AA17" s="159"/>
      <c r="AB17" s="159"/>
      <c r="AC17" s="159"/>
      <c r="AD17" s="159"/>
      <c r="AE17" s="180"/>
      <c r="AF17" s="159"/>
      <c r="AG17" s="159"/>
      <c r="AH17" s="159"/>
      <c r="AI17" s="159"/>
      <c r="AJ17" s="159"/>
      <c r="AK17" s="159"/>
      <c r="AL17" s="159"/>
      <c r="AM17" s="159"/>
      <c r="AN17" s="159"/>
      <c r="AO17" s="159"/>
      <c r="AP17" s="159"/>
      <c r="AQ17" s="159"/>
      <c r="AR17" s="159"/>
      <c r="AS17" s="159"/>
      <c r="AT17" s="159"/>
      <c r="AU17" s="159"/>
      <c r="AV17" s="159"/>
      <c r="AW17" s="159"/>
      <c r="AX17" s="159"/>
      <c r="AY17" s="180"/>
      <c r="AZ17" s="159"/>
      <c r="BA17" s="159"/>
      <c r="BB17" s="159"/>
      <c r="BC17" s="159"/>
      <c r="BD17" s="159"/>
      <c r="BE17" s="159"/>
      <c r="BF17" s="159"/>
      <c r="BG17" s="159"/>
      <c r="BH17" s="159"/>
      <c r="BI17" s="159"/>
      <c r="BJ17" s="159"/>
      <c r="BK17" s="159"/>
      <c r="BL17" s="159"/>
      <c r="BM17" s="159"/>
      <c r="BN17" s="159"/>
      <c r="BO17" s="159"/>
      <c r="BP17" s="159"/>
      <c r="BQ17" s="159"/>
      <c r="BR17" s="159"/>
      <c r="BS17" s="180"/>
      <c r="BT17" s="159"/>
      <c r="BU17" s="180"/>
      <c r="BV17" s="180"/>
      <c r="BW17" s="159"/>
      <c r="BX17" s="159"/>
      <c r="BY17" s="159"/>
      <c r="BZ17" s="159"/>
      <c r="CA17" s="159"/>
      <c r="CB17" s="159"/>
      <c r="CC17" s="159"/>
      <c r="CD17" s="159"/>
      <c r="CE17" s="159"/>
      <c r="CF17" s="159"/>
      <c r="CG17" s="180"/>
      <c r="CH17" s="159"/>
    </row>
    <row r="18" spans="1:86" x14ac:dyDescent="0.25">
      <c r="A18" s="257" t="str">
        <f t="shared" si="1"/>
        <v/>
      </c>
      <c r="B18" s="180"/>
      <c r="C18" s="298"/>
      <c r="D18" s="180"/>
      <c r="E18" s="180"/>
      <c r="F18" s="180"/>
      <c r="G18" s="180"/>
      <c r="H18" s="180"/>
      <c r="I18" s="180"/>
      <c r="J18" s="180"/>
      <c r="K18" s="180"/>
      <c r="L18" s="180"/>
      <c r="M18" s="180"/>
      <c r="N18" s="180"/>
      <c r="O18" s="292" t="str">
        <f t="shared" si="0"/>
        <v xml:space="preserve">ЛОЖЬ, </v>
      </c>
      <c r="P18" s="159"/>
      <c r="Q18" s="180"/>
      <c r="R18" s="159"/>
      <c r="S18" s="159"/>
      <c r="T18" s="159"/>
      <c r="U18" s="180"/>
      <c r="V18" s="159"/>
      <c r="W18" s="159"/>
      <c r="X18" s="180"/>
      <c r="Y18" s="180"/>
      <c r="Z18" s="159"/>
      <c r="AA18" s="159"/>
      <c r="AB18" s="159"/>
      <c r="AC18" s="159"/>
      <c r="AD18" s="159"/>
      <c r="AE18" s="180"/>
      <c r="AF18" s="159"/>
      <c r="AG18" s="159"/>
      <c r="AH18" s="159"/>
      <c r="AI18" s="159"/>
      <c r="AJ18" s="159"/>
      <c r="AK18" s="159"/>
      <c r="AL18" s="159"/>
      <c r="AM18" s="159"/>
      <c r="AN18" s="159"/>
      <c r="AO18" s="159"/>
      <c r="AP18" s="159"/>
      <c r="AQ18" s="159"/>
      <c r="AR18" s="159"/>
      <c r="AS18" s="159"/>
      <c r="AT18" s="159"/>
      <c r="AU18" s="159"/>
      <c r="AV18" s="159"/>
      <c r="AW18" s="159"/>
      <c r="AX18" s="159"/>
      <c r="AY18" s="180"/>
      <c r="AZ18" s="159"/>
      <c r="BA18" s="159"/>
      <c r="BB18" s="159"/>
      <c r="BC18" s="159"/>
      <c r="BD18" s="159"/>
      <c r="BE18" s="159"/>
      <c r="BF18" s="159"/>
      <c r="BG18" s="159"/>
      <c r="BH18" s="159"/>
      <c r="BI18" s="159"/>
      <c r="BJ18" s="159"/>
      <c r="BK18" s="159"/>
      <c r="BL18" s="159"/>
      <c r="BM18" s="159"/>
      <c r="BN18" s="159"/>
      <c r="BO18" s="159"/>
      <c r="BP18" s="159"/>
      <c r="BQ18" s="159"/>
      <c r="BR18" s="159"/>
      <c r="BS18" s="180"/>
      <c r="BT18" s="159"/>
      <c r="BU18" s="180"/>
      <c r="BV18" s="180"/>
      <c r="BW18" s="159"/>
      <c r="BX18" s="159"/>
      <c r="BY18" s="159"/>
      <c r="BZ18" s="159"/>
      <c r="CA18" s="159"/>
      <c r="CB18" s="159"/>
      <c r="CC18" s="159"/>
      <c r="CD18" s="159"/>
      <c r="CE18" s="159"/>
      <c r="CF18" s="159"/>
      <c r="CG18" s="180"/>
      <c r="CH18" s="159"/>
    </row>
    <row r="19" spans="1:86" x14ac:dyDescent="0.25">
      <c r="A19" s="257" t="str">
        <f t="shared" si="1"/>
        <v/>
      </c>
      <c r="B19" s="180"/>
      <c r="C19" s="180"/>
      <c r="D19" s="180"/>
      <c r="E19" s="180"/>
      <c r="F19" s="180"/>
      <c r="G19" s="180"/>
      <c r="H19" s="180"/>
      <c r="I19" s="180"/>
      <c r="J19" s="180"/>
      <c r="K19" s="180"/>
      <c r="L19" s="180"/>
      <c r="M19" s="180"/>
      <c r="N19" s="180"/>
      <c r="O19" s="292" t="str">
        <f t="shared" si="0"/>
        <v xml:space="preserve">ЛОЖЬ, </v>
      </c>
      <c r="P19" s="159"/>
      <c r="Q19" s="180"/>
      <c r="R19" s="159"/>
      <c r="S19" s="159"/>
      <c r="T19" s="159"/>
      <c r="U19" s="180"/>
      <c r="V19" s="159"/>
      <c r="W19" s="159"/>
      <c r="X19" s="180"/>
      <c r="Y19" s="180"/>
      <c r="Z19" s="159"/>
      <c r="AA19" s="159"/>
      <c r="AB19" s="159"/>
      <c r="AC19" s="159"/>
      <c r="AD19" s="159"/>
      <c r="AE19" s="180"/>
      <c r="AF19" s="159"/>
      <c r="AG19" s="159"/>
      <c r="AH19" s="159"/>
      <c r="AI19" s="159"/>
      <c r="AJ19" s="159"/>
      <c r="AK19" s="159"/>
      <c r="AL19" s="159"/>
      <c r="AM19" s="159"/>
      <c r="AN19" s="159"/>
      <c r="AO19" s="159"/>
      <c r="AP19" s="159"/>
      <c r="AQ19" s="159"/>
      <c r="AR19" s="159"/>
      <c r="AS19" s="159"/>
      <c r="AT19" s="159"/>
      <c r="AU19" s="159"/>
      <c r="AV19" s="159"/>
      <c r="AW19" s="159"/>
      <c r="AX19" s="159"/>
      <c r="AY19" s="180"/>
      <c r="AZ19" s="159"/>
      <c r="BA19" s="159"/>
      <c r="BB19" s="159"/>
      <c r="BC19" s="159"/>
      <c r="BD19" s="159"/>
      <c r="BE19" s="159"/>
      <c r="BF19" s="159"/>
      <c r="BG19" s="159"/>
      <c r="BH19" s="159"/>
      <c r="BI19" s="159"/>
      <c r="BJ19" s="159"/>
      <c r="BK19" s="159"/>
      <c r="BL19" s="159"/>
      <c r="BM19" s="159"/>
      <c r="BN19" s="159"/>
      <c r="BO19" s="159"/>
      <c r="BP19" s="159"/>
      <c r="BQ19" s="159"/>
      <c r="BR19" s="159"/>
      <c r="BS19" s="180"/>
      <c r="BT19" s="159"/>
      <c r="BU19" s="180"/>
      <c r="BV19" s="180"/>
      <c r="BW19" s="159"/>
      <c r="BX19" s="159"/>
      <c r="BY19" s="159"/>
      <c r="BZ19" s="159"/>
      <c r="CA19" s="159"/>
      <c r="CB19" s="159"/>
      <c r="CC19" s="159"/>
      <c r="CD19" s="159"/>
      <c r="CE19" s="159"/>
      <c r="CF19" s="159"/>
      <c r="CG19" s="180"/>
      <c r="CH19" s="159"/>
    </row>
    <row r="20" spans="1:86" x14ac:dyDescent="0.25">
      <c r="A20" s="257" t="str">
        <f t="shared" si="1"/>
        <v/>
      </c>
      <c r="B20" s="180"/>
      <c r="C20" s="180"/>
      <c r="D20" s="180"/>
      <c r="E20" s="180"/>
      <c r="F20" s="180"/>
      <c r="G20" s="180"/>
      <c r="H20" s="180"/>
      <c r="I20" s="180"/>
      <c r="J20" s="180"/>
      <c r="K20" s="180"/>
      <c r="L20" s="180"/>
      <c r="M20" s="180"/>
      <c r="N20" s="180"/>
      <c r="O20" s="292" t="str">
        <f t="shared" si="0"/>
        <v xml:space="preserve">ЛОЖЬ, </v>
      </c>
      <c r="P20" s="159"/>
      <c r="Q20" s="180"/>
      <c r="R20" s="159"/>
      <c r="S20" s="159"/>
      <c r="T20" s="159"/>
      <c r="U20" s="180"/>
      <c r="V20" s="159"/>
      <c r="W20" s="159"/>
      <c r="X20" s="180"/>
      <c r="Y20" s="180"/>
      <c r="Z20" s="159"/>
      <c r="AA20" s="159"/>
      <c r="AB20" s="159"/>
      <c r="AC20" s="159"/>
      <c r="AD20" s="159"/>
      <c r="AE20" s="180"/>
      <c r="AF20" s="159"/>
      <c r="AG20" s="159"/>
      <c r="AH20" s="159"/>
      <c r="AI20" s="159"/>
      <c r="AJ20" s="159"/>
      <c r="AK20" s="159"/>
      <c r="AL20" s="159"/>
      <c r="AM20" s="159"/>
      <c r="AN20" s="159"/>
      <c r="AO20" s="159"/>
      <c r="AP20" s="159"/>
      <c r="AQ20" s="159"/>
      <c r="AR20" s="159"/>
      <c r="AS20" s="159"/>
      <c r="AT20" s="159"/>
      <c r="AU20" s="159"/>
      <c r="AV20" s="159"/>
      <c r="AW20" s="159"/>
      <c r="AX20" s="159"/>
      <c r="AY20" s="180"/>
      <c r="AZ20" s="159"/>
      <c r="BA20" s="159"/>
      <c r="BB20" s="159"/>
      <c r="BC20" s="159"/>
      <c r="BD20" s="159"/>
      <c r="BE20" s="159"/>
      <c r="BF20" s="159"/>
      <c r="BG20" s="159"/>
      <c r="BH20" s="159"/>
      <c r="BI20" s="159"/>
      <c r="BJ20" s="159"/>
      <c r="BK20" s="159"/>
      <c r="BL20" s="159"/>
      <c r="BM20" s="159"/>
      <c r="BN20" s="159"/>
      <c r="BO20" s="159"/>
      <c r="BP20" s="159"/>
      <c r="BQ20" s="159"/>
      <c r="BR20" s="159"/>
      <c r="BS20" s="180"/>
      <c r="BT20" s="159"/>
      <c r="BU20" s="180"/>
      <c r="BV20" s="180"/>
      <c r="BW20" s="159"/>
      <c r="BX20" s="159"/>
      <c r="BY20" s="159"/>
      <c r="BZ20" s="159"/>
      <c r="CA20" s="159"/>
      <c r="CB20" s="159"/>
      <c r="CC20" s="159"/>
      <c r="CD20" s="159"/>
      <c r="CE20" s="159"/>
      <c r="CF20" s="159"/>
      <c r="CG20" s="180"/>
      <c r="CH20" s="159"/>
    </row>
    <row r="21" spans="1:86" x14ac:dyDescent="0.25">
      <c r="A21" s="257" t="str">
        <f t="shared" si="1"/>
        <v/>
      </c>
      <c r="B21" s="180"/>
      <c r="C21" s="180"/>
      <c r="D21" s="180"/>
      <c r="E21" s="180"/>
      <c r="F21" s="180"/>
      <c r="G21" s="180"/>
      <c r="H21" s="180"/>
      <c r="I21" s="180"/>
      <c r="J21" s="180"/>
      <c r="K21" s="180"/>
      <c r="L21" s="180"/>
      <c r="M21" s="180"/>
      <c r="N21" s="180"/>
      <c r="O21" s="292" t="str">
        <f t="shared" si="0"/>
        <v xml:space="preserve">ЛОЖЬ, </v>
      </c>
      <c r="P21" s="159"/>
      <c r="Q21" s="180"/>
      <c r="R21" s="159"/>
      <c r="S21" s="159"/>
      <c r="T21" s="159"/>
      <c r="U21" s="180"/>
      <c r="V21" s="159"/>
      <c r="W21" s="159"/>
      <c r="X21" s="180"/>
      <c r="Y21" s="180"/>
      <c r="Z21" s="159"/>
      <c r="AA21" s="159"/>
      <c r="AB21" s="159"/>
      <c r="AC21" s="159"/>
      <c r="AD21" s="159"/>
      <c r="AE21" s="180"/>
      <c r="AF21" s="159"/>
      <c r="AG21" s="159"/>
      <c r="AH21" s="159"/>
      <c r="AI21" s="159"/>
      <c r="AJ21" s="159"/>
      <c r="AK21" s="159"/>
      <c r="AL21" s="159"/>
      <c r="AM21" s="159"/>
      <c r="AN21" s="159"/>
      <c r="AO21" s="159"/>
      <c r="AP21" s="159"/>
      <c r="AQ21" s="159"/>
      <c r="AR21" s="159"/>
      <c r="AS21" s="159"/>
      <c r="AT21" s="159"/>
      <c r="AU21" s="159"/>
      <c r="AV21" s="159"/>
      <c r="AW21" s="159"/>
      <c r="AX21" s="159"/>
      <c r="AY21" s="180"/>
      <c r="AZ21" s="159"/>
      <c r="BA21" s="159"/>
      <c r="BB21" s="159"/>
      <c r="BC21" s="159"/>
      <c r="BD21" s="159"/>
      <c r="BE21" s="159"/>
      <c r="BF21" s="159"/>
      <c r="BG21" s="159"/>
      <c r="BH21" s="159"/>
      <c r="BI21" s="159"/>
      <c r="BJ21" s="159"/>
      <c r="BK21" s="159"/>
      <c r="BL21" s="159"/>
      <c r="BM21" s="159"/>
      <c r="BN21" s="159"/>
      <c r="BO21" s="159"/>
      <c r="BP21" s="159"/>
      <c r="BQ21" s="159"/>
      <c r="BR21" s="159"/>
      <c r="BS21" s="180"/>
      <c r="BT21" s="159"/>
      <c r="BU21" s="180"/>
      <c r="BV21" s="180"/>
      <c r="BW21" s="159"/>
      <c r="BX21" s="159"/>
      <c r="BY21" s="159"/>
      <c r="BZ21" s="159"/>
      <c r="CA21" s="159"/>
      <c r="CB21" s="159"/>
      <c r="CC21" s="159"/>
      <c r="CD21" s="159"/>
      <c r="CE21" s="159"/>
      <c r="CF21" s="159"/>
      <c r="CG21" s="180"/>
      <c r="CH21" s="159"/>
    </row>
    <row r="22" spans="1:86" x14ac:dyDescent="0.25">
      <c r="A22" s="257" t="str">
        <f t="shared" si="1"/>
        <v/>
      </c>
      <c r="B22" s="180"/>
      <c r="C22" s="180"/>
      <c r="D22" s="180"/>
      <c r="E22" s="180"/>
      <c r="F22" s="180"/>
      <c r="G22" s="180"/>
      <c r="H22" s="180"/>
      <c r="I22" s="180"/>
      <c r="J22" s="180"/>
      <c r="K22" s="180"/>
      <c r="L22" s="180"/>
      <c r="M22" s="180"/>
      <c r="N22" s="180"/>
      <c r="O22" s="292" t="str">
        <f t="shared" si="0"/>
        <v xml:space="preserve">ЛОЖЬ, </v>
      </c>
      <c r="P22" s="159"/>
      <c r="Q22" s="180"/>
      <c r="R22" s="159"/>
      <c r="S22" s="159"/>
      <c r="T22" s="159"/>
      <c r="U22" s="180"/>
      <c r="V22" s="159"/>
      <c r="W22" s="159"/>
      <c r="X22" s="180"/>
      <c r="Y22" s="180"/>
      <c r="Z22" s="159"/>
      <c r="AA22" s="159"/>
      <c r="AB22" s="159"/>
      <c r="AC22" s="159"/>
      <c r="AD22" s="159"/>
      <c r="AE22" s="180"/>
      <c r="AF22" s="159"/>
      <c r="AG22" s="159"/>
      <c r="AH22" s="159"/>
      <c r="AI22" s="159"/>
      <c r="AJ22" s="159"/>
      <c r="AK22" s="159"/>
      <c r="AL22" s="159"/>
      <c r="AM22" s="159"/>
      <c r="AN22" s="159"/>
      <c r="AO22" s="159"/>
      <c r="AP22" s="159"/>
      <c r="AQ22" s="159"/>
      <c r="AR22" s="159"/>
      <c r="AS22" s="159"/>
      <c r="AT22" s="159"/>
      <c r="AU22" s="159"/>
      <c r="AV22" s="159"/>
      <c r="AW22" s="159"/>
      <c r="AX22" s="159"/>
      <c r="AY22" s="180"/>
      <c r="AZ22" s="159"/>
      <c r="BA22" s="159"/>
      <c r="BB22" s="159"/>
      <c r="BC22" s="159"/>
      <c r="BD22" s="159"/>
      <c r="BE22" s="159"/>
      <c r="BF22" s="159"/>
      <c r="BG22" s="159"/>
      <c r="BH22" s="159"/>
      <c r="BI22" s="159"/>
      <c r="BJ22" s="159"/>
      <c r="BK22" s="159"/>
      <c r="BL22" s="159"/>
      <c r="BM22" s="159"/>
      <c r="BN22" s="159"/>
      <c r="BO22" s="159"/>
      <c r="BP22" s="159"/>
      <c r="BQ22" s="159"/>
      <c r="BR22" s="159"/>
      <c r="BS22" s="180"/>
      <c r="BT22" s="159"/>
      <c r="BU22" s="180"/>
      <c r="BV22" s="180"/>
      <c r="BW22" s="159"/>
      <c r="BX22" s="159"/>
      <c r="BY22" s="159"/>
      <c r="BZ22" s="159"/>
      <c r="CA22" s="159"/>
      <c r="CB22" s="159"/>
      <c r="CC22" s="159"/>
      <c r="CD22" s="159"/>
      <c r="CE22" s="159"/>
      <c r="CF22" s="159"/>
      <c r="CG22" s="180"/>
      <c r="CH22" s="159"/>
    </row>
    <row r="23" spans="1:86" x14ac:dyDescent="0.25">
      <c r="A23" s="257" t="str">
        <f t="shared" si="1"/>
        <v/>
      </c>
      <c r="B23" s="180"/>
      <c r="C23" s="180"/>
      <c r="D23" s="180"/>
      <c r="E23" s="180"/>
      <c r="F23" s="180"/>
      <c r="G23" s="180"/>
      <c r="H23" s="180"/>
      <c r="I23" s="180"/>
      <c r="J23" s="180"/>
      <c r="K23" s="180"/>
      <c r="L23" s="180"/>
      <c r="M23" s="180"/>
      <c r="N23" s="180"/>
      <c r="O23" s="292" t="str">
        <f t="shared" si="0"/>
        <v xml:space="preserve">ЛОЖЬ, </v>
      </c>
      <c r="P23" s="159"/>
      <c r="Q23" s="180"/>
      <c r="R23" s="159"/>
      <c r="S23" s="159"/>
      <c r="T23" s="159"/>
      <c r="U23" s="180"/>
      <c r="V23" s="159"/>
      <c r="W23" s="159"/>
      <c r="X23" s="180"/>
      <c r="Y23" s="180"/>
      <c r="Z23" s="159"/>
      <c r="AA23" s="159"/>
      <c r="AB23" s="159"/>
      <c r="AC23" s="159"/>
      <c r="AD23" s="159"/>
      <c r="AE23" s="180"/>
      <c r="AF23" s="159"/>
      <c r="AG23" s="159"/>
      <c r="AH23" s="159"/>
      <c r="AI23" s="159"/>
      <c r="AJ23" s="159"/>
      <c r="AK23" s="159"/>
      <c r="AL23" s="159"/>
      <c r="AM23" s="159"/>
      <c r="AN23" s="159"/>
      <c r="AO23" s="159"/>
      <c r="AP23" s="159"/>
      <c r="AQ23" s="159"/>
      <c r="AR23" s="159"/>
      <c r="AS23" s="159"/>
      <c r="AT23" s="159"/>
      <c r="AU23" s="159"/>
      <c r="AV23" s="159"/>
      <c r="AW23" s="159"/>
      <c r="AX23" s="159"/>
      <c r="AY23" s="180"/>
      <c r="AZ23" s="159"/>
      <c r="BA23" s="159"/>
      <c r="BB23" s="159"/>
      <c r="BC23" s="159"/>
      <c r="BD23" s="159"/>
      <c r="BE23" s="159"/>
      <c r="BF23" s="159"/>
      <c r="BG23" s="159"/>
      <c r="BH23" s="159"/>
      <c r="BI23" s="159"/>
      <c r="BJ23" s="159"/>
      <c r="BK23" s="159"/>
      <c r="BL23" s="159"/>
      <c r="BM23" s="159"/>
      <c r="BN23" s="159"/>
      <c r="BO23" s="159"/>
      <c r="BP23" s="159"/>
      <c r="BQ23" s="159"/>
      <c r="BR23" s="159"/>
      <c r="BS23" s="180"/>
      <c r="BT23" s="159"/>
      <c r="BU23" s="180"/>
      <c r="BV23" s="180"/>
      <c r="BW23" s="159"/>
      <c r="BX23" s="159"/>
      <c r="BY23" s="159"/>
      <c r="BZ23" s="159"/>
      <c r="CA23" s="159"/>
      <c r="CB23" s="159"/>
      <c r="CC23" s="159"/>
      <c r="CD23" s="159"/>
      <c r="CE23" s="159"/>
      <c r="CF23" s="159"/>
      <c r="CG23" s="180"/>
      <c r="CH23" s="159"/>
    </row>
    <row r="24" spans="1:86" x14ac:dyDescent="0.25">
      <c r="A24" s="257" t="str">
        <f t="shared" si="1"/>
        <v/>
      </c>
      <c r="B24" s="180"/>
      <c r="C24" s="180"/>
      <c r="D24" s="180"/>
      <c r="E24" s="180"/>
      <c r="F24" s="180"/>
      <c r="G24" s="180"/>
      <c r="H24" s="180"/>
      <c r="I24" s="180"/>
      <c r="J24" s="180"/>
      <c r="K24" s="180"/>
      <c r="L24" s="180"/>
      <c r="M24" s="180"/>
      <c r="N24" s="180"/>
      <c r="O24" s="292" t="str">
        <f t="shared" si="0"/>
        <v xml:space="preserve">ЛОЖЬ, </v>
      </c>
      <c r="P24" s="159"/>
      <c r="Q24" s="180"/>
      <c r="R24" s="159"/>
      <c r="S24" s="159"/>
      <c r="T24" s="159"/>
      <c r="U24" s="180"/>
      <c r="V24" s="159"/>
      <c r="W24" s="159"/>
      <c r="X24" s="180"/>
      <c r="Y24" s="180"/>
      <c r="Z24" s="159"/>
      <c r="AA24" s="159"/>
      <c r="AB24" s="159"/>
      <c r="AC24" s="159"/>
      <c r="AD24" s="159"/>
      <c r="AE24" s="180"/>
      <c r="AF24" s="159"/>
      <c r="AG24" s="159"/>
      <c r="AH24" s="159"/>
      <c r="AI24" s="159"/>
      <c r="AJ24" s="159"/>
      <c r="AK24" s="159"/>
      <c r="AL24" s="159"/>
      <c r="AM24" s="159"/>
      <c r="AN24" s="159"/>
      <c r="AO24" s="159"/>
      <c r="AP24" s="159"/>
      <c r="AQ24" s="159"/>
      <c r="AR24" s="159"/>
      <c r="AS24" s="159"/>
      <c r="AT24" s="159"/>
      <c r="AU24" s="159"/>
      <c r="AV24" s="159"/>
      <c r="AW24" s="159"/>
      <c r="AX24" s="159"/>
      <c r="AY24" s="180"/>
      <c r="AZ24" s="159"/>
      <c r="BA24" s="159"/>
      <c r="BB24" s="159"/>
      <c r="BC24" s="159"/>
      <c r="BD24" s="159"/>
      <c r="BE24" s="159"/>
      <c r="BF24" s="159"/>
      <c r="BG24" s="159"/>
      <c r="BH24" s="159"/>
      <c r="BI24" s="159"/>
      <c r="BJ24" s="159"/>
      <c r="BK24" s="159"/>
      <c r="BL24" s="159"/>
      <c r="BM24" s="159"/>
      <c r="BN24" s="159"/>
      <c r="BO24" s="159"/>
      <c r="BP24" s="159"/>
      <c r="BQ24" s="159"/>
      <c r="BR24" s="159"/>
      <c r="BS24" s="180"/>
      <c r="BT24" s="159"/>
      <c r="BU24" s="180"/>
      <c r="BV24" s="180"/>
      <c r="BW24" s="159"/>
      <c r="BX24" s="159"/>
      <c r="BY24" s="159"/>
      <c r="BZ24" s="159"/>
      <c r="CA24" s="159"/>
      <c r="CB24" s="159"/>
      <c r="CC24" s="159"/>
      <c r="CD24" s="159"/>
      <c r="CE24" s="159"/>
      <c r="CF24" s="159"/>
      <c r="CG24" s="180"/>
      <c r="CH24" s="159"/>
    </row>
    <row r="25" spans="1:86" x14ac:dyDescent="0.25">
      <c r="A25" s="257" t="str">
        <f t="shared" si="1"/>
        <v/>
      </c>
      <c r="B25" s="180"/>
      <c r="C25" s="180"/>
      <c r="D25" s="180"/>
      <c r="E25" s="180"/>
      <c r="F25" s="180"/>
      <c r="G25" s="180"/>
      <c r="H25" s="180"/>
      <c r="I25" s="180"/>
      <c r="J25" s="180"/>
      <c r="K25" s="180"/>
      <c r="L25" s="180"/>
      <c r="M25" s="180"/>
      <c r="N25" s="180"/>
      <c r="O25" s="292" t="str">
        <f t="shared" si="0"/>
        <v xml:space="preserve">ЛОЖЬ, </v>
      </c>
      <c r="P25" s="159"/>
      <c r="Q25" s="180"/>
      <c r="R25" s="159"/>
      <c r="S25" s="159"/>
      <c r="T25" s="159"/>
      <c r="U25" s="180"/>
      <c r="V25" s="159"/>
      <c r="W25" s="159"/>
      <c r="X25" s="180"/>
      <c r="Y25" s="180"/>
      <c r="Z25" s="159"/>
      <c r="AA25" s="159"/>
      <c r="AB25" s="159"/>
      <c r="AC25" s="159"/>
      <c r="AD25" s="159"/>
      <c r="AE25" s="180"/>
      <c r="AF25" s="159"/>
      <c r="AG25" s="159"/>
      <c r="AH25" s="159"/>
      <c r="AI25" s="159"/>
      <c r="AJ25" s="159"/>
      <c r="AK25" s="159"/>
      <c r="AL25" s="159"/>
      <c r="AM25" s="159"/>
      <c r="AN25" s="159"/>
      <c r="AO25" s="159"/>
      <c r="AP25" s="159"/>
      <c r="AQ25" s="159"/>
      <c r="AR25" s="159"/>
      <c r="AS25" s="159"/>
      <c r="AT25" s="159"/>
      <c r="AU25" s="159"/>
      <c r="AV25" s="159"/>
      <c r="AW25" s="159"/>
      <c r="AX25" s="159"/>
      <c r="AY25" s="180"/>
      <c r="AZ25" s="159"/>
      <c r="BA25" s="159"/>
      <c r="BB25" s="159"/>
      <c r="BC25" s="159"/>
      <c r="BD25" s="159"/>
      <c r="BE25" s="159"/>
      <c r="BF25" s="159"/>
      <c r="BG25" s="159"/>
      <c r="BH25" s="159"/>
      <c r="BI25" s="159"/>
      <c r="BJ25" s="159"/>
      <c r="BK25" s="159"/>
      <c r="BL25" s="159"/>
      <c r="BM25" s="159"/>
      <c r="BN25" s="159"/>
      <c r="BO25" s="159"/>
      <c r="BP25" s="159"/>
      <c r="BQ25" s="159"/>
      <c r="BR25" s="159"/>
      <c r="BS25" s="180"/>
      <c r="BT25" s="159"/>
      <c r="BU25" s="180"/>
      <c r="BV25" s="180"/>
      <c r="BW25" s="159"/>
      <c r="BX25" s="159"/>
      <c r="BY25" s="159"/>
      <c r="BZ25" s="159"/>
      <c r="CA25" s="159"/>
      <c r="CB25" s="159"/>
      <c r="CC25" s="159"/>
      <c r="CD25" s="159"/>
      <c r="CE25" s="159"/>
      <c r="CF25" s="159"/>
      <c r="CG25" s="180"/>
      <c r="CH25" s="159"/>
    </row>
    <row r="26" spans="1:86" x14ac:dyDescent="0.25">
      <c r="A26" s="257" t="str">
        <f t="shared" si="1"/>
        <v/>
      </c>
      <c r="B26" s="180"/>
      <c r="C26" s="180"/>
      <c r="D26" s="180"/>
      <c r="E26" s="180"/>
      <c r="F26" s="180"/>
      <c r="G26" s="180"/>
      <c r="H26" s="180"/>
      <c r="I26" s="180"/>
      <c r="J26" s="180"/>
      <c r="K26" s="180"/>
      <c r="L26" s="180"/>
      <c r="M26" s="180"/>
      <c r="N26" s="180"/>
      <c r="O26" s="292" t="str">
        <f t="shared" si="0"/>
        <v xml:space="preserve">ЛОЖЬ, </v>
      </c>
      <c r="P26" s="159"/>
      <c r="Q26" s="180"/>
      <c r="R26" s="159"/>
      <c r="S26" s="159"/>
      <c r="T26" s="159"/>
      <c r="U26" s="180"/>
      <c r="V26" s="159"/>
      <c r="W26" s="159"/>
      <c r="X26" s="180"/>
      <c r="Y26" s="180"/>
      <c r="Z26" s="159"/>
      <c r="AA26" s="159"/>
      <c r="AB26" s="159"/>
      <c r="AC26" s="159"/>
      <c r="AD26" s="159"/>
      <c r="AE26" s="180"/>
      <c r="AF26" s="159"/>
      <c r="AG26" s="159"/>
      <c r="AH26" s="159"/>
      <c r="AI26" s="159"/>
      <c r="AJ26" s="159"/>
      <c r="AK26" s="159"/>
      <c r="AL26" s="159"/>
      <c r="AM26" s="159"/>
      <c r="AN26" s="159"/>
      <c r="AO26" s="159"/>
      <c r="AP26" s="159"/>
      <c r="AQ26" s="159"/>
      <c r="AR26" s="159"/>
      <c r="AS26" s="159"/>
      <c r="AT26" s="159"/>
      <c r="AU26" s="159"/>
      <c r="AV26" s="159"/>
      <c r="AW26" s="159"/>
      <c r="AX26" s="159"/>
      <c r="AY26" s="180"/>
      <c r="AZ26" s="159"/>
      <c r="BA26" s="159"/>
      <c r="BB26" s="159"/>
      <c r="BC26" s="159"/>
      <c r="BD26" s="159"/>
      <c r="BE26" s="159"/>
      <c r="BF26" s="159"/>
      <c r="BG26" s="159"/>
      <c r="BH26" s="159"/>
      <c r="BI26" s="159"/>
      <c r="BJ26" s="159"/>
      <c r="BK26" s="159"/>
      <c r="BL26" s="159"/>
      <c r="BM26" s="159"/>
      <c r="BN26" s="159"/>
      <c r="BO26" s="159"/>
      <c r="BP26" s="159"/>
      <c r="BQ26" s="159"/>
      <c r="BR26" s="159"/>
      <c r="BS26" s="180"/>
      <c r="BT26" s="159"/>
      <c r="BU26" s="180"/>
      <c r="BV26" s="180"/>
      <c r="BW26" s="159"/>
      <c r="BX26" s="159"/>
      <c r="BY26" s="159"/>
      <c r="BZ26" s="159"/>
      <c r="CA26" s="159"/>
      <c r="CB26" s="159"/>
      <c r="CC26" s="159"/>
      <c r="CD26" s="159"/>
      <c r="CE26" s="159"/>
      <c r="CF26" s="159"/>
      <c r="CG26" s="180"/>
      <c r="CH26" s="159"/>
    </row>
    <row r="27" spans="1:86" x14ac:dyDescent="0.25">
      <c r="A27" s="257" t="str">
        <f t="shared" si="1"/>
        <v/>
      </c>
      <c r="B27" s="180"/>
      <c r="C27" s="180"/>
      <c r="D27" s="180"/>
      <c r="E27" s="180"/>
      <c r="F27" s="180"/>
      <c r="G27" s="180"/>
      <c r="H27" s="180"/>
      <c r="I27" s="180"/>
      <c r="J27" s="180"/>
      <c r="K27" s="180"/>
      <c r="L27" s="180"/>
      <c r="M27" s="180"/>
      <c r="N27" s="180"/>
      <c r="O27" s="292" t="str">
        <f t="shared" si="0"/>
        <v xml:space="preserve">ЛОЖЬ, </v>
      </c>
      <c r="P27" s="159"/>
      <c r="Q27" s="180"/>
      <c r="R27" s="159"/>
      <c r="S27" s="159"/>
      <c r="T27" s="159"/>
      <c r="U27" s="180"/>
      <c r="V27" s="159"/>
      <c r="W27" s="159"/>
      <c r="X27" s="180"/>
      <c r="Y27" s="180"/>
      <c r="Z27" s="159"/>
      <c r="AA27" s="159"/>
      <c r="AB27" s="159"/>
      <c r="AC27" s="159"/>
      <c r="AD27" s="159"/>
      <c r="AE27" s="180"/>
      <c r="AF27" s="159"/>
      <c r="AG27" s="159"/>
      <c r="AH27" s="159"/>
      <c r="AI27" s="159"/>
      <c r="AJ27" s="159"/>
      <c r="AK27" s="159"/>
      <c r="AL27" s="159"/>
      <c r="AM27" s="159"/>
      <c r="AN27" s="159"/>
      <c r="AO27" s="159"/>
      <c r="AP27" s="159"/>
      <c r="AQ27" s="159"/>
      <c r="AR27" s="159"/>
      <c r="AS27" s="159"/>
      <c r="AT27" s="159"/>
      <c r="AU27" s="159"/>
      <c r="AV27" s="159"/>
      <c r="AW27" s="159"/>
      <c r="AX27" s="159"/>
      <c r="AY27" s="180"/>
      <c r="AZ27" s="159"/>
      <c r="BA27" s="159"/>
      <c r="BB27" s="159"/>
      <c r="BC27" s="159"/>
      <c r="BD27" s="159"/>
      <c r="BE27" s="159"/>
      <c r="BF27" s="159"/>
      <c r="BG27" s="159"/>
      <c r="BH27" s="159"/>
      <c r="BI27" s="159"/>
      <c r="BJ27" s="159"/>
      <c r="BK27" s="159"/>
      <c r="BL27" s="159"/>
      <c r="BM27" s="159"/>
      <c r="BN27" s="159"/>
      <c r="BO27" s="159"/>
      <c r="BP27" s="159"/>
      <c r="BQ27" s="159"/>
      <c r="BR27" s="159"/>
      <c r="BS27" s="180"/>
      <c r="BT27" s="159"/>
      <c r="BU27" s="180"/>
      <c r="BV27" s="180"/>
      <c r="BW27" s="159"/>
      <c r="BX27" s="159"/>
      <c r="BY27" s="159"/>
      <c r="BZ27" s="159"/>
      <c r="CA27" s="159"/>
      <c r="CB27" s="159"/>
      <c r="CC27" s="159"/>
      <c r="CD27" s="159"/>
      <c r="CE27" s="159"/>
      <c r="CF27" s="159"/>
      <c r="CG27" s="180"/>
      <c r="CH27" s="159"/>
    </row>
    <row r="28" spans="1:86" x14ac:dyDescent="0.25">
      <c r="A28" s="257" t="str">
        <f t="shared" si="1"/>
        <v/>
      </c>
      <c r="B28" s="180"/>
      <c r="C28" s="180"/>
      <c r="D28" s="180"/>
      <c r="E28" s="180"/>
      <c r="F28" s="180"/>
      <c r="G28" s="180"/>
      <c r="H28" s="180"/>
      <c r="I28" s="180"/>
      <c r="J28" s="180"/>
      <c r="K28" s="180"/>
      <c r="L28" s="180"/>
      <c r="M28" s="180"/>
      <c r="N28" s="180"/>
      <c r="O28" s="292" t="str">
        <f t="shared" si="0"/>
        <v xml:space="preserve">ЛОЖЬ, </v>
      </c>
      <c r="P28" s="159"/>
      <c r="Q28" s="180"/>
      <c r="R28" s="159"/>
      <c r="S28" s="159"/>
      <c r="T28" s="159"/>
      <c r="U28" s="180"/>
      <c r="V28" s="159"/>
      <c r="W28" s="159"/>
      <c r="X28" s="180"/>
      <c r="Y28" s="180"/>
      <c r="Z28" s="159"/>
      <c r="AA28" s="159"/>
      <c r="AB28" s="159"/>
      <c r="AC28" s="159"/>
      <c r="AD28" s="159"/>
      <c r="AE28" s="180"/>
      <c r="AF28" s="159"/>
      <c r="AG28" s="159"/>
      <c r="AH28" s="159"/>
      <c r="AI28" s="159"/>
      <c r="AJ28" s="159"/>
      <c r="AK28" s="159"/>
      <c r="AL28" s="159"/>
      <c r="AM28" s="159"/>
      <c r="AN28" s="159"/>
      <c r="AO28" s="159"/>
      <c r="AP28" s="159"/>
      <c r="AQ28" s="159"/>
      <c r="AR28" s="159"/>
      <c r="AS28" s="159"/>
      <c r="AT28" s="159"/>
      <c r="AU28" s="159"/>
      <c r="AV28" s="159"/>
      <c r="AW28" s="159"/>
      <c r="AX28" s="159"/>
      <c r="AY28" s="180"/>
      <c r="AZ28" s="159"/>
      <c r="BA28" s="159"/>
      <c r="BB28" s="159"/>
      <c r="BC28" s="159"/>
      <c r="BD28" s="159"/>
      <c r="BE28" s="159"/>
      <c r="BF28" s="159"/>
      <c r="BG28" s="159"/>
      <c r="BH28" s="159"/>
      <c r="BI28" s="159"/>
      <c r="BJ28" s="159"/>
      <c r="BK28" s="159"/>
      <c r="BL28" s="159"/>
      <c r="BM28" s="159"/>
      <c r="BN28" s="159"/>
      <c r="BO28" s="159"/>
      <c r="BP28" s="159"/>
      <c r="BQ28" s="159"/>
      <c r="BR28" s="159"/>
      <c r="BS28" s="180"/>
      <c r="BT28" s="159"/>
      <c r="BU28" s="180"/>
      <c r="BV28" s="180"/>
      <c r="BW28" s="159"/>
      <c r="BX28" s="159"/>
      <c r="BY28" s="159"/>
      <c r="BZ28" s="159"/>
      <c r="CA28" s="159"/>
      <c r="CB28" s="159"/>
      <c r="CC28" s="159"/>
      <c r="CD28" s="159"/>
      <c r="CE28" s="159"/>
      <c r="CF28" s="159"/>
      <c r="CG28" s="180"/>
      <c r="CH28" s="159"/>
    </row>
    <row r="29" spans="1:86" x14ac:dyDescent="0.25">
      <c r="A29" s="257" t="str">
        <f t="shared" si="1"/>
        <v/>
      </c>
      <c r="B29" s="180"/>
      <c r="C29" s="180"/>
      <c r="D29" s="180"/>
      <c r="E29" s="180"/>
      <c r="F29" s="180"/>
      <c r="G29" s="180"/>
      <c r="H29" s="180"/>
      <c r="I29" s="180"/>
      <c r="J29" s="180"/>
      <c r="K29" s="180"/>
      <c r="L29" s="180"/>
      <c r="M29" s="180"/>
      <c r="N29" s="180"/>
      <c r="O29" s="292" t="str">
        <f t="shared" si="0"/>
        <v xml:space="preserve">ЛОЖЬ, </v>
      </c>
      <c r="P29" s="159"/>
      <c r="Q29" s="180"/>
      <c r="R29" s="159"/>
      <c r="S29" s="159"/>
      <c r="T29" s="159"/>
      <c r="U29" s="180"/>
      <c r="V29" s="159"/>
      <c r="W29" s="159"/>
      <c r="X29" s="180"/>
      <c r="Y29" s="180"/>
      <c r="Z29" s="159"/>
      <c r="AA29" s="159"/>
      <c r="AB29" s="159"/>
      <c r="AC29" s="159"/>
      <c r="AD29" s="159"/>
      <c r="AE29" s="180"/>
      <c r="AF29" s="159"/>
      <c r="AG29" s="159"/>
      <c r="AH29" s="159"/>
      <c r="AI29" s="159"/>
      <c r="AJ29" s="159"/>
      <c r="AK29" s="159"/>
      <c r="AL29" s="159"/>
      <c r="AM29" s="159"/>
      <c r="AN29" s="159"/>
      <c r="AO29" s="159"/>
      <c r="AP29" s="159"/>
      <c r="AQ29" s="159"/>
      <c r="AR29" s="159"/>
      <c r="AS29" s="159"/>
      <c r="AT29" s="159"/>
      <c r="AU29" s="159"/>
      <c r="AV29" s="159"/>
      <c r="AW29" s="159"/>
      <c r="AX29" s="159"/>
      <c r="AY29" s="180"/>
      <c r="AZ29" s="159"/>
      <c r="BA29" s="159"/>
      <c r="BB29" s="159"/>
      <c r="BC29" s="159"/>
      <c r="BD29" s="159"/>
      <c r="BE29" s="159"/>
      <c r="BF29" s="159"/>
      <c r="BG29" s="159"/>
      <c r="BH29" s="159"/>
      <c r="BI29" s="159"/>
      <c r="BJ29" s="159"/>
      <c r="BK29" s="159"/>
      <c r="BL29" s="159"/>
      <c r="BM29" s="159"/>
      <c r="BN29" s="159"/>
      <c r="BO29" s="159"/>
      <c r="BP29" s="159"/>
      <c r="BQ29" s="159"/>
      <c r="BR29" s="159"/>
      <c r="BS29" s="180"/>
      <c r="BT29" s="159"/>
      <c r="BU29" s="180"/>
      <c r="BV29" s="180"/>
      <c r="BW29" s="159"/>
      <c r="BX29" s="159"/>
      <c r="BY29" s="159"/>
      <c r="BZ29" s="159"/>
      <c r="CA29" s="159"/>
      <c r="CB29" s="159"/>
      <c r="CC29" s="159"/>
      <c r="CD29" s="159"/>
      <c r="CE29" s="159"/>
      <c r="CF29" s="159"/>
      <c r="CG29" s="180"/>
      <c r="CH29" s="159"/>
    </row>
    <row r="30" spans="1:86" x14ac:dyDescent="0.25">
      <c r="A30" s="257" t="str">
        <f t="shared" si="1"/>
        <v/>
      </c>
      <c r="B30" s="180"/>
      <c r="C30" s="180"/>
      <c r="D30" s="180"/>
      <c r="E30" s="180"/>
      <c r="F30" s="180"/>
      <c r="G30" s="180"/>
      <c r="H30" s="180"/>
      <c r="I30" s="180"/>
      <c r="J30" s="180"/>
      <c r="K30" s="180"/>
      <c r="L30" s="180"/>
      <c r="M30" s="180"/>
      <c r="N30" s="180"/>
      <c r="O30" s="292" t="str">
        <f t="shared" si="0"/>
        <v xml:space="preserve">ЛОЖЬ, </v>
      </c>
      <c r="P30" s="159"/>
      <c r="Q30" s="180"/>
      <c r="R30" s="159"/>
      <c r="S30" s="159"/>
      <c r="T30" s="159"/>
      <c r="U30" s="180"/>
      <c r="V30" s="159"/>
      <c r="W30" s="159"/>
      <c r="X30" s="180"/>
      <c r="Y30" s="180"/>
      <c r="Z30" s="159"/>
      <c r="AA30" s="159"/>
      <c r="AB30" s="159"/>
      <c r="AC30" s="159"/>
      <c r="AD30" s="159"/>
      <c r="AE30" s="180"/>
      <c r="AF30" s="159"/>
      <c r="AG30" s="159"/>
      <c r="AH30" s="159"/>
      <c r="AI30" s="159"/>
      <c r="AJ30" s="159"/>
      <c r="AK30" s="159"/>
      <c r="AL30" s="159"/>
      <c r="AM30" s="159"/>
      <c r="AN30" s="159"/>
      <c r="AO30" s="159"/>
      <c r="AP30" s="159"/>
      <c r="AQ30" s="159"/>
      <c r="AR30" s="159"/>
      <c r="AS30" s="159"/>
      <c r="AT30" s="159"/>
      <c r="AU30" s="159"/>
      <c r="AV30" s="159"/>
      <c r="AW30" s="159"/>
      <c r="AX30" s="159"/>
      <c r="AY30" s="180"/>
      <c r="AZ30" s="159"/>
      <c r="BA30" s="159"/>
      <c r="BB30" s="159"/>
      <c r="BC30" s="159"/>
      <c r="BD30" s="159"/>
      <c r="BE30" s="159"/>
      <c r="BF30" s="159"/>
      <c r="BG30" s="159"/>
      <c r="BH30" s="159"/>
      <c r="BI30" s="159"/>
      <c r="BJ30" s="159"/>
      <c r="BK30" s="159"/>
      <c r="BL30" s="159"/>
      <c r="BM30" s="159"/>
      <c r="BN30" s="159"/>
      <c r="BO30" s="159"/>
      <c r="BP30" s="159"/>
      <c r="BQ30" s="159"/>
      <c r="BR30" s="159"/>
      <c r="BS30" s="180"/>
      <c r="BT30" s="159"/>
      <c r="BU30" s="180"/>
      <c r="BV30" s="180"/>
      <c r="BW30" s="159"/>
      <c r="BX30" s="159"/>
      <c r="BY30" s="159"/>
      <c r="BZ30" s="159"/>
      <c r="CA30" s="159"/>
      <c r="CB30" s="159"/>
      <c r="CC30" s="159"/>
      <c r="CD30" s="159"/>
      <c r="CE30" s="159"/>
      <c r="CF30" s="159"/>
      <c r="CG30" s="180"/>
      <c r="CH30" s="159"/>
    </row>
    <row r="31" spans="1:86" x14ac:dyDescent="0.25">
      <c r="A31" s="257" t="str">
        <f t="shared" si="1"/>
        <v/>
      </c>
      <c r="B31" s="180"/>
      <c r="C31" s="180"/>
      <c r="D31" s="180"/>
      <c r="E31" s="180"/>
      <c r="F31" s="180"/>
      <c r="G31" s="180"/>
      <c r="H31" s="180"/>
      <c r="I31" s="180"/>
      <c r="J31" s="180"/>
      <c r="K31" s="180"/>
      <c r="L31" s="180"/>
      <c r="M31" s="180"/>
      <c r="N31" s="180"/>
      <c r="O31" s="292" t="str">
        <f t="shared" si="0"/>
        <v xml:space="preserve">ЛОЖЬ, </v>
      </c>
      <c r="P31" s="159"/>
      <c r="Q31" s="180"/>
      <c r="R31" s="159"/>
      <c r="S31" s="159"/>
      <c r="T31" s="159"/>
      <c r="U31" s="180"/>
      <c r="V31" s="159"/>
      <c r="W31" s="159"/>
      <c r="X31" s="180"/>
      <c r="Y31" s="180"/>
      <c r="Z31" s="159"/>
      <c r="AA31" s="159"/>
      <c r="AB31" s="159"/>
      <c r="AC31" s="159"/>
      <c r="AD31" s="159"/>
      <c r="AE31" s="180"/>
      <c r="AF31" s="159"/>
      <c r="AG31" s="159"/>
      <c r="AH31" s="159"/>
      <c r="AI31" s="159"/>
      <c r="AJ31" s="159"/>
      <c r="AK31" s="159"/>
      <c r="AL31" s="159"/>
      <c r="AM31" s="159"/>
      <c r="AN31" s="159"/>
      <c r="AO31" s="159"/>
      <c r="AP31" s="159"/>
      <c r="AQ31" s="159"/>
      <c r="AR31" s="159"/>
      <c r="AS31" s="159"/>
      <c r="AT31" s="159"/>
      <c r="AU31" s="159"/>
      <c r="AV31" s="159"/>
      <c r="AW31" s="159"/>
      <c r="AX31" s="159"/>
      <c r="AY31" s="180"/>
      <c r="AZ31" s="159"/>
      <c r="BA31" s="159"/>
      <c r="BB31" s="159"/>
      <c r="BC31" s="159"/>
      <c r="BD31" s="159"/>
      <c r="BE31" s="159"/>
      <c r="BF31" s="159"/>
      <c r="BG31" s="159"/>
      <c r="BH31" s="159"/>
      <c r="BI31" s="159"/>
      <c r="BJ31" s="159"/>
      <c r="BK31" s="159"/>
      <c r="BL31" s="159"/>
      <c r="BM31" s="159"/>
      <c r="BN31" s="159"/>
      <c r="BO31" s="159"/>
      <c r="BP31" s="159"/>
      <c r="BQ31" s="159"/>
      <c r="BR31" s="159"/>
      <c r="BS31" s="180"/>
      <c r="BT31" s="159"/>
      <c r="BU31" s="180"/>
      <c r="BV31" s="180"/>
      <c r="BW31" s="159"/>
      <c r="BX31" s="159"/>
      <c r="BY31" s="159"/>
      <c r="BZ31" s="159"/>
      <c r="CA31" s="159"/>
      <c r="CB31" s="159"/>
      <c r="CC31" s="159"/>
      <c r="CD31" s="159"/>
      <c r="CE31" s="159"/>
      <c r="CF31" s="159"/>
      <c r="CG31" s="180"/>
      <c r="CH31" s="159"/>
    </row>
    <row r="32" spans="1:86" x14ac:dyDescent="0.25">
      <c r="A32" s="257" t="str">
        <f t="shared" si="1"/>
        <v/>
      </c>
      <c r="B32" s="180"/>
      <c r="C32" s="180"/>
      <c r="D32" s="180"/>
      <c r="E32" s="180"/>
      <c r="F32" s="180"/>
      <c r="G32" s="180"/>
      <c r="H32" s="180"/>
      <c r="I32" s="180"/>
      <c r="J32" s="180"/>
      <c r="K32" s="180"/>
      <c r="L32" s="180"/>
      <c r="M32" s="180"/>
      <c r="N32" s="180"/>
      <c r="O32" s="292" t="str">
        <f t="shared" si="0"/>
        <v xml:space="preserve">ЛОЖЬ, </v>
      </c>
      <c r="P32" s="159"/>
      <c r="Q32" s="180"/>
      <c r="R32" s="159"/>
      <c r="S32" s="159"/>
      <c r="T32" s="159"/>
      <c r="U32" s="180"/>
      <c r="V32" s="159"/>
      <c r="W32" s="159"/>
      <c r="X32" s="180"/>
      <c r="Y32" s="180"/>
      <c r="Z32" s="159"/>
      <c r="AA32" s="159"/>
      <c r="AB32" s="159"/>
      <c r="AC32" s="159"/>
      <c r="AD32" s="159"/>
      <c r="AE32" s="180"/>
      <c r="AF32" s="159"/>
      <c r="AG32" s="159"/>
      <c r="AH32" s="159"/>
      <c r="AI32" s="159"/>
      <c r="AJ32" s="159"/>
      <c r="AK32" s="159"/>
      <c r="AL32" s="159"/>
      <c r="AM32" s="159"/>
      <c r="AN32" s="159"/>
      <c r="AO32" s="159"/>
      <c r="AP32" s="159"/>
      <c r="AQ32" s="159"/>
      <c r="AR32" s="159"/>
      <c r="AS32" s="159"/>
      <c r="AT32" s="159"/>
      <c r="AU32" s="159"/>
      <c r="AV32" s="159"/>
      <c r="AW32" s="159"/>
      <c r="AX32" s="159"/>
      <c r="AY32" s="180"/>
      <c r="AZ32" s="159"/>
      <c r="BA32" s="159"/>
      <c r="BB32" s="159"/>
      <c r="BC32" s="159"/>
      <c r="BD32" s="159"/>
      <c r="BE32" s="159"/>
      <c r="BF32" s="159"/>
      <c r="BG32" s="159"/>
      <c r="BH32" s="159"/>
      <c r="BI32" s="159"/>
      <c r="BJ32" s="159"/>
      <c r="BK32" s="159"/>
      <c r="BL32" s="159"/>
      <c r="BM32" s="159"/>
      <c r="BN32" s="159"/>
      <c r="BO32" s="159"/>
      <c r="BP32" s="159"/>
      <c r="BQ32" s="159"/>
      <c r="BR32" s="159"/>
      <c r="BS32" s="180"/>
      <c r="BT32" s="159"/>
      <c r="BU32" s="180"/>
      <c r="BV32" s="180"/>
      <c r="BW32" s="159"/>
      <c r="BX32" s="159"/>
      <c r="BY32" s="159"/>
      <c r="BZ32" s="159"/>
      <c r="CA32" s="159"/>
      <c r="CB32" s="159"/>
      <c r="CC32" s="159"/>
      <c r="CD32" s="159"/>
      <c r="CE32" s="159"/>
      <c r="CF32" s="159"/>
      <c r="CG32" s="180"/>
      <c r="CH32" s="159"/>
    </row>
    <row r="33" spans="1:86" x14ac:dyDescent="0.25">
      <c r="A33" s="257" t="str">
        <f t="shared" si="1"/>
        <v/>
      </c>
      <c r="B33" s="180"/>
      <c r="C33" s="180"/>
      <c r="D33" s="180"/>
      <c r="E33" s="180"/>
      <c r="F33" s="180"/>
      <c r="G33" s="180"/>
      <c r="H33" s="180"/>
      <c r="I33" s="180"/>
      <c r="J33" s="180"/>
      <c r="K33" s="180"/>
      <c r="L33" s="180"/>
      <c r="M33" s="180"/>
      <c r="N33" s="180"/>
      <c r="O33" s="292" t="str">
        <f t="shared" si="0"/>
        <v xml:space="preserve">ЛОЖЬ, </v>
      </c>
      <c r="P33" s="159"/>
      <c r="Q33" s="180"/>
      <c r="R33" s="159"/>
      <c r="S33" s="159"/>
      <c r="T33" s="159"/>
      <c r="U33" s="180"/>
      <c r="V33" s="159"/>
      <c r="W33" s="159"/>
      <c r="X33" s="180"/>
      <c r="Y33" s="180"/>
      <c r="Z33" s="159"/>
      <c r="AA33" s="159"/>
      <c r="AB33" s="159"/>
      <c r="AC33" s="159"/>
      <c r="AD33" s="159"/>
      <c r="AE33" s="180"/>
      <c r="AF33" s="159"/>
      <c r="AG33" s="159"/>
      <c r="AH33" s="159"/>
      <c r="AI33" s="159"/>
      <c r="AJ33" s="159"/>
      <c r="AK33" s="159"/>
      <c r="AL33" s="159"/>
      <c r="AM33" s="159"/>
      <c r="AN33" s="159"/>
      <c r="AO33" s="159"/>
      <c r="AP33" s="159"/>
      <c r="AQ33" s="159"/>
      <c r="AR33" s="159"/>
      <c r="AS33" s="159"/>
      <c r="AT33" s="159"/>
      <c r="AU33" s="159"/>
      <c r="AV33" s="159"/>
      <c r="AW33" s="159"/>
      <c r="AX33" s="159"/>
      <c r="AY33" s="180"/>
      <c r="AZ33" s="159"/>
      <c r="BA33" s="159"/>
      <c r="BB33" s="159"/>
      <c r="BC33" s="159"/>
      <c r="BD33" s="159"/>
      <c r="BE33" s="159"/>
      <c r="BF33" s="159"/>
      <c r="BG33" s="159"/>
      <c r="BH33" s="159"/>
      <c r="BI33" s="159"/>
      <c r="BJ33" s="159"/>
      <c r="BK33" s="159"/>
      <c r="BL33" s="159"/>
      <c r="BM33" s="159"/>
      <c r="BN33" s="159"/>
      <c r="BO33" s="159"/>
      <c r="BP33" s="159"/>
      <c r="BQ33" s="159"/>
      <c r="BR33" s="159"/>
      <c r="BS33" s="180"/>
      <c r="BT33" s="159"/>
      <c r="BU33" s="180"/>
      <c r="BV33" s="180"/>
      <c r="BW33" s="159"/>
      <c r="BX33" s="159"/>
      <c r="BY33" s="159"/>
      <c r="BZ33" s="159"/>
      <c r="CA33" s="159"/>
      <c r="CB33" s="159"/>
      <c r="CC33" s="159"/>
      <c r="CD33" s="159"/>
      <c r="CE33" s="159"/>
      <c r="CF33" s="159"/>
      <c r="CG33" s="180"/>
      <c r="CH33" s="159"/>
    </row>
    <row r="34" spans="1:86" x14ac:dyDescent="0.25">
      <c r="A34" s="257" t="str">
        <f t="shared" si="1"/>
        <v/>
      </c>
      <c r="B34" s="180"/>
      <c r="C34" s="180"/>
      <c r="D34" s="180"/>
      <c r="E34" s="180"/>
      <c r="F34" s="180"/>
      <c r="G34" s="180"/>
      <c r="H34" s="180"/>
      <c r="I34" s="180"/>
      <c r="J34" s="180"/>
      <c r="K34" s="180"/>
      <c r="L34" s="180"/>
      <c r="M34" s="180"/>
      <c r="N34" s="180"/>
      <c r="O34" s="292" t="str">
        <f t="shared" si="0"/>
        <v xml:space="preserve">ЛОЖЬ, </v>
      </c>
      <c r="P34" s="159"/>
      <c r="Q34" s="180"/>
      <c r="R34" s="159"/>
      <c r="S34" s="159"/>
      <c r="T34" s="159"/>
      <c r="U34" s="180"/>
      <c r="V34" s="159"/>
      <c r="W34" s="159"/>
      <c r="X34" s="180"/>
      <c r="Y34" s="180"/>
      <c r="Z34" s="159"/>
      <c r="AA34" s="159"/>
      <c r="AB34" s="159"/>
      <c r="AC34" s="159"/>
      <c r="AD34" s="159"/>
      <c r="AE34" s="180"/>
      <c r="AF34" s="159"/>
      <c r="AG34" s="159"/>
      <c r="AH34" s="159"/>
      <c r="AI34" s="159"/>
      <c r="AJ34" s="159"/>
      <c r="AK34" s="159"/>
      <c r="AL34" s="159"/>
      <c r="AM34" s="159"/>
      <c r="AN34" s="159"/>
      <c r="AO34" s="159"/>
      <c r="AP34" s="159"/>
      <c r="AQ34" s="159"/>
      <c r="AR34" s="159"/>
      <c r="AS34" s="159"/>
      <c r="AT34" s="159"/>
      <c r="AU34" s="159"/>
      <c r="AV34" s="159"/>
      <c r="AW34" s="159"/>
      <c r="AX34" s="159"/>
      <c r="AY34" s="180"/>
      <c r="AZ34" s="159"/>
      <c r="BA34" s="159"/>
      <c r="BB34" s="159"/>
      <c r="BC34" s="159"/>
      <c r="BD34" s="159"/>
      <c r="BE34" s="159"/>
      <c r="BF34" s="159"/>
      <c r="BG34" s="159"/>
      <c r="BH34" s="159"/>
      <c r="BI34" s="159"/>
      <c r="BJ34" s="159"/>
      <c r="BK34" s="159"/>
      <c r="BL34" s="159"/>
      <c r="BM34" s="159"/>
      <c r="BN34" s="159"/>
      <c r="BO34" s="159"/>
      <c r="BP34" s="159"/>
      <c r="BQ34" s="159"/>
      <c r="BR34" s="159"/>
      <c r="BS34" s="180"/>
      <c r="BT34" s="159"/>
      <c r="BU34" s="180"/>
      <c r="BV34" s="180"/>
      <c r="BW34" s="159"/>
      <c r="BX34" s="159"/>
      <c r="BY34" s="159"/>
      <c r="BZ34" s="159"/>
      <c r="CA34" s="159"/>
      <c r="CB34" s="159"/>
      <c r="CC34" s="159"/>
      <c r="CD34" s="159"/>
      <c r="CE34" s="159"/>
      <c r="CF34" s="159"/>
      <c r="CG34" s="180"/>
      <c r="CH34" s="159"/>
    </row>
    <row r="35" spans="1:86" x14ac:dyDescent="0.25">
      <c r="A35" s="257" t="str">
        <f t="shared" si="1"/>
        <v/>
      </c>
      <c r="B35" s="180"/>
      <c r="C35" s="180"/>
      <c r="D35" s="180"/>
      <c r="E35" s="180"/>
      <c r="F35" s="180"/>
      <c r="G35" s="180"/>
      <c r="H35" s="180"/>
      <c r="I35" s="180"/>
      <c r="J35" s="180"/>
      <c r="K35" s="180"/>
      <c r="L35" s="180"/>
      <c r="M35" s="180"/>
      <c r="N35" s="180"/>
      <c r="O35" s="292" t="str">
        <f t="shared" si="0"/>
        <v xml:space="preserve">ЛОЖЬ, </v>
      </c>
      <c r="P35" s="159"/>
      <c r="Q35" s="180"/>
      <c r="R35" s="159"/>
      <c r="S35" s="159"/>
      <c r="T35" s="159"/>
      <c r="U35" s="180"/>
      <c r="V35" s="159"/>
      <c r="W35" s="159"/>
      <c r="X35" s="180"/>
      <c r="Y35" s="180"/>
      <c r="Z35" s="159"/>
      <c r="AA35" s="159"/>
      <c r="AB35" s="159"/>
      <c r="AC35" s="159"/>
      <c r="AD35" s="159"/>
      <c r="AE35" s="180"/>
      <c r="AF35" s="159"/>
      <c r="AG35" s="159"/>
      <c r="AH35" s="159"/>
      <c r="AI35" s="159"/>
      <c r="AJ35" s="159"/>
      <c r="AK35" s="159"/>
      <c r="AL35" s="159"/>
      <c r="AM35" s="159"/>
      <c r="AN35" s="159"/>
      <c r="AO35" s="159"/>
      <c r="AP35" s="159"/>
      <c r="AQ35" s="159"/>
      <c r="AR35" s="159"/>
      <c r="AS35" s="159"/>
      <c r="AT35" s="159"/>
      <c r="AU35" s="159"/>
      <c r="AV35" s="159"/>
      <c r="AW35" s="159"/>
      <c r="AX35" s="159"/>
      <c r="AY35" s="180"/>
      <c r="AZ35" s="159"/>
      <c r="BA35" s="159"/>
      <c r="BB35" s="159"/>
      <c r="BC35" s="159"/>
      <c r="BD35" s="159"/>
      <c r="BE35" s="159"/>
      <c r="BF35" s="159"/>
      <c r="BG35" s="159"/>
      <c r="BH35" s="159"/>
      <c r="BI35" s="159"/>
      <c r="BJ35" s="159"/>
      <c r="BK35" s="159"/>
      <c r="BL35" s="159"/>
      <c r="BM35" s="159"/>
      <c r="BN35" s="159"/>
      <c r="BO35" s="159"/>
      <c r="BP35" s="159"/>
      <c r="BQ35" s="159"/>
      <c r="BR35" s="159"/>
      <c r="BS35" s="180"/>
      <c r="BT35" s="159"/>
      <c r="BU35" s="180"/>
      <c r="BV35" s="180"/>
      <c r="BW35" s="159"/>
      <c r="BX35" s="159"/>
      <c r="BY35" s="159"/>
      <c r="BZ35" s="159"/>
      <c r="CA35" s="159"/>
      <c r="CB35" s="159"/>
      <c r="CC35" s="159"/>
      <c r="CD35" s="159"/>
      <c r="CE35" s="159"/>
      <c r="CF35" s="159"/>
      <c r="CG35" s="180"/>
      <c r="CH35" s="159"/>
    </row>
    <row r="36" spans="1:86" x14ac:dyDescent="0.25">
      <c r="A36" s="257" t="str">
        <f t="shared" si="1"/>
        <v/>
      </c>
      <c r="B36" s="180"/>
      <c r="C36" s="180"/>
      <c r="D36" s="180"/>
      <c r="E36" s="180"/>
      <c r="F36" s="180"/>
      <c r="G36" s="180"/>
      <c r="H36" s="180"/>
      <c r="I36" s="180"/>
      <c r="J36" s="180"/>
      <c r="K36" s="180"/>
      <c r="L36" s="180"/>
      <c r="M36" s="180"/>
      <c r="N36" s="180"/>
      <c r="O36" s="292" t="str">
        <f t="shared" si="0"/>
        <v xml:space="preserve">ЛОЖЬ, </v>
      </c>
      <c r="P36" s="159"/>
      <c r="Q36" s="180"/>
      <c r="R36" s="159"/>
      <c r="S36" s="159"/>
      <c r="T36" s="159"/>
      <c r="U36" s="180"/>
      <c r="V36" s="159"/>
      <c r="W36" s="159"/>
      <c r="X36" s="180"/>
      <c r="Y36" s="180"/>
      <c r="Z36" s="159"/>
      <c r="AA36" s="159"/>
      <c r="AB36" s="159"/>
      <c r="AC36" s="159"/>
      <c r="AD36" s="159"/>
      <c r="AE36" s="180"/>
      <c r="AF36" s="159"/>
      <c r="AG36" s="159"/>
      <c r="AH36" s="159"/>
      <c r="AI36" s="159"/>
      <c r="AJ36" s="159"/>
      <c r="AK36" s="159"/>
      <c r="AL36" s="159"/>
      <c r="AM36" s="159"/>
      <c r="AN36" s="159"/>
      <c r="AO36" s="159"/>
      <c r="AP36" s="159"/>
      <c r="AQ36" s="159"/>
      <c r="AR36" s="159"/>
      <c r="AS36" s="159"/>
      <c r="AT36" s="159"/>
      <c r="AU36" s="159"/>
      <c r="AV36" s="159"/>
      <c r="AW36" s="159"/>
      <c r="AX36" s="159"/>
      <c r="AY36" s="180"/>
      <c r="AZ36" s="159"/>
      <c r="BA36" s="159"/>
      <c r="BB36" s="159"/>
      <c r="BC36" s="159"/>
      <c r="BD36" s="159"/>
      <c r="BE36" s="159"/>
      <c r="BF36" s="159"/>
      <c r="BG36" s="159"/>
      <c r="BH36" s="159"/>
      <c r="BI36" s="159"/>
      <c r="BJ36" s="159"/>
      <c r="BK36" s="159"/>
      <c r="BL36" s="159"/>
      <c r="BM36" s="159"/>
      <c r="BN36" s="159"/>
      <c r="BO36" s="159"/>
      <c r="BP36" s="159"/>
      <c r="BQ36" s="159"/>
      <c r="BR36" s="159"/>
      <c r="BS36" s="180"/>
      <c r="BT36" s="159"/>
      <c r="BU36" s="180"/>
      <c r="BV36" s="180"/>
      <c r="BW36" s="159"/>
      <c r="BX36" s="159"/>
      <c r="BY36" s="159"/>
      <c r="BZ36" s="159"/>
      <c r="CA36" s="159"/>
      <c r="CB36" s="159"/>
      <c r="CC36" s="159"/>
      <c r="CD36" s="159"/>
      <c r="CE36" s="159"/>
      <c r="CF36" s="159"/>
      <c r="CG36" s="180"/>
      <c r="CH36" s="159"/>
    </row>
    <row r="37" spans="1:86" x14ac:dyDescent="0.25">
      <c r="A37" s="257" t="str">
        <f t="shared" si="1"/>
        <v/>
      </c>
      <c r="B37" s="180"/>
      <c r="C37" s="180"/>
      <c r="D37" s="180"/>
      <c r="E37" s="180"/>
      <c r="F37" s="180"/>
      <c r="G37" s="180"/>
      <c r="H37" s="180"/>
      <c r="I37" s="180"/>
      <c r="J37" s="180"/>
      <c r="K37" s="180"/>
      <c r="L37" s="180"/>
      <c r="M37" s="180"/>
      <c r="N37" s="180"/>
      <c r="O37" s="292" t="str">
        <f t="shared" si="0"/>
        <v xml:space="preserve">ЛОЖЬ, </v>
      </c>
      <c r="P37" s="159"/>
      <c r="Q37" s="180"/>
      <c r="R37" s="159"/>
      <c r="S37" s="159"/>
      <c r="T37" s="159"/>
      <c r="U37" s="180"/>
      <c r="V37" s="159"/>
      <c r="W37" s="159"/>
      <c r="X37" s="180"/>
      <c r="Y37" s="180"/>
      <c r="Z37" s="159"/>
      <c r="AA37" s="159"/>
      <c r="AB37" s="159"/>
      <c r="AC37" s="159"/>
      <c r="AD37" s="159"/>
      <c r="AE37" s="180"/>
      <c r="AF37" s="159"/>
      <c r="AG37" s="159"/>
      <c r="AH37" s="159"/>
      <c r="AI37" s="159"/>
      <c r="AJ37" s="159"/>
      <c r="AK37" s="159"/>
      <c r="AL37" s="159"/>
      <c r="AM37" s="159"/>
      <c r="AN37" s="159"/>
      <c r="AO37" s="159"/>
      <c r="AP37" s="159"/>
      <c r="AQ37" s="159"/>
      <c r="AR37" s="159"/>
      <c r="AS37" s="159"/>
      <c r="AT37" s="159"/>
      <c r="AU37" s="159"/>
      <c r="AV37" s="159"/>
      <c r="AW37" s="159"/>
      <c r="AX37" s="159"/>
      <c r="AY37" s="180"/>
      <c r="AZ37" s="159"/>
      <c r="BA37" s="159"/>
      <c r="BB37" s="159"/>
      <c r="BC37" s="159"/>
      <c r="BD37" s="159"/>
      <c r="BE37" s="159"/>
      <c r="BF37" s="159"/>
      <c r="BG37" s="159"/>
      <c r="BH37" s="159"/>
      <c r="BI37" s="159"/>
      <c r="BJ37" s="159"/>
      <c r="BK37" s="159"/>
      <c r="BL37" s="159"/>
      <c r="BM37" s="159"/>
      <c r="BN37" s="159"/>
      <c r="BO37" s="159"/>
      <c r="BP37" s="159"/>
      <c r="BQ37" s="159"/>
      <c r="BR37" s="159"/>
      <c r="BS37" s="180"/>
      <c r="BT37" s="159"/>
      <c r="BU37" s="180"/>
      <c r="BV37" s="180"/>
      <c r="BW37" s="159"/>
      <c r="BX37" s="159"/>
      <c r="BY37" s="159"/>
      <c r="BZ37" s="159"/>
      <c r="CA37" s="159"/>
      <c r="CB37" s="159"/>
      <c r="CC37" s="159"/>
      <c r="CD37" s="159"/>
      <c r="CE37" s="159"/>
      <c r="CF37" s="159"/>
      <c r="CG37" s="180"/>
      <c r="CH37" s="159"/>
    </row>
    <row r="38" spans="1:86" x14ac:dyDescent="0.25">
      <c r="A38" s="257" t="str">
        <f t="shared" si="1"/>
        <v/>
      </c>
      <c r="B38" s="180"/>
      <c r="C38" s="180"/>
      <c r="D38" s="180"/>
      <c r="E38" s="180"/>
      <c r="F38" s="180"/>
      <c r="G38" s="180"/>
      <c r="H38" s="180"/>
      <c r="I38" s="180"/>
      <c r="J38" s="180"/>
      <c r="K38" s="180"/>
      <c r="L38" s="180"/>
      <c r="M38" s="180"/>
      <c r="N38" s="180"/>
      <c r="O38" s="292" t="str">
        <f t="shared" si="0"/>
        <v xml:space="preserve">ЛОЖЬ, </v>
      </c>
      <c r="P38" s="159"/>
      <c r="Q38" s="180"/>
      <c r="R38" s="159"/>
      <c r="S38" s="159"/>
      <c r="T38" s="159"/>
      <c r="U38" s="180"/>
      <c r="V38" s="159"/>
      <c r="W38" s="159"/>
      <c r="X38" s="180"/>
      <c r="Y38" s="180"/>
      <c r="Z38" s="159"/>
      <c r="AA38" s="159"/>
      <c r="AB38" s="159"/>
      <c r="AC38" s="159"/>
      <c r="AD38" s="159"/>
      <c r="AE38" s="180"/>
      <c r="AF38" s="159"/>
      <c r="AG38" s="159"/>
      <c r="AH38" s="159"/>
      <c r="AI38" s="159"/>
      <c r="AJ38" s="159"/>
      <c r="AK38" s="159"/>
      <c r="AL38" s="159"/>
      <c r="AM38" s="159"/>
      <c r="AN38" s="159"/>
      <c r="AO38" s="159"/>
      <c r="AP38" s="159"/>
      <c r="AQ38" s="159"/>
      <c r="AR38" s="159"/>
      <c r="AS38" s="159"/>
      <c r="AT38" s="159"/>
      <c r="AU38" s="159"/>
      <c r="AV38" s="159"/>
      <c r="AW38" s="159"/>
      <c r="AX38" s="159"/>
      <c r="AY38" s="180"/>
      <c r="AZ38" s="159"/>
      <c r="BA38" s="159"/>
      <c r="BB38" s="159"/>
      <c r="BC38" s="159"/>
      <c r="BD38" s="159"/>
      <c r="BE38" s="159"/>
      <c r="BF38" s="159"/>
      <c r="BG38" s="159"/>
      <c r="BH38" s="159"/>
      <c r="BI38" s="159"/>
      <c r="BJ38" s="159"/>
      <c r="BK38" s="159"/>
      <c r="BL38" s="159"/>
      <c r="BM38" s="159"/>
      <c r="BN38" s="159"/>
      <c r="BO38" s="159"/>
      <c r="BP38" s="159"/>
      <c r="BQ38" s="159"/>
      <c r="BR38" s="159"/>
      <c r="BS38" s="180"/>
      <c r="BT38" s="159"/>
      <c r="BU38" s="180"/>
      <c r="BV38" s="180"/>
      <c r="BW38" s="159"/>
      <c r="BX38" s="159"/>
      <c r="BY38" s="159"/>
      <c r="BZ38" s="159"/>
      <c r="CA38" s="159"/>
      <c r="CB38" s="159"/>
      <c r="CC38" s="159"/>
      <c r="CD38" s="159"/>
      <c r="CE38" s="159"/>
      <c r="CF38" s="159"/>
      <c r="CG38" s="180"/>
      <c r="CH38" s="159"/>
    </row>
    <row r="39" spans="1:86" x14ac:dyDescent="0.25">
      <c r="A39" s="257" t="str">
        <f t="shared" si="1"/>
        <v/>
      </c>
      <c r="B39" s="180"/>
      <c r="C39" s="180"/>
      <c r="D39" s="180"/>
      <c r="E39" s="180"/>
      <c r="F39" s="180"/>
      <c r="G39" s="180"/>
      <c r="H39" s="180"/>
      <c r="I39" s="180"/>
      <c r="J39" s="180"/>
      <c r="K39" s="180"/>
      <c r="L39" s="180"/>
      <c r="M39" s="180"/>
      <c r="N39" s="180"/>
      <c r="O39" s="292" t="str">
        <f t="shared" si="0"/>
        <v xml:space="preserve">ЛОЖЬ, </v>
      </c>
      <c r="P39" s="159"/>
      <c r="Q39" s="180"/>
      <c r="R39" s="159"/>
      <c r="S39" s="159"/>
      <c r="T39" s="159"/>
      <c r="U39" s="180"/>
      <c r="V39" s="159"/>
      <c r="W39" s="159"/>
      <c r="X39" s="180"/>
      <c r="Y39" s="180"/>
      <c r="Z39" s="159"/>
      <c r="AA39" s="159"/>
      <c r="AB39" s="159"/>
      <c r="AC39" s="159"/>
      <c r="AD39" s="159"/>
      <c r="AE39" s="180"/>
      <c r="AF39" s="159"/>
      <c r="AG39" s="159"/>
      <c r="AH39" s="159"/>
      <c r="AI39" s="159"/>
      <c r="AJ39" s="159"/>
      <c r="AK39" s="159"/>
      <c r="AL39" s="159"/>
      <c r="AM39" s="159"/>
      <c r="AN39" s="159"/>
      <c r="AO39" s="159"/>
      <c r="AP39" s="159"/>
      <c r="AQ39" s="159"/>
      <c r="AR39" s="159"/>
      <c r="AS39" s="159"/>
      <c r="AT39" s="159"/>
      <c r="AU39" s="159"/>
      <c r="AV39" s="159"/>
      <c r="AW39" s="159"/>
      <c r="AX39" s="159"/>
      <c r="AY39" s="180"/>
      <c r="AZ39" s="159"/>
      <c r="BA39" s="159"/>
      <c r="BB39" s="159"/>
      <c r="BC39" s="159"/>
      <c r="BD39" s="159"/>
      <c r="BE39" s="159"/>
      <c r="BF39" s="159"/>
      <c r="BG39" s="159"/>
      <c r="BH39" s="159"/>
      <c r="BI39" s="159"/>
      <c r="BJ39" s="159"/>
      <c r="BK39" s="159"/>
      <c r="BL39" s="159"/>
      <c r="BM39" s="159"/>
      <c r="BN39" s="159"/>
      <c r="BO39" s="159"/>
      <c r="BP39" s="159"/>
      <c r="BQ39" s="159"/>
      <c r="BR39" s="159"/>
      <c r="BS39" s="180"/>
      <c r="BT39" s="159"/>
      <c r="BU39" s="180"/>
      <c r="BV39" s="180"/>
      <c r="BW39" s="159"/>
      <c r="BX39" s="159"/>
      <c r="BY39" s="159"/>
      <c r="BZ39" s="159"/>
      <c r="CA39" s="159"/>
      <c r="CB39" s="159"/>
      <c r="CC39" s="159"/>
      <c r="CD39" s="159"/>
      <c r="CE39" s="159"/>
      <c r="CF39" s="159"/>
      <c r="CG39" s="180"/>
      <c r="CH39" s="159"/>
    </row>
    <row r="40" spans="1:86" x14ac:dyDescent="0.25">
      <c r="A40" s="257" t="str">
        <f t="shared" si="1"/>
        <v/>
      </c>
      <c r="B40" s="180"/>
      <c r="C40" s="180"/>
      <c r="D40" s="180"/>
      <c r="E40" s="180"/>
      <c r="F40" s="180"/>
      <c r="G40" s="180"/>
      <c r="H40" s="180"/>
      <c r="I40" s="180"/>
      <c r="J40" s="180"/>
      <c r="K40" s="180"/>
      <c r="L40" s="180"/>
      <c r="M40" s="180"/>
      <c r="N40" s="180"/>
      <c r="O40" s="292" t="str">
        <f t="shared" si="0"/>
        <v xml:space="preserve">ЛОЖЬ, </v>
      </c>
      <c r="P40" s="159"/>
      <c r="Q40" s="180"/>
      <c r="R40" s="159"/>
      <c r="S40" s="159"/>
      <c r="T40" s="159"/>
      <c r="U40" s="180"/>
      <c r="V40" s="159"/>
      <c r="W40" s="159"/>
      <c r="X40" s="180"/>
      <c r="Y40" s="180"/>
      <c r="Z40" s="159"/>
      <c r="AA40" s="159"/>
      <c r="AB40" s="159"/>
      <c r="AC40" s="159"/>
      <c r="AD40" s="159"/>
      <c r="AE40" s="180"/>
      <c r="AF40" s="159"/>
      <c r="AG40" s="159"/>
      <c r="AH40" s="159"/>
      <c r="AI40" s="159"/>
      <c r="AJ40" s="159"/>
      <c r="AK40" s="159"/>
      <c r="AL40" s="159"/>
      <c r="AM40" s="159"/>
      <c r="AN40" s="159"/>
      <c r="AO40" s="159"/>
      <c r="AP40" s="159"/>
      <c r="AQ40" s="159"/>
      <c r="AR40" s="159"/>
      <c r="AS40" s="159"/>
      <c r="AT40" s="159"/>
      <c r="AU40" s="159"/>
      <c r="AV40" s="159"/>
      <c r="AW40" s="159"/>
      <c r="AX40" s="159"/>
      <c r="AY40" s="180"/>
      <c r="AZ40" s="159"/>
      <c r="BA40" s="159"/>
      <c r="BB40" s="159"/>
      <c r="BC40" s="159"/>
      <c r="BD40" s="159"/>
      <c r="BE40" s="159"/>
      <c r="BF40" s="159"/>
      <c r="BG40" s="159"/>
      <c r="BH40" s="159"/>
      <c r="BI40" s="159"/>
      <c r="BJ40" s="159"/>
      <c r="BK40" s="159"/>
      <c r="BL40" s="159"/>
      <c r="BM40" s="159"/>
      <c r="BN40" s="159"/>
      <c r="BO40" s="159"/>
      <c r="BP40" s="159"/>
      <c r="BQ40" s="159"/>
      <c r="BR40" s="159"/>
      <c r="BS40" s="180"/>
      <c r="BT40" s="159"/>
      <c r="BU40" s="180"/>
      <c r="BV40" s="180"/>
      <c r="BW40" s="159"/>
      <c r="BX40" s="159"/>
      <c r="BY40" s="159"/>
      <c r="BZ40" s="159"/>
      <c r="CA40" s="159"/>
      <c r="CB40" s="159"/>
      <c r="CC40" s="159"/>
      <c r="CD40" s="159"/>
      <c r="CE40" s="159"/>
      <c r="CF40" s="159"/>
      <c r="CG40" s="180"/>
      <c r="CH40" s="159"/>
    </row>
    <row r="41" spans="1:86" x14ac:dyDescent="0.25">
      <c r="A41" s="257" t="str">
        <f t="shared" si="1"/>
        <v/>
      </c>
      <c r="B41" s="180"/>
      <c r="C41" s="180"/>
      <c r="D41" s="180"/>
      <c r="E41" s="180"/>
      <c r="F41" s="180"/>
      <c r="G41" s="180"/>
      <c r="H41" s="180"/>
      <c r="I41" s="180"/>
      <c r="J41" s="180"/>
      <c r="K41" s="180"/>
      <c r="L41" s="180"/>
      <c r="M41" s="180"/>
      <c r="N41" s="180"/>
      <c r="O41" s="292" t="str">
        <f t="shared" si="0"/>
        <v xml:space="preserve">ЛОЖЬ, </v>
      </c>
      <c r="P41" s="159"/>
      <c r="Q41" s="180"/>
      <c r="R41" s="159"/>
      <c r="S41" s="159"/>
      <c r="T41" s="159"/>
      <c r="U41" s="180"/>
      <c r="V41" s="159"/>
      <c r="W41" s="159"/>
      <c r="X41" s="180"/>
      <c r="Y41" s="180"/>
      <c r="Z41" s="159"/>
      <c r="AA41" s="159"/>
      <c r="AB41" s="159"/>
      <c r="AC41" s="159"/>
      <c r="AD41" s="159"/>
      <c r="AE41" s="180"/>
      <c r="AF41" s="159"/>
      <c r="AG41" s="159"/>
      <c r="AH41" s="159"/>
      <c r="AI41" s="159"/>
      <c r="AJ41" s="159"/>
      <c r="AK41" s="159"/>
      <c r="AL41" s="159"/>
      <c r="AM41" s="159"/>
      <c r="AN41" s="159"/>
      <c r="AO41" s="159"/>
      <c r="AP41" s="159"/>
      <c r="AQ41" s="159"/>
      <c r="AR41" s="159"/>
      <c r="AS41" s="159"/>
      <c r="AT41" s="159"/>
      <c r="AU41" s="159"/>
      <c r="AV41" s="159"/>
      <c r="AW41" s="159"/>
      <c r="AX41" s="159"/>
      <c r="AY41" s="180"/>
      <c r="AZ41" s="159"/>
      <c r="BA41" s="159"/>
      <c r="BB41" s="159"/>
      <c r="BC41" s="159"/>
      <c r="BD41" s="159"/>
      <c r="BE41" s="159"/>
      <c r="BF41" s="159"/>
      <c r="BG41" s="159"/>
      <c r="BH41" s="159"/>
      <c r="BI41" s="159"/>
      <c r="BJ41" s="159"/>
      <c r="BK41" s="159"/>
      <c r="BL41" s="159"/>
      <c r="BM41" s="159"/>
      <c r="BN41" s="159"/>
      <c r="BO41" s="159"/>
      <c r="BP41" s="159"/>
      <c r="BQ41" s="159"/>
      <c r="BR41" s="159"/>
      <c r="BS41" s="180"/>
      <c r="BT41" s="159"/>
      <c r="BU41" s="180"/>
      <c r="BV41" s="180"/>
      <c r="BW41" s="159"/>
      <c r="BX41" s="159"/>
      <c r="BY41" s="159"/>
      <c r="BZ41" s="159"/>
      <c r="CA41" s="159"/>
      <c r="CB41" s="159"/>
      <c r="CC41" s="159"/>
      <c r="CD41" s="159"/>
      <c r="CE41" s="159"/>
      <c r="CF41" s="159"/>
      <c r="CG41" s="180"/>
      <c r="CH41" s="159"/>
    </row>
    <row r="42" spans="1:86" x14ac:dyDescent="0.25">
      <c r="A42" s="257" t="str">
        <f t="shared" si="1"/>
        <v/>
      </c>
      <c r="B42" s="180"/>
      <c r="C42" s="180"/>
      <c r="D42" s="180"/>
      <c r="E42" s="180"/>
      <c r="F42" s="180"/>
      <c r="G42" s="180"/>
      <c r="H42" s="180"/>
      <c r="I42" s="180"/>
      <c r="J42" s="180"/>
      <c r="K42" s="180"/>
      <c r="L42" s="180"/>
      <c r="M42" s="180"/>
      <c r="N42" s="180"/>
      <c r="O42" s="292" t="str">
        <f t="shared" si="0"/>
        <v xml:space="preserve">ЛОЖЬ, </v>
      </c>
      <c r="P42" s="159"/>
      <c r="Q42" s="180"/>
      <c r="R42" s="159"/>
      <c r="S42" s="159"/>
      <c r="T42" s="159"/>
      <c r="U42" s="180"/>
      <c r="V42" s="159"/>
      <c r="W42" s="159"/>
      <c r="X42" s="180"/>
      <c r="Y42" s="180"/>
      <c r="Z42" s="159"/>
      <c r="AA42" s="159"/>
      <c r="AB42" s="159"/>
      <c r="AC42" s="159"/>
      <c r="AD42" s="159"/>
      <c r="AE42" s="180"/>
      <c r="AF42" s="159"/>
      <c r="AG42" s="159"/>
      <c r="AH42" s="159"/>
      <c r="AI42" s="159"/>
      <c r="AJ42" s="159"/>
      <c r="AK42" s="159"/>
      <c r="AL42" s="159"/>
      <c r="AM42" s="159"/>
      <c r="AN42" s="159"/>
      <c r="AO42" s="159"/>
      <c r="AP42" s="159"/>
      <c r="AQ42" s="159"/>
      <c r="AR42" s="159"/>
      <c r="AS42" s="159"/>
      <c r="AT42" s="159"/>
      <c r="AU42" s="159"/>
      <c r="AV42" s="159"/>
      <c r="AW42" s="159"/>
      <c r="AX42" s="159"/>
      <c r="AY42" s="180"/>
      <c r="AZ42" s="159"/>
      <c r="BA42" s="159"/>
      <c r="BB42" s="159"/>
      <c r="BC42" s="159"/>
      <c r="BD42" s="159"/>
      <c r="BE42" s="159"/>
      <c r="BF42" s="159"/>
      <c r="BG42" s="159"/>
      <c r="BH42" s="159"/>
      <c r="BI42" s="159"/>
      <c r="BJ42" s="159"/>
      <c r="BK42" s="159"/>
      <c r="BL42" s="159"/>
      <c r="BM42" s="159"/>
      <c r="BN42" s="159"/>
      <c r="BO42" s="159"/>
      <c r="BP42" s="159"/>
      <c r="BQ42" s="159"/>
      <c r="BR42" s="159"/>
      <c r="BS42" s="180"/>
      <c r="BT42" s="159"/>
      <c r="BU42" s="180"/>
      <c r="BV42" s="180"/>
      <c r="BW42" s="159"/>
      <c r="BX42" s="159"/>
      <c r="BY42" s="159"/>
      <c r="BZ42" s="159"/>
      <c r="CA42" s="159"/>
      <c r="CB42" s="159"/>
      <c r="CC42" s="159"/>
      <c r="CD42" s="159"/>
      <c r="CE42" s="159"/>
      <c r="CF42" s="159"/>
      <c r="CG42" s="180"/>
      <c r="CH42" s="159"/>
    </row>
    <row r="43" spans="1:86" x14ac:dyDescent="0.25">
      <c r="A43" s="257" t="str">
        <f t="shared" si="1"/>
        <v/>
      </c>
      <c r="B43" s="180"/>
      <c r="C43" s="180"/>
      <c r="D43" s="180"/>
      <c r="E43" s="180"/>
      <c r="F43" s="180"/>
      <c r="G43" s="180"/>
      <c r="H43" s="180"/>
      <c r="I43" s="180"/>
      <c r="J43" s="180"/>
      <c r="K43" s="180"/>
      <c r="L43" s="180"/>
      <c r="M43" s="180"/>
      <c r="N43" s="180"/>
      <c r="O43" s="292" t="str">
        <f t="shared" si="0"/>
        <v xml:space="preserve">ЛОЖЬ, </v>
      </c>
      <c r="P43" s="159"/>
      <c r="Q43" s="180"/>
      <c r="R43" s="159"/>
      <c r="S43" s="159"/>
      <c r="T43" s="159"/>
      <c r="U43" s="180"/>
      <c r="V43" s="159"/>
      <c r="W43" s="159"/>
      <c r="X43" s="180"/>
      <c r="Y43" s="180"/>
      <c r="Z43" s="159"/>
      <c r="AA43" s="159"/>
      <c r="AB43" s="159"/>
      <c r="AC43" s="159"/>
      <c r="AD43" s="159"/>
      <c r="AE43" s="180"/>
      <c r="AF43" s="159"/>
      <c r="AG43" s="159"/>
      <c r="AH43" s="159"/>
      <c r="AI43" s="159"/>
      <c r="AJ43" s="159"/>
      <c r="AK43" s="159"/>
      <c r="AL43" s="159"/>
      <c r="AM43" s="159"/>
      <c r="AN43" s="159"/>
      <c r="AO43" s="159"/>
      <c r="AP43" s="159"/>
      <c r="AQ43" s="159"/>
      <c r="AR43" s="159"/>
      <c r="AS43" s="159"/>
      <c r="AT43" s="159"/>
      <c r="AU43" s="159"/>
      <c r="AV43" s="159"/>
      <c r="AW43" s="159"/>
      <c r="AX43" s="159"/>
      <c r="AY43" s="180"/>
      <c r="AZ43" s="159"/>
      <c r="BA43" s="159"/>
      <c r="BB43" s="159"/>
      <c r="BC43" s="159"/>
      <c r="BD43" s="159"/>
      <c r="BE43" s="159"/>
      <c r="BF43" s="159"/>
      <c r="BG43" s="159"/>
      <c r="BH43" s="159"/>
      <c r="BI43" s="159"/>
      <c r="BJ43" s="159"/>
      <c r="BK43" s="159"/>
      <c r="BL43" s="159"/>
      <c r="BM43" s="159"/>
      <c r="BN43" s="159"/>
      <c r="BO43" s="159"/>
      <c r="BP43" s="159"/>
      <c r="BQ43" s="159"/>
      <c r="BR43" s="159"/>
      <c r="BS43" s="180"/>
      <c r="BT43" s="159"/>
      <c r="BU43" s="180"/>
      <c r="BV43" s="180"/>
      <c r="BW43" s="159"/>
      <c r="BX43" s="159"/>
      <c r="BY43" s="159"/>
      <c r="BZ43" s="159"/>
      <c r="CA43" s="159"/>
      <c r="CB43" s="159"/>
      <c r="CC43" s="159"/>
      <c r="CD43" s="159"/>
      <c r="CE43" s="159"/>
      <c r="CF43" s="159"/>
      <c r="CG43" s="180"/>
      <c r="CH43" s="159"/>
    </row>
    <row r="44" spans="1:86" x14ac:dyDescent="0.25">
      <c r="A44" s="257" t="str">
        <f t="shared" si="1"/>
        <v/>
      </c>
      <c r="B44" s="180"/>
      <c r="C44" s="180"/>
      <c r="D44" s="180"/>
      <c r="E44" s="180"/>
      <c r="F44" s="180"/>
      <c r="G44" s="180"/>
      <c r="H44" s="180"/>
      <c r="I44" s="180"/>
      <c r="J44" s="180"/>
      <c r="K44" s="180"/>
      <c r="L44" s="180"/>
      <c r="M44" s="180"/>
      <c r="N44" s="180"/>
      <c r="O44" s="292" t="str">
        <f t="shared" si="0"/>
        <v xml:space="preserve">ЛОЖЬ, </v>
      </c>
      <c r="P44" s="159"/>
      <c r="Q44" s="180"/>
      <c r="R44" s="159"/>
      <c r="S44" s="159"/>
      <c r="T44" s="159"/>
      <c r="U44" s="180"/>
      <c r="V44" s="159"/>
      <c r="W44" s="159"/>
      <c r="X44" s="180"/>
      <c r="Y44" s="180"/>
      <c r="Z44" s="159"/>
      <c r="AA44" s="159"/>
      <c r="AB44" s="159"/>
      <c r="AC44" s="159"/>
      <c r="AD44" s="159"/>
      <c r="AE44" s="180"/>
      <c r="AF44" s="159"/>
      <c r="AG44" s="159"/>
      <c r="AH44" s="159"/>
      <c r="AI44" s="159"/>
      <c r="AJ44" s="159"/>
      <c r="AK44" s="159"/>
      <c r="AL44" s="159"/>
      <c r="AM44" s="159"/>
      <c r="AN44" s="159"/>
      <c r="AO44" s="159"/>
      <c r="AP44" s="159"/>
      <c r="AQ44" s="159"/>
      <c r="AR44" s="159"/>
      <c r="AS44" s="159"/>
      <c r="AT44" s="159"/>
      <c r="AU44" s="159"/>
      <c r="AV44" s="159"/>
      <c r="AW44" s="159"/>
      <c r="AX44" s="159"/>
      <c r="AY44" s="180"/>
      <c r="AZ44" s="159"/>
      <c r="BA44" s="159"/>
      <c r="BB44" s="159"/>
      <c r="BC44" s="159"/>
      <c r="BD44" s="159"/>
      <c r="BE44" s="159"/>
      <c r="BF44" s="159"/>
      <c r="BG44" s="159"/>
      <c r="BH44" s="159"/>
      <c r="BI44" s="159"/>
      <c r="BJ44" s="159"/>
      <c r="BK44" s="159"/>
      <c r="BL44" s="159"/>
      <c r="BM44" s="159"/>
      <c r="BN44" s="159"/>
      <c r="BO44" s="159"/>
      <c r="BP44" s="159"/>
      <c r="BQ44" s="159"/>
      <c r="BR44" s="159"/>
      <c r="BS44" s="180"/>
      <c r="BT44" s="159"/>
      <c r="BU44" s="180"/>
      <c r="BV44" s="180"/>
      <c r="BW44" s="159"/>
      <c r="BX44" s="159"/>
      <c r="BY44" s="159"/>
      <c r="BZ44" s="159"/>
      <c r="CA44" s="159"/>
      <c r="CB44" s="159"/>
      <c r="CC44" s="159"/>
      <c r="CD44" s="159"/>
      <c r="CE44" s="159"/>
      <c r="CF44" s="159"/>
      <c r="CG44" s="180"/>
      <c r="CH44" s="159"/>
    </row>
    <row r="45" spans="1:86" x14ac:dyDescent="0.25">
      <c r="A45" s="257" t="str">
        <f t="shared" si="1"/>
        <v/>
      </c>
      <c r="B45" s="180"/>
      <c r="C45" s="180"/>
      <c r="D45" s="180"/>
      <c r="E45" s="180"/>
      <c r="F45" s="180"/>
      <c r="G45" s="180"/>
      <c r="H45" s="180"/>
      <c r="I45" s="180"/>
      <c r="J45" s="180"/>
      <c r="K45" s="180"/>
      <c r="L45" s="180"/>
      <c r="M45" s="180"/>
      <c r="N45" s="180"/>
      <c r="O45" s="292" t="str">
        <f t="shared" si="0"/>
        <v xml:space="preserve">ЛОЖЬ, </v>
      </c>
      <c r="P45" s="159"/>
      <c r="Q45" s="180"/>
      <c r="R45" s="159"/>
      <c r="S45" s="159"/>
      <c r="T45" s="159"/>
      <c r="U45" s="180"/>
      <c r="V45" s="159"/>
      <c r="W45" s="159"/>
      <c r="X45" s="180"/>
      <c r="Y45" s="180"/>
      <c r="Z45" s="159"/>
      <c r="AA45" s="159"/>
      <c r="AB45" s="159"/>
      <c r="AC45" s="159"/>
      <c r="AD45" s="159"/>
      <c r="AE45" s="180"/>
      <c r="AF45" s="159"/>
      <c r="AG45" s="159"/>
      <c r="AH45" s="159"/>
      <c r="AI45" s="159"/>
      <c r="AJ45" s="159"/>
      <c r="AK45" s="159"/>
      <c r="AL45" s="159"/>
      <c r="AM45" s="159"/>
      <c r="AN45" s="159"/>
      <c r="AO45" s="159"/>
      <c r="AP45" s="159"/>
      <c r="AQ45" s="159"/>
      <c r="AR45" s="159"/>
      <c r="AS45" s="159"/>
      <c r="AT45" s="159"/>
      <c r="AU45" s="159"/>
      <c r="AV45" s="159"/>
      <c r="AW45" s="159"/>
      <c r="AX45" s="159"/>
      <c r="AY45" s="180"/>
      <c r="AZ45" s="159"/>
      <c r="BA45" s="159"/>
      <c r="BB45" s="159"/>
      <c r="BC45" s="159"/>
      <c r="BD45" s="159"/>
      <c r="BE45" s="159"/>
      <c r="BF45" s="159"/>
      <c r="BG45" s="159"/>
      <c r="BH45" s="159"/>
      <c r="BI45" s="159"/>
      <c r="BJ45" s="159"/>
      <c r="BK45" s="159"/>
      <c r="BL45" s="159"/>
      <c r="BM45" s="159"/>
      <c r="BN45" s="159"/>
      <c r="BO45" s="159"/>
      <c r="BP45" s="159"/>
      <c r="BQ45" s="159"/>
      <c r="BR45" s="159"/>
      <c r="BS45" s="180"/>
      <c r="BT45" s="159"/>
      <c r="BU45" s="180"/>
      <c r="BV45" s="180"/>
      <c r="BW45" s="159"/>
      <c r="BX45" s="159"/>
      <c r="BY45" s="159"/>
      <c r="BZ45" s="159"/>
      <c r="CA45" s="159"/>
      <c r="CB45" s="159"/>
      <c r="CC45" s="159"/>
      <c r="CD45" s="159"/>
      <c r="CE45" s="159"/>
      <c r="CF45" s="159"/>
      <c r="CG45" s="180"/>
      <c r="CH45" s="159"/>
    </row>
    <row r="46" spans="1:86" x14ac:dyDescent="0.25">
      <c r="A46" s="257" t="str">
        <f t="shared" si="1"/>
        <v/>
      </c>
      <c r="B46" s="180"/>
      <c r="C46" s="180"/>
      <c r="D46" s="180"/>
      <c r="E46" s="180"/>
      <c r="F46" s="180"/>
      <c r="G46" s="180"/>
      <c r="H46" s="180"/>
      <c r="I46" s="180"/>
      <c r="J46" s="180"/>
      <c r="K46" s="180"/>
      <c r="L46" s="180"/>
      <c r="M46" s="180"/>
      <c r="N46" s="180"/>
      <c r="O46" s="292" t="str">
        <f t="shared" si="0"/>
        <v xml:space="preserve">ЛОЖЬ, </v>
      </c>
      <c r="P46" s="159"/>
      <c r="Q46" s="180"/>
      <c r="R46" s="159"/>
      <c r="S46" s="159"/>
      <c r="T46" s="159"/>
      <c r="U46" s="180"/>
      <c r="V46" s="159"/>
      <c r="W46" s="159"/>
      <c r="X46" s="180"/>
      <c r="Y46" s="180"/>
      <c r="Z46" s="159"/>
      <c r="AA46" s="159"/>
      <c r="AB46" s="159"/>
      <c r="AC46" s="159"/>
      <c r="AD46" s="159"/>
      <c r="AE46" s="180"/>
      <c r="AF46" s="159"/>
      <c r="AG46" s="159"/>
      <c r="AH46" s="159"/>
      <c r="AI46" s="159"/>
      <c r="AJ46" s="159"/>
      <c r="AK46" s="159"/>
      <c r="AL46" s="159"/>
      <c r="AM46" s="159"/>
      <c r="AN46" s="159"/>
      <c r="AO46" s="159"/>
      <c r="AP46" s="159"/>
      <c r="AQ46" s="159"/>
      <c r="AR46" s="159"/>
      <c r="AS46" s="159"/>
      <c r="AT46" s="159"/>
      <c r="AU46" s="159"/>
      <c r="AV46" s="159"/>
      <c r="AW46" s="159"/>
      <c r="AX46" s="159"/>
      <c r="AY46" s="180"/>
      <c r="AZ46" s="159"/>
      <c r="BA46" s="159"/>
      <c r="BB46" s="159"/>
      <c r="BC46" s="159"/>
      <c r="BD46" s="159"/>
      <c r="BE46" s="159"/>
      <c r="BF46" s="159"/>
      <c r="BG46" s="159"/>
      <c r="BH46" s="159"/>
      <c r="BI46" s="159"/>
      <c r="BJ46" s="159"/>
      <c r="BK46" s="159"/>
      <c r="BL46" s="159"/>
      <c r="BM46" s="159"/>
      <c r="BN46" s="159"/>
      <c r="BO46" s="159"/>
      <c r="BP46" s="159"/>
      <c r="BQ46" s="159"/>
      <c r="BR46" s="159"/>
      <c r="BS46" s="180"/>
      <c r="BT46" s="159"/>
      <c r="BU46" s="180"/>
      <c r="BV46" s="180"/>
      <c r="BW46" s="159"/>
      <c r="BX46" s="159"/>
      <c r="BY46" s="159"/>
      <c r="BZ46" s="159"/>
      <c r="CA46" s="159"/>
      <c r="CB46" s="159"/>
      <c r="CC46" s="159"/>
      <c r="CD46" s="159"/>
      <c r="CE46" s="159"/>
      <c r="CF46" s="159"/>
      <c r="CG46" s="180"/>
      <c r="CH46" s="159"/>
    </row>
    <row r="47" spans="1:86" x14ac:dyDescent="0.25">
      <c r="A47" s="257" t="str">
        <f t="shared" si="1"/>
        <v/>
      </c>
      <c r="B47" s="180"/>
      <c r="C47" s="180"/>
      <c r="D47" s="180"/>
      <c r="E47" s="180"/>
      <c r="F47" s="180"/>
      <c r="G47" s="180"/>
      <c r="H47" s="180"/>
      <c r="I47" s="180"/>
      <c r="J47" s="180"/>
      <c r="K47" s="180"/>
      <c r="L47" s="180"/>
      <c r="M47" s="180"/>
      <c r="N47" s="180"/>
      <c r="O47" s="292" t="str">
        <f t="shared" si="0"/>
        <v xml:space="preserve">ЛОЖЬ, </v>
      </c>
      <c r="P47" s="159"/>
      <c r="Q47" s="180"/>
      <c r="R47" s="159"/>
      <c r="S47" s="159"/>
      <c r="T47" s="159"/>
      <c r="U47" s="180"/>
      <c r="V47" s="159"/>
      <c r="W47" s="159"/>
      <c r="X47" s="180"/>
      <c r="Y47" s="180"/>
      <c r="Z47" s="159"/>
      <c r="AA47" s="159"/>
      <c r="AB47" s="159"/>
      <c r="AC47" s="159"/>
      <c r="AD47" s="159"/>
      <c r="AE47" s="180"/>
      <c r="AF47" s="159"/>
      <c r="AG47" s="159"/>
      <c r="AH47" s="159"/>
      <c r="AI47" s="159"/>
      <c r="AJ47" s="159"/>
      <c r="AK47" s="159"/>
      <c r="AL47" s="159"/>
      <c r="AM47" s="159"/>
      <c r="AN47" s="159"/>
      <c r="AO47" s="159"/>
      <c r="AP47" s="159"/>
      <c r="AQ47" s="159"/>
      <c r="AR47" s="159"/>
      <c r="AS47" s="159"/>
      <c r="AT47" s="159"/>
      <c r="AU47" s="159"/>
      <c r="AV47" s="159"/>
      <c r="AW47" s="159"/>
      <c r="AX47" s="159"/>
      <c r="AY47" s="180"/>
      <c r="AZ47" s="159"/>
      <c r="BA47" s="159"/>
      <c r="BB47" s="159"/>
      <c r="BC47" s="159"/>
      <c r="BD47" s="159"/>
      <c r="BE47" s="159"/>
      <c r="BF47" s="159"/>
      <c r="BG47" s="159"/>
      <c r="BH47" s="159"/>
      <c r="BI47" s="159"/>
      <c r="BJ47" s="159"/>
      <c r="BK47" s="159"/>
      <c r="BL47" s="159"/>
      <c r="BM47" s="159"/>
      <c r="BN47" s="159"/>
      <c r="BO47" s="159"/>
      <c r="BP47" s="159"/>
      <c r="BQ47" s="159"/>
      <c r="BR47" s="159"/>
      <c r="BS47" s="180"/>
      <c r="BT47" s="159"/>
      <c r="BU47" s="180"/>
      <c r="BV47" s="180"/>
      <c r="BW47" s="159"/>
      <c r="BX47" s="159"/>
      <c r="BY47" s="159"/>
      <c r="BZ47" s="159"/>
      <c r="CA47" s="159"/>
      <c r="CB47" s="159"/>
      <c r="CC47" s="159"/>
      <c r="CD47" s="159"/>
      <c r="CE47" s="159"/>
      <c r="CF47" s="159"/>
      <c r="CG47" s="180"/>
      <c r="CH47" s="159"/>
    </row>
    <row r="48" spans="1:86" x14ac:dyDescent="0.25">
      <c r="A48" s="257" t="str">
        <f t="shared" si="1"/>
        <v/>
      </c>
      <c r="B48" s="180"/>
      <c r="C48" s="180"/>
      <c r="D48" s="180"/>
      <c r="E48" s="180"/>
      <c r="F48" s="180"/>
      <c r="G48" s="180"/>
      <c r="H48" s="180"/>
      <c r="I48" s="180"/>
      <c r="J48" s="180"/>
      <c r="K48" s="180"/>
      <c r="L48" s="180"/>
      <c r="M48" s="180"/>
      <c r="N48" s="180"/>
      <c r="O48" s="292" t="str">
        <f t="shared" si="0"/>
        <v xml:space="preserve">ЛОЖЬ, </v>
      </c>
      <c r="P48" s="159"/>
      <c r="Q48" s="180"/>
      <c r="R48" s="159"/>
      <c r="S48" s="159"/>
      <c r="T48" s="159"/>
      <c r="U48" s="180"/>
      <c r="V48" s="159"/>
      <c r="W48" s="159"/>
      <c r="X48" s="180"/>
      <c r="Y48" s="180"/>
      <c r="Z48" s="159"/>
      <c r="AA48" s="159"/>
      <c r="AB48" s="159"/>
      <c r="AC48" s="159"/>
      <c r="AD48" s="159"/>
      <c r="AE48" s="180"/>
      <c r="AF48" s="159"/>
      <c r="AG48" s="159"/>
      <c r="AH48" s="159"/>
      <c r="AI48" s="159"/>
      <c r="AJ48" s="159"/>
      <c r="AK48" s="159"/>
      <c r="AL48" s="159"/>
      <c r="AM48" s="159"/>
      <c r="AN48" s="159"/>
      <c r="AO48" s="159"/>
      <c r="AP48" s="159"/>
      <c r="AQ48" s="159"/>
      <c r="AR48" s="159"/>
      <c r="AS48" s="159"/>
      <c r="AT48" s="159"/>
      <c r="AU48" s="159"/>
      <c r="AV48" s="159"/>
      <c r="AW48" s="159"/>
      <c r="AX48" s="159"/>
      <c r="AY48" s="180"/>
      <c r="AZ48" s="159"/>
      <c r="BA48" s="159"/>
      <c r="BB48" s="159"/>
      <c r="BC48" s="159"/>
      <c r="BD48" s="159"/>
      <c r="BE48" s="159"/>
      <c r="BF48" s="159"/>
      <c r="BG48" s="159"/>
      <c r="BH48" s="159"/>
      <c r="BI48" s="159"/>
      <c r="BJ48" s="159"/>
      <c r="BK48" s="159"/>
      <c r="BL48" s="159"/>
      <c r="BM48" s="159"/>
      <c r="BN48" s="159"/>
      <c r="BO48" s="159"/>
      <c r="BP48" s="159"/>
      <c r="BQ48" s="159"/>
      <c r="BR48" s="159"/>
      <c r="BS48" s="180"/>
      <c r="BT48" s="159"/>
      <c r="BU48" s="180"/>
      <c r="BV48" s="180"/>
      <c r="BW48" s="159"/>
      <c r="BX48" s="159"/>
      <c r="BY48" s="159"/>
      <c r="BZ48" s="159"/>
      <c r="CA48" s="159"/>
      <c r="CB48" s="159"/>
      <c r="CC48" s="159"/>
      <c r="CD48" s="159"/>
      <c r="CE48" s="159"/>
      <c r="CF48" s="159"/>
      <c r="CG48" s="180"/>
      <c r="CH48" s="159"/>
    </row>
    <row r="49" spans="1:86" x14ac:dyDescent="0.25">
      <c r="A49" s="257" t="str">
        <f t="shared" si="1"/>
        <v/>
      </c>
      <c r="B49" s="180"/>
      <c r="C49" s="180"/>
      <c r="D49" s="180"/>
      <c r="E49" s="180"/>
      <c r="F49" s="180"/>
      <c r="G49" s="180"/>
      <c r="H49" s="180"/>
      <c r="I49" s="180"/>
      <c r="J49" s="180"/>
      <c r="K49" s="180"/>
      <c r="L49" s="180"/>
      <c r="M49" s="180"/>
      <c r="N49" s="180"/>
      <c r="O49" s="292" t="str">
        <f t="shared" si="0"/>
        <v xml:space="preserve">ЛОЖЬ, </v>
      </c>
      <c r="P49" s="159"/>
      <c r="Q49" s="180"/>
      <c r="R49" s="159"/>
      <c r="S49" s="159"/>
      <c r="T49" s="159"/>
      <c r="U49" s="180"/>
      <c r="V49" s="159"/>
      <c r="W49" s="159"/>
      <c r="X49" s="180"/>
      <c r="Y49" s="180"/>
      <c r="Z49" s="159"/>
      <c r="AA49" s="159"/>
      <c r="AB49" s="159"/>
      <c r="AC49" s="159"/>
      <c r="AD49" s="159"/>
      <c r="AE49" s="180"/>
      <c r="AF49" s="159"/>
      <c r="AG49" s="159"/>
      <c r="AH49" s="159"/>
      <c r="AI49" s="159"/>
      <c r="AJ49" s="159"/>
      <c r="AK49" s="159"/>
      <c r="AL49" s="159"/>
      <c r="AM49" s="159"/>
      <c r="AN49" s="159"/>
      <c r="AO49" s="159"/>
      <c r="AP49" s="159"/>
      <c r="AQ49" s="159"/>
      <c r="AR49" s="159"/>
      <c r="AS49" s="159"/>
      <c r="AT49" s="159"/>
      <c r="AU49" s="159"/>
      <c r="AV49" s="159"/>
      <c r="AW49" s="159"/>
      <c r="AX49" s="159"/>
      <c r="AY49" s="180"/>
      <c r="AZ49" s="159"/>
      <c r="BA49" s="159"/>
      <c r="BB49" s="159"/>
      <c r="BC49" s="159"/>
      <c r="BD49" s="159"/>
      <c r="BE49" s="159"/>
      <c r="BF49" s="159"/>
      <c r="BG49" s="159"/>
      <c r="BH49" s="159"/>
      <c r="BI49" s="159"/>
      <c r="BJ49" s="159"/>
      <c r="BK49" s="159"/>
      <c r="BL49" s="159"/>
      <c r="BM49" s="159"/>
      <c r="BN49" s="159"/>
      <c r="BO49" s="159"/>
      <c r="BP49" s="159"/>
      <c r="BQ49" s="159"/>
      <c r="BR49" s="159"/>
      <c r="BS49" s="180"/>
      <c r="BT49" s="159"/>
      <c r="BU49" s="180"/>
      <c r="BV49" s="180"/>
      <c r="BW49" s="159"/>
      <c r="BX49" s="159"/>
      <c r="BY49" s="159"/>
      <c r="BZ49" s="159"/>
      <c r="CA49" s="159"/>
      <c r="CB49" s="159"/>
      <c r="CC49" s="159"/>
      <c r="CD49" s="159"/>
      <c r="CE49" s="159"/>
      <c r="CF49" s="159"/>
      <c r="CG49" s="180"/>
      <c r="CH49" s="159"/>
    </row>
    <row r="50" spans="1:86" x14ac:dyDescent="0.25">
      <c r="A50" s="257" t="str">
        <f t="shared" si="1"/>
        <v/>
      </c>
      <c r="B50" s="180"/>
      <c r="C50" s="180"/>
      <c r="D50" s="180"/>
      <c r="E50" s="180"/>
      <c r="F50" s="180"/>
      <c r="G50" s="180"/>
      <c r="H50" s="180"/>
      <c r="I50" s="180"/>
      <c r="J50" s="180"/>
      <c r="K50" s="180"/>
      <c r="L50" s="180"/>
      <c r="M50" s="180"/>
      <c r="N50" s="180"/>
      <c r="O50" s="292" t="str">
        <f t="shared" si="0"/>
        <v xml:space="preserve">ЛОЖЬ, </v>
      </c>
      <c r="P50" s="159"/>
      <c r="Q50" s="180"/>
      <c r="R50" s="159"/>
      <c r="S50" s="159"/>
      <c r="T50" s="159"/>
      <c r="U50" s="180"/>
      <c r="V50" s="159"/>
      <c r="W50" s="159"/>
      <c r="X50" s="180"/>
      <c r="Y50" s="180"/>
      <c r="Z50" s="159"/>
      <c r="AA50" s="159"/>
      <c r="AB50" s="159"/>
      <c r="AC50" s="159"/>
      <c r="AD50" s="159"/>
      <c r="AE50" s="180"/>
      <c r="AF50" s="159"/>
      <c r="AG50" s="159"/>
      <c r="AH50" s="159"/>
      <c r="AI50" s="159"/>
      <c r="AJ50" s="159"/>
      <c r="AK50" s="159"/>
      <c r="AL50" s="159"/>
      <c r="AM50" s="159"/>
      <c r="AN50" s="159"/>
      <c r="AO50" s="159"/>
      <c r="AP50" s="159"/>
      <c r="AQ50" s="159"/>
      <c r="AR50" s="159"/>
      <c r="AS50" s="159"/>
      <c r="AT50" s="159"/>
      <c r="AU50" s="159"/>
      <c r="AV50" s="159"/>
      <c r="AW50" s="159"/>
      <c r="AX50" s="159"/>
      <c r="AY50" s="180"/>
      <c r="AZ50" s="159"/>
      <c r="BA50" s="159"/>
      <c r="BB50" s="159"/>
      <c r="BC50" s="159"/>
      <c r="BD50" s="159"/>
      <c r="BE50" s="159"/>
      <c r="BF50" s="159"/>
      <c r="BG50" s="159"/>
      <c r="BH50" s="159"/>
      <c r="BI50" s="159"/>
      <c r="BJ50" s="159"/>
      <c r="BK50" s="159"/>
      <c r="BL50" s="159"/>
      <c r="BM50" s="159"/>
      <c r="BN50" s="159"/>
      <c r="BO50" s="159"/>
      <c r="BP50" s="159"/>
      <c r="BQ50" s="159"/>
      <c r="BR50" s="159"/>
      <c r="BS50" s="180"/>
      <c r="BT50" s="159"/>
      <c r="BU50" s="180"/>
      <c r="BV50" s="180"/>
      <c r="BW50" s="159"/>
      <c r="BX50" s="159"/>
      <c r="BY50" s="159"/>
      <c r="BZ50" s="159"/>
      <c r="CA50" s="159"/>
      <c r="CB50" s="159"/>
      <c r="CC50" s="159"/>
      <c r="CD50" s="159"/>
      <c r="CE50" s="159"/>
      <c r="CF50" s="159"/>
      <c r="CG50" s="180"/>
      <c r="CH50" s="159"/>
    </row>
    <row r="51" spans="1:86" x14ac:dyDescent="0.25">
      <c r="A51" s="257" t="str">
        <f t="shared" si="1"/>
        <v/>
      </c>
      <c r="B51" s="180"/>
      <c r="C51" s="180"/>
      <c r="D51" s="180"/>
      <c r="E51" s="180"/>
      <c r="F51" s="180"/>
      <c r="G51" s="180"/>
      <c r="H51" s="180"/>
      <c r="I51" s="180"/>
      <c r="J51" s="180"/>
      <c r="K51" s="180"/>
      <c r="L51" s="180"/>
      <c r="M51" s="180"/>
      <c r="N51" s="180"/>
      <c r="O51" s="292" t="str">
        <f t="shared" si="0"/>
        <v xml:space="preserve">ЛОЖЬ, </v>
      </c>
      <c r="P51" s="159"/>
      <c r="Q51" s="180"/>
      <c r="R51" s="159"/>
      <c r="S51" s="159"/>
      <c r="T51" s="159"/>
      <c r="U51" s="180"/>
      <c r="V51" s="159"/>
      <c r="W51" s="159"/>
      <c r="X51" s="180"/>
      <c r="Y51" s="180"/>
      <c r="Z51" s="159"/>
      <c r="AA51" s="159"/>
      <c r="AB51" s="159"/>
      <c r="AC51" s="159"/>
      <c r="AD51" s="159"/>
      <c r="AE51" s="180"/>
      <c r="AF51" s="159"/>
      <c r="AG51" s="159"/>
      <c r="AH51" s="159"/>
      <c r="AI51" s="159"/>
      <c r="AJ51" s="159"/>
      <c r="AK51" s="159"/>
      <c r="AL51" s="159"/>
      <c r="AM51" s="159"/>
      <c r="AN51" s="159"/>
      <c r="AO51" s="159"/>
      <c r="AP51" s="159"/>
      <c r="AQ51" s="159"/>
      <c r="AR51" s="159"/>
      <c r="AS51" s="159"/>
      <c r="AT51" s="159"/>
      <c r="AU51" s="159"/>
      <c r="AV51" s="159"/>
      <c r="AW51" s="159"/>
      <c r="AX51" s="159"/>
      <c r="AY51" s="180"/>
      <c r="AZ51" s="159"/>
      <c r="BA51" s="159"/>
      <c r="BB51" s="159"/>
      <c r="BC51" s="159"/>
      <c r="BD51" s="159"/>
      <c r="BE51" s="159"/>
      <c r="BF51" s="159"/>
      <c r="BG51" s="159"/>
      <c r="BH51" s="159"/>
      <c r="BI51" s="159"/>
      <c r="BJ51" s="159"/>
      <c r="BK51" s="159"/>
      <c r="BL51" s="159"/>
      <c r="BM51" s="159"/>
      <c r="BN51" s="159"/>
      <c r="BO51" s="159"/>
      <c r="BP51" s="159"/>
      <c r="BQ51" s="159"/>
      <c r="BR51" s="159"/>
      <c r="BS51" s="180"/>
      <c r="BT51" s="159"/>
      <c r="BU51" s="180"/>
      <c r="BV51" s="180"/>
      <c r="BW51" s="159"/>
      <c r="BX51" s="159"/>
      <c r="BY51" s="159"/>
      <c r="BZ51" s="159"/>
      <c r="CA51" s="159"/>
      <c r="CB51" s="159"/>
      <c r="CC51" s="159"/>
      <c r="CD51" s="159"/>
      <c r="CE51" s="159"/>
      <c r="CF51" s="159"/>
      <c r="CG51" s="180"/>
      <c r="CH51" s="159"/>
    </row>
    <row r="52" spans="1:86" x14ac:dyDescent="0.25">
      <c r="A52" s="257" t="str">
        <f t="shared" si="1"/>
        <v/>
      </c>
      <c r="B52" s="180"/>
      <c r="C52" s="180"/>
      <c r="D52" s="180"/>
      <c r="E52" s="180"/>
      <c r="F52" s="180"/>
      <c r="G52" s="180"/>
      <c r="H52" s="180"/>
      <c r="I52" s="180"/>
      <c r="J52" s="180"/>
      <c r="K52" s="180"/>
      <c r="L52" s="180"/>
      <c r="M52" s="180"/>
      <c r="N52" s="180"/>
      <c r="O52" s="292" t="str">
        <f t="shared" si="0"/>
        <v xml:space="preserve">ЛОЖЬ, </v>
      </c>
      <c r="P52" s="159"/>
      <c r="Q52" s="180"/>
      <c r="R52" s="159"/>
      <c r="S52" s="159"/>
      <c r="T52" s="159"/>
      <c r="U52" s="180"/>
      <c r="V52" s="159"/>
      <c r="W52" s="159"/>
      <c r="X52" s="180"/>
      <c r="Y52" s="180"/>
      <c r="Z52" s="159"/>
      <c r="AA52" s="159"/>
      <c r="AB52" s="159"/>
      <c r="AC52" s="159"/>
      <c r="AD52" s="159"/>
      <c r="AE52" s="180"/>
      <c r="AF52" s="159"/>
      <c r="AG52" s="159"/>
      <c r="AH52" s="159"/>
      <c r="AI52" s="159"/>
      <c r="AJ52" s="159"/>
      <c r="AK52" s="159"/>
      <c r="AL52" s="159"/>
      <c r="AM52" s="159"/>
      <c r="AN52" s="159"/>
      <c r="AO52" s="159"/>
      <c r="AP52" s="159"/>
      <c r="AQ52" s="159"/>
      <c r="AR52" s="159"/>
      <c r="AS52" s="159"/>
      <c r="AT52" s="159"/>
      <c r="AU52" s="159"/>
      <c r="AV52" s="159"/>
      <c r="AW52" s="159"/>
      <c r="AX52" s="159"/>
      <c r="AY52" s="180"/>
      <c r="AZ52" s="159"/>
      <c r="BA52" s="159"/>
      <c r="BB52" s="159"/>
      <c r="BC52" s="159"/>
      <c r="BD52" s="159"/>
      <c r="BE52" s="159"/>
      <c r="BF52" s="159"/>
      <c r="BG52" s="159"/>
      <c r="BH52" s="159"/>
      <c r="BI52" s="159"/>
      <c r="BJ52" s="159"/>
      <c r="BK52" s="159"/>
      <c r="BL52" s="159"/>
      <c r="BM52" s="159"/>
      <c r="BN52" s="159"/>
      <c r="BO52" s="159"/>
      <c r="BP52" s="159"/>
      <c r="BQ52" s="159"/>
      <c r="BR52" s="159"/>
      <c r="BS52" s="180"/>
      <c r="BT52" s="159"/>
      <c r="BU52" s="180"/>
      <c r="BV52" s="180"/>
      <c r="BW52" s="159"/>
      <c r="BX52" s="159"/>
      <c r="BY52" s="159"/>
      <c r="BZ52" s="159"/>
      <c r="CA52" s="159"/>
      <c r="CB52" s="159"/>
      <c r="CC52" s="159"/>
      <c r="CD52" s="159"/>
      <c r="CE52" s="159"/>
      <c r="CF52" s="159"/>
      <c r="CG52" s="180"/>
      <c r="CH52" s="159"/>
    </row>
    <row r="53" spans="1:86" x14ac:dyDescent="0.25">
      <c r="A53" s="257" t="str">
        <f t="shared" si="1"/>
        <v/>
      </c>
      <c r="B53" s="180"/>
      <c r="C53" s="180"/>
      <c r="D53" s="180"/>
      <c r="E53" s="180"/>
      <c r="F53" s="180"/>
      <c r="G53" s="180"/>
      <c r="H53" s="180"/>
      <c r="I53" s="180"/>
      <c r="J53" s="180"/>
      <c r="K53" s="180"/>
      <c r="L53" s="180"/>
      <c r="M53" s="180"/>
      <c r="N53" s="180"/>
      <c r="O53" s="292" t="str">
        <f t="shared" si="0"/>
        <v xml:space="preserve">ЛОЖЬ, </v>
      </c>
      <c r="P53" s="159"/>
      <c r="Q53" s="180"/>
      <c r="R53" s="159"/>
      <c r="S53" s="159"/>
      <c r="T53" s="159"/>
      <c r="U53" s="180"/>
      <c r="V53" s="159"/>
      <c r="W53" s="159"/>
      <c r="X53" s="180"/>
      <c r="Y53" s="180"/>
      <c r="Z53" s="159"/>
      <c r="AA53" s="159"/>
      <c r="AB53" s="159"/>
      <c r="AC53" s="159"/>
      <c r="AD53" s="159"/>
      <c r="AE53" s="180"/>
      <c r="AF53" s="159"/>
      <c r="AG53" s="159"/>
      <c r="AH53" s="159"/>
      <c r="AI53" s="159"/>
      <c r="AJ53" s="159"/>
      <c r="AK53" s="159"/>
      <c r="AL53" s="159"/>
      <c r="AM53" s="159"/>
      <c r="AN53" s="159"/>
      <c r="AO53" s="159"/>
      <c r="AP53" s="159"/>
      <c r="AQ53" s="159"/>
      <c r="AR53" s="159"/>
      <c r="AS53" s="159"/>
      <c r="AT53" s="159"/>
      <c r="AU53" s="159"/>
      <c r="AV53" s="159"/>
      <c r="AW53" s="159"/>
      <c r="AX53" s="159"/>
      <c r="AY53" s="180"/>
      <c r="AZ53" s="159"/>
      <c r="BA53" s="159"/>
      <c r="BB53" s="159"/>
      <c r="BC53" s="159"/>
      <c r="BD53" s="159"/>
      <c r="BE53" s="159"/>
      <c r="BF53" s="159"/>
      <c r="BG53" s="159"/>
      <c r="BH53" s="159"/>
      <c r="BI53" s="159"/>
      <c r="BJ53" s="159"/>
      <c r="BK53" s="159"/>
      <c r="BL53" s="159"/>
      <c r="BM53" s="159"/>
      <c r="BN53" s="159"/>
      <c r="BO53" s="159"/>
      <c r="BP53" s="159"/>
      <c r="BQ53" s="159"/>
      <c r="BR53" s="159"/>
      <c r="BS53" s="180"/>
      <c r="BT53" s="159"/>
      <c r="BU53" s="180"/>
      <c r="BV53" s="180"/>
      <c r="BW53" s="159"/>
      <c r="BX53" s="159"/>
      <c r="BY53" s="159"/>
      <c r="BZ53" s="159"/>
      <c r="CA53" s="159"/>
      <c r="CB53" s="159"/>
      <c r="CC53" s="159"/>
      <c r="CD53" s="159"/>
      <c r="CE53" s="159"/>
      <c r="CF53" s="159"/>
      <c r="CG53" s="180"/>
      <c r="CH53" s="159"/>
    </row>
    <row r="54" spans="1:86" x14ac:dyDescent="0.25">
      <c r="A54" s="257" t="str">
        <f t="shared" si="1"/>
        <v/>
      </c>
      <c r="B54" s="180"/>
      <c r="C54" s="180"/>
      <c r="D54" s="180"/>
      <c r="E54" s="180"/>
      <c r="F54" s="180"/>
      <c r="G54" s="180"/>
      <c r="H54" s="180"/>
      <c r="I54" s="180"/>
      <c r="J54" s="180"/>
      <c r="K54" s="180"/>
      <c r="L54" s="180"/>
      <c r="M54" s="180"/>
      <c r="N54" s="180"/>
      <c r="O54" s="292" t="str">
        <f t="shared" si="0"/>
        <v xml:space="preserve">ЛОЖЬ, </v>
      </c>
      <c r="P54" s="159"/>
      <c r="Q54" s="180"/>
      <c r="R54" s="159"/>
      <c r="S54" s="159"/>
      <c r="T54" s="159"/>
      <c r="U54" s="180"/>
      <c r="V54" s="159"/>
      <c r="W54" s="159"/>
      <c r="X54" s="180"/>
      <c r="Y54" s="180"/>
      <c r="Z54" s="159"/>
      <c r="AA54" s="159"/>
      <c r="AB54" s="159"/>
      <c r="AC54" s="159"/>
      <c r="AD54" s="159"/>
      <c r="AE54" s="180"/>
      <c r="AF54" s="159"/>
      <c r="AG54" s="159"/>
      <c r="AH54" s="159"/>
      <c r="AI54" s="159"/>
      <c r="AJ54" s="159"/>
      <c r="AK54" s="159"/>
      <c r="AL54" s="159"/>
      <c r="AM54" s="159"/>
      <c r="AN54" s="159"/>
      <c r="AO54" s="159"/>
      <c r="AP54" s="159"/>
      <c r="AQ54" s="159"/>
      <c r="AR54" s="159"/>
      <c r="AS54" s="159"/>
      <c r="AT54" s="159"/>
      <c r="AU54" s="159"/>
      <c r="AV54" s="159"/>
      <c r="AW54" s="159"/>
      <c r="AX54" s="159"/>
      <c r="AY54" s="180"/>
      <c r="AZ54" s="159"/>
      <c r="BA54" s="159"/>
      <c r="BB54" s="159"/>
      <c r="BC54" s="159"/>
      <c r="BD54" s="159"/>
      <c r="BE54" s="159"/>
      <c r="BF54" s="159"/>
      <c r="BG54" s="159"/>
      <c r="BH54" s="159"/>
      <c r="BI54" s="159"/>
      <c r="BJ54" s="159"/>
      <c r="BK54" s="159"/>
      <c r="BL54" s="159"/>
      <c r="BM54" s="159"/>
      <c r="BN54" s="159"/>
      <c r="BO54" s="159"/>
      <c r="BP54" s="159"/>
      <c r="BQ54" s="159"/>
      <c r="BR54" s="159"/>
      <c r="BS54" s="180"/>
      <c r="BT54" s="159"/>
      <c r="BU54" s="180"/>
      <c r="BV54" s="180"/>
      <c r="BW54" s="159"/>
      <c r="BX54" s="159"/>
      <c r="BY54" s="159"/>
      <c r="BZ54" s="159"/>
      <c r="CA54" s="159"/>
      <c r="CB54" s="159"/>
      <c r="CC54" s="159"/>
      <c r="CD54" s="159"/>
      <c r="CE54" s="159"/>
      <c r="CF54" s="159"/>
      <c r="CG54" s="180"/>
      <c r="CH54" s="159"/>
    </row>
    <row r="55" spans="1:86" x14ac:dyDescent="0.25">
      <c r="A55" s="257" t="str">
        <f t="shared" si="1"/>
        <v/>
      </c>
      <c r="B55" s="180"/>
      <c r="C55" s="180"/>
      <c r="D55" s="180"/>
      <c r="E55" s="180"/>
      <c r="F55" s="180"/>
      <c r="G55" s="180"/>
      <c r="H55" s="180"/>
      <c r="I55" s="180"/>
      <c r="J55" s="180"/>
      <c r="K55" s="180"/>
      <c r="L55" s="180"/>
      <c r="M55" s="180"/>
      <c r="N55" s="180"/>
      <c r="O55" s="292" t="str">
        <f t="shared" si="0"/>
        <v xml:space="preserve">ЛОЖЬ, </v>
      </c>
      <c r="P55" s="159"/>
      <c r="Q55" s="180"/>
      <c r="R55" s="159"/>
      <c r="S55" s="159"/>
      <c r="T55" s="159"/>
      <c r="U55" s="180"/>
      <c r="V55" s="159"/>
      <c r="W55" s="159"/>
      <c r="X55" s="180"/>
      <c r="Y55" s="180"/>
      <c r="Z55" s="159"/>
      <c r="AA55" s="159"/>
      <c r="AB55" s="159"/>
      <c r="AC55" s="159"/>
      <c r="AD55" s="159"/>
      <c r="AE55" s="180"/>
      <c r="AF55" s="159"/>
      <c r="AG55" s="159"/>
      <c r="AH55" s="159"/>
      <c r="AI55" s="159"/>
      <c r="AJ55" s="159"/>
      <c r="AK55" s="159"/>
      <c r="AL55" s="159"/>
      <c r="AM55" s="159"/>
      <c r="AN55" s="159"/>
      <c r="AO55" s="159"/>
      <c r="AP55" s="159"/>
      <c r="AQ55" s="159"/>
      <c r="AR55" s="159"/>
      <c r="AS55" s="159"/>
      <c r="AT55" s="159"/>
      <c r="AU55" s="159"/>
      <c r="AV55" s="159"/>
      <c r="AW55" s="159"/>
      <c r="AX55" s="159"/>
      <c r="AY55" s="180"/>
      <c r="AZ55" s="159"/>
      <c r="BA55" s="159"/>
      <c r="BB55" s="159"/>
      <c r="BC55" s="159"/>
      <c r="BD55" s="159"/>
      <c r="BE55" s="159"/>
      <c r="BF55" s="159"/>
      <c r="BG55" s="159"/>
      <c r="BH55" s="159"/>
      <c r="BI55" s="159"/>
      <c r="BJ55" s="159"/>
      <c r="BK55" s="159"/>
      <c r="BL55" s="159"/>
      <c r="BM55" s="159"/>
      <c r="BN55" s="159"/>
      <c r="BO55" s="159"/>
      <c r="BP55" s="159"/>
      <c r="BQ55" s="159"/>
      <c r="BR55" s="159"/>
      <c r="BS55" s="180"/>
      <c r="BT55" s="159"/>
      <c r="BU55" s="180"/>
      <c r="BV55" s="180"/>
      <c r="BW55" s="159"/>
      <c r="BX55" s="159"/>
      <c r="BY55" s="159"/>
      <c r="BZ55" s="159"/>
      <c r="CA55" s="159"/>
      <c r="CB55" s="159"/>
      <c r="CC55" s="159"/>
      <c r="CD55" s="159"/>
      <c r="CE55" s="159"/>
      <c r="CF55" s="159"/>
      <c r="CG55" s="180"/>
      <c r="CH55" s="159"/>
    </row>
    <row r="56" spans="1:86" x14ac:dyDescent="0.25">
      <c r="A56" s="257" t="str">
        <f t="shared" si="1"/>
        <v/>
      </c>
      <c r="B56" s="180"/>
      <c r="C56" s="180"/>
      <c r="D56" s="180"/>
      <c r="E56" s="180"/>
      <c r="F56" s="180"/>
      <c r="G56" s="180"/>
      <c r="H56" s="180"/>
      <c r="I56" s="180"/>
      <c r="J56" s="180"/>
      <c r="K56" s="180"/>
      <c r="L56" s="180"/>
      <c r="M56" s="180"/>
      <c r="N56" s="180"/>
      <c r="O56" s="292" t="str">
        <f t="shared" si="0"/>
        <v xml:space="preserve">ЛОЖЬ, </v>
      </c>
      <c r="P56" s="159"/>
      <c r="Q56" s="180"/>
      <c r="R56" s="159"/>
      <c r="S56" s="159"/>
      <c r="T56" s="159"/>
      <c r="U56" s="180"/>
      <c r="V56" s="159"/>
      <c r="W56" s="159"/>
      <c r="X56" s="180"/>
      <c r="Y56" s="180"/>
      <c r="Z56" s="159"/>
      <c r="AA56" s="159"/>
      <c r="AB56" s="159"/>
      <c r="AC56" s="159"/>
      <c r="AD56" s="159"/>
      <c r="AE56" s="180"/>
      <c r="AF56" s="159"/>
      <c r="AG56" s="159"/>
      <c r="AH56" s="159"/>
      <c r="AI56" s="159"/>
      <c r="AJ56" s="159"/>
      <c r="AK56" s="159"/>
      <c r="AL56" s="159"/>
      <c r="AM56" s="159"/>
      <c r="AN56" s="159"/>
      <c r="AO56" s="159"/>
      <c r="AP56" s="159"/>
      <c r="AQ56" s="159"/>
      <c r="AR56" s="159"/>
      <c r="AS56" s="159"/>
      <c r="AT56" s="159"/>
      <c r="AU56" s="159"/>
      <c r="AV56" s="159"/>
      <c r="AW56" s="159"/>
      <c r="AX56" s="159"/>
      <c r="AY56" s="180"/>
      <c r="AZ56" s="159"/>
      <c r="BA56" s="159"/>
      <c r="BB56" s="159"/>
      <c r="BC56" s="159"/>
      <c r="BD56" s="159"/>
      <c r="BE56" s="159"/>
      <c r="BF56" s="159"/>
      <c r="BG56" s="159"/>
      <c r="BH56" s="159"/>
      <c r="BI56" s="159"/>
      <c r="BJ56" s="159"/>
      <c r="BK56" s="159"/>
      <c r="BL56" s="159"/>
      <c r="BM56" s="159"/>
      <c r="BN56" s="159"/>
      <c r="BO56" s="159"/>
      <c r="BP56" s="159"/>
      <c r="BQ56" s="159"/>
      <c r="BR56" s="159"/>
      <c r="BS56" s="180"/>
      <c r="BT56" s="159"/>
      <c r="BU56" s="180"/>
      <c r="BV56" s="180"/>
      <c r="BW56" s="159"/>
      <c r="BX56" s="159"/>
      <c r="BY56" s="159"/>
      <c r="BZ56" s="159"/>
      <c r="CA56" s="159"/>
      <c r="CB56" s="159"/>
      <c r="CC56" s="159"/>
      <c r="CD56" s="159"/>
      <c r="CE56" s="159"/>
      <c r="CF56" s="159"/>
      <c r="CG56" s="180"/>
      <c r="CH56" s="159"/>
    </row>
    <row r="57" spans="1:86" x14ac:dyDescent="0.25">
      <c r="A57" s="257" t="str">
        <f t="shared" si="1"/>
        <v/>
      </c>
      <c r="B57" s="180"/>
      <c r="C57" s="180"/>
      <c r="D57" s="180"/>
      <c r="E57" s="180"/>
      <c r="F57" s="180"/>
      <c r="G57" s="180"/>
      <c r="H57" s="180"/>
      <c r="I57" s="180"/>
      <c r="J57" s="180"/>
      <c r="K57" s="180"/>
      <c r="L57" s="180"/>
      <c r="M57" s="180"/>
      <c r="N57" s="180"/>
      <c r="O57" s="292" t="str">
        <f t="shared" si="0"/>
        <v xml:space="preserve">ЛОЖЬ, </v>
      </c>
      <c r="P57" s="159"/>
      <c r="Q57" s="180"/>
      <c r="R57" s="159"/>
      <c r="S57" s="159"/>
      <c r="T57" s="159"/>
      <c r="U57" s="180"/>
      <c r="V57" s="159"/>
      <c r="W57" s="159"/>
      <c r="X57" s="180"/>
      <c r="Y57" s="180"/>
      <c r="Z57" s="159"/>
      <c r="AA57" s="159"/>
      <c r="AB57" s="159"/>
      <c r="AC57" s="159"/>
      <c r="AD57" s="159"/>
      <c r="AE57" s="180"/>
      <c r="AF57" s="159"/>
      <c r="AG57" s="159"/>
      <c r="AH57" s="159"/>
      <c r="AI57" s="159"/>
      <c r="AJ57" s="159"/>
      <c r="AK57" s="159"/>
      <c r="AL57" s="159"/>
      <c r="AM57" s="159"/>
      <c r="AN57" s="159"/>
      <c r="AO57" s="159"/>
      <c r="AP57" s="159"/>
      <c r="AQ57" s="159"/>
      <c r="AR57" s="159"/>
      <c r="AS57" s="159"/>
      <c r="AT57" s="159"/>
      <c r="AU57" s="159"/>
      <c r="AV57" s="159"/>
      <c r="AW57" s="159"/>
      <c r="AX57" s="159"/>
      <c r="AY57" s="180"/>
      <c r="AZ57" s="159"/>
      <c r="BA57" s="159"/>
      <c r="BB57" s="159"/>
      <c r="BC57" s="159"/>
      <c r="BD57" s="159"/>
      <c r="BE57" s="159"/>
      <c r="BF57" s="159"/>
      <c r="BG57" s="159"/>
      <c r="BH57" s="159"/>
      <c r="BI57" s="159"/>
      <c r="BJ57" s="159"/>
      <c r="BK57" s="159"/>
      <c r="BL57" s="159"/>
      <c r="BM57" s="159"/>
      <c r="BN57" s="159"/>
      <c r="BO57" s="159"/>
      <c r="BP57" s="159"/>
      <c r="BQ57" s="159"/>
      <c r="BR57" s="159"/>
      <c r="BS57" s="180"/>
      <c r="BT57" s="159"/>
      <c r="BU57" s="180"/>
      <c r="BV57" s="180"/>
      <c r="BW57" s="159"/>
      <c r="BX57" s="159"/>
      <c r="BY57" s="159"/>
      <c r="BZ57" s="159"/>
      <c r="CA57" s="159"/>
      <c r="CB57" s="159"/>
      <c r="CC57" s="159"/>
      <c r="CD57" s="159"/>
      <c r="CE57" s="159"/>
      <c r="CF57" s="159"/>
      <c r="CG57" s="180"/>
      <c r="CH57" s="159"/>
    </row>
    <row r="58" spans="1:86" x14ac:dyDescent="0.25">
      <c r="A58" s="257" t="str">
        <f t="shared" si="1"/>
        <v/>
      </c>
      <c r="B58" s="180"/>
      <c r="C58" s="180"/>
      <c r="D58" s="180"/>
      <c r="E58" s="180"/>
      <c r="F58" s="180"/>
      <c r="G58" s="180"/>
      <c r="H58" s="180"/>
      <c r="I58" s="180"/>
      <c r="J58" s="180"/>
      <c r="K58" s="180"/>
      <c r="L58" s="180"/>
      <c r="M58" s="180"/>
      <c r="N58" s="180"/>
      <c r="O58" s="292" t="str">
        <f t="shared" si="0"/>
        <v xml:space="preserve">ЛОЖЬ, </v>
      </c>
      <c r="P58" s="159"/>
      <c r="Q58" s="180"/>
      <c r="R58" s="159"/>
      <c r="S58" s="159"/>
      <c r="T58" s="159"/>
      <c r="U58" s="180"/>
      <c r="V58" s="159"/>
      <c r="W58" s="159"/>
      <c r="X58" s="180"/>
      <c r="Y58" s="180"/>
      <c r="Z58" s="159"/>
      <c r="AA58" s="159"/>
      <c r="AB58" s="159"/>
      <c r="AC58" s="159"/>
      <c r="AD58" s="159"/>
      <c r="AE58" s="180"/>
      <c r="AF58" s="159"/>
      <c r="AG58" s="159"/>
      <c r="AH58" s="159"/>
      <c r="AI58" s="159"/>
      <c r="AJ58" s="159"/>
      <c r="AK58" s="159"/>
      <c r="AL58" s="159"/>
      <c r="AM58" s="159"/>
      <c r="AN58" s="159"/>
      <c r="AO58" s="159"/>
      <c r="AP58" s="159"/>
      <c r="AQ58" s="159"/>
      <c r="AR58" s="159"/>
      <c r="AS58" s="159"/>
      <c r="AT58" s="159"/>
      <c r="AU58" s="159"/>
      <c r="AV58" s="159"/>
      <c r="AW58" s="159"/>
      <c r="AX58" s="159"/>
      <c r="AY58" s="180"/>
      <c r="AZ58" s="159"/>
      <c r="BA58" s="159"/>
      <c r="BB58" s="159"/>
      <c r="BC58" s="159"/>
      <c r="BD58" s="159"/>
      <c r="BE58" s="159"/>
      <c r="BF58" s="159"/>
      <c r="BG58" s="159"/>
      <c r="BH58" s="159"/>
      <c r="BI58" s="159"/>
      <c r="BJ58" s="159"/>
      <c r="BK58" s="159"/>
      <c r="BL58" s="159"/>
      <c r="BM58" s="159"/>
      <c r="BN58" s="159"/>
      <c r="BO58" s="159"/>
      <c r="BP58" s="159"/>
      <c r="BQ58" s="159"/>
      <c r="BR58" s="159"/>
      <c r="BS58" s="180"/>
      <c r="BT58" s="159"/>
      <c r="BU58" s="180"/>
      <c r="BV58" s="180"/>
      <c r="BW58" s="159"/>
      <c r="BX58" s="159"/>
      <c r="BY58" s="159"/>
      <c r="BZ58" s="159"/>
      <c r="CA58" s="159"/>
      <c r="CB58" s="159"/>
      <c r="CC58" s="159"/>
      <c r="CD58" s="159"/>
      <c r="CE58" s="159"/>
      <c r="CF58" s="159"/>
      <c r="CG58" s="180"/>
      <c r="CH58" s="159"/>
    </row>
    <row r="59" spans="1:86" x14ac:dyDescent="0.25">
      <c r="A59" s="257" t="str">
        <f t="shared" si="1"/>
        <v/>
      </c>
      <c r="B59" s="180"/>
      <c r="C59" s="180"/>
      <c r="D59" s="180"/>
      <c r="E59" s="180"/>
      <c r="F59" s="180"/>
      <c r="G59" s="180"/>
      <c r="H59" s="180"/>
      <c r="I59" s="180"/>
      <c r="J59" s="180"/>
      <c r="K59" s="180"/>
      <c r="L59" s="180"/>
      <c r="M59" s="180"/>
      <c r="N59" s="180"/>
      <c r="O59" s="292" t="str">
        <f t="shared" si="0"/>
        <v xml:space="preserve">ЛОЖЬ, </v>
      </c>
      <c r="P59" s="159"/>
      <c r="Q59" s="180"/>
      <c r="R59" s="159"/>
      <c r="S59" s="159"/>
      <c r="T59" s="159"/>
      <c r="U59" s="180"/>
      <c r="V59" s="159"/>
      <c r="W59" s="159"/>
      <c r="X59" s="180"/>
      <c r="Y59" s="180"/>
      <c r="Z59" s="159"/>
      <c r="AA59" s="159"/>
      <c r="AB59" s="159"/>
      <c r="AC59" s="159"/>
      <c r="AD59" s="159"/>
      <c r="AE59" s="180"/>
      <c r="AF59" s="159"/>
      <c r="AG59" s="159"/>
      <c r="AH59" s="159"/>
      <c r="AI59" s="159"/>
      <c r="AJ59" s="159"/>
      <c r="AK59" s="159"/>
      <c r="AL59" s="159"/>
      <c r="AM59" s="159"/>
      <c r="AN59" s="159"/>
      <c r="AO59" s="159"/>
      <c r="AP59" s="159"/>
      <c r="AQ59" s="159"/>
      <c r="AR59" s="159"/>
      <c r="AS59" s="159"/>
      <c r="AT59" s="159"/>
      <c r="AU59" s="159"/>
      <c r="AV59" s="159"/>
      <c r="AW59" s="159"/>
      <c r="AX59" s="159"/>
      <c r="AY59" s="180"/>
      <c r="AZ59" s="159"/>
      <c r="BA59" s="159"/>
      <c r="BB59" s="159"/>
      <c r="BC59" s="159"/>
      <c r="BD59" s="159"/>
      <c r="BE59" s="159"/>
      <c r="BF59" s="159"/>
      <c r="BG59" s="159"/>
      <c r="BH59" s="159"/>
      <c r="BI59" s="159"/>
      <c r="BJ59" s="159"/>
      <c r="BK59" s="159"/>
      <c r="BL59" s="159"/>
      <c r="BM59" s="159"/>
      <c r="BN59" s="159"/>
      <c r="BO59" s="159"/>
      <c r="BP59" s="159"/>
      <c r="BQ59" s="159"/>
      <c r="BR59" s="159"/>
      <c r="BS59" s="180"/>
      <c r="BT59" s="159"/>
      <c r="BU59" s="180"/>
      <c r="BV59" s="180"/>
      <c r="BW59" s="159"/>
      <c r="BX59" s="159"/>
      <c r="BY59" s="159"/>
      <c r="BZ59" s="159"/>
      <c r="CA59" s="159"/>
      <c r="CB59" s="159"/>
      <c r="CC59" s="159"/>
      <c r="CD59" s="159"/>
      <c r="CE59" s="159"/>
      <c r="CF59" s="159"/>
      <c r="CG59" s="180"/>
      <c r="CH59" s="159"/>
    </row>
    <row r="60" spans="1:86" x14ac:dyDescent="0.25">
      <c r="A60" s="257" t="str">
        <f t="shared" si="1"/>
        <v/>
      </c>
      <c r="B60" s="180"/>
      <c r="C60" s="180"/>
      <c r="D60" s="180"/>
      <c r="E60" s="180"/>
      <c r="F60" s="180"/>
      <c r="G60" s="180"/>
      <c r="H60" s="180"/>
      <c r="I60" s="180"/>
      <c r="J60" s="180"/>
      <c r="K60" s="180"/>
      <c r="L60" s="180"/>
      <c r="M60" s="180"/>
      <c r="N60" s="180"/>
      <c r="O60" s="292" t="str">
        <f t="shared" si="0"/>
        <v xml:space="preserve">ЛОЖЬ, </v>
      </c>
      <c r="P60" s="159"/>
      <c r="Q60" s="180"/>
      <c r="R60" s="159"/>
      <c r="S60" s="159"/>
      <c r="T60" s="159"/>
      <c r="U60" s="180"/>
      <c r="V60" s="159"/>
      <c r="W60" s="159"/>
      <c r="X60" s="180"/>
      <c r="Y60" s="180"/>
      <c r="Z60" s="159"/>
      <c r="AA60" s="159"/>
      <c r="AB60" s="159"/>
      <c r="AC60" s="159"/>
      <c r="AD60" s="159"/>
      <c r="AE60" s="180"/>
      <c r="AF60" s="159"/>
      <c r="AG60" s="159"/>
      <c r="AH60" s="159"/>
      <c r="AI60" s="159"/>
      <c r="AJ60" s="159"/>
      <c r="AK60" s="159"/>
      <c r="AL60" s="159"/>
      <c r="AM60" s="159"/>
      <c r="AN60" s="159"/>
      <c r="AO60" s="159"/>
      <c r="AP60" s="159"/>
      <c r="AQ60" s="159"/>
      <c r="AR60" s="159"/>
      <c r="AS60" s="159"/>
      <c r="AT60" s="159"/>
      <c r="AU60" s="159"/>
      <c r="AV60" s="159"/>
      <c r="AW60" s="159"/>
      <c r="AX60" s="159"/>
      <c r="AY60" s="180"/>
      <c r="AZ60" s="159"/>
      <c r="BA60" s="159"/>
      <c r="BB60" s="159"/>
      <c r="BC60" s="159"/>
      <c r="BD60" s="159"/>
      <c r="BE60" s="159"/>
      <c r="BF60" s="159"/>
      <c r="BG60" s="159"/>
      <c r="BH60" s="159"/>
      <c r="BI60" s="159"/>
      <c r="BJ60" s="159"/>
      <c r="BK60" s="159"/>
      <c r="BL60" s="159"/>
      <c r="BM60" s="159"/>
      <c r="BN60" s="159"/>
      <c r="BO60" s="159"/>
      <c r="BP60" s="159"/>
      <c r="BQ60" s="159"/>
      <c r="BR60" s="159"/>
      <c r="BS60" s="180"/>
      <c r="BT60" s="159"/>
      <c r="BU60" s="180"/>
      <c r="BV60" s="180"/>
      <c r="BW60" s="159"/>
      <c r="BX60" s="159"/>
      <c r="BY60" s="159"/>
      <c r="BZ60" s="159"/>
      <c r="CA60" s="159"/>
      <c r="CB60" s="159"/>
      <c r="CC60" s="159"/>
      <c r="CD60" s="159"/>
      <c r="CE60" s="159"/>
      <c r="CF60" s="159"/>
      <c r="CG60" s="180"/>
      <c r="CH60" s="159"/>
    </row>
    <row r="61" spans="1:86" x14ac:dyDescent="0.25">
      <c r="A61" s="257" t="str">
        <f t="shared" si="1"/>
        <v/>
      </c>
      <c r="B61" s="180"/>
      <c r="C61" s="180"/>
      <c r="D61" s="180"/>
      <c r="E61" s="180"/>
      <c r="F61" s="180"/>
      <c r="G61" s="180"/>
      <c r="H61" s="180"/>
      <c r="I61" s="180"/>
      <c r="J61" s="180"/>
      <c r="K61" s="180"/>
      <c r="L61" s="180"/>
      <c r="M61" s="180"/>
      <c r="N61" s="180"/>
      <c r="O61" s="292" t="str">
        <f t="shared" si="0"/>
        <v xml:space="preserve">ЛОЖЬ, </v>
      </c>
      <c r="P61" s="159"/>
      <c r="Q61" s="180"/>
      <c r="R61" s="159"/>
      <c r="S61" s="159"/>
      <c r="T61" s="159"/>
      <c r="U61" s="180"/>
      <c r="V61" s="159"/>
      <c r="W61" s="159"/>
      <c r="X61" s="180"/>
      <c r="Y61" s="180"/>
      <c r="Z61" s="159"/>
      <c r="AA61" s="159"/>
      <c r="AB61" s="159"/>
      <c r="AC61" s="159"/>
      <c r="AD61" s="159"/>
      <c r="AE61" s="180"/>
      <c r="AF61" s="159"/>
      <c r="AG61" s="159"/>
      <c r="AH61" s="159"/>
      <c r="AI61" s="159"/>
      <c r="AJ61" s="159"/>
      <c r="AK61" s="159"/>
      <c r="AL61" s="159"/>
      <c r="AM61" s="159"/>
      <c r="AN61" s="159"/>
      <c r="AO61" s="159"/>
      <c r="AP61" s="159"/>
      <c r="AQ61" s="159"/>
      <c r="AR61" s="159"/>
      <c r="AS61" s="159"/>
      <c r="AT61" s="159"/>
      <c r="AU61" s="159"/>
      <c r="AV61" s="159"/>
      <c r="AW61" s="159"/>
      <c r="AX61" s="159"/>
      <c r="AY61" s="180"/>
      <c r="AZ61" s="159"/>
      <c r="BA61" s="159"/>
      <c r="BB61" s="159"/>
      <c r="BC61" s="159"/>
      <c r="BD61" s="159"/>
      <c r="BE61" s="159"/>
      <c r="BF61" s="159"/>
      <c r="BG61" s="159"/>
      <c r="BH61" s="159"/>
      <c r="BI61" s="159"/>
      <c r="BJ61" s="159"/>
      <c r="BK61" s="159"/>
      <c r="BL61" s="159"/>
      <c r="BM61" s="159"/>
      <c r="BN61" s="159"/>
      <c r="BO61" s="159"/>
      <c r="BP61" s="159"/>
      <c r="BQ61" s="159"/>
      <c r="BR61" s="159"/>
      <c r="BS61" s="180"/>
      <c r="BT61" s="159"/>
      <c r="BU61" s="180"/>
      <c r="BV61" s="180"/>
      <c r="BW61" s="159"/>
      <c r="BX61" s="159"/>
      <c r="BY61" s="159"/>
      <c r="BZ61" s="159"/>
      <c r="CA61" s="159"/>
      <c r="CB61" s="159"/>
      <c r="CC61" s="159"/>
      <c r="CD61" s="159"/>
      <c r="CE61" s="159"/>
      <c r="CF61" s="159"/>
      <c r="CG61" s="180"/>
      <c r="CH61" s="159"/>
    </row>
    <row r="62" spans="1:86" x14ac:dyDescent="0.25">
      <c r="A62" s="257" t="str">
        <f t="shared" si="1"/>
        <v/>
      </c>
      <c r="B62" s="180"/>
      <c r="C62" s="180"/>
      <c r="D62" s="180"/>
      <c r="E62" s="180"/>
      <c r="F62" s="180"/>
      <c r="G62" s="180"/>
      <c r="H62" s="180"/>
      <c r="I62" s="180"/>
      <c r="J62" s="180"/>
      <c r="K62" s="180"/>
      <c r="L62" s="180"/>
      <c r="M62" s="180"/>
      <c r="N62" s="180"/>
      <c r="O62" s="292" t="str">
        <f t="shared" si="0"/>
        <v xml:space="preserve">ЛОЖЬ, </v>
      </c>
      <c r="P62" s="159"/>
      <c r="Q62" s="180"/>
      <c r="R62" s="159"/>
      <c r="S62" s="159"/>
      <c r="T62" s="159"/>
      <c r="U62" s="180"/>
      <c r="V62" s="159"/>
      <c r="W62" s="159"/>
      <c r="X62" s="180"/>
      <c r="Y62" s="180"/>
      <c r="Z62" s="159"/>
      <c r="AA62" s="159"/>
      <c r="AB62" s="159"/>
      <c r="AC62" s="159"/>
      <c r="AD62" s="159"/>
      <c r="AE62" s="180"/>
      <c r="AF62" s="159"/>
      <c r="AG62" s="159"/>
      <c r="AH62" s="159"/>
      <c r="AI62" s="159"/>
      <c r="AJ62" s="159"/>
      <c r="AK62" s="159"/>
      <c r="AL62" s="159"/>
      <c r="AM62" s="159"/>
      <c r="AN62" s="159"/>
      <c r="AO62" s="159"/>
      <c r="AP62" s="159"/>
      <c r="AQ62" s="159"/>
      <c r="AR62" s="159"/>
      <c r="AS62" s="159"/>
      <c r="AT62" s="159"/>
      <c r="AU62" s="159"/>
      <c r="AV62" s="159"/>
      <c r="AW62" s="159"/>
      <c r="AX62" s="159"/>
      <c r="AY62" s="180"/>
      <c r="AZ62" s="159"/>
      <c r="BA62" s="159"/>
      <c r="BB62" s="159"/>
      <c r="BC62" s="159"/>
      <c r="BD62" s="159"/>
      <c r="BE62" s="159"/>
      <c r="BF62" s="159"/>
      <c r="BG62" s="159"/>
      <c r="BH62" s="159"/>
      <c r="BI62" s="159"/>
      <c r="BJ62" s="159"/>
      <c r="BK62" s="159"/>
      <c r="BL62" s="159"/>
      <c r="BM62" s="159"/>
      <c r="BN62" s="159"/>
      <c r="BO62" s="159"/>
      <c r="BP62" s="159"/>
      <c r="BQ62" s="159"/>
      <c r="BR62" s="159"/>
      <c r="BS62" s="180"/>
      <c r="BT62" s="159"/>
      <c r="BU62" s="180"/>
      <c r="BV62" s="180"/>
      <c r="BW62" s="159"/>
      <c r="BX62" s="159"/>
      <c r="BY62" s="159"/>
      <c r="BZ62" s="159"/>
      <c r="CA62" s="159"/>
      <c r="CB62" s="159"/>
      <c r="CC62" s="159"/>
      <c r="CD62" s="159"/>
      <c r="CE62" s="159"/>
      <c r="CF62" s="159"/>
      <c r="CG62" s="180"/>
      <c r="CH62" s="159"/>
    </row>
    <row r="63" spans="1:86" x14ac:dyDescent="0.25">
      <c r="A63" s="257" t="str">
        <f t="shared" si="1"/>
        <v/>
      </c>
      <c r="B63" s="180"/>
      <c r="C63" s="180"/>
      <c r="D63" s="180"/>
      <c r="E63" s="180"/>
      <c r="F63" s="180"/>
      <c r="G63" s="180"/>
      <c r="H63" s="180"/>
      <c r="I63" s="180"/>
      <c r="J63" s="180"/>
      <c r="K63" s="180"/>
      <c r="L63" s="180"/>
      <c r="M63" s="180"/>
      <c r="N63" s="180"/>
      <c r="O63" s="292" t="str">
        <f t="shared" si="0"/>
        <v xml:space="preserve">ЛОЖЬ, </v>
      </c>
      <c r="P63" s="159"/>
      <c r="Q63" s="180"/>
      <c r="R63" s="159"/>
      <c r="S63" s="159"/>
      <c r="T63" s="159"/>
      <c r="U63" s="180"/>
      <c r="V63" s="159"/>
      <c r="W63" s="159"/>
      <c r="X63" s="180"/>
      <c r="Y63" s="180"/>
      <c r="Z63" s="159"/>
      <c r="AA63" s="159"/>
      <c r="AB63" s="159"/>
      <c r="AC63" s="159"/>
      <c r="AD63" s="159"/>
      <c r="AE63" s="180"/>
      <c r="AF63" s="159"/>
      <c r="AG63" s="159"/>
      <c r="AH63" s="159"/>
      <c r="AI63" s="159"/>
      <c r="AJ63" s="159"/>
      <c r="AK63" s="159"/>
      <c r="AL63" s="159"/>
      <c r="AM63" s="159"/>
      <c r="AN63" s="159"/>
      <c r="AO63" s="159"/>
      <c r="AP63" s="159"/>
      <c r="AQ63" s="159"/>
      <c r="AR63" s="159"/>
      <c r="AS63" s="159"/>
      <c r="AT63" s="159"/>
      <c r="AU63" s="159"/>
      <c r="AV63" s="159"/>
      <c r="AW63" s="159"/>
      <c r="AX63" s="159"/>
      <c r="AY63" s="180"/>
      <c r="AZ63" s="159"/>
      <c r="BA63" s="159"/>
      <c r="BB63" s="159"/>
      <c r="BC63" s="159"/>
      <c r="BD63" s="159"/>
      <c r="BE63" s="159"/>
      <c r="BF63" s="159"/>
      <c r="BG63" s="159"/>
      <c r="BH63" s="159"/>
      <c r="BI63" s="159"/>
      <c r="BJ63" s="159"/>
      <c r="BK63" s="159"/>
      <c r="BL63" s="159"/>
      <c r="BM63" s="159"/>
      <c r="BN63" s="159"/>
      <c r="BO63" s="159"/>
      <c r="BP63" s="159"/>
      <c r="BQ63" s="159"/>
      <c r="BR63" s="159"/>
      <c r="BS63" s="180"/>
      <c r="BT63" s="159"/>
      <c r="BU63" s="180"/>
      <c r="BV63" s="180"/>
      <c r="BW63" s="159"/>
      <c r="BX63" s="159"/>
      <c r="BY63" s="159"/>
      <c r="BZ63" s="159"/>
      <c r="CA63" s="159"/>
      <c r="CB63" s="159"/>
      <c r="CC63" s="159"/>
      <c r="CD63" s="159"/>
      <c r="CE63" s="159"/>
      <c r="CF63" s="159"/>
      <c r="CG63" s="180"/>
      <c r="CH63" s="159"/>
    </row>
    <row r="64" spans="1:86" x14ac:dyDescent="0.25">
      <c r="A64" s="257" t="str">
        <f t="shared" si="1"/>
        <v/>
      </c>
      <c r="B64" s="180"/>
      <c r="C64" s="180"/>
      <c r="D64" s="180"/>
      <c r="E64" s="180"/>
      <c r="F64" s="180"/>
      <c r="G64" s="180"/>
      <c r="H64" s="180"/>
      <c r="I64" s="180"/>
      <c r="J64" s="180"/>
      <c r="K64" s="180"/>
      <c r="L64" s="180"/>
      <c r="M64" s="180"/>
      <c r="N64" s="180"/>
      <c r="O64" s="292" t="str">
        <f t="shared" si="0"/>
        <v xml:space="preserve">ЛОЖЬ, </v>
      </c>
      <c r="P64" s="159"/>
      <c r="Q64" s="180"/>
      <c r="R64" s="159"/>
      <c r="S64" s="159"/>
      <c r="T64" s="159"/>
      <c r="U64" s="180"/>
      <c r="V64" s="159"/>
      <c r="W64" s="159"/>
      <c r="X64" s="180"/>
      <c r="Y64" s="180"/>
      <c r="Z64" s="159"/>
      <c r="AA64" s="159"/>
      <c r="AB64" s="159"/>
      <c r="AC64" s="159"/>
      <c r="AD64" s="159"/>
      <c r="AE64" s="180"/>
      <c r="AF64" s="159"/>
      <c r="AG64" s="159"/>
      <c r="AH64" s="159"/>
      <c r="AI64" s="159"/>
      <c r="AJ64" s="159"/>
      <c r="AK64" s="159"/>
      <c r="AL64" s="159"/>
      <c r="AM64" s="159"/>
      <c r="AN64" s="159"/>
      <c r="AO64" s="159"/>
      <c r="AP64" s="159"/>
      <c r="AQ64" s="159"/>
      <c r="AR64" s="159"/>
      <c r="AS64" s="159"/>
      <c r="AT64" s="159"/>
      <c r="AU64" s="159"/>
      <c r="AV64" s="159"/>
      <c r="AW64" s="159"/>
      <c r="AX64" s="159"/>
      <c r="AY64" s="180"/>
      <c r="AZ64" s="159"/>
      <c r="BA64" s="159"/>
      <c r="BB64" s="159"/>
      <c r="BC64" s="159"/>
      <c r="BD64" s="159"/>
      <c r="BE64" s="159"/>
      <c r="BF64" s="159"/>
      <c r="BG64" s="159"/>
      <c r="BH64" s="159"/>
      <c r="BI64" s="159"/>
      <c r="BJ64" s="159"/>
      <c r="BK64" s="159"/>
      <c r="BL64" s="159"/>
      <c r="BM64" s="159"/>
      <c r="BN64" s="159"/>
      <c r="BO64" s="159"/>
      <c r="BP64" s="159"/>
      <c r="BQ64" s="159"/>
      <c r="BR64" s="159"/>
      <c r="BS64" s="180"/>
      <c r="BT64" s="159"/>
      <c r="BU64" s="180"/>
      <c r="BV64" s="180"/>
      <c r="BW64" s="159"/>
      <c r="BX64" s="159"/>
      <c r="BY64" s="159"/>
      <c r="BZ64" s="159"/>
      <c r="CA64" s="159"/>
      <c r="CB64" s="159"/>
      <c r="CC64" s="159"/>
      <c r="CD64" s="159"/>
      <c r="CE64" s="159"/>
      <c r="CF64" s="159"/>
      <c r="CG64" s="180"/>
      <c r="CH64" s="159"/>
    </row>
    <row r="65" spans="1:86" x14ac:dyDescent="0.25">
      <c r="A65" s="257" t="str">
        <f t="shared" si="1"/>
        <v/>
      </c>
      <c r="B65" s="180"/>
      <c r="C65" s="180"/>
      <c r="D65" s="180"/>
      <c r="E65" s="180"/>
      <c r="F65" s="180"/>
      <c r="G65" s="180"/>
      <c r="H65" s="180"/>
      <c r="I65" s="180"/>
      <c r="J65" s="180"/>
      <c r="K65" s="180"/>
      <c r="L65" s="180"/>
      <c r="M65" s="180"/>
      <c r="N65" s="180"/>
      <c r="O65" s="292" t="str">
        <f t="shared" si="0"/>
        <v xml:space="preserve">ЛОЖЬ, </v>
      </c>
      <c r="P65" s="159"/>
      <c r="Q65" s="180"/>
      <c r="R65" s="159"/>
      <c r="S65" s="159"/>
      <c r="T65" s="159"/>
      <c r="U65" s="180"/>
      <c r="V65" s="159"/>
      <c r="W65" s="159"/>
      <c r="X65" s="180"/>
      <c r="Y65" s="180"/>
      <c r="Z65" s="159"/>
      <c r="AA65" s="159"/>
      <c r="AB65" s="159"/>
      <c r="AC65" s="159"/>
      <c r="AD65" s="159"/>
      <c r="AE65" s="180"/>
      <c r="AF65" s="159"/>
      <c r="AG65" s="159"/>
      <c r="AH65" s="159"/>
      <c r="AI65" s="159"/>
      <c r="AJ65" s="159"/>
      <c r="AK65" s="159"/>
      <c r="AL65" s="159"/>
      <c r="AM65" s="159"/>
      <c r="AN65" s="159"/>
      <c r="AO65" s="159"/>
      <c r="AP65" s="159"/>
      <c r="AQ65" s="159"/>
      <c r="AR65" s="159"/>
      <c r="AS65" s="159"/>
      <c r="AT65" s="159"/>
      <c r="AU65" s="159"/>
      <c r="AV65" s="159"/>
      <c r="AW65" s="159"/>
      <c r="AX65" s="159"/>
      <c r="AY65" s="180"/>
      <c r="AZ65" s="159"/>
      <c r="BA65" s="159"/>
      <c r="BB65" s="159"/>
      <c r="BC65" s="159"/>
      <c r="BD65" s="159"/>
      <c r="BE65" s="159"/>
      <c r="BF65" s="159"/>
      <c r="BG65" s="159"/>
      <c r="BH65" s="159"/>
      <c r="BI65" s="159"/>
      <c r="BJ65" s="159"/>
      <c r="BK65" s="159"/>
      <c r="BL65" s="159"/>
      <c r="BM65" s="159"/>
      <c r="BN65" s="159"/>
      <c r="BO65" s="159"/>
      <c r="BP65" s="159"/>
      <c r="BQ65" s="159"/>
      <c r="BR65" s="159"/>
      <c r="BS65" s="180"/>
      <c r="BT65" s="159"/>
      <c r="BU65" s="180"/>
      <c r="BV65" s="180"/>
      <c r="BW65" s="159"/>
      <c r="BX65" s="159"/>
      <c r="BY65" s="159"/>
      <c r="BZ65" s="159"/>
      <c r="CA65" s="159"/>
      <c r="CB65" s="159"/>
      <c r="CC65" s="159"/>
      <c r="CD65" s="159"/>
      <c r="CE65" s="159"/>
      <c r="CF65" s="159"/>
      <c r="CG65" s="180"/>
      <c r="CH65" s="159"/>
    </row>
    <row r="66" spans="1:86" x14ac:dyDescent="0.25">
      <c r="A66" s="257" t="str">
        <f t="shared" si="1"/>
        <v/>
      </c>
      <c r="B66" s="180"/>
      <c r="C66" s="180"/>
      <c r="D66" s="180"/>
      <c r="E66" s="180"/>
      <c r="F66" s="180"/>
      <c r="G66" s="180"/>
      <c r="H66" s="180"/>
      <c r="I66" s="180"/>
      <c r="J66" s="180"/>
      <c r="K66" s="180"/>
      <c r="L66" s="180"/>
      <c r="M66" s="180"/>
      <c r="N66" s="180"/>
      <c r="O66" s="292" t="str">
        <f t="shared" si="0"/>
        <v xml:space="preserve">ЛОЖЬ, </v>
      </c>
      <c r="P66" s="159"/>
      <c r="Q66" s="180"/>
      <c r="R66" s="159"/>
      <c r="S66" s="159"/>
      <c r="T66" s="159"/>
      <c r="U66" s="180"/>
      <c r="V66" s="159"/>
      <c r="W66" s="159"/>
      <c r="X66" s="180"/>
      <c r="Y66" s="180"/>
      <c r="Z66" s="159"/>
      <c r="AA66" s="159"/>
      <c r="AB66" s="159"/>
      <c r="AC66" s="159"/>
      <c r="AD66" s="159"/>
      <c r="AE66" s="180"/>
      <c r="AF66" s="159"/>
      <c r="AG66" s="159"/>
      <c r="AH66" s="159"/>
      <c r="AI66" s="159"/>
      <c r="AJ66" s="159"/>
      <c r="AK66" s="159"/>
      <c r="AL66" s="159"/>
      <c r="AM66" s="159"/>
      <c r="AN66" s="159"/>
      <c r="AO66" s="159"/>
      <c r="AP66" s="159"/>
      <c r="AQ66" s="159"/>
      <c r="AR66" s="159"/>
      <c r="AS66" s="159"/>
      <c r="AT66" s="159"/>
      <c r="AU66" s="159"/>
      <c r="AV66" s="159"/>
      <c r="AW66" s="159"/>
      <c r="AX66" s="159"/>
      <c r="AY66" s="180"/>
      <c r="AZ66" s="159"/>
      <c r="BA66" s="159"/>
      <c r="BB66" s="159"/>
      <c r="BC66" s="159"/>
      <c r="BD66" s="159"/>
      <c r="BE66" s="159"/>
      <c r="BF66" s="159"/>
      <c r="BG66" s="159"/>
      <c r="BH66" s="159"/>
      <c r="BI66" s="159"/>
      <c r="BJ66" s="159"/>
      <c r="BK66" s="159"/>
      <c r="BL66" s="159"/>
      <c r="BM66" s="159"/>
      <c r="BN66" s="159"/>
      <c r="BO66" s="159"/>
      <c r="BP66" s="159"/>
      <c r="BQ66" s="159"/>
      <c r="BR66" s="159"/>
      <c r="BS66" s="180"/>
      <c r="BT66" s="159"/>
      <c r="BU66" s="180"/>
      <c r="BV66" s="180"/>
      <c r="BW66" s="159"/>
      <c r="BX66" s="159"/>
      <c r="BY66" s="159"/>
      <c r="BZ66" s="159"/>
      <c r="CA66" s="159"/>
      <c r="CB66" s="159"/>
      <c r="CC66" s="159"/>
      <c r="CD66" s="159"/>
      <c r="CE66" s="159"/>
      <c r="CF66" s="159"/>
      <c r="CG66" s="180"/>
      <c r="CH66" s="159"/>
    </row>
    <row r="67" spans="1:86" x14ac:dyDescent="0.25">
      <c r="A67" s="257" t="str">
        <f t="shared" si="1"/>
        <v/>
      </c>
      <c r="B67" s="180"/>
      <c r="C67" s="180"/>
      <c r="D67" s="180"/>
      <c r="E67" s="180"/>
      <c r="F67" s="180"/>
      <c r="G67" s="180"/>
      <c r="H67" s="180"/>
      <c r="I67" s="180"/>
      <c r="J67" s="180"/>
      <c r="K67" s="180"/>
      <c r="L67" s="180"/>
      <c r="M67" s="180"/>
      <c r="N67" s="180"/>
      <c r="O67" s="292" t="str">
        <f t="shared" si="0"/>
        <v xml:space="preserve">ЛОЖЬ, </v>
      </c>
      <c r="P67" s="159"/>
      <c r="Q67" s="180"/>
      <c r="R67" s="159"/>
      <c r="S67" s="159"/>
      <c r="T67" s="159"/>
      <c r="U67" s="180"/>
      <c r="V67" s="159"/>
      <c r="W67" s="159"/>
      <c r="X67" s="180"/>
      <c r="Y67" s="180"/>
      <c r="Z67" s="159"/>
      <c r="AA67" s="159"/>
      <c r="AB67" s="159"/>
      <c r="AC67" s="159"/>
      <c r="AD67" s="159"/>
      <c r="AE67" s="180"/>
      <c r="AF67" s="159"/>
      <c r="AG67" s="159"/>
      <c r="AH67" s="159"/>
      <c r="AI67" s="159"/>
      <c r="AJ67" s="159"/>
      <c r="AK67" s="159"/>
      <c r="AL67" s="159"/>
      <c r="AM67" s="159"/>
      <c r="AN67" s="159"/>
      <c r="AO67" s="159"/>
      <c r="AP67" s="159"/>
      <c r="AQ67" s="159"/>
      <c r="AR67" s="159"/>
      <c r="AS67" s="159"/>
      <c r="AT67" s="159"/>
      <c r="AU67" s="159"/>
      <c r="AV67" s="159"/>
      <c r="AW67" s="159"/>
      <c r="AX67" s="159"/>
      <c r="AY67" s="180"/>
      <c r="AZ67" s="159"/>
      <c r="BA67" s="159"/>
      <c r="BB67" s="159"/>
      <c r="BC67" s="159"/>
      <c r="BD67" s="159"/>
      <c r="BE67" s="159"/>
      <c r="BF67" s="159"/>
      <c r="BG67" s="159"/>
      <c r="BH67" s="159"/>
      <c r="BI67" s="159"/>
      <c r="BJ67" s="159"/>
      <c r="BK67" s="159"/>
      <c r="BL67" s="159"/>
      <c r="BM67" s="159"/>
      <c r="BN67" s="159"/>
      <c r="BO67" s="159"/>
      <c r="BP67" s="159"/>
      <c r="BQ67" s="159"/>
      <c r="BR67" s="159"/>
      <c r="BS67" s="180"/>
      <c r="BT67" s="159"/>
      <c r="BU67" s="180"/>
      <c r="BV67" s="180"/>
      <c r="BW67" s="159"/>
      <c r="BX67" s="159"/>
      <c r="BY67" s="159"/>
      <c r="BZ67" s="159"/>
      <c r="CA67" s="159"/>
      <c r="CB67" s="159"/>
      <c r="CC67" s="159"/>
      <c r="CD67" s="159"/>
      <c r="CE67" s="159"/>
      <c r="CF67" s="159"/>
      <c r="CG67" s="180"/>
      <c r="CH67" s="159"/>
    </row>
    <row r="68" spans="1:86" x14ac:dyDescent="0.25">
      <c r="A68" s="257" t="str">
        <f t="shared" si="1"/>
        <v/>
      </c>
      <c r="B68" s="180"/>
      <c r="C68" s="180"/>
      <c r="D68" s="180"/>
      <c r="E68" s="180"/>
      <c r="F68" s="180"/>
      <c r="G68" s="180"/>
      <c r="H68" s="180"/>
      <c r="I68" s="180"/>
      <c r="J68" s="180"/>
      <c r="K68" s="180"/>
      <c r="L68" s="180"/>
      <c r="M68" s="180"/>
      <c r="N68" s="180"/>
      <c r="O68" s="292" t="str">
        <f t="shared" ref="O68:O102" si="2">IF(P68="Str","Strength",IF(P68="Dex","Dexterity",IF(P68="Con","Constitution",IF(P68="Int","Intelligence",IF(P68="Wis","Wisdom",IF(P68="Cha","Charisma;"""))))))&amp;", "&amp;IF(Q68="Str","Strength",IF(Q68="Dex","Dexterity",IF(Q68="Con","Constitution",IF(Q68="Int","Intelligence",IF(Q68="Wis","Wisdom",IF(Q68="Cha","Charisma",""))))))</f>
        <v xml:space="preserve">ЛОЖЬ, </v>
      </c>
      <c r="P68" s="159"/>
      <c r="Q68" s="180"/>
      <c r="R68" s="159"/>
      <c r="S68" s="159"/>
      <c r="T68" s="159"/>
      <c r="U68" s="180"/>
      <c r="V68" s="159"/>
      <c r="W68" s="159"/>
      <c r="X68" s="180"/>
      <c r="Y68" s="180"/>
      <c r="Z68" s="159"/>
      <c r="AA68" s="159"/>
      <c r="AB68" s="159"/>
      <c r="AC68" s="159"/>
      <c r="AD68" s="159"/>
      <c r="AE68" s="180"/>
      <c r="AF68" s="159"/>
      <c r="AG68" s="159"/>
      <c r="AH68" s="159"/>
      <c r="AI68" s="159"/>
      <c r="AJ68" s="159"/>
      <c r="AK68" s="159"/>
      <c r="AL68" s="159"/>
      <c r="AM68" s="159"/>
      <c r="AN68" s="159"/>
      <c r="AO68" s="159"/>
      <c r="AP68" s="159"/>
      <c r="AQ68" s="159"/>
      <c r="AR68" s="159"/>
      <c r="AS68" s="159"/>
      <c r="AT68" s="159"/>
      <c r="AU68" s="159"/>
      <c r="AV68" s="159"/>
      <c r="AW68" s="159"/>
      <c r="AX68" s="159"/>
      <c r="AY68" s="180"/>
      <c r="AZ68" s="159"/>
      <c r="BA68" s="159"/>
      <c r="BB68" s="159"/>
      <c r="BC68" s="159"/>
      <c r="BD68" s="159"/>
      <c r="BE68" s="159"/>
      <c r="BF68" s="159"/>
      <c r="BG68" s="159"/>
      <c r="BH68" s="159"/>
      <c r="BI68" s="159"/>
      <c r="BJ68" s="159"/>
      <c r="BK68" s="159"/>
      <c r="BL68" s="159"/>
      <c r="BM68" s="159"/>
      <c r="BN68" s="159"/>
      <c r="BO68" s="159"/>
      <c r="BP68" s="159"/>
      <c r="BQ68" s="159"/>
      <c r="BR68" s="159"/>
      <c r="BS68" s="180"/>
      <c r="BT68" s="159"/>
      <c r="BU68" s="180"/>
      <c r="BV68" s="180"/>
      <c r="BW68" s="159"/>
      <c r="BX68" s="159"/>
      <c r="BY68" s="159"/>
      <c r="BZ68" s="159"/>
      <c r="CA68" s="159"/>
      <c r="CB68" s="159"/>
      <c r="CC68" s="159"/>
      <c r="CD68" s="159"/>
      <c r="CE68" s="159"/>
      <c r="CF68" s="159"/>
      <c r="CG68" s="180"/>
      <c r="CH68" s="159"/>
    </row>
    <row r="69" spans="1:86" x14ac:dyDescent="0.25">
      <c r="A69" s="257" t="str">
        <f t="shared" ref="A69:A102" si="3">IF(B69="","",A68+1)</f>
        <v/>
      </c>
      <c r="B69" s="180"/>
      <c r="C69" s="180"/>
      <c r="D69" s="180"/>
      <c r="E69" s="180"/>
      <c r="F69" s="180"/>
      <c r="G69" s="180"/>
      <c r="H69" s="180"/>
      <c r="I69" s="180"/>
      <c r="J69" s="180"/>
      <c r="K69" s="180"/>
      <c r="L69" s="180"/>
      <c r="M69" s="180"/>
      <c r="N69" s="180"/>
      <c r="O69" s="292" t="str">
        <f t="shared" si="2"/>
        <v xml:space="preserve">ЛОЖЬ, </v>
      </c>
      <c r="P69" s="159"/>
      <c r="Q69" s="180"/>
      <c r="R69" s="159"/>
      <c r="S69" s="159"/>
      <c r="T69" s="159"/>
      <c r="U69" s="180"/>
      <c r="V69" s="159"/>
      <c r="W69" s="159"/>
      <c r="X69" s="180"/>
      <c r="Y69" s="180"/>
      <c r="Z69" s="159"/>
      <c r="AA69" s="159"/>
      <c r="AB69" s="159"/>
      <c r="AC69" s="159"/>
      <c r="AD69" s="159"/>
      <c r="AE69" s="180"/>
      <c r="AF69" s="159"/>
      <c r="AG69" s="159"/>
      <c r="AH69" s="159"/>
      <c r="AI69" s="159"/>
      <c r="AJ69" s="159"/>
      <c r="AK69" s="159"/>
      <c r="AL69" s="159"/>
      <c r="AM69" s="159"/>
      <c r="AN69" s="159"/>
      <c r="AO69" s="159"/>
      <c r="AP69" s="159"/>
      <c r="AQ69" s="159"/>
      <c r="AR69" s="159"/>
      <c r="AS69" s="159"/>
      <c r="AT69" s="159"/>
      <c r="AU69" s="159"/>
      <c r="AV69" s="159"/>
      <c r="AW69" s="159"/>
      <c r="AX69" s="159"/>
      <c r="AY69" s="180"/>
      <c r="AZ69" s="159"/>
      <c r="BA69" s="159"/>
      <c r="BB69" s="159"/>
      <c r="BC69" s="159"/>
      <c r="BD69" s="159"/>
      <c r="BE69" s="159"/>
      <c r="BF69" s="159"/>
      <c r="BG69" s="159"/>
      <c r="BH69" s="159"/>
      <c r="BI69" s="159"/>
      <c r="BJ69" s="159"/>
      <c r="BK69" s="159"/>
      <c r="BL69" s="159"/>
      <c r="BM69" s="159"/>
      <c r="BN69" s="159"/>
      <c r="BO69" s="159"/>
      <c r="BP69" s="159"/>
      <c r="BQ69" s="159"/>
      <c r="BR69" s="159"/>
      <c r="BS69" s="180"/>
      <c r="BT69" s="159"/>
      <c r="BU69" s="180"/>
      <c r="BV69" s="180"/>
      <c r="BW69" s="159"/>
      <c r="BX69" s="159"/>
      <c r="BY69" s="159"/>
      <c r="BZ69" s="159"/>
      <c r="CA69" s="159"/>
      <c r="CB69" s="159"/>
      <c r="CC69" s="159"/>
      <c r="CD69" s="159"/>
      <c r="CE69" s="159"/>
      <c r="CF69" s="159"/>
      <c r="CG69" s="180"/>
      <c r="CH69" s="159"/>
    </row>
    <row r="70" spans="1:86" x14ac:dyDescent="0.25">
      <c r="A70" s="257" t="str">
        <f t="shared" si="3"/>
        <v/>
      </c>
      <c r="B70" s="180"/>
      <c r="C70" s="180"/>
      <c r="D70" s="180"/>
      <c r="E70" s="180"/>
      <c r="F70" s="180"/>
      <c r="G70" s="180"/>
      <c r="H70" s="180"/>
      <c r="I70" s="180"/>
      <c r="J70" s="180"/>
      <c r="K70" s="180"/>
      <c r="L70" s="180"/>
      <c r="M70" s="180"/>
      <c r="N70" s="180"/>
      <c r="O70" s="292" t="str">
        <f t="shared" si="2"/>
        <v xml:space="preserve">ЛОЖЬ, </v>
      </c>
      <c r="P70" s="159"/>
      <c r="Q70" s="180"/>
      <c r="R70" s="159"/>
      <c r="S70" s="159"/>
      <c r="T70" s="159"/>
      <c r="U70" s="180"/>
      <c r="V70" s="159"/>
      <c r="W70" s="159"/>
      <c r="X70" s="180"/>
      <c r="Y70" s="180"/>
      <c r="Z70" s="159"/>
      <c r="AA70" s="159"/>
      <c r="AB70" s="159"/>
      <c r="AC70" s="159"/>
      <c r="AD70" s="159"/>
      <c r="AE70" s="180"/>
      <c r="AF70" s="159"/>
      <c r="AG70" s="159"/>
      <c r="AH70" s="159"/>
      <c r="AI70" s="159"/>
      <c r="AJ70" s="159"/>
      <c r="AK70" s="159"/>
      <c r="AL70" s="159"/>
      <c r="AM70" s="159"/>
      <c r="AN70" s="159"/>
      <c r="AO70" s="159"/>
      <c r="AP70" s="159"/>
      <c r="AQ70" s="159"/>
      <c r="AR70" s="159"/>
      <c r="AS70" s="159"/>
      <c r="AT70" s="159"/>
      <c r="AU70" s="159"/>
      <c r="AV70" s="159"/>
      <c r="AW70" s="159"/>
      <c r="AX70" s="159"/>
      <c r="AY70" s="180"/>
      <c r="AZ70" s="159"/>
      <c r="BA70" s="159"/>
      <c r="BB70" s="159"/>
      <c r="BC70" s="159"/>
      <c r="BD70" s="159"/>
      <c r="BE70" s="159"/>
      <c r="BF70" s="159"/>
      <c r="BG70" s="159"/>
      <c r="BH70" s="159"/>
      <c r="BI70" s="159"/>
      <c r="BJ70" s="159"/>
      <c r="BK70" s="159"/>
      <c r="BL70" s="159"/>
      <c r="BM70" s="159"/>
      <c r="BN70" s="159"/>
      <c r="BO70" s="159"/>
      <c r="BP70" s="159"/>
      <c r="BQ70" s="159"/>
      <c r="BR70" s="159"/>
      <c r="BS70" s="180"/>
      <c r="BT70" s="159"/>
      <c r="BU70" s="180"/>
      <c r="BV70" s="180"/>
      <c r="BW70" s="159"/>
      <c r="BX70" s="159"/>
      <c r="BY70" s="159"/>
      <c r="BZ70" s="159"/>
      <c r="CA70" s="159"/>
      <c r="CB70" s="159"/>
      <c r="CC70" s="159"/>
      <c r="CD70" s="159"/>
      <c r="CE70" s="159"/>
      <c r="CF70" s="159"/>
      <c r="CG70" s="180"/>
      <c r="CH70" s="159"/>
    </row>
    <row r="71" spans="1:86" x14ac:dyDescent="0.25">
      <c r="A71" s="257" t="str">
        <f t="shared" si="3"/>
        <v/>
      </c>
      <c r="B71" s="180"/>
      <c r="C71" s="180"/>
      <c r="D71" s="180"/>
      <c r="E71" s="180"/>
      <c r="F71" s="180"/>
      <c r="G71" s="180"/>
      <c r="H71" s="180"/>
      <c r="I71" s="180"/>
      <c r="J71" s="180"/>
      <c r="K71" s="180"/>
      <c r="L71" s="180"/>
      <c r="M71" s="180"/>
      <c r="N71" s="180"/>
      <c r="O71" s="292" t="str">
        <f t="shared" si="2"/>
        <v xml:space="preserve">ЛОЖЬ, </v>
      </c>
      <c r="P71" s="159"/>
      <c r="Q71" s="180"/>
      <c r="R71" s="159"/>
      <c r="S71" s="159"/>
      <c r="T71" s="159"/>
      <c r="U71" s="180"/>
      <c r="V71" s="159"/>
      <c r="W71" s="159"/>
      <c r="X71" s="180"/>
      <c r="Y71" s="180"/>
      <c r="Z71" s="159"/>
      <c r="AA71" s="159"/>
      <c r="AB71" s="159"/>
      <c r="AC71" s="159"/>
      <c r="AD71" s="159"/>
      <c r="AE71" s="180"/>
      <c r="AF71" s="159"/>
      <c r="AG71" s="159"/>
      <c r="AH71" s="159"/>
      <c r="AI71" s="159"/>
      <c r="AJ71" s="159"/>
      <c r="AK71" s="159"/>
      <c r="AL71" s="159"/>
      <c r="AM71" s="159"/>
      <c r="AN71" s="159"/>
      <c r="AO71" s="159"/>
      <c r="AP71" s="159"/>
      <c r="AQ71" s="159"/>
      <c r="AR71" s="159"/>
      <c r="AS71" s="159"/>
      <c r="AT71" s="159"/>
      <c r="AU71" s="159"/>
      <c r="AV71" s="159"/>
      <c r="AW71" s="159"/>
      <c r="AX71" s="159"/>
      <c r="AY71" s="180"/>
      <c r="AZ71" s="159"/>
      <c r="BA71" s="159"/>
      <c r="BB71" s="159"/>
      <c r="BC71" s="159"/>
      <c r="BD71" s="159"/>
      <c r="BE71" s="159"/>
      <c r="BF71" s="159"/>
      <c r="BG71" s="159"/>
      <c r="BH71" s="159"/>
      <c r="BI71" s="159"/>
      <c r="BJ71" s="159"/>
      <c r="BK71" s="159"/>
      <c r="BL71" s="159"/>
      <c r="BM71" s="159"/>
      <c r="BN71" s="159"/>
      <c r="BO71" s="159"/>
      <c r="BP71" s="159"/>
      <c r="BQ71" s="159"/>
      <c r="BR71" s="159"/>
      <c r="BS71" s="180"/>
      <c r="BT71" s="159"/>
      <c r="BU71" s="180"/>
      <c r="BV71" s="180"/>
      <c r="BW71" s="159"/>
      <c r="BX71" s="159"/>
      <c r="BY71" s="159"/>
      <c r="BZ71" s="159"/>
      <c r="CA71" s="159"/>
      <c r="CB71" s="159"/>
      <c r="CC71" s="159"/>
      <c r="CD71" s="159"/>
      <c r="CE71" s="159"/>
      <c r="CF71" s="159"/>
      <c r="CG71" s="180"/>
      <c r="CH71" s="159"/>
    </row>
    <row r="72" spans="1:86" x14ac:dyDescent="0.25">
      <c r="A72" s="257" t="str">
        <f t="shared" si="3"/>
        <v/>
      </c>
      <c r="B72" s="180"/>
      <c r="C72" s="180"/>
      <c r="D72" s="180"/>
      <c r="E72" s="180"/>
      <c r="F72" s="180"/>
      <c r="G72" s="180"/>
      <c r="H72" s="180"/>
      <c r="I72" s="180"/>
      <c r="J72" s="180"/>
      <c r="K72" s="180"/>
      <c r="L72" s="180"/>
      <c r="M72" s="180"/>
      <c r="N72" s="180"/>
      <c r="O72" s="292" t="str">
        <f t="shared" si="2"/>
        <v xml:space="preserve">ЛОЖЬ, </v>
      </c>
      <c r="P72" s="159"/>
      <c r="Q72" s="180"/>
      <c r="R72" s="159"/>
      <c r="S72" s="159"/>
      <c r="T72" s="159"/>
      <c r="U72" s="180"/>
      <c r="V72" s="159"/>
      <c r="W72" s="159"/>
      <c r="X72" s="180"/>
      <c r="Y72" s="180"/>
      <c r="Z72" s="159"/>
      <c r="AA72" s="159"/>
      <c r="AB72" s="159"/>
      <c r="AC72" s="159"/>
      <c r="AD72" s="159"/>
      <c r="AE72" s="180"/>
      <c r="AF72" s="159"/>
      <c r="AG72" s="159"/>
      <c r="AH72" s="159"/>
      <c r="AI72" s="159"/>
      <c r="AJ72" s="159"/>
      <c r="AK72" s="159"/>
      <c r="AL72" s="159"/>
      <c r="AM72" s="159"/>
      <c r="AN72" s="159"/>
      <c r="AO72" s="159"/>
      <c r="AP72" s="159"/>
      <c r="AQ72" s="159"/>
      <c r="AR72" s="159"/>
      <c r="AS72" s="159"/>
      <c r="AT72" s="159"/>
      <c r="AU72" s="159"/>
      <c r="AV72" s="159"/>
      <c r="AW72" s="159"/>
      <c r="AX72" s="159"/>
      <c r="AY72" s="180"/>
      <c r="AZ72" s="159"/>
      <c r="BA72" s="159"/>
      <c r="BB72" s="159"/>
      <c r="BC72" s="159"/>
      <c r="BD72" s="159"/>
      <c r="BE72" s="159"/>
      <c r="BF72" s="159"/>
      <c r="BG72" s="159"/>
      <c r="BH72" s="159"/>
      <c r="BI72" s="159"/>
      <c r="BJ72" s="159"/>
      <c r="BK72" s="159"/>
      <c r="BL72" s="159"/>
      <c r="BM72" s="159"/>
      <c r="BN72" s="159"/>
      <c r="BO72" s="159"/>
      <c r="BP72" s="159"/>
      <c r="BQ72" s="159"/>
      <c r="BR72" s="159"/>
      <c r="BS72" s="180"/>
      <c r="BT72" s="159"/>
      <c r="BU72" s="180"/>
      <c r="BV72" s="180"/>
      <c r="BW72" s="159"/>
      <c r="BX72" s="159"/>
      <c r="BY72" s="159"/>
      <c r="BZ72" s="159"/>
      <c r="CA72" s="159"/>
      <c r="CB72" s="159"/>
      <c r="CC72" s="159"/>
      <c r="CD72" s="159"/>
      <c r="CE72" s="159"/>
      <c r="CF72" s="159"/>
      <c r="CG72" s="180"/>
      <c r="CH72" s="159"/>
    </row>
    <row r="73" spans="1:86" x14ac:dyDescent="0.25">
      <c r="A73" s="257" t="str">
        <f t="shared" si="3"/>
        <v/>
      </c>
      <c r="B73" s="180"/>
      <c r="C73" s="180"/>
      <c r="D73" s="180"/>
      <c r="E73" s="180"/>
      <c r="F73" s="180"/>
      <c r="G73" s="180"/>
      <c r="H73" s="180"/>
      <c r="I73" s="180"/>
      <c r="J73" s="180"/>
      <c r="K73" s="180"/>
      <c r="L73" s="180"/>
      <c r="M73" s="180"/>
      <c r="N73" s="180"/>
      <c r="O73" s="292" t="str">
        <f t="shared" si="2"/>
        <v xml:space="preserve">ЛОЖЬ, </v>
      </c>
      <c r="P73" s="159"/>
      <c r="Q73" s="180"/>
      <c r="R73" s="159"/>
      <c r="S73" s="159"/>
      <c r="T73" s="159"/>
      <c r="U73" s="180"/>
      <c r="V73" s="159"/>
      <c r="W73" s="159"/>
      <c r="X73" s="180"/>
      <c r="Y73" s="180"/>
      <c r="Z73" s="159"/>
      <c r="AA73" s="159"/>
      <c r="AB73" s="159"/>
      <c r="AC73" s="159"/>
      <c r="AD73" s="159"/>
      <c r="AE73" s="180"/>
      <c r="AF73" s="159"/>
      <c r="AG73" s="159"/>
      <c r="AH73" s="159"/>
      <c r="AI73" s="159"/>
      <c r="AJ73" s="159"/>
      <c r="AK73" s="159"/>
      <c r="AL73" s="159"/>
      <c r="AM73" s="159"/>
      <c r="AN73" s="159"/>
      <c r="AO73" s="159"/>
      <c r="AP73" s="159"/>
      <c r="AQ73" s="159"/>
      <c r="AR73" s="159"/>
      <c r="AS73" s="159"/>
      <c r="AT73" s="159"/>
      <c r="AU73" s="159"/>
      <c r="AV73" s="159"/>
      <c r="AW73" s="159"/>
      <c r="AX73" s="159"/>
      <c r="AY73" s="180"/>
      <c r="AZ73" s="159"/>
      <c r="BA73" s="159"/>
      <c r="BB73" s="159"/>
      <c r="BC73" s="159"/>
      <c r="BD73" s="159"/>
      <c r="BE73" s="159"/>
      <c r="BF73" s="159"/>
      <c r="BG73" s="159"/>
      <c r="BH73" s="159"/>
      <c r="BI73" s="159"/>
      <c r="BJ73" s="159"/>
      <c r="BK73" s="159"/>
      <c r="BL73" s="159"/>
      <c r="BM73" s="159"/>
      <c r="BN73" s="159"/>
      <c r="BO73" s="159"/>
      <c r="BP73" s="159"/>
      <c r="BQ73" s="159"/>
      <c r="BR73" s="159"/>
      <c r="BS73" s="180"/>
      <c r="BT73" s="159"/>
      <c r="BU73" s="180"/>
      <c r="BV73" s="180"/>
      <c r="BW73" s="159"/>
      <c r="BX73" s="159"/>
      <c r="BY73" s="159"/>
      <c r="BZ73" s="159"/>
      <c r="CA73" s="159"/>
      <c r="CB73" s="159"/>
      <c r="CC73" s="159"/>
      <c r="CD73" s="159"/>
      <c r="CE73" s="159"/>
      <c r="CF73" s="159"/>
      <c r="CG73" s="180"/>
      <c r="CH73" s="159"/>
    </row>
    <row r="74" spans="1:86" x14ac:dyDescent="0.25">
      <c r="A74" s="257" t="str">
        <f t="shared" si="3"/>
        <v/>
      </c>
      <c r="B74" s="180"/>
      <c r="C74" s="180"/>
      <c r="D74" s="180"/>
      <c r="E74" s="180"/>
      <c r="F74" s="180"/>
      <c r="G74" s="180"/>
      <c r="H74" s="180"/>
      <c r="I74" s="180"/>
      <c r="J74" s="180"/>
      <c r="K74" s="180"/>
      <c r="L74" s="180"/>
      <c r="M74" s="180"/>
      <c r="N74" s="180"/>
      <c r="O74" s="292" t="str">
        <f t="shared" si="2"/>
        <v xml:space="preserve">ЛОЖЬ, </v>
      </c>
      <c r="P74" s="159"/>
      <c r="Q74" s="180"/>
      <c r="R74" s="159"/>
      <c r="S74" s="159"/>
      <c r="T74" s="159"/>
      <c r="U74" s="180"/>
      <c r="V74" s="159"/>
      <c r="W74" s="159"/>
      <c r="X74" s="180"/>
      <c r="Y74" s="180"/>
      <c r="Z74" s="159"/>
      <c r="AA74" s="159"/>
      <c r="AB74" s="159"/>
      <c r="AC74" s="159"/>
      <c r="AD74" s="159"/>
      <c r="AE74" s="180"/>
      <c r="AF74" s="159"/>
      <c r="AG74" s="159"/>
      <c r="AH74" s="159"/>
      <c r="AI74" s="159"/>
      <c r="AJ74" s="159"/>
      <c r="AK74" s="159"/>
      <c r="AL74" s="159"/>
      <c r="AM74" s="159"/>
      <c r="AN74" s="159"/>
      <c r="AO74" s="159"/>
      <c r="AP74" s="159"/>
      <c r="AQ74" s="159"/>
      <c r="AR74" s="159"/>
      <c r="AS74" s="159"/>
      <c r="AT74" s="159"/>
      <c r="AU74" s="159"/>
      <c r="AV74" s="159"/>
      <c r="AW74" s="159"/>
      <c r="AX74" s="159"/>
      <c r="AY74" s="180"/>
      <c r="AZ74" s="159"/>
      <c r="BA74" s="159"/>
      <c r="BB74" s="159"/>
      <c r="BC74" s="159"/>
      <c r="BD74" s="159"/>
      <c r="BE74" s="159"/>
      <c r="BF74" s="159"/>
      <c r="BG74" s="159"/>
      <c r="BH74" s="159"/>
      <c r="BI74" s="159"/>
      <c r="BJ74" s="159"/>
      <c r="BK74" s="159"/>
      <c r="BL74" s="159"/>
      <c r="BM74" s="159"/>
      <c r="BN74" s="159"/>
      <c r="BO74" s="159"/>
      <c r="BP74" s="159"/>
      <c r="BQ74" s="159"/>
      <c r="BR74" s="159"/>
      <c r="BS74" s="180"/>
      <c r="BT74" s="159"/>
      <c r="BU74" s="180"/>
      <c r="BV74" s="180"/>
      <c r="BW74" s="159"/>
      <c r="BX74" s="159"/>
      <c r="BY74" s="159"/>
      <c r="BZ74" s="159"/>
      <c r="CA74" s="159"/>
      <c r="CB74" s="159"/>
      <c r="CC74" s="159"/>
      <c r="CD74" s="159"/>
      <c r="CE74" s="159"/>
      <c r="CF74" s="159"/>
      <c r="CG74" s="180"/>
      <c r="CH74" s="159"/>
    </row>
    <row r="75" spans="1:86" x14ac:dyDescent="0.25">
      <c r="A75" s="257" t="str">
        <f t="shared" si="3"/>
        <v/>
      </c>
      <c r="B75" s="180"/>
      <c r="C75" s="180"/>
      <c r="D75" s="180"/>
      <c r="E75" s="180"/>
      <c r="F75" s="180"/>
      <c r="G75" s="180"/>
      <c r="H75" s="180"/>
      <c r="I75" s="180"/>
      <c r="J75" s="180"/>
      <c r="K75" s="180"/>
      <c r="L75" s="180"/>
      <c r="M75" s="180"/>
      <c r="N75" s="180"/>
      <c r="O75" s="292" t="str">
        <f t="shared" si="2"/>
        <v xml:space="preserve">ЛОЖЬ, </v>
      </c>
      <c r="P75" s="159"/>
      <c r="Q75" s="180"/>
      <c r="R75" s="159"/>
      <c r="S75" s="159"/>
      <c r="T75" s="159"/>
      <c r="U75" s="180"/>
      <c r="V75" s="159"/>
      <c r="W75" s="159"/>
      <c r="X75" s="180"/>
      <c r="Y75" s="180"/>
      <c r="Z75" s="159"/>
      <c r="AA75" s="159"/>
      <c r="AB75" s="159"/>
      <c r="AC75" s="159"/>
      <c r="AD75" s="159"/>
      <c r="AE75" s="180"/>
      <c r="AF75" s="159"/>
      <c r="AG75" s="159"/>
      <c r="AH75" s="159"/>
      <c r="AI75" s="159"/>
      <c r="AJ75" s="159"/>
      <c r="AK75" s="159"/>
      <c r="AL75" s="159"/>
      <c r="AM75" s="159"/>
      <c r="AN75" s="159"/>
      <c r="AO75" s="159"/>
      <c r="AP75" s="159"/>
      <c r="AQ75" s="159"/>
      <c r="AR75" s="159"/>
      <c r="AS75" s="159"/>
      <c r="AT75" s="159"/>
      <c r="AU75" s="159"/>
      <c r="AV75" s="159"/>
      <c r="AW75" s="159"/>
      <c r="AX75" s="159"/>
      <c r="AY75" s="180"/>
      <c r="AZ75" s="159"/>
      <c r="BA75" s="159"/>
      <c r="BB75" s="159"/>
      <c r="BC75" s="159"/>
      <c r="BD75" s="159"/>
      <c r="BE75" s="159"/>
      <c r="BF75" s="159"/>
      <c r="BG75" s="159"/>
      <c r="BH75" s="159"/>
      <c r="BI75" s="159"/>
      <c r="BJ75" s="159"/>
      <c r="BK75" s="159"/>
      <c r="BL75" s="159"/>
      <c r="BM75" s="159"/>
      <c r="BN75" s="159"/>
      <c r="BO75" s="159"/>
      <c r="BP75" s="159"/>
      <c r="BQ75" s="159"/>
      <c r="BR75" s="159"/>
      <c r="BS75" s="180"/>
      <c r="BT75" s="159"/>
      <c r="BU75" s="180"/>
      <c r="BV75" s="180"/>
      <c r="BW75" s="159"/>
      <c r="BX75" s="159"/>
      <c r="BY75" s="159"/>
      <c r="BZ75" s="159"/>
      <c r="CA75" s="159"/>
      <c r="CB75" s="159"/>
      <c r="CC75" s="159"/>
      <c r="CD75" s="159"/>
      <c r="CE75" s="159"/>
      <c r="CF75" s="159"/>
      <c r="CG75" s="180"/>
      <c r="CH75" s="159"/>
    </row>
    <row r="76" spans="1:86" x14ac:dyDescent="0.25">
      <c r="A76" s="257" t="str">
        <f t="shared" si="3"/>
        <v/>
      </c>
      <c r="B76" s="180"/>
      <c r="C76" s="180"/>
      <c r="D76" s="180"/>
      <c r="E76" s="180"/>
      <c r="F76" s="180"/>
      <c r="G76" s="180"/>
      <c r="H76" s="180"/>
      <c r="I76" s="180"/>
      <c r="J76" s="180"/>
      <c r="K76" s="180"/>
      <c r="L76" s="180"/>
      <c r="M76" s="180"/>
      <c r="N76" s="180"/>
      <c r="O76" s="292" t="str">
        <f t="shared" si="2"/>
        <v xml:space="preserve">ЛОЖЬ, </v>
      </c>
      <c r="P76" s="159"/>
      <c r="Q76" s="180"/>
      <c r="R76" s="159"/>
      <c r="S76" s="159"/>
      <c r="T76" s="159"/>
      <c r="U76" s="180"/>
      <c r="V76" s="159"/>
      <c r="W76" s="159"/>
      <c r="X76" s="180"/>
      <c r="Y76" s="180"/>
      <c r="Z76" s="159"/>
      <c r="AA76" s="159"/>
      <c r="AB76" s="159"/>
      <c r="AC76" s="159"/>
      <c r="AD76" s="159"/>
      <c r="AE76" s="180"/>
      <c r="AF76" s="159"/>
      <c r="AG76" s="159"/>
      <c r="AH76" s="159"/>
      <c r="AI76" s="159"/>
      <c r="AJ76" s="159"/>
      <c r="AK76" s="159"/>
      <c r="AL76" s="159"/>
      <c r="AM76" s="159"/>
      <c r="AN76" s="159"/>
      <c r="AO76" s="159"/>
      <c r="AP76" s="159"/>
      <c r="AQ76" s="159"/>
      <c r="AR76" s="159"/>
      <c r="AS76" s="159"/>
      <c r="AT76" s="159"/>
      <c r="AU76" s="159"/>
      <c r="AV76" s="159"/>
      <c r="AW76" s="159"/>
      <c r="AX76" s="159"/>
      <c r="AY76" s="180"/>
      <c r="AZ76" s="159"/>
      <c r="BA76" s="159"/>
      <c r="BB76" s="159"/>
      <c r="BC76" s="159"/>
      <c r="BD76" s="159"/>
      <c r="BE76" s="159"/>
      <c r="BF76" s="159"/>
      <c r="BG76" s="159"/>
      <c r="BH76" s="159"/>
      <c r="BI76" s="159"/>
      <c r="BJ76" s="159"/>
      <c r="BK76" s="159"/>
      <c r="BL76" s="159"/>
      <c r="BM76" s="159"/>
      <c r="BN76" s="159"/>
      <c r="BO76" s="159"/>
      <c r="BP76" s="159"/>
      <c r="BQ76" s="159"/>
      <c r="BR76" s="159"/>
      <c r="BS76" s="180"/>
      <c r="BT76" s="159"/>
      <c r="BU76" s="180"/>
      <c r="BV76" s="180"/>
      <c r="BW76" s="159"/>
      <c r="BX76" s="159"/>
      <c r="BY76" s="159"/>
      <c r="BZ76" s="159"/>
      <c r="CA76" s="159"/>
      <c r="CB76" s="159"/>
      <c r="CC76" s="159"/>
      <c r="CD76" s="159"/>
      <c r="CE76" s="159"/>
      <c r="CF76" s="159"/>
      <c r="CG76" s="180"/>
      <c r="CH76" s="159"/>
    </row>
    <row r="77" spans="1:86" x14ac:dyDescent="0.25">
      <c r="A77" s="257" t="str">
        <f t="shared" si="3"/>
        <v/>
      </c>
      <c r="B77" s="180"/>
      <c r="C77" s="180"/>
      <c r="D77" s="180"/>
      <c r="E77" s="180"/>
      <c r="F77" s="180"/>
      <c r="G77" s="180"/>
      <c r="H77" s="180"/>
      <c r="I77" s="180"/>
      <c r="J77" s="180"/>
      <c r="K77" s="180"/>
      <c r="L77" s="180"/>
      <c r="M77" s="180"/>
      <c r="N77" s="180"/>
      <c r="O77" s="292" t="str">
        <f t="shared" si="2"/>
        <v xml:space="preserve">ЛОЖЬ, </v>
      </c>
      <c r="P77" s="159"/>
      <c r="Q77" s="180"/>
      <c r="R77" s="159"/>
      <c r="S77" s="159"/>
      <c r="T77" s="159"/>
      <c r="U77" s="180"/>
      <c r="V77" s="159"/>
      <c r="W77" s="159"/>
      <c r="X77" s="180"/>
      <c r="Y77" s="180"/>
      <c r="Z77" s="159"/>
      <c r="AA77" s="159"/>
      <c r="AB77" s="159"/>
      <c r="AC77" s="159"/>
      <c r="AD77" s="159"/>
      <c r="AE77" s="180"/>
      <c r="AF77" s="159"/>
      <c r="AG77" s="159"/>
      <c r="AH77" s="159"/>
      <c r="AI77" s="159"/>
      <c r="AJ77" s="159"/>
      <c r="AK77" s="159"/>
      <c r="AL77" s="159"/>
      <c r="AM77" s="159"/>
      <c r="AN77" s="159"/>
      <c r="AO77" s="159"/>
      <c r="AP77" s="159"/>
      <c r="AQ77" s="159"/>
      <c r="AR77" s="159"/>
      <c r="AS77" s="159"/>
      <c r="AT77" s="159"/>
      <c r="AU77" s="159"/>
      <c r="AV77" s="159"/>
      <c r="AW77" s="159"/>
      <c r="AX77" s="159"/>
      <c r="AY77" s="180"/>
      <c r="AZ77" s="159"/>
      <c r="BA77" s="159"/>
      <c r="BB77" s="159"/>
      <c r="BC77" s="159"/>
      <c r="BD77" s="159"/>
      <c r="BE77" s="159"/>
      <c r="BF77" s="159"/>
      <c r="BG77" s="159"/>
      <c r="BH77" s="159"/>
      <c r="BI77" s="159"/>
      <c r="BJ77" s="159"/>
      <c r="BK77" s="159"/>
      <c r="BL77" s="159"/>
      <c r="BM77" s="159"/>
      <c r="BN77" s="159"/>
      <c r="BO77" s="159"/>
      <c r="BP77" s="159"/>
      <c r="BQ77" s="159"/>
      <c r="BR77" s="159"/>
      <c r="BS77" s="180"/>
      <c r="BT77" s="159"/>
      <c r="BU77" s="180"/>
      <c r="BV77" s="180"/>
      <c r="BW77" s="159"/>
      <c r="BX77" s="159"/>
      <c r="BY77" s="159"/>
      <c r="BZ77" s="159"/>
      <c r="CA77" s="159"/>
      <c r="CB77" s="159"/>
      <c r="CC77" s="159"/>
      <c r="CD77" s="159"/>
      <c r="CE77" s="159"/>
      <c r="CF77" s="159"/>
      <c r="CG77" s="180"/>
      <c r="CH77" s="159"/>
    </row>
    <row r="78" spans="1:86" x14ac:dyDescent="0.25">
      <c r="A78" s="257" t="str">
        <f t="shared" si="3"/>
        <v/>
      </c>
      <c r="B78" s="180"/>
      <c r="C78" s="180"/>
      <c r="D78" s="180"/>
      <c r="E78" s="180"/>
      <c r="F78" s="180"/>
      <c r="G78" s="180"/>
      <c r="H78" s="180"/>
      <c r="I78" s="180"/>
      <c r="J78" s="180"/>
      <c r="K78" s="180"/>
      <c r="L78" s="180"/>
      <c r="M78" s="180"/>
      <c r="N78" s="180"/>
      <c r="O78" s="292" t="str">
        <f t="shared" si="2"/>
        <v xml:space="preserve">ЛОЖЬ, </v>
      </c>
      <c r="P78" s="159"/>
      <c r="Q78" s="180"/>
      <c r="R78" s="159"/>
      <c r="S78" s="159"/>
      <c r="T78" s="159"/>
      <c r="U78" s="180"/>
      <c r="V78" s="159"/>
      <c r="W78" s="159"/>
      <c r="X78" s="180"/>
      <c r="Y78" s="180"/>
      <c r="Z78" s="159"/>
      <c r="AA78" s="159"/>
      <c r="AB78" s="159"/>
      <c r="AC78" s="159"/>
      <c r="AD78" s="159"/>
      <c r="AE78" s="180"/>
      <c r="AF78" s="159"/>
      <c r="AG78" s="159"/>
      <c r="AH78" s="159"/>
      <c r="AI78" s="159"/>
      <c r="AJ78" s="159"/>
      <c r="AK78" s="159"/>
      <c r="AL78" s="159"/>
      <c r="AM78" s="159"/>
      <c r="AN78" s="159"/>
      <c r="AO78" s="159"/>
      <c r="AP78" s="159"/>
      <c r="AQ78" s="159"/>
      <c r="AR78" s="159"/>
      <c r="AS78" s="159"/>
      <c r="AT78" s="159"/>
      <c r="AU78" s="159"/>
      <c r="AV78" s="159"/>
      <c r="AW78" s="159"/>
      <c r="AX78" s="159"/>
      <c r="AY78" s="180"/>
      <c r="AZ78" s="159"/>
      <c r="BA78" s="159"/>
      <c r="BB78" s="159"/>
      <c r="BC78" s="159"/>
      <c r="BD78" s="159"/>
      <c r="BE78" s="159"/>
      <c r="BF78" s="159"/>
      <c r="BG78" s="159"/>
      <c r="BH78" s="159"/>
      <c r="BI78" s="159"/>
      <c r="BJ78" s="159"/>
      <c r="BK78" s="159"/>
      <c r="BL78" s="159"/>
      <c r="BM78" s="159"/>
      <c r="BN78" s="159"/>
      <c r="BO78" s="159"/>
      <c r="BP78" s="159"/>
      <c r="BQ78" s="159"/>
      <c r="BR78" s="159"/>
      <c r="BS78" s="180"/>
      <c r="BT78" s="159"/>
      <c r="BU78" s="180"/>
      <c r="BV78" s="180"/>
      <c r="BW78" s="159"/>
      <c r="BX78" s="159"/>
      <c r="BY78" s="159"/>
      <c r="BZ78" s="159"/>
      <c r="CA78" s="159"/>
      <c r="CB78" s="159"/>
      <c r="CC78" s="159"/>
      <c r="CD78" s="159"/>
      <c r="CE78" s="159"/>
      <c r="CF78" s="159"/>
      <c r="CG78" s="180"/>
      <c r="CH78" s="159"/>
    </row>
    <row r="79" spans="1:86" x14ac:dyDescent="0.25">
      <c r="A79" s="257" t="str">
        <f t="shared" si="3"/>
        <v/>
      </c>
      <c r="B79" s="180"/>
      <c r="C79" s="180"/>
      <c r="D79" s="180"/>
      <c r="E79" s="180"/>
      <c r="F79" s="180"/>
      <c r="G79" s="180"/>
      <c r="H79" s="180"/>
      <c r="I79" s="180"/>
      <c r="J79" s="180"/>
      <c r="K79" s="180"/>
      <c r="L79" s="180"/>
      <c r="M79" s="180"/>
      <c r="N79" s="180"/>
      <c r="O79" s="292" t="str">
        <f t="shared" si="2"/>
        <v xml:space="preserve">ЛОЖЬ, </v>
      </c>
      <c r="P79" s="159"/>
      <c r="Q79" s="180"/>
      <c r="R79" s="159"/>
      <c r="S79" s="159"/>
      <c r="T79" s="159"/>
      <c r="U79" s="180"/>
      <c r="V79" s="159"/>
      <c r="W79" s="159"/>
      <c r="X79" s="180"/>
      <c r="Y79" s="180"/>
      <c r="Z79" s="159"/>
      <c r="AA79" s="159"/>
      <c r="AB79" s="159"/>
      <c r="AC79" s="159"/>
      <c r="AD79" s="159"/>
      <c r="AE79" s="180"/>
      <c r="AF79" s="159"/>
      <c r="AG79" s="159"/>
      <c r="AH79" s="159"/>
      <c r="AI79" s="159"/>
      <c r="AJ79" s="159"/>
      <c r="AK79" s="159"/>
      <c r="AL79" s="159"/>
      <c r="AM79" s="159"/>
      <c r="AN79" s="159"/>
      <c r="AO79" s="159"/>
      <c r="AP79" s="159"/>
      <c r="AQ79" s="159"/>
      <c r="AR79" s="159"/>
      <c r="AS79" s="159"/>
      <c r="AT79" s="159"/>
      <c r="AU79" s="159"/>
      <c r="AV79" s="159"/>
      <c r="AW79" s="159"/>
      <c r="AX79" s="159"/>
      <c r="AY79" s="180"/>
      <c r="AZ79" s="159"/>
      <c r="BA79" s="159"/>
      <c r="BB79" s="159"/>
      <c r="BC79" s="159"/>
      <c r="BD79" s="159"/>
      <c r="BE79" s="159"/>
      <c r="BF79" s="159"/>
      <c r="BG79" s="159"/>
      <c r="BH79" s="159"/>
      <c r="BI79" s="159"/>
      <c r="BJ79" s="159"/>
      <c r="BK79" s="159"/>
      <c r="BL79" s="159"/>
      <c r="BM79" s="159"/>
      <c r="BN79" s="159"/>
      <c r="BO79" s="159"/>
      <c r="BP79" s="159"/>
      <c r="BQ79" s="159"/>
      <c r="BR79" s="159"/>
      <c r="BS79" s="180"/>
      <c r="BT79" s="159"/>
      <c r="BU79" s="180"/>
      <c r="BV79" s="180"/>
      <c r="BW79" s="159"/>
      <c r="BX79" s="159"/>
      <c r="BY79" s="159"/>
      <c r="BZ79" s="159"/>
      <c r="CA79" s="159"/>
      <c r="CB79" s="159"/>
      <c r="CC79" s="159"/>
      <c r="CD79" s="159"/>
      <c r="CE79" s="159"/>
      <c r="CF79" s="159"/>
      <c r="CG79" s="180"/>
      <c r="CH79" s="159"/>
    </row>
    <row r="80" spans="1:86" x14ac:dyDescent="0.25">
      <c r="A80" s="257" t="str">
        <f t="shared" si="3"/>
        <v/>
      </c>
      <c r="B80" s="180"/>
      <c r="C80" s="180"/>
      <c r="D80" s="180"/>
      <c r="E80" s="180"/>
      <c r="F80" s="180"/>
      <c r="G80" s="180"/>
      <c r="H80" s="180"/>
      <c r="I80" s="180"/>
      <c r="J80" s="180"/>
      <c r="K80" s="180"/>
      <c r="L80" s="180"/>
      <c r="M80" s="180"/>
      <c r="N80" s="180"/>
      <c r="O80" s="292" t="str">
        <f t="shared" si="2"/>
        <v xml:space="preserve">ЛОЖЬ, </v>
      </c>
      <c r="P80" s="159"/>
      <c r="Q80" s="180"/>
      <c r="R80" s="159"/>
      <c r="S80" s="159"/>
      <c r="T80" s="159"/>
      <c r="U80" s="180"/>
      <c r="V80" s="159"/>
      <c r="W80" s="159"/>
      <c r="X80" s="180"/>
      <c r="Y80" s="180"/>
      <c r="Z80" s="159"/>
      <c r="AA80" s="159"/>
      <c r="AB80" s="159"/>
      <c r="AC80" s="159"/>
      <c r="AD80" s="159"/>
      <c r="AE80" s="180"/>
      <c r="AF80" s="159"/>
      <c r="AG80" s="159"/>
      <c r="AH80" s="159"/>
      <c r="AI80" s="159"/>
      <c r="AJ80" s="159"/>
      <c r="AK80" s="159"/>
      <c r="AL80" s="159"/>
      <c r="AM80" s="159"/>
      <c r="AN80" s="159"/>
      <c r="AO80" s="159"/>
      <c r="AP80" s="159"/>
      <c r="AQ80" s="159"/>
      <c r="AR80" s="159"/>
      <c r="AS80" s="159"/>
      <c r="AT80" s="159"/>
      <c r="AU80" s="159"/>
      <c r="AV80" s="159"/>
      <c r="AW80" s="159"/>
      <c r="AX80" s="159"/>
      <c r="AY80" s="180"/>
      <c r="AZ80" s="159"/>
      <c r="BA80" s="159"/>
      <c r="BB80" s="159"/>
      <c r="BC80" s="159"/>
      <c r="BD80" s="159"/>
      <c r="BE80" s="159"/>
      <c r="BF80" s="159"/>
      <c r="BG80" s="159"/>
      <c r="BH80" s="159"/>
      <c r="BI80" s="159"/>
      <c r="BJ80" s="159"/>
      <c r="BK80" s="159"/>
      <c r="BL80" s="159"/>
      <c r="BM80" s="159"/>
      <c r="BN80" s="159"/>
      <c r="BO80" s="159"/>
      <c r="BP80" s="159"/>
      <c r="BQ80" s="159"/>
      <c r="BR80" s="159"/>
      <c r="BS80" s="180"/>
      <c r="BT80" s="159"/>
      <c r="BU80" s="180"/>
      <c r="BV80" s="180"/>
      <c r="BW80" s="159"/>
      <c r="BX80" s="159"/>
      <c r="BY80" s="159"/>
      <c r="BZ80" s="159"/>
      <c r="CA80" s="159"/>
      <c r="CB80" s="159"/>
      <c r="CC80" s="159"/>
      <c r="CD80" s="159"/>
      <c r="CE80" s="159"/>
      <c r="CF80" s="159"/>
      <c r="CG80" s="180"/>
      <c r="CH80" s="159"/>
    </row>
    <row r="81" spans="1:86" x14ac:dyDescent="0.25">
      <c r="A81" s="257" t="str">
        <f t="shared" si="3"/>
        <v/>
      </c>
      <c r="B81" s="180"/>
      <c r="C81" s="180"/>
      <c r="D81" s="180"/>
      <c r="E81" s="180"/>
      <c r="F81" s="180"/>
      <c r="G81" s="180"/>
      <c r="H81" s="180"/>
      <c r="I81" s="180"/>
      <c r="J81" s="180"/>
      <c r="K81" s="180"/>
      <c r="L81" s="180"/>
      <c r="M81" s="180"/>
      <c r="N81" s="180"/>
      <c r="O81" s="292" t="str">
        <f t="shared" si="2"/>
        <v xml:space="preserve">ЛОЖЬ, </v>
      </c>
      <c r="P81" s="159"/>
      <c r="Q81" s="180"/>
      <c r="R81" s="159"/>
      <c r="S81" s="159"/>
      <c r="T81" s="159"/>
      <c r="U81" s="180"/>
      <c r="V81" s="159"/>
      <c r="W81" s="159"/>
      <c r="X81" s="180"/>
      <c r="Y81" s="180"/>
      <c r="Z81" s="159"/>
      <c r="AA81" s="159"/>
      <c r="AB81" s="159"/>
      <c r="AC81" s="159"/>
      <c r="AD81" s="159"/>
      <c r="AE81" s="180"/>
      <c r="AF81" s="159"/>
      <c r="AG81" s="159"/>
      <c r="AH81" s="159"/>
      <c r="AI81" s="159"/>
      <c r="AJ81" s="159"/>
      <c r="AK81" s="159"/>
      <c r="AL81" s="159"/>
      <c r="AM81" s="159"/>
      <c r="AN81" s="159"/>
      <c r="AO81" s="159"/>
      <c r="AP81" s="159"/>
      <c r="AQ81" s="159"/>
      <c r="AR81" s="159"/>
      <c r="AS81" s="159"/>
      <c r="AT81" s="159"/>
      <c r="AU81" s="159"/>
      <c r="AV81" s="159"/>
      <c r="AW81" s="159"/>
      <c r="AX81" s="159"/>
      <c r="AY81" s="180"/>
      <c r="AZ81" s="159"/>
      <c r="BA81" s="159"/>
      <c r="BB81" s="159"/>
      <c r="BC81" s="159"/>
      <c r="BD81" s="159"/>
      <c r="BE81" s="159"/>
      <c r="BF81" s="159"/>
      <c r="BG81" s="159"/>
      <c r="BH81" s="159"/>
      <c r="BI81" s="159"/>
      <c r="BJ81" s="159"/>
      <c r="BK81" s="159"/>
      <c r="BL81" s="159"/>
      <c r="BM81" s="159"/>
      <c r="BN81" s="159"/>
      <c r="BO81" s="159"/>
      <c r="BP81" s="159"/>
      <c r="BQ81" s="159"/>
      <c r="BR81" s="159"/>
      <c r="BS81" s="180"/>
      <c r="BT81" s="159"/>
      <c r="BU81" s="180"/>
      <c r="BV81" s="180"/>
      <c r="BW81" s="159"/>
      <c r="BX81" s="159"/>
      <c r="BY81" s="159"/>
      <c r="BZ81" s="159"/>
      <c r="CA81" s="159"/>
      <c r="CB81" s="159"/>
      <c r="CC81" s="159"/>
      <c r="CD81" s="159"/>
      <c r="CE81" s="159"/>
      <c r="CF81" s="159"/>
      <c r="CG81" s="180"/>
      <c r="CH81" s="159"/>
    </row>
    <row r="82" spans="1:86" x14ac:dyDescent="0.25">
      <c r="A82" s="257" t="str">
        <f t="shared" si="3"/>
        <v/>
      </c>
      <c r="B82" s="180"/>
      <c r="C82" s="180"/>
      <c r="D82" s="180"/>
      <c r="E82" s="180"/>
      <c r="F82" s="180"/>
      <c r="G82" s="180"/>
      <c r="H82" s="180"/>
      <c r="I82" s="180"/>
      <c r="J82" s="180"/>
      <c r="K82" s="180"/>
      <c r="L82" s="180"/>
      <c r="M82" s="180"/>
      <c r="N82" s="180"/>
      <c r="O82" s="292" t="str">
        <f t="shared" si="2"/>
        <v xml:space="preserve">ЛОЖЬ, </v>
      </c>
      <c r="P82" s="159"/>
      <c r="Q82" s="180"/>
      <c r="R82" s="159"/>
      <c r="S82" s="159"/>
      <c r="T82" s="159"/>
      <c r="U82" s="180"/>
      <c r="V82" s="159"/>
      <c r="W82" s="159"/>
      <c r="X82" s="180"/>
      <c r="Y82" s="180"/>
      <c r="Z82" s="159"/>
      <c r="AA82" s="159"/>
      <c r="AB82" s="159"/>
      <c r="AC82" s="159"/>
      <c r="AD82" s="159"/>
      <c r="AE82" s="180"/>
      <c r="AF82" s="159"/>
      <c r="AG82" s="159"/>
      <c r="AH82" s="159"/>
      <c r="AI82" s="159"/>
      <c r="AJ82" s="159"/>
      <c r="AK82" s="159"/>
      <c r="AL82" s="159"/>
      <c r="AM82" s="159"/>
      <c r="AN82" s="159"/>
      <c r="AO82" s="159"/>
      <c r="AP82" s="159"/>
      <c r="AQ82" s="159"/>
      <c r="AR82" s="159"/>
      <c r="AS82" s="159"/>
      <c r="AT82" s="159"/>
      <c r="AU82" s="159"/>
      <c r="AV82" s="159"/>
      <c r="AW82" s="159"/>
      <c r="AX82" s="159"/>
      <c r="AY82" s="180"/>
      <c r="AZ82" s="159"/>
      <c r="BA82" s="159"/>
      <c r="BB82" s="159"/>
      <c r="BC82" s="159"/>
      <c r="BD82" s="159"/>
      <c r="BE82" s="159"/>
      <c r="BF82" s="159"/>
      <c r="BG82" s="159"/>
      <c r="BH82" s="159"/>
      <c r="BI82" s="159"/>
      <c r="BJ82" s="159"/>
      <c r="BK82" s="159"/>
      <c r="BL82" s="159"/>
      <c r="BM82" s="159"/>
      <c r="BN82" s="159"/>
      <c r="BO82" s="159"/>
      <c r="BP82" s="159"/>
      <c r="BQ82" s="159"/>
      <c r="BR82" s="159"/>
      <c r="BS82" s="180"/>
      <c r="BT82" s="159"/>
      <c r="BU82" s="180"/>
      <c r="BV82" s="180"/>
      <c r="BW82" s="159"/>
      <c r="BX82" s="159"/>
      <c r="BY82" s="159"/>
      <c r="BZ82" s="159"/>
      <c r="CA82" s="159"/>
      <c r="CB82" s="159"/>
      <c r="CC82" s="159"/>
      <c r="CD82" s="159"/>
      <c r="CE82" s="159"/>
      <c r="CF82" s="159"/>
      <c r="CG82" s="180"/>
      <c r="CH82" s="159"/>
    </row>
    <row r="83" spans="1:86" x14ac:dyDescent="0.25">
      <c r="A83" s="257" t="str">
        <f t="shared" si="3"/>
        <v/>
      </c>
      <c r="B83" s="180"/>
      <c r="C83" s="180"/>
      <c r="D83" s="180"/>
      <c r="E83" s="180"/>
      <c r="F83" s="180"/>
      <c r="G83" s="180"/>
      <c r="H83" s="180"/>
      <c r="I83" s="180"/>
      <c r="J83" s="180"/>
      <c r="K83" s="180"/>
      <c r="L83" s="180"/>
      <c r="M83" s="180"/>
      <c r="N83" s="180"/>
      <c r="O83" s="292" t="str">
        <f t="shared" si="2"/>
        <v xml:space="preserve">ЛОЖЬ, </v>
      </c>
      <c r="P83" s="159"/>
      <c r="Q83" s="180"/>
      <c r="R83" s="159"/>
      <c r="S83" s="159"/>
      <c r="T83" s="159"/>
      <c r="U83" s="180"/>
      <c r="V83" s="159"/>
      <c r="W83" s="159"/>
      <c r="X83" s="180"/>
      <c r="Y83" s="180"/>
      <c r="Z83" s="159"/>
      <c r="AA83" s="159"/>
      <c r="AB83" s="159"/>
      <c r="AC83" s="159"/>
      <c r="AD83" s="159"/>
      <c r="AE83" s="180"/>
      <c r="AF83" s="159"/>
      <c r="AG83" s="159"/>
      <c r="AH83" s="159"/>
      <c r="AI83" s="159"/>
      <c r="AJ83" s="159"/>
      <c r="AK83" s="159"/>
      <c r="AL83" s="159"/>
      <c r="AM83" s="159"/>
      <c r="AN83" s="159"/>
      <c r="AO83" s="159"/>
      <c r="AP83" s="159"/>
      <c r="AQ83" s="159"/>
      <c r="AR83" s="159"/>
      <c r="AS83" s="159"/>
      <c r="AT83" s="159"/>
      <c r="AU83" s="159"/>
      <c r="AV83" s="159"/>
      <c r="AW83" s="159"/>
      <c r="AX83" s="159"/>
      <c r="AY83" s="180"/>
      <c r="AZ83" s="159"/>
      <c r="BA83" s="159"/>
      <c r="BB83" s="159"/>
      <c r="BC83" s="159"/>
      <c r="BD83" s="159"/>
      <c r="BE83" s="159"/>
      <c r="BF83" s="159"/>
      <c r="BG83" s="159"/>
      <c r="BH83" s="159"/>
      <c r="BI83" s="159"/>
      <c r="BJ83" s="159"/>
      <c r="BK83" s="159"/>
      <c r="BL83" s="159"/>
      <c r="BM83" s="159"/>
      <c r="BN83" s="159"/>
      <c r="BO83" s="159"/>
      <c r="BP83" s="159"/>
      <c r="BQ83" s="159"/>
      <c r="BR83" s="159"/>
      <c r="BS83" s="180"/>
      <c r="BT83" s="159"/>
      <c r="BU83" s="180"/>
      <c r="BV83" s="180"/>
      <c r="BW83" s="159"/>
      <c r="BX83" s="159"/>
      <c r="BY83" s="159"/>
      <c r="BZ83" s="159"/>
      <c r="CA83" s="159"/>
      <c r="CB83" s="159"/>
      <c r="CC83" s="159"/>
      <c r="CD83" s="159"/>
      <c r="CE83" s="159"/>
      <c r="CF83" s="159"/>
      <c r="CG83" s="180"/>
      <c r="CH83" s="159"/>
    </row>
    <row r="84" spans="1:86" x14ac:dyDescent="0.25">
      <c r="A84" s="257" t="str">
        <f t="shared" si="3"/>
        <v/>
      </c>
      <c r="B84" s="180"/>
      <c r="C84" s="180"/>
      <c r="D84" s="180"/>
      <c r="E84" s="180"/>
      <c r="F84" s="180"/>
      <c r="G84" s="180"/>
      <c r="H84" s="180"/>
      <c r="I84" s="180"/>
      <c r="J84" s="180"/>
      <c r="K84" s="180"/>
      <c r="L84" s="180"/>
      <c r="M84" s="180"/>
      <c r="N84" s="180"/>
      <c r="O84" s="292" t="str">
        <f t="shared" si="2"/>
        <v xml:space="preserve">ЛОЖЬ, </v>
      </c>
      <c r="P84" s="159"/>
      <c r="Q84" s="180"/>
      <c r="R84" s="159"/>
      <c r="S84" s="159"/>
      <c r="T84" s="159"/>
      <c r="U84" s="180"/>
      <c r="V84" s="159"/>
      <c r="W84" s="159"/>
      <c r="X84" s="180"/>
      <c r="Y84" s="180"/>
      <c r="Z84" s="159"/>
      <c r="AA84" s="159"/>
      <c r="AB84" s="159"/>
      <c r="AC84" s="159"/>
      <c r="AD84" s="159"/>
      <c r="AE84" s="180"/>
      <c r="AF84" s="159"/>
      <c r="AG84" s="159"/>
      <c r="AH84" s="159"/>
      <c r="AI84" s="159"/>
      <c r="AJ84" s="159"/>
      <c r="AK84" s="159"/>
      <c r="AL84" s="159"/>
      <c r="AM84" s="159"/>
      <c r="AN84" s="159"/>
      <c r="AO84" s="159"/>
      <c r="AP84" s="159"/>
      <c r="AQ84" s="159"/>
      <c r="AR84" s="159"/>
      <c r="AS84" s="159"/>
      <c r="AT84" s="159"/>
      <c r="AU84" s="159"/>
      <c r="AV84" s="159"/>
      <c r="AW84" s="159"/>
      <c r="AX84" s="159"/>
      <c r="AY84" s="180"/>
      <c r="AZ84" s="159"/>
      <c r="BA84" s="159"/>
      <c r="BB84" s="159"/>
      <c r="BC84" s="159"/>
      <c r="BD84" s="159"/>
      <c r="BE84" s="159"/>
      <c r="BF84" s="159"/>
      <c r="BG84" s="159"/>
      <c r="BH84" s="159"/>
      <c r="BI84" s="159"/>
      <c r="BJ84" s="159"/>
      <c r="BK84" s="159"/>
      <c r="BL84" s="159"/>
      <c r="BM84" s="159"/>
      <c r="BN84" s="159"/>
      <c r="BO84" s="159"/>
      <c r="BP84" s="159"/>
      <c r="BQ84" s="159"/>
      <c r="BR84" s="159"/>
      <c r="BS84" s="180"/>
      <c r="BT84" s="159"/>
      <c r="BU84" s="180"/>
      <c r="BV84" s="180"/>
      <c r="BW84" s="159"/>
      <c r="BX84" s="159"/>
      <c r="BY84" s="159"/>
      <c r="BZ84" s="159"/>
      <c r="CA84" s="159"/>
      <c r="CB84" s="159"/>
      <c r="CC84" s="159"/>
      <c r="CD84" s="159"/>
      <c r="CE84" s="159"/>
      <c r="CF84" s="159"/>
      <c r="CG84" s="180"/>
      <c r="CH84" s="159"/>
    </row>
    <row r="85" spans="1:86" x14ac:dyDescent="0.25">
      <c r="A85" s="257" t="str">
        <f t="shared" si="3"/>
        <v/>
      </c>
      <c r="B85" s="180"/>
      <c r="C85" s="180"/>
      <c r="D85" s="180"/>
      <c r="E85" s="180"/>
      <c r="F85" s="180"/>
      <c r="G85" s="180"/>
      <c r="H85" s="180"/>
      <c r="I85" s="180"/>
      <c r="J85" s="180"/>
      <c r="K85" s="180"/>
      <c r="L85" s="180"/>
      <c r="M85" s="180"/>
      <c r="N85" s="180"/>
      <c r="O85" s="292" t="str">
        <f t="shared" si="2"/>
        <v xml:space="preserve">ЛОЖЬ, </v>
      </c>
      <c r="P85" s="159"/>
      <c r="Q85" s="180"/>
      <c r="R85" s="159"/>
      <c r="S85" s="159"/>
      <c r="T85" s="159"/>
      <c r="U85" s="180"/>
      <c r="V85" s="159"/>
      <c r="W85" s="159"/>
      <c r="X85" s="180"/>
      <c r="Y85" s="180"/>
      <c r="Z85" s="159"/>
      <c r="AA85" s="159"/>
      <c r="AB85" s="159"/>
      <c r="AC85" s="159"/>
      <c r="AD85" s="159"/>
      <c r="AE85" s="180"/>
      <c r="AF85" s="159"/>
      <c r="AG85" s="159"/>
      <c r="AH85" s="159"/>
      <c r="AI85" s="159"/>
      <c r="AJ85" s="159"/>
      <c r="AK85" s="159"/>
      <c r="AL85" s="159"/>
      <c r="AM85" s="159"/>
      <c r="AN85" s="159"/>
      <c r="AO85" s="159"/>
      <c r="AP85" s="159"/>
      <c r="AQ85" s="159"/>
      <c r="AR85" s="159"/>
      <c r="AS85" s="159"/>
      <c r="AT85" s="159"/>
      <c r="AU85" s="159"/>
      <c r="AV85" s="159"/>
      <c r="AW85" s="159"/>
      <c r="AX85" s="159"/>
      <c r="AY85" s="180"/>
      <c r="AZ85" s="159"/>
      <c r="BA85" s="159"/>
      <c r="BB85" s="159"/>
      <c r="BC85" s="159"/>
      <c r="BD85" s="159"/>
      <c r="BE85" s="159"/>
      <c r="BF85" s="159"/>
      <c r="BG85" s="159"/>
      <c r="BH85" s="159"/>
      <c r="BI85" s="159"/>
      <c r="BJ85" s="159"/>
      <c r="BK85" s="159"/>
      <c r="BL85" s="159"/>
      <c r="BM85" s="159"/>
      <c r="BN85" s="159"/>
      <c r="BO85" s="159"/>
      <c r="BP85" s="159"/>
      <c r="BQ85" s="159"/>
      <c r="BR85" s="159"/>
      <c r="BS85" s="180"/>
      <c r="BT85" s="159"/>
      <c r="BU85" s="180"/>
      <c r="BV85" s="180"/>
      <c r="BW85" s="159"/>
      <c r="BX85" s="159"/>
      <c r="BY85" s="159"/>
      <c r="BZ85" s="159"/>
      <c r="CA85" s="159"/>
      <c r="CB85" s="159"/>
      <c r="CC85" s="159"/>
      <c r="CD85" s="159"/>
      <c r="CE85" s="159"/>
      <c r="CF85" s="159"/>
      <c r="CG85" s="180"/>
      <c r="CH85" s="159"/>
    </row>
    <row r="86" spans="1:86" x14ac:dyDescent="0.25">
      <c r="A86" s="257" t="str">
        <f t="shared" si="3"/>
        <v/>
      </c>
      <c r="B86" s="180"/>
      <c r="C86" s="180"/>
      <c r="D86" s="180"/>
      <c r="E86" s="180"/>
      <c r="F86" s="180"/>
      <c r="G86" s="180"/>
      <c r="H86" s="180"/>
      <c r="I86" s="180"/>
      <c r="J86" s="180"/>
      <c r="K86" s="180"/>
      <c r="L86" s="180"/>
      <c r="M86" s="180"/>
      <c r="N86" s="180"/>
      <c r="O86" s="292" t="str">
        <f t="shared" si="2"/>
        <v xml:space="preserve">ЛОЖЬ, </v>
      </c>
      <c r="P86" s="159"/>
      <c r="Q86" s="180"/>
      <c r="R86" s="159"/>
      <c r="S86" s="159"/>
      <c r="T86" s="159"/>
      <c r="U86" s="180"/>
      <c r="V86" s="159"/>
      <c r="W86" s="159"/>
      <c r="X86" s="180"/>
      <c r="Y86" s="180"/>
      <c r="Z86" s="159"/>
      <c r="AA86" s="159"/>
      <c r="AB86" s="159"/>
      <c r="AC86" s="159"/>
      <c r="AD86" s="159"/>
      <c r="AE86" s="180"/>
      <c r="AF86" s="159"/>
      <c r="AG86" s="159"/>
      <c r="AH86" s="159"/>
      <c r="AI86" s="159"/>
      <c r="AJ86" s="159"/>
      <c r="AK86" s="159"/>
      <c r="AL86" s="159"/>
      <c r="AM86" s="159"/>
      <c r="AN86" s="159"/>
      <c r="AO86" s="159"/>
      <c r="AP86" s="159"/>
      <c r="AQ86" s="159"/>
      <c r="AR86" s="159"/>
      <c r="AS86" s="159"/>
      <c r="AT86" s="159"/>
      <c r="AU86" s="159"/>
      <c r="AV86" s="159"/>
      <c r="AW86" s="159"/>
      <c r="AX86" s="159"/>
      <c r="AY86" s="180"/>
      <c r="AZ86" s="159"/>
      <c r="BA86" s="159"/>
      <c r="BB86" s="159"/>
      <c r="BC86" s="159"/>
      <c r="BD86" s="159"/>
      <c r="BE86" s="159"/>
      <c r="BF86" s="159"/>
      <c r="BG86" s="159"/>
      <c r="BH86" s="159"/>
      <c r="BI86" s="159"/>
      <c r="BJ86" s="159"/>
      <c r="BK86" s="159"/>
      <c r="BL86" s="159"/>
      <c r="BM86" s="159"/>
      <c r="BN86" s="159"/>
      <c r="BO86" s="159"/>
      <c r="BP86" s="159"/>
      <c r="BQ86" s="159"/>
      <c r="BR86" s="159"/>
      <c r="BS86" s="180"/>
      <c r="BT86" s="159"/>
      <c r="BU86" s="180"/>
      <c r="BV86" s="180"/>
      <c r="BW86" s="159"/>
      <c r="BX86" s="159"/>
      <c r="BY86" s="159"/>
      <c r="BZ86" s="159"/>
      <c r="CA86" s="159"/>
      <c r="CB86" s="159"/>
      <c r="CC86" s="159"/>
      <c r="CD86" s="159"/>
      <c r="CE86" s="159"/>
      <c r="CF86" s="159"/>
      <c r="CG86" s="180"/>
      <c r="CH86" s="159"/>
    </row>
    <row r="87" spans="1:86" x14ac:dyDescent="0.25">
      <c r="A87" s="257" t="str">
        <f t="shared" si="3"/>
        <v/>
      </c>
      <c r="B87" s="180"/>
      <c r="C87" s="180"/>
      <c r="D87" s="180"/>
      <c r="E87" s="180"/>
      <c r="F87" s="180"/>
      <c r="G87" s="180"/>
      <c r="H87" s="180"/>
      <c r="I87" s="180"/>
      <c r="J87" s="180"/>
      <c r="K87" s="180"/>
      <c r="L87" s="180"/>
      <c r="M87" s="180"/>
      <c r="N87" s="180"/>
      <c r="O87" s="292" t="str">
        <f t="shared" si="2"/>
        <v xml:space="preserve">ЛОЖЬ, </v>
      </c>
      <c r="P87" s="159"/>
      <c r="Q87" s="180"/>
      <c r="R87" s="159"/>
      <c r="S87" s="159"/>
      <c r="T87" s="159"/>
      <c r="U87" s="180"/>
      <c r="V87" s="159"/>
      <c r="W87" s="159"/>
      <c r="X87" s="180"/>
      <c r="Y87" s="180"/>
      <c r="Z87" s="159"/>
      <c r="AA87" s="159"/>
      <c r="AB87" s="159"/>
      <c r="AC87" s="159"/>
      <c r="AD87" s="159"/>
      <c r="AE87" s="180"/>
      <c r="AF87" s="159"/>
      <c r="AG87" s="159"/>
      <c r="AH87" s="159"/>
      <c r="AI87" s="159"/>
      <c r="AJ87" s="159"/>
      <c r="AK87" s="159"/>
      <c r="AL87" s="159"/>
      <c r="AM87" s="159"/>
      <c r="AN87" s="159"/>
      <c r="AO87" s="159"/>
      <c r="AP87" s="159"/>
      <c r="AQ87" s="159"/>
      <c r="AR87" s="159"/>
      <c r="AS87" s="159"/>
      <c r="AT87" s="159"/>
      <c r="AU87" s="159"/>
      <c r="AV87" s="159"/>
      <c r="AW87" s="159"/>
      <c r="AX87" s="159"/>
      <c r="AY87" s="180"/>
      <c r="AZ87" s="159"/>
      <c r="BA87" s="159"/>
      <c r="BB87" s="159"/>
      <c r="BC87" s="159"/>
      <c r="BD87" s="159"/>
      <c r="BE87" s="159"/>
      <c r="BF87" s="159"/>
      <c r="BG87" s="159"/>
      <c r="BH87" s="159"/>
      <c r="BI87" s="159"/>
      <c r="BJ87" s="159"/>
      <c r="BK87" s="159"/>
      <c r="BL87" s="159"/>
      <c r="BM87" s="159"/>
      <c r="BN87" s="159"/>
      <c r="BO87" s="159"/>
      <c r="BP87" s="159"/>
      <c r="BQ87" s="159"/>
      <c r="BR87" s="159"/>
      <c r="BS87" s="180"/>
      <c r="BT87" s="159"/>
      <c r="BU87" s="180"/>
      <c r="BV87" s="180"/>
      <c r="BW87" s="159"/>
      <c r="BX87" s="159"/>
      <c r="BY87" s="159"/>
      <c r="BZ87" s="159"/>
      <c r="CA87" s="159"/>
      <c r="CB87" s="159"/>
      <c r="CC87" s="159"/>
      <c r="CD87" s="159"/>
      <c r="CE87" s="159"/>
      <c r="CF87" s="159"/>
      <c r="CG87" s="180"/>
      <c r="CH87" s="159"/>
    </row>
    <row r="88" spans="1:86" x14ac:dyDescent="0.25">
      <c r="A88" s="257" t="str">
        <f t="shared" si="3"/>
        <v/>
      </c>
      <c r="B88" s="180"/>
      <c r="C88" s="180"/>
      <c r="D88" s="180"/>
      <c r="E88" s="180"/>
      <c r="F88" s="180"/>
      <c r="G88" s="180"/>
      <c r="H88" s="180"/>
      <c r="I88" s="180"/>
      <c r="J88" s="180"/>
      <c r="K88" s="180"/>
      <c r="L88" s="180"/>
      <c r="M88" s="180"/>
      <c r="N88" s="180"/>
      <c r="O88" s="292" t="str">
        <f t="shared" si="2"/>
        <v xml:space="preserve">ЛОЖЬ, </v>
      </c>
      <c r="P88" s="159"/>
      <c r="Q88" s="180"/>
      <c r="R88" s="159"/>
      <c r="S88" s="159"/>
      <c r="T88" s="159"/>
      <c r="U88" s="180"/>
      <c r="V88" s="159"/>
      <c r="W88" s="159"/>
      <c r="X88" s="180"/>
      <c r="Y88" s="180"/>
      <c r="Z88" s="159"/>
      <c r="AA88" s="159"/>
      <c r="AB88" s="159"/>
      <c r="AC88" s="159"/>
      <c r="AD88" s="159"/>
      <c r="AE88" s="180"/>
      <c r="AF88" s="159"/>
      <c r="AG88" s="159"/>
      <c r="AH88" s="159"/>
      <c r="AI88" s="159"/>
      <c r="AJ88" s="159"/>
      <c r="AK88" s="159"/>
      <c r="AL88" s="159"/>
      <c r="AM88" s="159"/>
      <c r="AN88" s="159"/>
      <c r="AO88" s="159"/>
      <c r="AP88" s="159"/>
      <c r="AQ88" s="159"/>
      <c r="AR88" s="159"/>
      <c r="AS88" s="159"/>
      <c r="AT88" s="159"/>
      <c r="AU88" s="159"/>
      <c r="AV88" s="159"/>
      <c r="AW88" s="159"/>
      <c r="AX88" s="159"/>
      <c r="AY88" s="180"/>
      <c r="AZ88" s="159"/>
      <c r="BA88" s="159"/>
      <c r="BB88" s="159"/>
      <c r="BC88" s="159"/>
      <c r="BD88" s="159"/>
      <c r="BE88" s="159"/>
      <c r="BF88" s="159"/>
      <c r="BG88" s="159"/>
      <c r="BH88" s="159"/>
      <c r="BI88" s="159"/>
      <c r="BJ88" s="159"/>
      <c r="BK88" s="159"/>
      <c r="BL88" s="159"/>
      <c r="BM88" s="159"/>
      <c r="BN88" s="159"/>
      <c r="BO88" s="159"/>
      <c r="BP88" s="159"/>
      <c r="BQ88" s="159"/>
      <c r="BR88" s="159"/>
      <c r="BS88" s="180"/>
      <c r="BT88" s="159"/>
      <c r="BU88" s="180"/>
      <c r="BV88" s="180"/>
      <c r="BW88" s="159"/>
      <c r="BX88" s="159"/>
      <c r="BY88" s="159"/>
      <c r="BZ88" s="159"/>
      <c r="CA88" s="159"/>
      <c r="CB88" s="159"/>
      <c r="CC88" s="159"/>
      <c r="CD88" s="159"/>
      <c r="CE88" s="159"/>
      <c r="CF88" s="159"/>
      <c r="CG88" s="180"/>
      <c r="CH88" s="159"/>
    </row>
    <row r="89" spans="1:86" x14ac:dyDescent="0.25">
      <c r="A89" s="257" t="str">
        <f t="shared" si="3"/>
        <v/>
      </c>
      <c r="B89" s="180"/>
      <c r="C89" s="180"/>
      <c r="D89" s="180"/>
      <c r="E89" s="180"/>
      <c r="F89" s="180"/>
      <c r="G89" s="180"/>
      <c r="H89" s="180"/>
      <c r="I89" s="180"/>
      <c r="J89" s="180"/>
      <c r="K89" s="180"/>
      <c r="L89" s="180"/>
      <c r="M89" s="180"/>
      <c r="N89" s="180"/>
      <c r="O89" s="292" t="str">
        <f t="shared" si="2"/>
        <v xml:space="preserve">ЛОЖЬ, </v>
      </c>
      <c r="P89" s="159"/>
      <c r="Q89" s="180"/>
      <c r="R89" s="159"/>
      <c r="S89" s="159"/>
      <c r="T89" s="159"/>
      <c r="U89" s="180"/>
      <c r="V89" s="159"/>
      <c r="W89" s="159"/>
      <c r="X89" s="180"/>
      <c r="Y89" s="180"/>
      <c r="Z89" s="159"/>
      <c r="AA89" s="159"/>
      <c r="AB89" s="159"/>
      <c r="AC89" s="159"/>
      <c r="AD89" s="159"/>
      <c r="AE89" s="180"/>
      <c r="AF89" s="159"/>
      <c r="AG89" s="159"/>
      <c r="AH89" s="159"/>
      <c r="AI89" s="159"/>
      <c r="AJ89" s="159"/>
      <c r="AK89" s="159"/>
      <c r="AL89" s="159"/>
      <c r="AM89" s="159"/>
      <c r="AN89" s="159"/>
      <c r="AO89" s="159"/>
      <c r="AP89" s="159"/>
      <c r="AQ89" s="159"/>
      <c r="AR89" s="159"/>
      <c r="AS89" s="159"/>
      <c r="AT89" s="159"/>
      <c r="AU89" s="159"/>
      <c r="AV89" s="159"/>
      <c r="AW89" s="159"/>
      <c r="AX89" s="159"/>
      <c r="AY89" s="180"/>
      <c r="AZ89" s="159"/>
      <c r="BA89" s="159"/>
      <c r="BB89" s="159"/>
      <c r="BC89" s="159"/>
      <c r="BD89" s="159"/>
      <c r="BE89" s="159"/>
      <c r="BF89" s="159"/>
      <c r="BG89" s="159"/>
      <c r="BH89" s="159"/>
      <c r="BI89" s="159"/>
      <c r="BJ89" s="159"/>
      <c r="BK89" s="159"/>
      <c r="BL89" s="159"/>
      <c r="BM89" s="159"/>
      <c r="BN89" s="159"/>
      <c r="BO89" s="159"/>
      <c r="BP89" s="159"/>
      <c r="BQ89" s="159"/>
      <c r="BR89" s="159"/>
      <c r="BS89" s="180"/>
      <c r="BT89" s="159"/>
      <c r="BU89" s="180"/>
      <c r="BV89" s="180"/>
      <c r="BW89" s="159"/>
      <c r="BX89" s="159"/>
      <c r="BY89" s="159"/>
      <c r="BZ89" s="159"/>
      <c r="CA89" s="159"/>
      <c r="CB89" s="159"/>
      <c r="CC89" s="159"/>
      <c r="CD89" s="159"/>
      <c r="CE89" s="159"/>
      <c r="CF89" s="159"/>
      <c r="CG89" s="180"/>
      <c r="CH89" s="159"/>
    </row>
    <row r="90" spans="1:86" x14ac:dyDescent="0.25">
      <c r="A90" s="257" t="str">
        <f t="shared" si="3"/>
        <v/>
      </c>
      <c r="B90" s="180"/>
      <c r="C90" s="180"/>
      <c r="D90" s="180"/>
      <c r="E90" s="180"/>
      <c r="F90" s="180"/>
      <c r="G90" s="180"/>
      <c r="H90" s="180"/>
      <c r="I90" s="180"/>
      <c r="J90" s="180"/>
      <c r="K90" s="180"/>
      <c r="L90" s="180"/>
      <c r="M90" s="180"/>
      <c r="N90" s="180"/>
      <c r="O90" s="292" t="str">
        <f t="shared" si="2"/>
        <v xml:space="preserve">ЛОЖЬ, </v>
      </c>
      <c r="P90" s="159"/>
      <c r="Q90" s="180"/>
      <c r="R90" s="159"/>
      <c r="S90" s="159"/>
      <c r="T90" s="159"/>
      <c r="U90" s="180"/>
      <c r="V90" s="159"/>
      <c r="W90" s="159"/>
      <c r="X90" s="180"/>
      <c r="Y90" s="180"/>
      <c r="Z90" s="159"/>
      <c r="AA90" s="159"/>
      <c r="AB90" s="159"/>
      <c r="AC90" s="159"/>
      <c r="AD90" s="159"/>
      <c r="AE90" s="180"/>
      <c r="AF90" s="159"/>
      <c r="AG90" s="159"/>
      <c r="AH90" s="159"/>
      <c r="AI90" s="159"/>
      <c r="AJ90" s="159"/>
      <c r="AK90" s="159"/>
      <c r="AL90" s="159"/>
      <c r="AM90" s="159"/>
      <c r="AN90" s="159"/>
      <c r="AO90" s="159"/>
      <c r="AP90" s="159"/>
      <c r="AQ90" s="159"/>
      <c r="AR90" s="159"/>
      <c r="AS90" s="159"/>
      <c r="AT90" s="159"/>
      <c r="AU90" s="159"/>
      <c r="AV90" s="159"/>
      <c r="AW90" s="159"/>
      <c r="AX90" s="159"/>
      <c r="AY90" s="180"/>
      <c r="AZ90" s="159"/>
      <c r="BA90" s="159"/>
      <c r="BB90" s="159"/>
      <c r="BC90" s="159"/>
      <c r="BD90" s="159"/>
      <c r="BE90" s="159"/>
      <c r="BF90" s="159"/>
      <c r="BG90" s="159"/>
      <c r="BH90" s="159"/>
      <c r="BI90" s="159"/>
      <c r="BJ90" s="159"/>
      <c r="BK90" s="159"/>
      <c r="BL90" s="159"/>
      <c r="BM90" s="159"/>
      <c r="BN90" s="159"/>
      <c r="BO90" s="159"/>
      <c r="BP90" s="159"/>
      <c r="BQ90" s="159"/>
      <c r="BR90" s="159"/>
      <c r="BS90" s="180"/>
      <c r="BT90" s="159"/>
      <c r="BU90" s="180"/>
      <c r="BV90" s="180"/>
      <c r="BW90" s="159"/>
      <c r="BX90" s="159"/>
      <c r="BY90" s="159"/>
      <c r="BZ90" s="159"/>
      <c r="CA90" s="159"/>
      <c r="CB90" s="159"/>
      <c r="CC90" s="159"/>
      <c r="CD90" s="159"/>
      <c r="CE90" s="159"/>
      <c r="CF90" s="159"/>
      <c r="CG90" s="180"/>
      <c r="CH90" s="159"/>
    </row>
    <row r="91" spans="1:86" x14ac:dyDescent="0.25">
      <c r="A91" s="257" t="str">
        <f t="shared" si="3"/>
        <v/>
      </c>
      <c r="B91" s="180"/>
      <c r="C91" s="180"/>
      <c r="D91" s="180"/>
      <c r="E91" s="180"/>
      <c r="F91" s="180"/>
      <c r="G91" s="180"/>
      <c r="H91" s="180"/>
      <c r="I91" s="180"/>
      <c r="J91" s="180"/>
      <c r="K91" s="180"/>
      <c r="L91" s="180"/>
      <c r="M91" s="180"/>
      <c r="N91" s="180"/>
      <c r="O91" s="292" t="str">
        <f t="shared" si="2"/>
        <v xml:space="preserve">ЛОЖЬ, </v>
      </c>
      <c r="P91" s="159"/>
      <c r="Q91" s="180"/>
      <c r="R91" s="159"/>
      <c r="S91" s="159"/>
      <c r="T91" s="159"/>
      <c r="U91" s="180"/>
      <c r="V91" s="159"/>
      <c r="W91" s="159"/>
      <c r="X91" s="180"/>
      <c r="Y91" s="180"/>
      <c r="Z91" s="159"/>
      <c r="AA91" s="159"/>
      <c r="AB91" s="159"/>
      <c r="AC91" s="159"/>
      <c r="AD91" s="159"/>
      <c r="AE91" s="180"/>
      <c r="AF91" s="159"/>
      <c r="AG91" s="159"/>
      <c r="AH91" s="159"/>
      <c r="AI91" s="159"/>
      <c r="AJ91" s="159"/>
      <c r="AK91" s="159"/>
      <c r="AL91" s="159"/>
      <c r="AM91" s="159"/>
      <c r="AN91" s="159"/>
      <c r="AO91" s="159"/>
      <c r="AP91" s="159"/>
      <c r="AQ91" s="159"/>
      <c r="AR91" s="159"/>
      <c r="AS91" s="159"/>
      <c r="AT91" s="159"/>
      <c r="AU91" s="159"/>
      <c r="AV91" s="159"/>
      <c r="AW91" s="159"/>
      <c r="AX91" s="159"/>
      <c r="AY91" s="180"/>
      <c r="AZ91" s="159"/>
      <c r="BA91" s="159"/>
      <c r="BB91" s="159"/>
      <c r="BC91" s="159"/>
      <c r="BD91" s="159"/>
      <c r="BE91" s="159"/>
      <c r="BF91" s="159"/>
      <c r="BG91" s="159"/>
      <c r="BH91" s="159"/>
      <c r="BI91" s="159"/>
      <c r="BJ91" s="159"/>
      <c r="BK91" s="159"/>
      <c r="BL91" s="159"/>
      <c r="BM91" s="159"/>
      <c r="BN91" s="159"/>
      <c r="BO91" s="159"/>
      <c r="BP91" s="159"/>
      <c r="BQ91" s="159"/>
      <c r="BR91" s="159"/>
      <c r="BS91" s="180"/>
      <c r="BT91" s="159"/>
      <c r="BU91" s="180"/>
      <c r="BV91" s="180"/>
      <c r="BW91" s="159"/>
      <c r="BX91" s="159"/>
      <c r="BY91" s="159"/>
      <c r="BZ91" s="159"/>
      <c r="CA91" s="159"/>
      <c r="CB91" s="159"/>
      <c r="CC91" s="159"/>
      <c r="CD91" s="159"/>
      <c r="CE91" s="159"/>
      <c r="CF91" s="159"/>
      <c r="CG91" s="180"/>
      <c r="CH91" s="159"/>
    </row>
    <row r="92" spans="1:86" x14ac:dyDescent="0.25">
      <c r="A92" s="257" t="str">
        <f t="shared" si="3"/>
        <v/>
      </c>
      <c r="B92" s="180"/>
      <c r="C92" s="180"/>
      <c r="D92" s="180"/>
      <c r="E92" s="180"/>
      <c r="F92" s="180"/>
      <c r="G92" s="180"/>
      <c r="H92" s="180"/>
      <c r="I92" s="180"/>
      <c r="J92" s="180"/>
      <c r="K92" s="180"/>
      <c r="L92" s="180"/>
      <c r="M92" s="180"/>
      <c r="N92" s="180"/>
      <c r="O92" s="292" t="str">
        <f t="shared" si="2"/>
        <v xml:space="preserve">ЛОЖЬ, </v>
      </c>
      <c r="P92" s="159"/>
      <c r="Q92" s="180"/>
      <c r="R92" s="159"/>
      <c r="S92" s="159"/>
      <c r="T92" s="159"/>
      <c r="U92" s="180"/>
      <c r="V92" s="159"/>
      <c r="W92" s="159"/>
      <c r="X92" s="180"/>
      <c r="Y92" s="180"/>
      <c r="Z92" s="159"/>
      <c r="AA92" s="159"/>
      <c r="AB92" s="159"/>
      <c r="AC92" s="159"/>
      <c r="AD92" s="159"/>
      <c r="AE92" s="180"/>
      <c r="AF92" s="159"/>
      <c r="AG92" s="159"/>
      <c r="AH92" s="159"/>
      <c r="AI92" s="159"/>
      <c r="AJ92" s="159"/>
      <c r="AK92" s="159"/>
      <c r="AL92" s="159"/>
      <c r="AM92" s="159"/>
      <c r="AN92" s="159"/>
      <c r="AO92" s="159"/>
      <c r="AP92" s="159"/>
      <c r="AQ92" s="159"/>
      <c r="AR92" s="159"/>
      <c r="AS92" s="159"/>
      <c r="AT92" s="159"/>
      <c r="AU92" s="159"/>
      <c r="AV92" s="159"/>
      <c r="AW92" s="159"/>
      <c r="AX92" s="159"/>
      <c r="AY92" s="180"/>
      <c r="AZ92" s="159"/>
      <c r="BA92" s="159"/>
      <c r="BB92" s="159"/>
      <c r="BC92" s="159"/>
      <c r="BD92" s="159"/>
      <c r="BE92" s="159"/>
      <c r="BF92" s="159"/>
      <c r="BG92" s="159"/>
      <c r="BH92" s="159"/>
      <c r="BI92" s="159"/>
      <c r="BJ92" s="159"/>
      <c r="BK92" s="159"/>
      <c r="BL92" s="159"/>
      <c r="BM92" s="159"/>
      <c r="BN92" s="159"/>
      <c r="BO92" s="159"/>
      <c r="BP92" s="159"/>
      <c r="BQ92" s="159"/>
      <c r="BR92" s="159"/>
      <c r="BS92" s="180"/>
      <c r="BT92" s="159"/>
      <c r="BU92" s="180"/>
      <c r="BV92" s="180"/>
      <c r="BW92" s="159"/>
      <c r="BX92" s="159"/>
      <c r="BY92" s="159"/>
      <c r="BZ92" s="159"/>
      <c r="CA92" s="159"/>
      <c r="CB92" s="159"/>
      <c r="CC92" s="159"/>
      <c r="CD92" s="159"/>
      <c r="CE92" s="159"/>
      <c r="CF92" s="159"/>
      <c r="CG92" s="180"/>
      <c r="CH92" s="159"/>
    </row>
    <row r="93" spans="1:86" x14ac:dyDescent="0.25">
      <c r="A93" s="257" t="str">
        <f t="shared" si="3"/>
        <v/>
      </c>
      <c r="B93" s="180"/>
      <c r="C93" s="180"/>
      <c r="D93" s="180"/>
      <c r="E93" s="180"/>
      <c r="F93" s="180"/>
      <c r="G93" s="180"/>
      <c r="H93" s="180"/>
      <c r="I93" s="180"/>
      <c r="J93" s="180"/>
      <c r="K93" s="180"/>
      <c r="L93" s="180"/>
      <c r="M93" s="180"/>
      <c r="N93" s="180"/>
      <c r="O93" s="292" t="str">
        <f t="shared" si="2"/>
        <v xml:space="preserve">ЛОЖЬ, </v>
      </c>
      <c r="P93" s="159"/>
      <c r="Q93" s="180"/>
      <c r="R93" s="159"/>
      <c r="S93" s="159"/>
      <c r="T93" s="159"/>
      <c r="U93" s="180"/>
      <c r="V93" s="159"/>
      <c r="W93" s="159"/>
      <c r="X93" s="180"/>
      <c r="Y93" s="180"/>
      <c r="Z93" s="159"/>
      <c r="AA93" s="159"/>
      <c r="AB93" s="159"/>
      <c r="AC93" s="159"/>
      <c r="AD93" s="159"/>
      <c r="AE93" s="180"/>
      <c r="AF93" s="159"/>
      <c r="AG93" s="159"/>
      <c r="AH93" s="159"/>
      <c r="AI93" s="159"/>
      <c r="AJ93" s="159"/>
      <c r="AK93" s="159"/>
      <c r="AL93" s="159"/>
      <c r="AM93" s="159"/>
      <c r="AN93" s="159"/>
      <c r="AO93" s="159"/>
      <c r="AP93" s="159"/>
      <c r="AQ93" s="159"/>
      <c r="AR93" s="159"/>
      <c r="AS93" s="159"/>
      <c r="AT93" s="159"/>
      <c r="AU93" s="159"/>
      <c r="AV93" s="159"/>
      <c r="AW93" s="159"/>
      <c r="AX93" s="159"/>
      <c r="AY93" s="180"/>
      <c r="AZ93" s="159"/>
      <c r="BA93" s="159"/>
      <c r="BB93" s="159"/>
      <c r="BC93" s="159"/>
      <c r="BD93" s="159"/>
      <c r="BE93" s="159"/>
      <c r="BF93" s="159"/>
      <c r="BG93" s="159"/>
      <c r="BH93" s="159"/>
      <c r="BI93" s="159"/>
      <c r="BJ93" s="159"/>
      <c r="BK93" s="159"/>
      <c r="BL93" s="159"/>
      <c r="BM93" s="159"/>
      <c r="BN93" s="159"/>
      <c r="BO93" s="159"/>
      <c r="BP93" s="159"/>
      <c r="BQ93" s="159"/>
      <c r="BR93" s="159"/>
      <c r="BS93" s="180"/>
      <c r="BT93" s="159"/>
      <c r="BU93" s="180"/>
      <c r="BV93" s="180"/>
      <c r="BW93" s="159"/>
      <c r="BX93" s="159"/>
      <c r="BY93" s="159"/>
      <c r="BZ93" s="159"/>
      <c r="CA93" s="159"/>
      <c r="CB93" s="159"/>
      <c r="CC93" s="159"/>
      <c r="CD93" s="159"/>
      <c r="CE93" s="159"/>
      <c r="CF93" s="159"/>
      <c r="CG93" s="180"/>
      <c r="CH93" s="159"/>
    </row>
    <row r="94" spans="1:86" x14ac:dyDescent="0.25">
      <c r="A94" s="257" t="str">
        <f t="shared" si="3"/>
        <v/>
      </c>
      <c r="B94" s="180"/>
      <c r="C94" s="180"/>
      <c r="D94" s="180"/>
      <c r="E94" s="180"/>
      <c r="F94" s="180"/>
      <c r="G94" s="180"/>
      <c r="H94" s="180"/>
      <c r="I94" s="180"/>
      <c r="J94" s="180"/>
      <c r="K94" s="180"/>
      <c r="L94" s="180"/>
      <c r="M94" s="180"/>
      <c r="N94" s="180"/>
      <c r="O94" s="292" t="str">
        <f t="shared" si="2"/>
        <v xml:space="preserve">ЛОЖЬ, </v>
      </c>
      <c r="P94" s="159"/>
      <c r="Q94" s="180"/>
      <c r="R94" s="159"/>
      <c r="S94" s="159"/>
      <c r="T94" s="159"/>
      <c r="U94" s="180"/>
      <c r="V94" s="159"/>
      <c r="W94" s="159"/>
      <c r="X94" s="180"/>
      <c r="Y94" s="180"/>
      <c r="Z94" s="159"/>
      <c r="AA94" s="159"/>
      <c r="AB94" s="159"/>
      <c r="AC94" s="159"/>
      <c r="AD94" s="159"/>
      <c r="AE94" s="180"/>
      <c r="AF94" s="159"/>
      <c r="AG94" s="159"/>
      <c r="AH94" s="159"/>
      <c r="AI94" s="159"/>
      <c r="AJ94" s="159"/>
      <c r="AK94" s="159"/>
      <c r="AL94" s="159"/>
      <c r="AM94" s="159"/>
      <c r="AN94" s="159"/>
      <c r="AO94" s="159"/>
      <c r="AP94" s="159"/>
      <c r="AQ94" s="159"/>
      <c r="AR94" s="159"/>
      <c r="AS94" s="159"/>
      <c r="AT94" s="159"/>
      <c r="AU94" s="159"/>
      <c r="AV94" s="159"/>
      <c r="AW94" s="159"/>
      <c r="AX94" s="159"/>
      <c r="AY94" s="180"/>
      <c r="AZ94" s="159"/>
      <c r="BA94" s="159"/>
      <c r="BB94" s="159"/>
      <c r="BC94" s="159"/>
      <c r="BD94" s="159"/>
      <c r="BE94" s="159"/>
      <c r="BF94" s="159"/>
      <c r="BG94" s="159"/>
      <c r="BH94" s="159"/>
      <c r="BI94" s="159"/>
      <c r="BJ94" s="159"/>
      <c r="BK94" s="159"/>
      <c r="BL94" s="159"/>
      <c r="BM94" s="159"/>
      <c r="BN94" s="159"/>
      <c r="BO94" s="159"/>
      <c r="BP94" s="159"/>
      <c r="BQ94" s="159"/>
      <c r="BR94" s="159"/>
      <c r="BS94" s="180"/>
      <c r="BT94" s="159"/>
      <c r="BU94" s="180"/>
      <c r="BV94" s="180"/>
      <c r="BW94" s="159"/>
      <c r="BX94" s="159"/>
      <c r="BY94" s="159"/>
      <c r="BZ94" s="159"/>
      <c r="CA94" s="159"/>
      <c r="CB94" s="159"/>
      <c r="CC94" s="159"/>
      <c r="CD94" s="159"/>
      <c r="CE94" s="159"/>
      <c r="CF94" s="159"/>
      <c r="CG94" s="180"/>
      <c r="CH94" s="159"/>
    </row>
    <row r="95" spans="1:86" x14ac:dyDescent="0.25">
      <c r="A95" s="257" t="str">
        <f t="shared" si="3"/>
        <v/>
      </c>
      <c r="B95" s="180"/>
      <c r="C95" s="180"/>
      <c r="D95" s="180"/>
      <c r="E95" s="180"/>
      <c r="F95" s="180"/>
      <c r="G95" s="180"/>
      <c r="H95" s="180"/>
      <c r="I95" s="180"/>
      <c r="J95" s="180"/>
      <c r="K95" s="180"/>
      <c r="L95" s="180"/>
      <c r="M95" s="180"/>
      <c r="N95" s="180"/>
      <c r="O95" s="292" t="str">
        <f t="shared" si="2"/>
        <v xml:space="preserve">ЛОЖЬ, </v>
      </c>
      <c r="P95" s="159"/>
      <c r="Q95" s="180"/>
      <c r="R95" s="159"/>
      <c r="S95" s="159"/>
      <c r="T95" s="159"/>
      <c r="U95" s="180"/>
      <c r="V95" s="159"/>
      <c r="W95" s="159"/>
      <c r="X95" s="180"/>
      <c r="Y95" s="180"/>
      <c r="Z95" s="159"/>
      <c r="AA95" s="159"/>
      <c r="AB95" s="159"/>
      <c r="AC95" s="159"/>
      <c r="AD95" s="159"/>
      <c r="AE95" s="180"/>
      <c r="AF95" s="159"/>
      <c r="AG95" s="159"/>
      <c r="AH95" s="159"/>
      <c r="AI95" s="159"/>
      <c r="AJ95" s="159"/>
      <c r="AK95" s="159"/>
      <c r="AL95" s="159"/>
      <c r="AM95" s="159"/>
      <c r="AN95" s="159"/>
      <c r="AO95" s="159"/>
      <c r="AP95" s="159"/>
      <c r="AQ95" s="159"/>
      <c r="AR95" s="159"/>
      <c r="AS95" s="159"/>
      <c r="AT95" s="159"/>
      <c r="AU95" s="159"/>
      <c r="AV95" s="159"/>
      <c r="AW95" s="159"/>
      <c r="AX95" s="159"/>
      <c r="AY95" s="180"/>
      <c r="AZ95" s="159"/>
      <c r="BA95" s="159"/>
      <c r="BB95" s="159"/>
      <c r="BC95" s="159"/>
      <c r="BD95" s="159"/>
      <c r="BE95" s="159"/>
      <c r="BF95" s="159"/>
      <c r="BG95" s="159"/>
      <c r="BH95" s="159"/>
      <c r="BI95" s="159"/>
      <c r="BJ95" s="159"/>
      <c r="BK95" s="159"/>
      <c r="BL95" s="159"/>
      <c r="BM95" s="159"/>
      <c r="BN95" s="159"/>
      <c r="BO95" s="159"/>
      <c r="BP95" s="159"/>
      <c r="BQ95" s="159"/>
      <c r="BR95" s="159"/>
      <c r="BS95" s="180"/>
      <c r="BT95" s="159"/>
      <c r="BU95" s="180"/>
      <c r="BV95" s="180"/>
      <c r="BW95" s="159"/>
      <c r="BX95" s="159"/>
      <c r="BY95" s="159"/>
      <c r="BZ95" s="159"/>
      <c r="CA95" s="159"/>
      <c r="CB95" s="159"/>
      <c r="CC95" s="159"/>
      <c r="CD95" s="159"/>
      <c r="CE95" s="159"/>
      <c r="CF95" s="159"/>
      <c r="CG95" s="180"/>
      <c r="CH95" s="159"/>
    </row>
    <row r="96" spans="1:86" x14ac:dyDescent="0.25">
      <c r="A96" s="257" t="str">
        <f t="shared" si="3"/>
        <v/>
      </c>
      <c r="B96" s="180"/>
      <c r="C96" s="180"/>
      <c r="D96" s="180"/>
      <c r="E96" s="180"/>
      <c r="F96" s="180"/>
      <c r="G96" s="180"/>
      <c r="H96" s="180"/>
      <c r="I96" s="180"/>
      <c r="J96" s="180"/>
      <c r="K96" s="180"/>
      <c r="L96" s="180"/>
      <c r="M96" s="180"/>
      <c r="N96" s="180"/>
      <c r="O96" s="292" t="str">
        <f t="shared" si="2"/>
        <v xml:space="preserve">ЛОЖЬ, </v>
      </c>
      <c r="P96" s="159"/>
      <c r="Q96" s="180"/>
      <c r="R96" s="159"/>
      <c r="S96" s="159"/>
      <c r="T96" s="159"/>
      <c r="U96" s="180"/>
      <c r="V96" s="159"/>
      <c r="W96" s="159"/>
      <c r="X96" s="180"/>
      <c r="Y96" s="180"/>
      <c r="Z96" s="159"/>
      <c r="AA96" s="159"/>
      <c r="AB96" s="159"/>
      <c r="AC96" s="159"/>
      <c r="AD96" s="159"/>
      <c r="AE96" s="180"/>
      <c r="AF96" s="159"/>
      <c r="AG96" s="159"/>
      <c r="AH96" s="159"/>
      <c r="AI96" s="159"/>
      <c r="AJ96" s="159"/>
      <c r="AK96" s="159"/>
      <c r="AL96" s="159"/>
      <c r="AM96" s="159"/>
      <c r="AN96" s="159"/>
      <c r="AO96" s="159"/>
      <c r="AP96" s="159"/>
      <c r="AQ96" s="159"/>
      <c r="AR96" s="159"/>
      <c r="AS96" s="159"/>
      <c r="AT96" s="159"/>
      <c r="AU96" s="159"/>
      <c r="AV96" s="159"/>
      <c r="AW96" s="159"/>
      <c r="AX96" s="159"/>
      <c r="AY96" s="180"/>
      <c r="AZ96" s="159"/>
      <c r="BA96" s="159"/>
      <c r="BB96" s="159"/>
      <c r="BC96" s="159"/>
      <c r="BD96" s="159"/>
      <c r="BE96" s="159"/>
      <c r="BF96" s="159"/>
      <c r="BG96" s="159"/>
      <c r="BH96" s="159"/>
      <c r="BI96" s="159"/>
      <c r="BJ96" s="159"/>
      <c r="BK96" s="159"/>
      <c r="BL96" s="159"/>
      <c r="BM96" s="159"/>
      <c r="BN96" s="159"/>
      <c r="BO96" s="159"/>
      <c r="BP96" s="159"/>
      <c r="BQ96" s="159"/>
      <c r="BR96" s="159"/>
      <c r="BS96" s="180"/>
      <c r="BT96" s="159"/>
      <c r="BU96" s="180"/>
      <c r="BV96" s="180"/>
      <c r="BW96" s="159"/>
      <c r="BX96" s="159"/>
      <c r="BY96" s="159"/>
      <c r="BZ96" s="159"/>
      <c r="CA96" s="159"/>
      <c r="CB96" s="159"/>
      <c r="CC96" s="159"/>
      <c r="CD96" s="159"/>
      <c r="CE96" s="159"/>
      <c r="CF96" s="159"/>
      <c r="CG96" s="180"/>
      <c r="CH96" s="159"/>
    </row>
    <row r="97" spans="1:94" x14ac:dyDescent="0.25">
      <c r="A97" s="257" t="str">
        <f t="shared" si="3"/>
        <v/>
      </c>
      <c r="B97" s="180"/>
      <c r="C97" s="180"/>
      <c r="D97" s="180"/>
      <c r="E97" s="180"/>
      <c r="F97" s="180"/>
      <c r="G97" s="180"/>
      <c r="H97" s="180"/>
      <c r="I97" s="180"/>
      <c r="J97" s="180"/>
      <c r="K97" s="180"/>
      <c r="L97" s="180"/>
      <c r="M97" s="180"/>
      <c r="N97" s="180"/>
      <c r="O97" s="292" t="str">
        <f t="shared" si="2"/>
        <v xml:space="preserve">ЛОЖЬ, </v>
      </c>
      <c r="P97" s="159"/>
      <c r="Q97" s="180"/>
      <c r="R97" s="159"/>
      <c r="S97" s="159"/>
      <c r="T97" s="159"/>
      <c r="U97" s="180"/>
      <c r="V97" s="159"/>
      <c r="W97" s="159"/>
      <c r="X97" s="180"/>
      <c r="Y97" s="180"/>
      <c r="Z97" s="159"/>
      <c r="AA97" s="159"/>
      <c r="AB97" s="159"/>
      <c r="AC97" s="159"/>
      <c r="AD97" s="159"/>
      <c r="AE97" s="180"/>
      <c r="AF97" s="159"/>
      <c r="AG97" s="159"/>
      <c r="AH97" s="159"/>
      <c r="AI97" s="159"/>
      <c r="AJ97" s="159"/>
      <c r="AK97" s="159"/>
      <c r="AL97" s="159"/>
      <c r="AM97" s="159"/>
      <c r="AN97" s="159"/>
      <c r="AO97" s="159"/>
      <c r="AP97" s="159"/>
      <c r="AQ97" s="159"/>
      <c r="AR97" s="159"/>
      <c r="AS97" s="159"/>
      <c r="AT97" s="159"/>
      <c r="AU97" s="159"/>
      <c r="AV97" s="159"/>
      <c r="AW97" s="159"/>
      <c r="AX97" s="159"/>
      <c r="AY97" s="180"/>
      <c r="AZ97" s="159"/>
      <c r="BA97" s="159"/>
      <c r="BB97" s="159"/>
      <c r="BC97" s="159"/>
      <c r="BD97" s="159"/>
      <c r="BE97" s="159"/>
      <c r="BF97" s="159"/>
      <c r="BG97" s="159"/>
      <c r="BH97" s="159"/>
      <c r="BI97" s="159"/>
      <c r="BJ97" s="159"/>
      <c r="BK97" s="159"/>
      <c r="BL97" s="159"/>
      <c r="BM97" s="159"/>
      <c r="BN97" s="159"/>
      <c r="BO97" s="159"/>
      <c r="BP97" s="159"/>
      <c r="BQ97" s="159"/>
      <c r="BR97" s="159"/>
      <c r="BS97" s="180"/>
      <c r="BT97" s="159"/>
      <c r="BU97" s="180"/>
      <c r="BV97" s="180"/>
      <c r="BW97" s="159"/>
      <c r="BX97" s="159"/>
      <c r="BY97" s="159"/>
      <c r="BZ97" s="159"/>
      <c r="CA97" s="159"/>
      <c r="CB97" s="159"/>
      <c r="CC97" s="159"/>
      <c r="CD97" s="159"/>
      <c r="CE97" s="159"/>
      <c r="CF97" s="159"/>
      <c r="CG97" s="180"/>
      <c r="CH97" s="159"/>
    </row>
    <row r="98" spans="1:94" x14ac:dyDescent="0.25">
      <c r="A98" s="257" t="str">
        <f t="shared" si="3"/>
        <v/>
      </c>
      <c r="B98" s="180"/>
      <c r="C98" s="180"/>
      <c r="D98" s="180"/>
      <c r="E98" s="180"/>
      <c r="F98" s="180"/>
      <c r="G98" s="180"/>
      <c r="H98" s="180"/>
      <c r="I98" s="180"/>
      <c r="J98" s="180"/>
      <c r="K98" s="180"/>
      <c r="L98" s="180"/>
      <c r="M98" s="180"/>
      <c r="N98" s="180"/>
      <c r="O98" s="292" t="str">
        <f t="shared" si="2"/>
        <v xml:space="preserve">ЛОЖЬ, </v>
      </c>
      <c r="P98" s="159"/>
      <c r="Q98" s="180"/>
      <c r="R98" s="159"/>
      <c r="S98" s="159"/>
      <c r="T98" s="159"/>
      <c r="U98" s="180"/>
      <c r="V98" s="159"/>
      <c r="W98" s="159"/>
      <c r="X98" s="180"/>
      <c r="Y98" s="180"/>
      <c r="Z98" s="159"/>
      <c r="AA98" s="159"/>
      <c r="AB98" s="159"/>
      <c r="AC98" s="159"/>
      <c r="AD98" s="159"/>
      <c r="AE98" s="180"/>
      <c r="AF98" s="159"/>
      <c r="AG98" s="159"/>
      <c r="AH98" s="159"/>
      <c r="AI98" s="159"/>
      <c r="AJ98" s="159"/>
      <c r="AK98" s="159"/>
      <c r="AL98" s="159"/>
      <c r="AM98" s="159"/>
      <c r="AN98" s="159"/>
      <c r="AO98" s="159"/>
      <c r="AP98" s="159"/>
      <c r="AQ98" s="159"/>
      <c r="AR98" s="159"/>
      <c r="AS98" s="159"/>
      <c r="AT98" s="159"/>
      <c r="AU98" s="159"/>
      <c r="AV98" s="159"/>
      <c r="AW98" s="159"/>
      <c r="AX98" s="159"/>
      <c r="AY98" s="180"/>
      <c r="AZ98" s="159"/>
      <c r="BA98" s="159"/>
      <c r="BB98" s="159"/>
      <c r="BC98" s="159"/>
      <c r="BD98" s="159"/>
      <c r="BE98" s="159"/>
      <c r="BF98" s="159"/>
      <c r="BG98" s="159"/>
      <c r="BH98" s="159"/>
      <c r="BI98" s="159"/>
      <c r="BJ98" s="159"/>
      <c r="BK98" s="159"/>
      <c r="BL98" s="159"/>
      <c r="BM98" s="159"/>
      <c r="BN98" s="159"/>
      <c r="BO98" s="159"/>
      <c r="BP98" s="159"/>
      <c r="BQ98" s="159"/>
      <c r="BR98" s="159"/>
      <c r="BS98" s="180"/>
      <c r="BT98" s="159"/>
      <c r="BU98" s="180"/>
      <c r="BV98" s="180"/>
      <c r="BW98" s="159"/>
      <c r="BX98" s="159"/>
      <c r="BY98" s="159"/>
      <c r="BZ98" s="159"/>
      <c r="CA98" s="159"/>
      <c r="CB98" s="159"/>
      <c r="CC98" s="159"/>
      <c r="CD98" s="159"/>
      <c r="CE98" s="159"/>
      <c r="CF98" s="159"/>
      <c r="CG98" s="180"/>
      <c r="CH98" s="159"/>
    </row>
    <row r="99" spans="1:94" x14ac:dyDescent="0.25">
      <c r="A99" s="257" t="str">
        <f t="shared" si="3"/>
        <v/>
      </c>
      <c r="B99" s="180"/>
      <c r="C99" s="180"/>
      <c r="D99" s="180"/>
      <c r="E99" s="180"/>
      <c r="F99" s="180"/>
      <c r="G99" s="180"/>
      <c r="H99" s="180"/>
      <c r="I99" s="180"/>
      <c r="J99" s="180"/>
      <c r="K99" s="180"/>
      <c r="L99" s="180"/>
      <c r="M99" s="180"/>
      <c r="N99" s="180"/>
      <c r="O99" s="292" t="str">
        <f t="shared" si="2"/>
        <v xml:space="preserve">ЛОЖЬ, </v>
      </c>
      <c r="P99" s="159"/>
      <c r="Q99" s="180"/>
      <c r="R99" s="159"/>
      <c r="S99" s="159"/>
      <c r="T99" s="159"/>
      <c r="U99" s="180"/>
      <c r="V99" s="159"/>
      <c r="W99" s="159"/>
      <c r="X99" s="180"/>
      <c r="Y99" s="180"/>
      <c r="Z99" s="159"/>
      <c r="AA99" s="159"/>
      <c r="AB99" s="159"/>
      <c r="AC99" s="159"/>
      <c r="AD99" s="159"/>
      <c r="AE99" s="180"/>
      <c r="AF99" s="159"/>
      <c r="AG99" s="159"/>
      <c r="AH99" s="159"/>
      <c r="AI99" s="159"/>
      <c r="AJ99" s="159"/>
      <c r="AK99" s="159"/>
      <c r="AL99" s="159"/>
      <c r="AM99" s="159"/>
      <c r="AN99" s="159"/>
      <c r="AO99" s="159"/>
      <c r="AP99" s="159"/>
      <c r="AQ99" s="159"/>
      <c r="AR99" s="159"/>
      <c r="AS99" s="159"/>
      <c r="AT99" s="159"/>
      <c r="AU99" s="159"/>
      <c r="AV99" s="159"/>
      <c r="AW99" s="159"/>
      <c r="AX99" s="159"/>
      <c r="AY99" s="180"/>
      <c r="AZ99" s="159"/>
      <c r="BA99" s="159"/>
      <c r="BB99" s="159"/>
      <c r="BC99" s="159"/>
      <c r="BD99" s="159"/>
      <c r="BE99" s="159"/>
      <c r="BF99" s="159"/>
      <c r="BG99" s="159"/>
      <c r="BH99" s="159"/>
      <c r="BI99" s="159"/>
      <c r="BJ99" s="159"/>
      <c r="BK99" s="159"/>
      <c r="BL99" s="159"/>
      <c r="BM99" s="159"/>
      <c r="BN99" s="159"/>
      <c r="BO99" s="159"/>
      <c r="BP99" s="159"/>
      <c r="BQ99" s="159"/>
      <c r="BR99" s="159"/>
      <c r="BS99" s="180"/>
      <c r="BT99" s="159"/>
      <c r="BU99" s="180"/>
      <c r="BV99" s="180"/>
      <c r="BW99" s="159"/>
      <c r="BX99" s="159"/>
      <c r="BY99" s="159"/>
      <c r="BZ99" s="159"/>
      <c r="CA99" s="159"/>
      <c r="CB99" s="159"/>
      <c r="CC99" s="159"/>
      <c r="CD99" s="159"/>
      <c r="CE99" s="159"/>
      <c r="CF99" s="159"/>
      <c r="CG99" s="180"/>
      <c r="CH99" s="159"/>
    </row>
    <row r="100" spans="1:94" x14ac:dyDescent="0.25">
      <c r="A100" s="257" t="str">
        <f t="shared" si="3"/>
        <v/>
      </c>
      <c r="B100" s="180"/>
      <c r="C100" s="180"/>
      <c r="D100" s="180"/>
      <c r="E100" s="180"/>
      <c r="F100" s="180"/>
      <c r="G100" s="180"/>
      <c r="H100" s="180"/>
      <c r="I100" s="180"/>
      <c r="J100" s="180"/>
      <c r="K100" s="180"/>
      <c r="L100" s="180"/>
      <c r="M100" s="180"/>
      <c r="N100" s="180"/>
      <c r="O100" s="292" t="str">
        <f t="shared" si="2"/>
        <v xml:space="preserve">ЛОЖЬ, </v>
      </c>
      <c r="P100" s="159"/>
      <c r="Q100" s="180"/>
      <c r="R100" s="159"/>
      <c r="S100" s="159"/>
      <c r="T100" s="159"/>
      <c r="U100" s="180"/>
      <c r="V100" s="159"/>
      <c r="W100" s="159"/>
      <c r="X100" s="180"/>
      <c r="Y100" s="180"/>
      <c r="Z100" s="159"/>
      <c r="AA100" s="159"/>
      <c r="AB100" s="159"/>
      <c r="AC100" s="159"/>
      <c r="AD100" s="159"/>
      <c r="AE100" s="180"/>
      <c r="AF100" s="159"/>
      <c r="AG100" s="159"/>
      <c r="AH100" s="159"/>
      <c r="AI100" s="159"/>
      <c r="AJ100" s="159"/>
      <c r="AK100" s="159"/>
      <c r="AL100" s="159"/>
      <c r="AM100" s="159"/>
      <c r="AN100" s="159"/>
      <c r="AO100" s="159"/>
      <c r="AP100" s="159"/>
      <c r="AQ100" s="159"/>
      <c r="AR100" s="159"/>
      <c r="AS100" s="159"/>
      <c r="AT100" s="159"/>
      <c r="AU100" s="159"/>
      <c r="AV100" s="159"/>
      <c r="AW100" s="159"/>
      <c r="AX100" s="159"/>
      <c r="AY100" s="180"/>
      <c r="AZ100" s="159"/>
      <c r="BA100" s="159"/>
      <c r="BB100" s="159"/>
      <c r="BC100" s="159"/>
      <c r="BD100" s="159"/>
      <c r="BE100" s="159"/>
      <c r="BF100" s="159"/>
      <c r="BG100" s="159"/>
      <c r="BH100" s="159"/>
      <c r="BI100" s="159"/>
      <c r="BJ100" s="159"/>
      <c r="BK100" s="159"/>
      <c r="BL100" s="159"/>
      <c r="BM100" s="159"/>
      <c r="BN100" s="159"/>
      <c r="BO100" s="159"/>
      <c r="BP100" s="159"/>
      <c r="BQ100" s="159"/>
      <c r="BR100" s="159"/>
      <c r="BS100" s="180"/>
      <c r="BT100" s="159"/>
      <c r="BU100" s="180"/>
      <c r="BV100" s="180"/>
      <c r="BW100" s="159"/>
      <c r="BX100" s="159"/>
      <c r="BY100" s="159"/>
      <c r="BZ100" s="159"/>
      <c r="CA100" s="159"/>
      <c r="CB100" s="159"/>
      <c r="CC100" s="159"/>
      <c r="CD100" s="159"/>
      <c r="CE100" s="159"/>
      <c r="CF100" s="159"/>
      <c r="CG100" s="180"/>
      <c r="CH100" s="159"/>
    </row>
    <row r="101" spans="1:94" x14ac:dyDescent="0.25">
      <c r="A101" s="257" t="str">
        <f t="shared" si="3"/>
        <v/>
      </c>
      <c r="B101" s="180"/>
      <c r="C101" s="180"/>
      <c r="D101" s="180"/>
      <c r="E101" s="180"/>
      <c r="F101" s="180"/>
      <c r="G101" s="180"/>
      <c r="H101" s="180"/>
      <c r="I101" s="180"/>
      <c r="J101" s="180"/>
      <c r="K101" s="180"/>
      <c r="L101" s="180"/>
      <c r="M101" s="180"/>
      <c r="N101" s="180"/>
      <c r="O101" s="292" t="str">
        <f t="shared" si="2"/>
        <v xml:space="preserve">ЛОЖЬ, </v>
      </c>
      <c r="P101" s="159"/>
      <c r="Q101" s="180"/>
      <c r="R101" s="159"/>
      <c r="S101" s="159"/>
      <c r="T101" s="159"/>
      <c r="U101" s="180"/>
      <c r="V101" s="159"/>
      <c r="W101" s="159"/>
      <c r="X101" s="180"/>
      <c r="Y101" s="180"/>
      <c r="Z101" s="159"/>
      <c r="AA101" s="159"/>
      <c r="AB101" s="159"/>
      <c r="AC101" s="159"/>
      <c r="AD101" s="159"/>
      <c r="AE101" s="180"/>
      <c r="AF101" s="159"/>
      <c r="AG101" s="159"/>
      <c r="AH101" s="159"/>
      <c r="AI101" s="159"/>
      <c r="AJ101" s="159"/>
      <c r="AK101" s="159"/>
      <c r="AL101" s="159"/>
      <c r="AM101" s="159"/>
      <c r="AN101" s="159"/>
      <c r="AO101" s="159"/>
      <c r="AP101" s="159"/>
      <c r="AQ101" s="159"/>
      <c r="AR101" s="159"/>
      <c r="AS101" s="159"/>
      <c r="AT101" s="159"/>
      <c r="AU101" s="159"/>
      <c r="AV101" s="159"/>
      <c r="AW101" s="159"/>
      <c r="AX101" s="159"/>
      <c r="AY101" s="180"/>
      <c r="AZ101" s="159"/>
      <c r="BA101" s="159"/>
      <c r="BB101" s="159"/>
      <c r="BC101" s="159"/>
      <c r="BD101" s="159"/>
      <c r="BE101" s="159"/>
      <c r="BF101" s="159"/>
      <c r="BG101" s="159"/>
      <c r="BH101" s="159"/>
      <c r="BI101" s="159"/>
      <c r="BJ101" s="159"/>
      <c r="BK101" s="159"/>
      <c r="BL101" s="159"/>
      <c r="BM101" s="159"/>
      <c r="BN101" s="159"/>
      <c r="BO101" s="159"/>
      <c r="BP101" s="159"/>
      <c r="BQ101" s="159"/>
      <c r="BR101" s="159"/>
      <c r="BS101" s="180"/>
      <c r="BT101" s="159"/>
      <c r="BU101" s="180"/>
      <c r="BV101" s="180"/>
      <c r="BW101" s="159"/>
      <c r="BX101" s="159"/>
      <c r="BY101" s="159"/>
      <c r="BZ101" s="159"/>
      <c r="CA101" s="159"/>
      <c r="CB101" s="159"/>
      <c r="CC101" s="159"/>
      <c r="CD101" s="159"/>
      <c r="CE101" s="159"/>
      <c r="CF101" s="159"/>
      <c r="CG101" s="180"/>
      <c r="CH101" s="159"/>
    </row>
    <row r="102" spans="1:94" ht="15.75" thickBot="1" x14ac:dyDescent="0.3">
      <c r="A102" s="258" t="str">
        <f t="shared" si="3"/>
        <v/>
      </c>
      <c r="B102" s="183"/>
      <c r="C102" s="183"/>
      <c r="D102" s="183"/>
      <c r="E102" s="183"/>
      <c r="F102" s="183"/>
      <c r="G102" s="183"/>
      <c r="H102" s="183"/>
      <c r="I102" s="183"/>
      <c r="J102" s="183"/>
      <c r="K102" s="183"/>
      <c r="L102" s="183"/>
      <c r="M102" s="183"/>
      <c r="N102" s="183"/>
      <c r="O102" s="292" t="str">
        <f t="shared" si="2"/>
        <v xml:space="preserve">ЛОЖЬ, </v>
      </c>
      <c r="P102" s="182"/>
      <c r="Q102" s="183"/>
      <c r="R102" s="182"/>
      <c r="S102" s="182"/>
      <c r="T102" s="182"/>
      <c r="U102" s="183"/>
      <c r="V102" s="182"/>
      <c r="W102" s="182"/>
      <c r="X102" s="183"/>
      <c r="Y102" s="183"/>
      <c r="Z102" s="182"/>
      <c r="AA102" s="182"/>
      <c r="AB102" s="182"/>
      <c r="AC102" s="182"/>
      <c r="AD102" s="182"/>
      <c r="AE102" s="183"/>
      <c r="AF102" s="182"/>
      <c r="AG102" s="182"/>
      <c r="AH102" s="182"/>
      <c r="AI102" s="182"/>
      <c r="AJ102" s="182"/>
      <c r="AK102" s="182"/>
      <c r="AL102" s="182"/>
      <c r="AM102" s="182"/>
      <c r="AN102" s="182"/>
      <c r="AO102" s="182"/>
      <c r="AP102" s="182"/>
      <c r="AQ102" s="182"/>
      <c r="AR102" s="182"/>
      <c r="AS102" s="182"/>
      <c r="AT102" s="182"/>
      <c r="AU102" s="182"/>
      <c r="AV102" s="182"/>
      <c r="AW102" s="182"/>
      <c r="AX102" s="182"/>
      <c r="AY102" s="183"/>
      <c r="AZ102" s="182"/>
      <c r="BA102" s="182"/>
      <c r="BB102" s="182"/>
      <c r="BC102" s="182"/>
      <c r="BD102" s="182"/>
      <c r="BE102" s="182"/>
      <c r="BF102" s="182"/>
      <c r="BG102" s="182"/>
      <c r="BH102" s="182"/>
      <c r="BI102" s="182"/>
      <c r="BJ102" s="182"/>
      <c r="BK102" s="182"/>
      <c r="BL102" s="182"/>
      <c r="BM102" s="182"/>
      <c r="BN102" s="182"/>
      <c r="BO102" s="182"/>
      <c r="BP102" s="182"/>
      <c r="BQ102" s="182"/>
      <c r="BR102" s="182"/>
      <c r="BS102" s="183"/>
      <c r="BT102" s="182"/>
      <c r="BU102" s="183"/>
      <c r="BV102" s="183"/>
      <c r="BW102" s="182"/>
      <c r="BX102" s="182"/>
      <c r="BY102" s="182"/>
      <c r="BZ102" s="182"/>
      <c r="CA102" s="182"/>
      <c r="CB102" s="182"/>
      <c r="CC102" s="182"/>
      <c r="CD102" s="182"/>
      <c r="CE102" s="182"/>
      <c r="CF102" s="182"/>
      <c r="CG102" s="183"/>
      <c r="CH102" s="159"/>
    </row>
    <row r="103" spans="1:94" x14ac:dyDescent="0.25">
      <c r="A103" s="163"/>
      <c r="B103" s="163"/>
      <c r="C103" s="163"/>
      <c r="D103" s="163"/>
      <c r="E103" s="163"/>
      <c r="F103" s="163"/>
      <c r="G103" s="163"/>
      <c r="H103" s="163"/>
      <c r="I103" s="163"/>
      <c r="J103" s="163"/>
      <c r="K103" s="163"/>
      <c r="L103" s="163"/>
      <c r="M103" s="163"/>
      <c r="N103" s="163"/>
      <c r="O103" s="163"/>
      <c r="P103" s="163"/>
      <c r="Q103" s="163"/>
      <c r="R103" s="163"/>
      <c r="S103" s="163"/>
      <c r="T103" s="163"/>
      <c r="U103" s="163"/>
      <c r="V103" s="163"/>
      <c r="W103" s="163"/>
      <c r="X103" s="163"/>
      <c r="Y103" s="163"/>
      <c r="Z103" s="163"/>
      <c r="AA103" s="163"/>
      <c r="AB103" s="163"/>
      <c r="AC103" s="163"/>
      <c r="AD103" s="163"/>
      <c r="AE103" s="163"/>
      <c r="AF103" s="163"/>
      <c r="AG103" s="163"/>
      <c r="AH103" s="163"/>
      <c r="AI103" s="163"/>
      <c r="AJ103" s="163"/>
      <c r="AK103" s="163"/>
      <c r="AL103" s="163"/>
      <c r="AM103" s="163"/>
      <c r="AN103" s="163"/>
      <c r="AO103" s="163"/>
      <c r="AP103" s="163"/>
      <c r="AQ103" s="163"/>
      <c r="AR103" s="163"/>
      <c r="AS103" s="163"/>
      <c r="AT103" s="163"/>
      <c r="AU103" s="163"/>
      <c r="AV103" s="163"/>
      <c r="AW103" s="163"/>
      <c r="AX103" s="163"/>
      <c r="AY103" s="163"/>
      <c r="AZ103" s="163"/>
      <c r="BA103" s="163"/>
      <c r="BB103" s="163"/>
      <c r="BC103" s="163"/>
      <c r="BD103" s="163"/>
      <c r="BE103" s="163"/>
      <c r="BF103" s="163"/>
      <c r="BG103" s="163"/>
      <c r="BH103" s="163"/>
      <c r="BI103" s="163"/>
      <c r="BJ103" s="163"/>
      <c r="BK103" s="163"/>
      <c r="BL103" s="163"/>
      <c r="BM103" s="163"/>
      <c r="BN103" s="163"/>
      <c r="BO103" s="163"/>
      <c r="BP103" s="163"/>
      <c r="BQ103" s="163"/>
      <c r="BR103" s="163"/>
      <c r="BS103" s="163"/>
      <c r="BT103" s="163"/>
      <c r="BU103" s="163"/>
      <c r="BV103" s="163"/>
      <c r="BW103" s="163"/>
      <c r="BX103" s="163"/>
      <c r="BY103" s="163"/>
      <c r="BZ103" s="163"/>
      <c r="CA103" s="163"/>
      <c r="CB103" s="163"/>
      <c r="CC103" s="163"/>
      <c r="CD103" s="163"/>
      <c r="CE103" s="163"/>
      <c r="CF103" s="163"/>
      <c r="CG103" s="163"/>
      <c r="CH103" s="163"/>
      <c r="CI103" s="163"/>
      <c r="CJ103" s="163"/>
      <c r="CK103" s="163"/>
      <c r="CL103" s="163"/>
      <c r="CM103" s="163"/>
      <c r="CN103" s="163"/>
      <c r="CO103" s="163"/>
      <c r="CP103" s="163"/>
    </row>
  </sheetData>
  <sortState ref="B2:R13">
    <sortCondition ref="B2"/>
  </sortState>
  <mergeCells count="21">
    <mergeCell ref="CH1:DA1"/>
    <mergeCell ref="O1:Q1"/>
    <mergeCell ref="BW1:CG1"/>
    <mergeCell ref="BV1:BV2"/>
    <mergeCell ref="S1:U1"/>
    <mergeCell ref="V1:X1"/>
    <mergeCell ref="Z1:AE1"/>
    <mergeCell ref="AF1:AY1"/>
    <mergeCell ref="AZ1:BS1"/>
    <mergeCell ref="BT1:BU1"/>
    <mergeCell ref="R1:R2"/>
    <mergeCell ref="B1:B2"/>
    <mergeCell ref="D1:D2"/>
    <mergeCell ref="G1:G2"/>
    <mergeCell ref="H1:H2"/>
    <mergeCell ref="N1:N2"/>
    <mergeCell ref="M1:M2"/>
    <mergeCell ref="J1:L1"/>
    <mergeCell ref="I1:I2"/>
    <mergeCell ref="C1:C2"/>
    <mergeCell ref="F1:F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9"/>
  <dimension ref="A1:AG484"/>
  <sheetViews>
    <sheetView zoomScale="85" zoomScaleNormal="85" workbookViewId="0">
      <pane xSplit="1" ySplit="1" topLeftCell="B460" activePane="bottomRight" state="frozen"/>
      <selection pane="topRight" activeCell="B1" sqref="B1"/>
      <selection pane="bottomLeft" activeCell="A2" sqref="A2"/>
      <selection pane="bottomRight" activeCell="J485" sqref="J485"/>
    </sheetView>
  </sheetViews>
  <sheetFormatPr defaultRowHeight="15" x14ac:dyDescent="0.25"/>
  <cols>
    <col min="2" max="3" width="39.140625" customWidth="1"/>
    <col min="4" max="4" width="39.140625" style="400" customWidth="1"/>
    <col min="5" max="5" width="39.140625" customWidth="1"/>
    <col min="6" max="6" width="18" style="268" customWidth="1"/>
    <col min="7" max="10" width="14" style="268" customWidth="1"/>
    <col min="11" max="12" width="17.5703125" style="268" bestFit="1" customWidth="1"/>
    <col min="13" max="13" width="11.140625" style="268" customWidth="1"/>
  </cols>
  <sheetData>
    <row r="1" spans="1:33" ht="30" x14ac:dyDescent="0.25">
      <c r="A1" s="516"/>
      <c r="B1" s="517" t="s">
        <v>5159</v>
      </c>
      <c r="C1" s="517" t="s">
        <v>5160</v>
      </c>
      <c r="D1" s="517" t="s">
        <v>177</v>
      </c>
      <c r="E1" s="517" t="s">
        <v>6017</v>
      </c>
      <c r="F1" s="517" t="s">
        <v>161</v>
      </c>
      <c r="G1" s="517" t="s">
        <v>60</v>
      </c>
      <c r="H1" s="517" t="s">
        <v>6155</v>
      </c>
      <c r="I1" s="517" t="s">
        <v>3859</v>
      </c>
      <c r="J1" s="517" t="s">
        <v>4214</v>
      </c>
      <c r="K1" s="517" t="s">
        <v>3967</v>
      </c>
      <c r="L1" s="517" t="s">
        <v>3968</v>
      </c>
      <c r="M1" s="517" t="s">
        <v>4391</v>
      </c>
      <c r="N1" s="518" t="s">
        <v>3765</v>
      </c>
      <c r="O1" s="518" t="s">
        <v>3766</v>
      </c>
      <c r="P1" s="518" t="s">
        <v>3900</v>
      </c>
      <c r="Q1" s="518" t="s">
        <v>3901</v>
      </c>
      <c r="R1" s="518" t="s">
        <v>3902</v>
      </c>
      <c r="S1" s="518" t="s">
        <v>5332</v>
      </c>
      <c r="T1" s="518" t="s">
        <v>5333</v>
      </c>
      <c r="U1" s="518" t="s">
        <v>5334</v>
      </c>
      <c r="V1" s="518" t="s">
        <v>5335</v>
      </c>
      <c r="W1" s="518" t="s">
        <v>5336</v>
      </c>
      <c r="X1" s="518" t="s">
        <v>5337</v>
      </c>
      <c r="Y1" s="518" t="s">
        <v>5338</v>
      </c>
      <c r="Z1" s="518" t="s">
        <v>5339</v>
      </c>
      <c r="AA1" s="518" t="s">
        <v>5340</v>
      </c>
      <c r="AB1" s="518" t="s">
        <v>5341</v>
      </c>
      <c r="AC1" s="518" t="s">
        <v>5342</v>
      </c>
      <c r="AD1" s="518" t="s">
        <v>5343</v>
      </c>
      <c r="AE1" s="518" t="s">
        <v>5344</v>
      </c>
      <c r="AF1" s="518" t="s">
        <v>5345</v>
      </c>
      <c r="AG1" s="518" t="s">
        <v>5346</v>
      </c>
    </row>
    <row r="2" spans="1:33" x14ac:dyDescent="0.25">
      <c r="A2" s="157">
        <f>IF(B2="","",1)</f>
        <v>1</v>
      </c>
      <c r="B2" s="519" t="s">
        <v>3862</v>
      </c>
      <c r="C2" s="519" t="s">
        <v>3862</v>
      </c>
      <c r="D2" s="520" t="s">
        <v>3857</v>
      </c>
      <c r="E2" s="6"/>
      <c r="F2" s="7" t="s">
        <v>3862</v>
      </c>
      <c r="G2" s="7"/>
      <c r="H2" s="7"/>
      <c r="I2" s="7"/>
      <c r="J2" s="7"/>
      <c r="K2" s="7"/>
      <c r="L2" s="7"/>
      <c r="M2" s="7">
        <f>COUNTA(N2:AG2)</f>
        <v>0</v>
      </c>
      <c r="N2" s="6"/>
      <c r="O2" s="6"/>
      <c r="P2" s="6"/>
      <c r="Q2" s="6"/>
      <c r="R2" s="6"/>
      <c r="S2" s="6"/>
      <c r="T2" s="6"/>
      <c r="U2" s="6"/>
      <c r="V2" s="6"/>
      <c r="W2" s="6"/>
      <c r="X2" s="6"/>
      <c r="Y2" s="6"/>
      <c r="Z2" s="6"/>
      <c r="AA2" s="6"/>
      <c r="AB2" s="6"/>
      <c r="AC2" s="6"/>
      <c r="AD2" s="6"/>
      <c r="AE2" s="6"/>
      <c r="AF2" s="6"/>
      <c r="AG2" s="6"/>
    </row>
    <row r="3" spans="1:33" x14ac:dyDescent="0.25">
      <c r="A3" s="157">
        <f t="shared" ref="A3:A34" si="0">IF(B3="","",1+A2)</f>
        <v>2</v>
      </c>
      <c r="B3" s="519" t="s">
        <v>2324</v>
      </c>
      <c r="C3" s="519" t="s">
        <v>2324</v>
      </c>
      <c r="D3" s="520" t="s">
        <v>5726</v>
      </c>
      <c r="E3" s="6"/>
      <c r="F3" s="7"/>
      <c r="G3" s="7" t="s">
        <v>622</v>
      </c>
      <c r="H3" s="7"/>
      <c r="I3" s="7"/>
      <c r="J3" s="7"/>
      <c r="K3" s="7"/>
      <c r="L3" s="7"/>
      <c r="M3" s="7">
        <f t="shared" ref="M3:M66" si="1">COUNTA(N3:AG3)</f>
        <v>0</v>
      </c>
      <c r="N3" s="6"/>
      <c r="O3" s="6"/>
      <c r="P3" s="6"/>
      <c r="Q3" s="6"/>
      <c r="R3" s="6"/>
      <c r="S3" s="6"/>
      <c r="T3" s="6"/>
      <c r="U3" s="6"/>
      <c r="V3" s="6"/>
      <c r="W3" s="6"/>
      <c r="X3" s="6"/>
      <c r="Y3" s="6"/>
      <c r="Z3" s="6"/>
      <c r="AA3" s="6"/>
      <c r="AB3" s="6"/>
      <c r="AC3" s="6"/>
      <c r="AD3" s="6"/>
      <c r="AE3" s="6"/>
      <c r="AF3" s="6"/>
      <c r="AG3" s="6"/>
    </row>
    <row r="4" spans="1:33" x14ac:dyDescent="0.25">
      <c r="A4" s="157">
        <f t="shared" si="0"/>
        <v>3</v>
      </c>
      <c r="B4" s="519" t="s">
        <v>2285</v>
      </c>
      <c r="C4" s="519" t="s">
        <v>2285</v>
      </c>
      <c r="D4" s="520" t="s">
        <v>5727</v>
      </c>
      <c r="E4" s="6"/>
      <c r="F4" s="7"/>
      <c r="G4" s="7"/>
      <c r="H4" s="7"/>
      <c r="I4" s="7"/>
      <c r="J4" s="7"/>
      <c r="K4" s="7"/>
      <c r="L4" s="7"/>
      <c r="M4" s="7">
        <f t="shared" si="1"/>
        <v>0</v>
      </c>
      <c r="N4" s="6"/>
      <c r="O4" s="6"/>
      <c r="P4" s="6"/>
      <c r="Q4" s="6"/>
      <c r="R4" s="6"/>
      <c r="S4" s="6"/>
      <c r="T4" s="6"/>
      <c r="U4" s="6"/>
      <c r="V4" s="6"/>
      <c r="W4" s="6"/>
      <c r="X4" s="6"/>
      <c r="Y4" s="6"/>
      <c r="Z4" s="6"/>
      <c r="AA4" s="6"/>
      <c r="AB4" s="6"/>
      <c r="AC4" s="6"/>
      <c r="AD4" s="6"/>
      <c r="AE4" s="6"/>
      <c r="AF4" s="6"/>
      <c r="AG4" s="6"/>
    </row>
    <row r="5" spans="1:33" x14ac:dyDescent="0.25">
      <c r="A5" s="157">
        <f t="shared" si="0"/>
        <v>4</v>
      </c>
      <c r="B5" s="519" t="s">
        <v>1122</v>
      </c>
      <c r="C5" s="519" t="s">
        <v>1122</v>
      </c>
      <c r="D5" s="520" t="s">
        <v>5703</v>
      </c>
      <c r="E5" s="6"/>
      <c r="F5" s="7"/>
      <c r="G5" s="7" t="s">
        <v>628</v>
      </c>
      <c r="H5" s="7"/>
      <c r="I5" s="7"/>
      <c r="J5" s="7"/>
      <c r="K5" s="7" t="s">
        <v>171</v>
      </c>
      <c r="L5" s="7"/>
      <c r="M5" s="7">
        <f t="shared" si="1"/>
        <v>9</v>
      </c>
      <c r="N5" s="6" t="s">
        <v>3969</v>
      </c>
      <c r="O5" s="6" t="s">
        <v>3970</v>
      </c>
      <c r="P5" s="6" t="s">
        <v>3971</v>
      </c>
      <c r="Q5" s="6" t="s">
        <v>3972</v>
      </c>
      <c r="R5" s="6" t="s">
        <v>3973</v>
      </c>
      <c r="S5" s="6" t="s">
        <v>3974</v>
      </c>
      <c r="T5" s="6" t="s">
        <v>3975</v>
      </c>
      <c r="U5" s="6" t="s">
        <v>3976</v>
      </c>
      <c r="V5" s="6" t="s">
        <v>3977</v>
      </c>
      <c r="W5" s="6"/>
      <c r="X5" s="6"/>
      <c r="Y5" s="6"/>
      <c r="Z5" s="6"/>
      <c r="AA5" s="6"/>
      <c r="AB5" s="6"/>
      <c r="AC5" s="6"/>
      <c r="AD5" s="6"/>
      <c r="AE5" s="6"/>
      <c r="AF5" s="6"/>
      <c r="AG5" s="6"/>
    </row>
    <row r="6" spans="1:33" x14ac:dyDescent="0.25">
      <c r="A6" s="157">
        <f t="shared" si="0"/>
        <v>5</v>
      </c>
      <c r="B6" s="519" t="s">
        <v>5250</v>
      </c>
      <c r="C6" s="519" t="s">
        <v>3917</v>
      </c>
      <c r="D6" s="520" t="s">
        <v>3857</v>
      </c>
      <c r="E6" s="6"/>
      <c r="F6" s="7"/>
      <c r="G6" s="7" t="s">
        <v>628</v>
      </c>
      <c r="H6" s="7"/>
      <c r="I6" s="7"/>
      <c r="J6" s="7"/>
      <c r="K6" s="7"/>
      <c r="L6" s="7" t="s">
        <v>171</v>
      </c>
      <c r="M6" s="7">
        <f t="shared" si="1"/>
        <v>0</v>
      </c>
      <c r="N6" s="6"/>
      <c r="O6" s="6"/>
      <c r="P6" s="6"/>
      <c r="Q6" s="6"/>
      <c r="R6" s="6"/>
      <c r="S6" s="6"/>
      <c r="T6" s="6"/>
      <c r="U6" s="6"/>
      <c r="V6" s="6"/>
      <c r="W6" s="6"/>
      <c r="X6" s="6"/>
      <c r="Y6" s="6"/>
      <c r="Z6" s="6"/>
      <c r="AA6" s="6"/>
      <c r="AB6" s="6"/>
      <c r="AC6" s="6"/>
      <c r="AD6" s="6"/>
      <c r="AE6" s="6"/>
      <c r="AF6" s="6"/>
      <c r="AG6" s="6"/>
    </row>
    <row r="7" spans="1:33" x14ac:dyDescent="0.25">
      <c r="A7" s="157">
        <f t="shared" si="0"/>
        <v>6</v>
      </c>
      <c r="B7" s="519" t="s">
        <v>5251</v>
      </c>
      <c r="C7" s="519" t="s">
        <v>3917</v>
      </c>
      <c r="D7" s="520" t="s">
        <v>3857</v>
      </c>
      <c r="E7" s="6"/>
      <c r="F7" s="7"/>
      <c r="G7" s="7" t="s">
        <v>628</v>
      </c>
      <c r="H7" s="7"/>
      <c r="I7" s="7"/>
      <c r="J7" s="7"/>
      <c r="K7" s="7"/>
      <c r="L7" s="7" t="s">
        <v>171</v>
      </c>
      <c r="M7" s="7">
        <f t="shared" si="1"/>
        <v>0</v>
      </c>
      <c r="N7" s="6"/>
      <c r="O7" s="6"/>
      <c r="P7" s="6"/>
      <c r="Q7" s="6"/>
      <c r="R7" s="6"/>
      <c r="S7" s="6"/>
      <c r="T7" s="6"/>
      <c r="U7" s="6"/>
      <c r="V7" s="6"/>
      <c r="W7" s="6"/>
      <c r="X7" s="6"/>
      <c r="Y7" s="6"/>
      <c r="Z7" s="6"/>
      <c r="AA7" s="6"/>
      <c r="AB7" s="6"/>
      <c r="AC7" s="6"/>
      <c r="AD7" s="6"/>
      <c r="AE7" s="6"/>
      <c r="AF7" s="6"/>
      <c r="AG7" s="6"/>
    </row>
    <row r="8" spans="1:33" x14ac:dyDescent="0.25">
      <c r="A8" s="157">
        <f t="shared" si="0"/>
        <v>7</v>
      </c>
      <c r="B8" s="519" t="s">
        <v>5249</v>
      </c>
      <c r="C8" s="519" t="s">
        <v>3917</v>
      </c>
      <c r="D8" s="520" t="s">
        <v>3857</v>
      </c>
      <c r="E8" s="6"/>
      <c r="F8" s="7"/>
      <c r="G8" s="7" t="s">
        <v>628</v>
      </c>
      <c r="H8" s="7"/>
      <c r="I8" s="7"/>
      <c r="J8" s="7"/>
      <c r="K8" s="7"/>
      <c r="L8" s="7" t="s">
        <v>171</v>
      </c>
      <c r="M8" s="7">
        <f t="shared" si="1"/>
        <v>0</v>
      </c>
      <c r="N8" s="6"/>
      <c r="O8" s="6"/>
      <c r="P8" s="6"/>
      <c r="Q8" s="6"/>
      <c r="R8" s="6"/>
      <c r="S8" s="6"/>
      <c r="T8" s="6"/>
      <c r="U8" s="6"/>
      <c r="V8" s="6"/>
      <c r="W8" s="6"/>
      <c r="X8" s="6"/>
      <c r="Y8" s="6"/>
      <c r="Z8" s="6"/>
      <c r="AA8" s="6"/>
      <c r="AB8" s="6"/>
      <c r="AC8" s="6"/>
      <c r="AD8" s="6"/>
      <c r="AE8" s="6"/>
      <c r="AF8" s="6"/>
      <c r="AG8" s="6"/>
    </row>
    <row r="9" spans="1:33" x14ac:dyDescent="0.25">
      <c r="A9" s="157">
        <f t="shared" si="0"/>
        <v>8</v>
      </c>
      <c r="B9" s="519" t="s">
        <v>5252</v>
      </c>
      <c r="C9" s="519" t="s">
        <v>3917</v>
      </c>
      <c r="D9" s="520" t="s">
        <v>3857</v>
      </c>
      <c r="E9" s="6"/>
      <c r="F9" s="7"/>
      <c r="G9" s="7" t="s">
        <v>628</v>
      </c>
      <c r="H9" s="7"/>
      <c r="I9" s="7"/>
      <c r="J9" s="7"/>
      <c r="K9" s="7"/>
      <c r="L9" s="7" t="s">
        <v>171</v>
      </c>
      <c r="M9" s="7">
        <f t="shared" si="1"/>
        <v>0</v>
      </c>
      <c r="N9" s="6"/>
      <c r="O9" s="6"/>
      <c r="P9" s="6"/>
      <c r="Q9" s="6"/>
      <c r="R9" s="6"/>
      <c r="S9" s="6"/>
      <c r="T9" s="6"/>
      <c r="U9" s="6"/>
      <c r="V9" s="6"/>
      <c r="W9" s="6"/>
      <c r="X9" s="6"/>
      <c r="Y9" s="6"/>
      <c r="Z9" s="6"/>
      <c r="AA9" s="6"/>
      <c r="AB9" s="6"/>
      <c r="AC9" s="6"/>
      <c r="AD9" s="6"/>
      <c r="AE9" s="6"/>
      <c r="AF9" s="6"/>
      <c r="AG9" s="6"/>
    </row>
    <row r="10" spans="1:33" x14ac:dyDescent="0.25">
      <c r="A10" s="157">
        <f t="shared" si="0"/>
        <v>9</v>
      </c>
      <c r="B10" s="519" t="s">
        <v>5253</v>
      </c>
      <c r="C10" s="519" t="s">
        <v>3917</v>
      </c>
      <c r="D10" s="520" t="s">
        <v>3857</v>
      </c>
      <c r="E10" s="6"/>
      <c r="F10" s="7"/>
      <c r="G10" s="7" t="s">
        <v>628</v>
      </c>
      <c r="H10" s="7"/>
      <c r="I10" s="7"/>
      <c r="J10" s="7"/>
      <c r="K10" s="7"/>
      <c r="L10" s="7" t="s">
        <v>171</v>
      </c>
      <c r="M10" s="7">
        <f t="shared" si="1"/>
        <v>0</v>
      </c>
      <c r="N10" s="6"/>
      <c r="O10" s="6"/>
      <c r="P10" s="6"/>
      <c r="Q10" s="6"/>
      <c r="R10" s="6"/>
      <c r="S10" s="6"/>
      <c r="T10" s="6"/>
      <c r="U10" s="6"/>
      <c r="V10" s="6"/>
      <c r="W10" s="6"/>
      <c r="X10" s="6"/>
      <c r="Y10" s="6"/>
      <c r="Z10" s="6"/>
      <c r="AA10" s="6"/>
      <c r="AB10" s="6"/>
      <c r="AC10" s="6"/>
      <c r="AD10" s="6"/>
      <c r="AE10" s="6"/>
      <c r="AF10" s="6"/>
      <c r="AG10" s="6"/>
    </row>
    <row r="11" spans="1:33" x14ac:dyDescent="0.25">
      <c r="A11" s="157">
        <f t="shared" si="0"/>
        <v>10</v>
      </c>
      <c r="B11" s="519" t="s">
        <v>3938</v>
      </c>
      <c r="C11" s="519" t="s">
        <v>3938</v>
      </c>
      <c r="D11" s="520" t="s">
        <v>5502</v>
      </c>
      <c r="E11" s="6"/>
      <c r="F11" s="7"/>
      <c r="G11" s="7" t="s">
        <v>621</v>
      </c>
      <c r="H11" s="7"/>
      <c r="I11" s="7"/>
      <c r="J11" s="7"/>
      <c r="K11" s="7"/>
      <c r="L11" s="7"/>
      <c r="M11" s="7">
        <f t="shared" si="1"/>
        <v>0</v>
      </c>
      <c r="N11" s="6"/>
      <c r="O11" s="6"/>
      <c r="P11" s="6"/>
      <c r="Q11" s="6"/>
      <c r="R11" s="6"/>
      <c r="S11" s="6"/>
      <c r="T11" s="6"/>
      <c r="U11" s="6"/>
      <c r="V11" s="6"/>
      <c r="W11" s="6"/>
      <c r="X11" s="6"/>
      <c r="Y11" s="6"/>
      <c r="Z11" s="6"/>
      <c r="AA11" s="6"/>
      <c r="AB11" s="6"/>
      <c r="AC11" s="6"/>
      <c r="AD11" s="6"/>
      <c r="AE11" s="6"/>
      <c r="AF11" s="6"/>
      <c r="AG11" s="6"/>
    </row>
    <row r="12" spans="1:33" x14ac:dyDescent="0.25">
      <c r="A12" s="157">
        <f t="shared" si="0"/>
        <v>11</v>
      </c>
      <c r="B12" s="519" t="s">
        <v>3952</v>
      </c>
      <c r="C12" s="519" t="s">
        <v>3952</v>
      </c>
      <c r="D12" s="520" t="s">
        <v>5544</v>
      </c>
      <c r="E12" s="6"/>
      <c r="F12" s="7"/>
      <c r="G12" s="7"/>
      <c r="H12" s="7"/>
      <c r="I12" s="7"/>
      <c r="J12" s="7"/>
      <c r="K12" s="7"/>
      <c r="L12" s="7"/>
      <c r="M12" s="7">
        <f t="shared" si="1"/>
        <v>0</v>
      </c>
      <c r="N12" s="6"/>
      <c r="O12" s="6"/>
      <c r="P12" s="6"/>
      <c r="Q12" s="6"/>
      <c r="R12" s="6"/>
      <c r="S12" s="6"/>
      <c r="T12" s="6"/>
      <c r="U12" s="6"/>
      <c r="V12" s="6"/>
      <c r="W12" s="6"/>
      <c r="X12" s="6"/>
      <c r="Y12" s="6"/>
      <c r="Z12" s="6"/>
      <c r="AA12" s="6"/>
      <c r="AB12" s="6"/>
      <c r="AC12" s="6"/>
      <c r="AD12" s="6"/>
      <c r="AE12" s="6"/>
      <c r="AF12" s="6"/>
      <c r="AG12" s="6"/>
    </row>
    <row r="13" spans="1:33" x14ac:dyDescent="0.25">
      <c r="A13" s="157">
        <f t="shared" si="0"/>
        <v>12</v>
      </c>
      <c r="B13" s="519" t="s">
        <v>3955</v>
      </c>
      <c r="C13" s="519" t="s">
        <v>3955</v>
      </c>
      <c r="D13" s="520" t="s">
        <v>5728</v>
      </c>
      <c r="E13" s="6"/>
      <c r="F13" s="7"/>
      <c r="G13" s="7"/>
      <c r="H13" s="7"/>
      <c r="I13" s="7"/>
      <c r="J13" s="7"/>
      <c r="K13" s="7"/>
      <c r="L13" s="7"/>
      <c r="M13" s="7">
        <f t="shared" si="1"/>
        <v>0</v>
      </c>
      <c r="N13" s="6"/>
      <c r="O13" s="6"/>
      <c r="P13" s="6"/>
      <c r="Q13" s="6"/>
      <c r="R13" s="6"/>
      <c r="S13" s="6"/>
      <c r="T13" s="6"/>
      <c r="U13" s="6"/>
      <c r="V13" s="6"/>
      <c r="W13" s="6"/>
      <c r="X13" s="6"/>
      <c r="Y13" s="6"/>
      <c r="Z13" s="6"/>
      <c r="AA13" s="6"/>
      <c r="AB13" s="6"/>
      <c r="AC13" s="6"/>
      <c r="AD13" s="6"/>
      <c r="AE13" s="6"/>
      <c r="AF13" s="6"/>
      <c r="AG13" s="6"/>
    </row>
    <row r="14" spans="1:33" x14ac:dyDescent="0.25">
      <c r="A14" s="157">
        <f t="shared" si="0"/>
        <v>13</v>
      </c>
      <c r="B14" s="519" t="s">
        <v>3950</v>
      </c>
      <c r="C14" s="519" t="s">
        <v>3950</v>
      </c>
      <c r="D14" s="520" t="s">
        <v>5704</v>
      </c>
      <c r="E14" s="6" t="s">
        <v>6023</v>
      </c>
      <c r="F14" s="7"/>
      <c r="G14" s="7"/>
      <c r="H14" s="7"/>
      <c r="I14" s="7"/>
      <c r="J14" s="7"/>
      <c r="K14" s="7"/>
      <c r="L14" s="7"/>
      <c r="M14" s="7">
        <f t="shared" si="1"/>
        <v>0</v>
      </c>
      <c r="N14" s="6"/>
      <c r="O14" s="6"/>
      <c r="P14" s="6"/>
      <c r="Q14" s="6"/>
      <c r="R14" s="6"/>
      <c r="S14" s="6"/>
      <c r="T14" s="6"/>
      <c r="U14" s="6"/>
      <c r="V14" s="6"/>
      <c r="W14" s="6"/>
      <c r="X14" s="6"/>
      <c r="Y14" s="6"/>
      <c r="Z14" s="6"/>
      <c r="AA14" s="6"/>
      <c r="AB14" s="6"/>
      <c r="AC14" s="6"/>
      <c r="AD14" s="6"/>
      <c r="AE14" s="6"/>
      <c r="AF14" s="6"/>
      <c r="AG14" s="6"/>
    </row>
    <row r="15" spans="1:33" x14ac:dyDescent="0.25">
      <c r="A15" s="157">
        <f t="shared" si="0"/>
        <v>14</v>
      </c>
      <c r="B15" s="519" t="s">
        <v>3877</v>
      </c>
      <c r="C15" s="519" t="s">
        <v>3877</v>
      </c>
      <c r="D15" s="520" t="s">
        <v>3857</v>
      </c>
      <c r="E15" s="6"/>
      <c r="F15" s="7"/>
      <c r="G15" s="7" t="s">
        <v>1112</v>
      </c>
      <c r="H15" s="7"/>
      <c r="I15" s="7"/>
      <c r="J15" s="7"/>
      <c r="K15" s="7" t="s">
        <v>171</v>
      </c>
      <c r="L15" s="7"/>
      <c r="M15" s="7">
        <f t="shared" si="1"/>
        <v>2</v>
      </c>
      <c r="N15" s="6" t="s">
        <v>3978</v>
      </c>
      <c r="O15" s="6" t="s">
        <v>3979</v>
      </c>
      <c r="P15" s="6"/>
      <c r="Q15" s="6"/>
      <c r="R15" s="6"/>
      <c r="S15" s="6"/>
      <c r="T15" s="6"/>
      <c r="U15" s="6"/>
      <c r="V15" s="6"/>
      <c r="W15" s="6"/>
      <c r="X15" s="6"/>
      <c r="Y15" s="6"/>
      <c r="Z15" s="6"/>
      <c r="AA15" s="6"/>
      <c r="AB15" s="6"/>
      <c r="AC15" s="6"/>
      <c r="AD15" s="6"/>
      <c r="AE15" s="6"/>
      <c r="AF15" s="6"/>
      <c r="AG15" s="6"/>
    </row>
    <row r="16" spans="1:33" x14ac:dyDescent="0.25">
      <c r="A16" s="157">
        <f t="shared" si="0"/>
        <v>15</v>
      </c>
      <c r="B16" s="519" t="s">
        <v>3928</v>
      </c>
      <c r="C16" s="519" t="s">
        <v>3928</v>
      </c>
      <c r="D16" s="520" t="s">
        <v>3857</v>
      </c>
      <c r="E16" s="6"/>
      <c r="F16" s="7"/>
      <c r="G16" s="7" t="s">
        <v>1112</v>
      </c>
      <c r="H16" s="7"/>
      <c r="I16" s="7"/>
      <c r="J16" s="7"/>
      <c r="K16" s="7"/>
      <c r="L16" s="7" t="s">
        <v>171</v>
      </c>
      <c r="M16" s="7">
        <f t="shared" si="1"/>
        <v>0</v>
      </c>
      <c r="N16" s="6"/>
      <c r="O16" s="6"/>
      <c r="P16" s="6"/>
      <c r="Q16" s="6"/>
      <c r="R16" s="6"/>
      <c r="S16" s="6"/>
      <c r="T16" s="6"/>
      <c r="U16" s="6"/>
      <c r="V16" s="6"/>
      <c r="W16" s="6"/>
      <c r="X16" s="6"/>
      <c r="Y16" s="6"/>
      <c r="Z16" s="6"/>
      <c r="AA16" s="6"/>
      <c r="AB16" s="6"/>
      <c r="AC16" s="6"/>
      <c r="AD16" s="6"/>
      <c r="AE16" s="6"/>
      <c r="AF16" s="6"/>
      <c r="AG16" s="6"/>
    </row>
    <row r="17" spans="1:33" x14ac:dyDescent="0.25">
      <c r="A17" s="157">
        <f t="shared" si="0"/>
        <v>16</v>
      </c>
      <c r="B17" s="519" t="s">
        <v>5167</v>
      </c>
      <c r="C17" s="519" t="s">
        <v>3928</v>
      </c>
      <c r="D17" s="520" t="s">
        <v>3857</v>
      </c>
      <c r="E17" s="6"/>
      <c r="F17" s="7"/>
      <c r="G17" s="7" t="s">
        <v>1112</v>
      </c>
      <c r="H17" s="7"/>
      <c r="I17" s="7"/>
      <c r="J17" s="7"/>
      <c r="K17" s="7"/>
      <c r="L17" s="7" t="s">
        <v>171</v>
      </c>
      <c r="M17" s="7">
        <f t="shared" si="1"/>
        <v>0</v>
      </c>
      <c r="N17" s="6"/>
      <c r="O17" s="6"/>
      <c r="P17" s="6"/>
      <c r="Q17" s="6"/>
      <c r="R17" s="6"/>
      <c r="S17" s="6"/>
      <c r="T17" s="6"/>
      <c r="U17" s="6"/>
      <c r="V17" s="6"/>
      <c r="W17" s="6"/>
      <c r="X17" s="6"/>
      <c r="Y17" s="6"/>
      <c r="Z17" s="6"/>
      <c r="AA17" s="6"/>
      <c r="AB17" s="6"/>
      <c r="AC17" s="6"/>
      <c r="AD17" s="6"/>
      <c r="AE17" s="6"/>
      <c r="AF17" s="6"/>
      <c r="AG17" s="6"/>
    </row>
    <row r="18" spans="1:33" x14ac:dyDescent="0.25">
      <c r="A18" s="157">
        <f t="shared" si="0"/>
        <v>17</v>
      </c>
      <c r="B18" s="519" t="s">
        <v>5168</v>
      </c>
      <c r="C18" s="519" t="s">
        <v>3928</v>
      </c>
      <c r="D18" s="520" t="s">
        <v>3857</v>
      </c>
      <c r="E18" s="6"/>
      <c r="F18" s="7"/>
      <c r="G18" s="7" t="s">
        <v>1112</v>
      </c>
      <c r="H18" s="7"/>
      <c r="I18" s="7"/>
      <c r="J18" s="7"/>
      <c r="K18" s="7"/>
      <c r="L18" s="7" t="s">
        <v>171</v>
      </c>
      <c r="M18" s="7">
        <f t="shared" si="1"/>
        <v>0</v>
      </c>
      <c r="N18" s="6"/>
      <c r="O18" s="6"/>
      <c r="P18" s="6"/>
      <c r="Q18" s="6"/>
      <c r="R18" s="6"/>
      <c r="S18" s="6"/>
      <c r="T18" s="6"/>
      <c r="U18" s="6"/>
      <c r="V18" s="6"/>
      <c r="W18" s="6"/>
      <c r="X18" s="6"/>
      <c r="Y18" s="6"/>
      <c r="Z18" s="6"/>
      <c r="AA18" s="6"/>
      <c r="AB18" s="6"/>
      <c r="AC18" s="6"/>
      <c r="AD18" s="6"/>
      <c r="AE18" s="6"/>
      <c r="AF18" s="6"/>
      <c r="AG18" s="6"/>
    </row>
    <row r="19" spans="1:33" x14ac:dyDescent="0.25">
      <c r="A19" s="157">
        <f t="shared" si="0"/>
        <v>18</v>
      </c>
      <c r="B19" s="519" t="s">
        <v>5169</v>
      </c>
      <c r="C19" s="519" t="s">
        <v>3928</v>
      </c>
      <c r="D19" s="520" t="s">
        <v>3857</v>
      </c>
      <c r="E19" s="6"/>
      <c r="F19" s="7"/>
      <c r="G19" s="7" t="s">
        <v>1112</v>
      </c>
      <c r="H19" s="7"/>
      <c r="I19" s="7"/>
      <c r="J19" s="7"/>
      <c r="K19" s="7"/>
      <c r="L19" s="7" t="s">
        <v>171</v>
      </c>
      <c r="M19" s="7">
        <f t="shared" si="1"/>
        <v>0</v>
      </c>
      <c r="N19" s="6"/>
      <c r="O19" s="6"/>
      <c r="P19" s="6"/>
      <c r="Q19" s="6"/>
      <c r="R19" s="6"/>
      <c r="S19" s="6"/>
      <c r="T19" s="6"/>
      <c r="U19" s="6"/>
      <c r="V19" s="6"/>
      <c r="W19" s="6"/>
      <c r="X19" s="6"/>
      <c r="Y19" s="6"/>
      <c r="Z19" s="6"/>
      <c r="AA19" s="6"/>
      <c r="AB19" s="6"/>
      <c r="AC19" s="6"/>
      <c r="AD19" s="6"/>
      <c r="AE19" s="6"/>
      <c r="AF19" s="6"/>
      <c r="AG19" s="6"/>
    </row>
    <row r="20" spans="1:33" x14ac:dyDescent="0.25">
      <c r="A20" s="157">
        <f t="shared" si="0"/>
        <v>19</v>
      </c>
      <c r="B20" s="519" t="s">
        <v>5170</v>
      </c>
      <c r="C20" s="519" t="s">
        <v>3928</v>
      </c>
      <c r="D20" s="520" t="s">
        <v>3857</v>
      </c>
      <c r="E20" s="6"/>
      <c r="F20" s="7"/>
      <c r="G20" s="7" t="s">
        <v>1112</v>
      </c>
      <c r="H20" s="7"/>
      <c r="I20" s="7"/>
      <c r="J20" s="7"/>
      <c r="K20" s="7"/>
      <c r="L20" s="7" t="s">
        <v>171</v>
      </c>
      <c r="M20" s="7">
        <f t="shared" si="1"/>
        <v>0</v>
      </c>
      <c r="N20" s="6"/>
      <c r="O20" s="6"/>
      <c r="P20" s="6"/>
      <c r="Q20" s="6"/>
      <c r="R20" s="6"/>
      <c r="S20" s="6"/>
      <c r="T20" s="6"/>
      <c r="U20" s="6"/>
      <c r="V20" s="6"/>
      <c r="W20" s="6"/>
      <c r="X20" s="6"/>
      <c r="Y20" s="6"/>
      <c r="Z20" s="6"/>
      <c r="AA20" s="6"/>
      <c r="AB20" s="6"/>
      <c r="AC20" s="6"/>
      <c r="AD20" s="6"/>
      <c r="AE20" s="6"/>
      <c r="AF20" s="6"/>
      <c r="AG20" s="6"/>
    </row>
    <row r="21" spans="1:33" x14ac:dyDescent="0.25">
      <c r="A21" s="157">
        <f t="shared" si="0"/>
        <v>20</v>
      </c>
      <c r="B21" s="519" t="s">
        <v>2314</v>
      </c>
      <c r="C21" s="519" t="s">
        <v>2314</v>
      </c>
      <c r="D21" s="520" t="s">
        <v>5729</v>
      </c>
      <c r="E21" s="6"/>
      <c r="F21" s="7"/>
      <c r="G21" s="7" t="s">
        <v>1112</v>
      </c>
      <c r="H21" s="7"/>
      <c r="I21" s="7"/>
      <c r="J21" s="7"/>
      <c r="K21" s="7"/>
      <c r="L21" s="7"/>
      <c r="M21" s="7">
        <f t="shared" si="1"/>
        <v>0</v>
      </c>
      <c r="N21" s="6"/>
      <c r="O21" s="6"/>
      <c r="P21" s="6"/>
      <c r="Q21" s="6"/>
      <c r="R21" s="6"/>
      <c r="S21" s="6"/>
      <c r="T21" s="6"/>
      <c r="U21" s="6"/>
      <c r="V21" s="6"/>
      <c r="W21" s="6"/>
      <c r="X21" s="6"/>
      <c r="Y21" s="6"/>
      <c r="Z21" s="6"/>
      <c r="AA21" s="6"/>
      <c r="AB21" s="6"/>
      <c r="AC21" s="6"/>
      <c r="AD21" s="6"/>
      <c r="AE21" s="6"/>
      <c r="AF21" s="6"/>
      <c r="AG21" s="6"/>
    </row>
    <row r="22" spans="1:33" x14ac:dyDescent="0.25">
      <c r="A22" s="157">
        <f t="shared" si="0"/>
        <v>21</v>
      </c>
      <c r="B22" s="519" t="s">
        <v>3937</v>
      </c>
      <c r="C22" s="519" t="s">
        <v>3937</v>
      </c>
      <c r="D22" s="520" t="s">
        <v>5501</v>
      </c>
      <c r="E22" s="6"/>
      <c r="F22" s="7"/>
      <c r="G22" s="7" t="s">
        <v>621</v>
      </c>
      <c r="H22" s="7"/>
      <c r="I22" s="7"/>
      <c r="J22" s="7"/>
      <c r="K22" s="7"/>
      <c r="L22" s="7"/>
      <c r="M22" s="7">
        <f t="shared" si="1"/>
        <v>0</v>
      </c>
      <c r="N22" s="6"/>
      <c r="O22" s="6"/>
      <c r="P22" s="6"/>
      <c r="Q22" s="6"/>
      <c r="R22" s="6"/>
      <c r="S22" s="6"/>
      <c r="T22" s="6"/>
      <c r="U22" s="6"/>
      <c r="V22" s="6"/>
      <c r="W22" s="6"/>
      <c r="X22" s="6"/>
      <c r="Y22" s="6"/>
      <c r="Z22" s="6"/>
      <c r="AA22" s="6"/>
      <c r="AB22" s="6"/>
      <c r="AC22" s="6"/>
      <c r="AD22" s="6"/>
      <c r="AE22" s="6"/>
      <c r="AF22" s="6"/>
      <c r="AG22" s="6"/>
    </row>
    <row r="23" spans="1:33" x14ac:dyDescent="0.25">
      <c r="A23" s="157">
        <f t="shared" si="0"/>
        <v>22</v>
      </c>
      <c r="B23" s="519" t="s">
        <v>3959</v>
      </c>
      <c r="C23" s="519" t="s">
        <v>3959</v>
      </c>
      <c r="D23" s="520" t="s">
        <v>5592</v>
      </c>
      <c r="E23" s="6"/>
      <c r="F23" s="7"/>
      <c r="G23" s="7"/>
      <c r="H23" s="7"/>
      <c r="I23" s="7"/>
      <c r="J23" s="7"/>
      <c r="K23" s="7"/>
      <c r="L23" s="7"/>
      <c r="M23" s="7">
        <f t="shared" si="1"/>
        <v>0</v>
      </c>
      <c r="N23" s="6"/>
      <c r="O23" s="6"/>
      <c r="P23" s="6"/>
      <c r="Q23" s="6"/>
      <c r="R23" s="6"/>
      <c r="S23" s="6"/>
      <c r="T23" s="6"/>
      <c r="U23" s="6"/>
      <c r="V23" s="6"/>
      <c r="W23" s="6"/>
      <c r="X23" s="6"/>
      <c r="Y23" s="6"/>
      <c r="Z23" s="6"/>
      <c r="AA23" s="6"/>
      <c r="AB23" s="6"/>
      <c r="AC23" s="6"/>
      <c r="AD23" s="6"/>
      <c r="AE23" s="6"/>
      <c r="AF23" s="6"/>
      <c r="AG23" s="6"/>
    </row>
    <row r="24" spans="1:33" x14ac:dyDescent="0.25">
      <c r="A24" s="157">
        <f t="shared" si="0"/>
        <v>23</v>
      </c>
      <c r="B24" s="519" t="s">
        <v>2346</v>
      </c>
      <c r="C24" s="519" t="s">
        <v>2346</v>
      </c>
      <c r="D24" s="520" t="s">
        <v>5730</v>
      </c>
      <c r="E24" s="6"/>
      <c r="F24" s="7"/>
      <c r="G24" s="7"/>
      <c r="H24" s="7"/>
      <c r="I24" s="7"/>
      <c r="J24" s="7"/>
      <c r="K24" s="7"/>
      <c r="L24" s="7"/>
      <c r="M24" s="7">
        <f t="shared" si="1"/>
        <v>0</v>
      </c>
      <c r="N24" s="6"/>
      <c r="O24" s="6"/>
      <c r="P24" s="6"/>
      <c r="Q24" s="6"/>
      <c r="R24" s="6"/>
      <c r="S24" s="6"/>
      <c r="T24" s="6"/>
      <c r="U24" s="6"/>
      <c r="V24" s="6"/>
      <c r="W24" s="6"/>
      <c r="X24" s="6"/>
      <c r="Y24" s="6"/>
      <c r="Z24" s="6"/>
      <c r="AA24" s="6"/>
      <c r="AB24" s="6"/>
      <c r="AC24" s="6"/>
      <c r="AD24" s="6"/>
      <c r="AE24" s="6"/>
      <c r="AF24" s="6"/>
      <c r="AG24" s="6"/>
    </row>
    <row r="25" spans="1:33" x14ac:dyDescent="0.25">
      <c r="A25" s="157">
        <f t="shared" si="0"/>
        <v>24</v>
      </c>
      <c r="B25" s="519" t="s">
        <v>2316</v>
      </c>
      <c r="C25" s="519" t="s">
        <v>2316</v>
      </c>
      <c r="D25" s="520" t="s">
        <v>5731</v>
      </c>
      <c r="E25" s="6"/>
      <c r="F25" s="7"/>
      <c r="G25" s="7"/>
      <c r="H25" s="7"/>
      <c r="I25" s="7"/>
      <c r="J25" s="7"/>
      <c r="K25" s="7"/>
      <c r="L25" s="7"/>
      <c r="M25" s="7">
        <f t="shared" si="1"/>
        <v>0</v>
      </c>
      <c r="N25" s="6"/>
      <c r="O25" s="6"/>
      <c r="P25" s="6"/>
      <c r="Q25" s="6"/>
      <c r="R25" s="6"/>
      <c r="S25" s="6"/>
      <c r="T25" s="6"/>
      <c r="U25" s="6"/>
      <c r="V25" s="6"/>
      <c r="W25" s="6"/>
      <c r="X25" s="6"/>
      <c r="Y25" s="6"/>
      <c r="Z25" s="6"/>
      <c r="AA25" s="6"/>
      <c r="AB25" s="6"/>
      <c r="AC25" s="6"/>
      <c r="AD25" s="6"/>
      <c r="AE25" s="6"/>
      <c r="AF25" s="6"/>
      <c r="AG25" s="6"/>
    </row>
    <row r="26" spans="1:33" x14ac:dyDescent="0.25">
      <c r="A26" s="157">
        <f t="shared" si="0"/>
        <v>25</v>
      </c>
      <c r="B26" s="519" t="s">
        <v>3953</v>
      </c>
      <c r="C26" s="519" t="s">
        <v>3953</v>
      </c>
      <c r="D26" s="520" t="s">
        <v>5732</v>
      </c>
      <c r="E26" s="6"/>
      <c r="F26" s="7"/>
      <c r="G26" s="7"/>
      <c r="H26" s="7"/>
      <c r="I26" s="7"/>
      <c r="J26" s="7"/>
      <c r="K26" s="7"/>
      <c r="L26" s="7"/>
      <c r="M26" s="7">
        <f t="shared" si="1"/>
        <v>0</v>
      </c>
      <c r="N26" s="6"/>
      <c r="O26" s="6"/>
      <c r="P26" s="6"/>
      <c r="Q26" s="6"/>
      <c r="R26" s="6"/>
      <c r="S26" s="6"/>
      <c r="T26" s="6"/>
      <c r="U26" s="6"/>
      <c r="V26" s="6"/>
      <c r="W26" s="6"/>
      <c r="X26" s="6"/>
      <c r="Y26" s="6"/>
      <c r="Z26" s="6"/>
      <c r="AA26" s="6"/>
      <c r="AB26" s="6"/>
      <c r="AC26" s="6"/>
      <c r="AD26" s="6"/>
      <c r="AE26" s="6"/>
      <c r="AF26" s="6"/>
      <c r="AG26" s="6"/>
    </row>
    <row r="27" spans="1:33" x14ac:dyDescent="0.25">
      <c r="A27" s="157">
        <f t="shared" si="0"/>
        <v>26</v>
      </c>
      <c r="B27" s="519" t="s">
        <v>3927</v>
      </c>
      <c r="C27" s="519" t="s">
        <v>3927</v>
      </c>
      <c r="D27" s="520" t="s">
        <v>5733</v>
      </c>
      <c r="E27" s="6"/>
      <c r="F27" s="7"/>
      <c r="G27" s="7"/>
      <c r="H27" s="7"/>
      <c r="I27" s="7"/>
      <c r="J27" s="7"/>
      <c r="K27" s="7"/>
      <c r="L27" s="7"/>
      <c r="M27" s="7">
        <f t="shared" si="1"/>
        <v>0</v>
      </c>
      <c r="N27" s="6"/>
      <c r="O27" s="6"/>
      <c r="P27" s="6"/>
      <c r="Q27" s="6"/>
      <c r="R27" s="6"/>
      <c r="S27" s="6"/>
      <c r="T27" s="6"/>
      <c r="U27" s="6"/>
      <c r="V27" s="6"/>
      <c r="W27" s="6"/>
      <c r="X27" s="6"/>
      <c r="Y27" s="6"/>
      <c r="Z27" s="6"/>
      <c r="AA27" s="6"/>
      <c r="AB27" s="6"/>
      <c r="AC27" s="6"/>
      <c r="AD27" s="6"/>
      <c r="AE27" s="6"/>
      <c r="AF27" s="6"/>
      <c r="AG27" s="6"/>
    </row>
    <row r="28" spans="1:33" x14ac:dyDescent="0.25">
      <c r="A28" s="157">
        <f t="shared" si="0"/>
        <v>27</v>
      </c>
      <c r="B28" s="519" t="s">
        <v>1121</v>
      </c>
      <c r="C28" s="519" t="s">
        <v>1121</v>
      </c>
      <c r="D28" s="520" t="s">
        <v>5589</v>
      </c>
      <c r="E28" s="6"/>
      <c r="F28" s="7"/>
      <c r="G28" s="7"/>
      <c r="H28" s="7"/>
      <c r="I28" s="7"/>
      <c r="J28" s="7"/>
      <c r="K28" s="7"/>
      <c r="L28" s="7"/>
      <c r="M28" s="7">
        <f t="shared" si="1"/>
        <v>0</v>
      </c>
      <c r="N28" s="6"/>
      <c r="O28" s="6"/>
      <c r="P28" s="6"/>
      <c r="Q28" s="6"/>
      <c r="R28" s="6"/>
      <c r="S28" s="6"/>
      <c r="T28" s="6"/>
      <c r="U28" s="6"/>
      <c r="V28" s="6"/>
      <c r="W28" s="6"/>
      <c r="X28" s="6"/>
      <c r="Y28" s="6"/>
      <c r="Z28" s="6"/>
      <c r="AA28" s="6"/>
      <c r="AB28" s="6"/>
      <c r="AC28" s="6"/>
      <c r="AD28" s="6"/>
      <c r="AE28" s="6"/>
      <c r="AF28" s="6"/>
      <c r="AG28" s="6"/>
    </row>
    <row r="29" spans="1:33" x14ac:dyDescent="0.25">
      <c r="A29" s="157">
        <f t="shared" si="0"/>
        <v>28</v>
      </c>
      <c r="B29" s="519" t="s">
        <v>2286</v>
      </c>
      <c r="C29" s="519" t="s">
        <v>2286</v>
      </c>
      <c r="D29" s="520" t="s">
        <v>5734</v>
      </c>
      <c r="E29" s="6"/>
      <c r="F29" s="7"/>
      <c r="G29" s="7"/>
      <c r="H29" s="7"/>
      <c r="I29" s="7"/>
      <c r="J29" s="7"/>
      <c r="K29" s="7"/>
      <c r="L29" s="7"/>
      <c r="M29" s="7">
        <f t="shared" si="1"/>
        <v>0</v>
      </c>
      <c r="N29" s="6"/>
      <c r="O29" s="6"/>
      <c r="P29" s="6"/>
      <c r="Q29" s="6"/>
      <c r="R29" s="6"/>
      <c r="S29" s="6"/>
      <c r="T29" s="6"/>
      <c r="U29" s="6"/>
      <c r="V29" s="6"/>
      <c r="W29" s="6"/>
      <c r="X29" s="6"/>
      <c r="Y29" s="6"/>
      <c r="Z29" s="6"/>
      <c r="AA29" s="6"/>
      <c r="AB29" s="6"/>
      <c r="AC29" s="6"/>
      <c r="AD29" s="6"/>
      <c r="AE29" s="6"/>
      <c r="AF29" s="6"/>
      <c r="AG29" s="6"/>
    </row>
    <row r="30" spans="1:33" x14ac:dyDescent="0.25">
      <c r="A30" s="157">
        <f t="shared" si="0"/>
        <v>29</v>
      </c>
      <c r="B30" s="519" t="s">
        <v>3880</v>
      </c>
      <c r="C30" s="519" t="s">
        <v>3880</v>
      </c>
      <c r="D30" s="520" t="s">
        <v>5735</v>
      </c>
      <c r="E30" s="6"/>
      <c r="F30" s="7"/>
      <c r="G30" s="7"/>
      <c r="H30" s="7"/>
      <c r="I30" s="7"/>
      <c r="J30" s="7"/>
      <c r="K30" s="7"/>
      <c r="L30" s="7"/>
      <c r="M30" s="7">
        <f t="shared" si="1"/>
        <v>0</v>
      </c>
      <c r="N30" s="6"/>
      <c r="O30" s="6"/>
      <c r="P30" s="6"/>
      <c r="Q30" s="6"/>
      <c r="R30" s="6"/>
      <c r="S30" s="6"/>
      <c r="T30" s="6"/>
      <c r="U30" s="6"/>
      <c r="V30" s="6"/>
      <c r="W30" s="6"/>
      <c r="X30" s="6"/>
      <c r="Y30" s="6"/>
      <c r="Z30" s="6"/>
      <c r="AA30" s="6"/>
      <c r="AB30" s="6"/>
      <c r="AC30" s="6"/>
      <c r="AD30" s="6"/>
      <c r="AE30" s="6"/>
      <c r="AF30" s="6"/>
      <c r="AG30" s="6"/>
    </row>
    <row r="31" spans="1:33" x14ac:dyDescent="0.25">
      <c r="A31" s="157">
        <f t="shared" si="0"/>
        <v>30</v>
      </c>
      <c r="B31" s="519" t="s">
        <v>4024</v>
      </c>
      <c r="C31" s="519" t="s">
        <v>4024</v>
      </c>
      <c r="D31" s="520" t="s">
        <v>5466</v>
      </c>
      <c r="E31" s="6"/>
      <c r="F31" s="7"/>
      <c r="G31" s="7"/>
      <c r="H31" s="7"/>
      <c r="I31" s="7"/>
      <c r="J31" s="7"/>
      <c r="K31" s="7"/>
      <c r="L31" s="7"/>
      <c r="M31" s="7">
        <f t="shared" si="1"/>
        <v>0</v>
      </c>
      <c r="N31" s="6"/>
      <c r="O31" s="6"/>
      <c r="P31" s="6"/>
      <c r="Q31" s="6"/>
      <c r="R31" s="6"/>
      <c r="S31" s="6"/>
      <c r="T31" s="6"/>
      <c r="U31" s="6"/>
      <c r="V31" s="6"/>
      <c r="W31" s="6"/>
      <c r="X31" s="6"/>
      <c r="Y31" s="6"/>
      <c r="Z31" s="6"/>
      <c r="AA31" s="6"/>
      <c r="AB31" s="6"/>
      <c r="AC31" s="6"/>
      <c r="AD31" s="6"/>
      <c r="AE31" s="6"/>
      <c r="AF31" s="6"/>
      <c r="AG31" s="6"/>
    </row>
    <row r="32" spans="1:33" x14ac:dyDescent="0.25">
      <c r="A32" s="157">
        <f t="shared" si="0"/>
        <v>31</v>
      </c>
      <c r="B32" s="519" t="s">
        <v>3947</v>
      </c>
      <c r="C32" s="519" t="s">
        <v>3947</v>
      </c>
      <c r="D32" s="521" t="s">
        <v>5529</v>
      </c>
      <c r="E32" s="6"/>
      <c r="F32" s="7"/>
      <c r="G32" s="7"/>
      <c r="H32" s="7"/>
      <c r="I32" s="7"/>
      <c r="J32" s="7"/>
      <c r="K32" s="7"/>
      <c r="L32" s="7"/>
      <c r="M32" s="7">
        <f t="shared" si="1"/>
        <v>0</v>
      </c>
      <c r="N32" s="6"/>
      <c r="O32" s="6"/>
      <c r="P32" s="6"/>
      <c r="Q32" s="6"/>
      <c r="R32" s="6"/>
      <c r="S32" s="6"/>
      <c r="T32" s="6"/>
      <c r="U32" s="6"/>
      <c r="V32" s="6"/>
      <c r="W32" s="6"/>
      <c r="X32" s="6"/>
      <c r="Y32" s="6"/>
      <c r="Z32" s="6"/>
      <c r="AA32" s="6"/>
      <c r="AB32" s="6"/>
      <c r="AC32" s="6"/>
      <c r="AD32" s="6"/>
      <c r="AE32" s="6"/>
      <c r="AF32" s="6"/>
      <c r="AG32" s="6"/>
    </row>
    <row r="33" spans="1:33" x14ac:dyDescent="0.25">
      <c r="A33" s="157">
        <f t="shared" si="0"/>
        <v>32</v>
      </c>
      <c r="B33" s="519" t="s">
        <v>2271</v>
      </c>
      <c r="C33" s="519" t="s">
        <v>2271</v>
      </c>
      <c r="D33" s="520" t="s">
        <v>3857</v>
      </c>
      <c r="E33" s="6"/>
      <c r="F33" s="7"/>
      <c r="G33" s="7" t="s">
        <v>620</v>
      </c>
      <c r="H33" s="7"/>
      <c r="I33" s="7"/>
      <c r="J33" s="7"/>
      <c r="K33" s="7" t="s">
        <v>171</v>
      </c>
      <c r="L33" s="7"/>
      <c r="M33" s="7">
        <f t="shared" si="1"/>
        <v>8</v>
      </c>
      <c r="N33" s="6" t="s">
        <v>3984</v>
      </c>
      <c r="O33" s="6" t="s">
        <v>3980</v>
      </c>
      <c r="P33" s="6" t="s">
        <v>3981</v>
      </c>
      <c r="Q33" s="6" t="s">
        <v>3982</v>
      </c>
      <c r="R33" s="6" t="s">
        <v>3983</v>
      </c>
      <c r="S33" s="6" t="s">
        <v>3985</v>
      </c>
      <c r="T33" s="6" t="s">
        <v>3986</v>
      </c>
      <c r="U33" s="6" t="s">
        <v>3987</v>
      </c>
      <c r="V33" s="6"/>
      <c r="W33" s="6"/>
      <c r="X33" s="6"/>
      <c r="Y33" s="6"/>
      <c r="Z33" s="6"/>
      <c r="AA33" s="6"/>
      <c r="AB33" s="6"/>
      <c r="AC33" s="6"/>
      <c r="AD33" s="6"/>
      <c r="AE33" s="6"/>
      <c r="AF33" s="6"/>
      <c r="AG33" s="6"/>
    </row>
    <row r="34" spans="1:33" x14ac:dyDescent="0.25">
      <c r="A34" s="157">
        <f t="shared" si="0"/>
        <v>33</v>
      </c>
      <c r="B34" s="519" t="s">
        <v>5323</v>
      </c>
      <c r="C34" s="519" t="s">
        <v>3878</v>
      </c>
      <c r="D34" s="520" t="s">
        <v>3857</v>
      </c>
      <c r="E34" s="6"/>
      <c r="F34" s="7"/>
      <c r="G34" s="7" t="s">
        <v>620</v>
      </c>
      <c r="H34" s="7"/>
      <c r="I34" s="7"/>
      <c r="J34" s="7"/>
      <c r="K34" s="7"/>
      <c r="L34" s="7" t="s">
        <v>171</v>
      </c>
      <c r="M34" s="7">
        <f t="shared" si="1"/>
        <v>0</v>
      </c>
      <c r="N34" s="6"/>
      <c r="O34" s="6"/>
      <c r="P34" s="6"/>
      <c r="Q34" s="6"/>
      <c r="R34" s="6"/>
      <c r="S34" s="6"/>
      <c r="T34" s="6"/>
      <c r="U34" s="6"/>
      <c r="V34" s="6"/>
      <c r="W34" s="6"/>
      <c r="X34" s="6"/>
      <c r="Y34" s="6"/>
      <c r="Z34" s="6"/>
      <c r="AA34" s="6"/>
      <c r="AB34" s="6"/>
      <c r="AC34" s="6"/>
      <c r="AD34" s="6"/>
      <c r="AE34" s="6"/>
      <c r="AF34" s="6"/>
      <c r="AG34" s="6"/>
    </row>
    <row r="35" spans="1:33" x14ac:dyDescent="0.25">
      <c r="A35" s="157">
        <f t="shared" ref="A35:A66" si="2">IF(B35="","",1+A34)</f>
        <v>34</v>
      </c>
      <c r="B35" s="519" t="s">
        <v>5324</v>
      </c>
      <c r="C35" s="519" t="s">
        <v>3878</v>
      </c>
      <c r="D35" s="520" t="s">
        <v>3857</v>
      </c>
      <c r="E35" s="6"/>
      <c r="F35" s="7"/>
      <c r="G35" s="7" t="s">
        <v>620</v>
      </c>
      <c r="H35" s="7"/>
      <c r="I35" s="7"/>
      <c r="J35" s="7"/>
      <c r="K35" s="7"/>
      <c r="L35" s="7" t="s">
        <v>171</v>
      </c>
      <c r="M35" s="7">
        <f t="shared" si="1"/>
        <v>0</v>
      </c>
      <c r="N35" s="6"/>
      <c r="O35" s="6"/>
      <c r="P35" s="6"/>
      <c r="Q35" s="6"/>
      <c r="R35" s="6"/>
      <c r="S35" s="6"/>
      <c r="T35" s="6"/>
      <c r="U35" s="6"/>
      <c r="V35" s="6"/>
      <c r="W35" s="6"/>
      <c r="X35" s="6"/>
      <c r="Y35" s="6"/>
      <c r="Z35" s="6"/>
      <c r="AA35" s="6"/>
      <c r="AB35" s="6"/>
      <c r="AC35" s="6"/>
      <c r="AD35" s="6"/>
      <c r="AE35" s="6"/>
      <c r="AF35" s="6"/>
      <c r="AG35" s="6"/>
    </row>
    <row r="36" spans="1:33" x14ac:dyDescent="0.25">
      <c r="A36" s="157">
        <f t="shared" si="2"/>
        <v>35</v>
      </c>
      <c r="B36" s="519" t="s">
        <v>5254</v>
      </c>
      <c r="C36" s="519" t="s">
        <v>3878</v>
      </c>
      <c r="D36" s="520" t="s">
        <v>3857</v>
      </c>
      <c r="E36" s="6"/>
      <c r="F36" s="7"/>
      <c r="G36" s="7" t="s">
        <v>620</v>
      </c>
      <c r="H36" s="7"/>
      <c r="I36" s="7"/>
      <c r="J36" s="7"/>
      <c r="K36" s="7"/>
      <c r="L36" s="7" t="s">
        <v>171</v>
      </c>
      <c r="M36" s="7">
        <f t="shared" si="1"/>
        <v>0</v>
      </c>
      <c r="N36" s="6"/>
      <c r="O36" s="6"/>
      <c r="P36" s="6"/>
      <c r="Q36" s="6"/>
      <c r="R36" s="6"/>
      <c r="S36" s="6"/>
      <c r="T36" s="6"/>
      <c r="U36" s="6"/>
      <c r="V36" s="6"/>
      <c r="W36" s="6"/>
      <c r="X36" s="6"/>
      <c r="Y36" s="6"/>
      <c r="Z36" s="6"/>
      <c r="AA36" s="6"/>
      <c r="AB36" s="6"/>
      <c r="AC36" s="6"/>
      <c r="AD36" s="6"/>
      <c r="AE36" s="6"/>
      <c r="AF36" s="6"/>
      <c r="AG36" s="6"/>
    </row>
    <row r="37" spans="1:33" x14ac:dyDescent="0.25">
      <c r="A37" s="157">
        <f t="shared" si="2"/>
        <v>36</v>
      </c>
      <c r="B37" s="519" t="s">
        <v>5255</v>
      </c>
      <c r="C37" s="519" t="s">
        <v>3878</v>
      </c>
      <c r="D37" s="520" t="s">
        <v>3857</v>
      </c>
      <c r="E37" s="6"/>
      <c r="F37" s="7"/>
      <c r="G37" s="7" t="s">
        <v>620</v>
      </c>
      <c r="H37" s="7"/>
      <c r="I37" s="7"/>
      <c r="J37" s="7"/>
      <c r="K37" s="7"/>
      <c r="L37" s="7" t="s">
        <v>171</v>
      </c>
      <c r="M37" s="7">
        <f t="shared" si="1"/>
        <v>0</v>
      </c>
      <c r="N37" s="6"/>
      <c r="O37" s="6"/>
      <c r="P37" s="6"/>
      <c r="Q37" s="6"/>
      <c r="R37" s="6"/>
      <c r="S37" s="6"/>
      <c r="T37" s="6"/>
      <c r="U37" s="6"/>
      <c r="V37" s="6"/>
      <c r="W37" s="6"/>
      <c r="X37" s="6"/>
      <c r="Y37" s="6"/>
      <c r="Z37" s="6"/>
      <c r="AA37" s="6"/>
      <c r="AB37" s="6"/>
      <c r="AC37" s="6"/>
      <c r="AD37" s="6"/>
      <c r="AE37" s="6"/>
      <c r="AF37" s="6"/>
      <c r="AG37" s="6"/>
    </row>
    <row r="38" spans="1:33" x14ac:dyDescent="0.25">
      <c r="A38" s="157">
        <f t="shared" si="2"/>
        <v>37</v>
      </c>
      <c r="B38" s="519" t="s">
        <v>5256</v>
      </c>
      <c r="C38" s="519" t="s">
        <v>3878</v>
      </c>
      <c r="D38" s="520" t="s">
        <v>3857</v>
      </c>
      <c r="E38" s="6"/>
      <c r="F38" s="7"/>
      <c r="G38" s="7" t="s">
        <v>620</v>
      </c>
      <c r="H38" s="7"/>
      <c r="I38" s="7"/>
      <c r="J38" s="7"/>
      <c r="K38" s="7"/>
      <c r="L38" s="7" t="s">
        <v>171</v>
      </c>
      <c r="M38" s="7">
        <f t="shared" si="1"/>
        <v>0</v>
      </c>
      <c r="N38" s="6"/>
      <c r="O38" s="6"/>
      <c r="P38" s="6"/>
      <c r="Q38" s="6"/>
      <c r="R38" s="6"/>
      <c r="S38" s="6"/>
      <c r="T38" s="6"/>
      <c r="U38" s="6"/>
      <c r="V38" s="6"/>
      <c r="W38" s="6"/>
      <c r="X38" s="6"/>
      <c r="Y38" s="6"/>
      <c r="Z38" s="6"/>
      <c r="AA38" s="6"/>
      <c r="AB38" s="6"/>
      <c r="AC38" s="6"/>
      <c r="AD38" s="6"/>
      <c r="AE38" s="6"/>
      <c r="AF38" s="6"/>
      <c r="AG38" s="6"/>
    </row>
    <row r="39" spans="1:33" x14ac:dyDescent="0.25">
      <c r="A39" s="157">
        <f t="shared" si="2"/>
        <v>38</v>
      </c>
      <c r="B39" s="519" t="s">
        <v>5257</v>
      </c>
      <c r="C39" s="519" t="s">
        <v>3878</v>
      </c>
      <c r="D39" s="520" t="s">
        <v>3857</v>
      </c>
      <c r="E39" s="6"/>
      <c r="F39" s="7"/>
      <c r="G39" s="7" t="s">
        <v>620</v>
      </c>
      <c r="H39" s="7"/>
      <c r="I39" s="7"/>
      <c r="J39" s="7"/>
      <c r="K39" s="7"/>
      <c r="L39" s="7" t="s">
        <v>171</v>
      </c>
      <c r="M39" s="7">
        <f t="shared" si="1"/>
        <v>0</v>
      </c>
      <c r="N39" s="6"/>
      <c r="O39" s="6"/>
      <c r="P39" s="6"/>
      <c r="Q39" s="6"/>
      <c r="R39" s="6"/>
      <c r="S39" s="6"/>
      <c r="T39" s="6"/>
      <c r="U39" s="6"/>
      <c r="V39" s="6"/>
      <c r="W39" s="6"/>
      <c r="X39" s="6"/>
      <c r="Y39" s="6"/>
      <c r="Z39" s="6"/>
      <c r="AA39" s="6"/>
      <c r="AB39" s="6"/>
      <c r="AC39" s="6"/>
      <c r="AD39" s="6"/>
      <c r="AE39" s="6"/>
      <c r="AF39" s="6"/>
      <c r="AG39" s="6"/>
    </row>
    <row r="40" spans="1:33" x14ac:dyDescent="0.25">
      <c r="A40" s="157">
        <f t="shared" si="2"/>
        <v>39</v>
      </c>
      <c r="B40" s="519" t="s">
        <v>3932</v>
      </c>
      <c r="C40" s="519" t="s">
        <v>3932</v>
      </c>
      <c r="D40" s="520" t="s">
        <v>5736</v>
      </c>
      <c r="E40" s="6"/>
      <c r="F40" s="7"/>
      <c r="G40" s="7" t="s">
        <v>620</v>
      </c>
      <c r="H40" s="7"/>
      <c r="I40" s="7"/>
      <c r="J40" s="7"/>
      <c r="K40" s="7"/>
      <c r="L40" s="7"/>
      <c r="M40" s="7">
        <f t="shared" si="1"/>
        <v>0</v>
      </c>
      <c r="N40" s="6"/>
      <c r="O40" s="6"/>
      <c r="P40" s="6"/>
      <c r="Q40" s="6"/>
      <c r="R40" s="6"/>
      <c r="S40" s="6"/>
      <c r="T40" s="6"/>
      <c r="U40" s="6"/>
      <c r="V40" s="6"/>
      <c r="W40" s="6"/>
      <c r="X40" s="6"/>
      <c r="Y40" s="6"/>
      <c r="Z40" s="6"/>
      <c r="AA40" s="6"/>
      <c r="AB40" s="6"/>
      <c r="AC40" s="6"/>
      <c r="AD40" s="6"/>
      <c r="AE40" s="6"/>
      <c r="AF40" s="6"/>
      <c r="AG40" s="6"/>
    </row>
    <row r="41" spans="1:33" x14ac:dyDescent="0.25">
      <c r="A41" s="157">
        <f t="shared" si="2"/>
        <v>40</v>
      </c>
      <c r="B41" s="519" t="s">
        <v>3933</v>
      </c>
      <c r="C41" s="519" t="s">
        <v>3933</v>
      </c>
      <c r="D41" s="520" t="s">
        <v>5467</v>
      </c>
      <c r="E41" s="6"/>
      <c r="F41" s="7"/>
      <c r="G41" s="7" t="s">
        <v>620</v>
      </c>
      <c r="H41" s="7"/>
      <c r="I41" s="7"/>
      <c r="J41" s="7"/>
      <c r="K41" s="7"/>
      <c r="L41" s="7"/>
      <c r="M41" s="7">
        <f t="shared" si="1"/>
        <v>0</v>
      </c>
      <c r="N41" s="6"/>
      <c r="O41" s="6"/>
      <c r="P41" s="6"/>
      <c r="Q41" s="6"/>
      <c r="R41" s="6"/>
      <c r="S41" s="6"/>
      <c r="T41" s="6"/>
      <c r="U41" s="6"/>
      <c r="V41" s="6"/>
      <c r="W41" s="6"/>
      <c r="X41" s="6"/>
      <c r="Y41" s="6"/>
      <c r="Z41" s="6"/>
      <c r="AA41" s="6"/>
      <c r="AB41" s="6"/>
      <c r="AC41" s="6"/>
      <c r="AD41" s="6"/>
      <c r="AE41" s="6"/>
      <c r="AF41" s="6"/>
      <c r="AG41" s="6"/>
    </row>
    <row r="42" spans="1:33" x14ac:dyDescent="0.25">
      <c r="A42" s="157">
        <f t="shared" si="2"/>
        <v>41</v>
      </c>
      <c r="B42" s="519" t="s">
        <v>2276</v>
      </c>
      <c r="C42" s="519" t="s">
        <v>2276</v>
      </c>
      <c r="D42" s="520" t="s">
        <v>5737</v>
      </c>
      <c r="E42" s="6"/>
      <c r="F42" s="7"/>
      <c r="G42" s="7"/>
      <c r="H42" s="7"/>
      <c r="I42" s="7"/>
      <c r="J42" s="7"/>
      <c r="K42" s="7"/>
      <c r="L42" s="7"/>
      <c r="M42" s="7">
        <f t="shared" si="1"/>
        <v>0</v>
      </c>
      <c r="N42" s="6"/>
      <c r="O42" s="6"/>
      <c r="P42" s="6"/>
      <c r="Q42" s="6"/>
      <c r="R42" s="6"/>
      <c r="S42" s="6"/>
      <c r="T42" s="6"/>
      <c r="U42" s="6"/>
      <c r="V42" s="6"/>
      <c r="W42" s="6"/>
      <c r="X42" s="6"/>
      <c r="Y42" s="6"/>
      <c r="Z42" s="6"/>
      <c r="AA42" s="6"/>
      <c r="AB42" s="6"/>
      <c r="AC42" s="6"/>
      <c r="AD42" s="6"/>
      <c r="AE42" s="6"/>
      <c r="AF42" s="6"/>
      <c r="AG42" s="6"/>
    </row>
    <row r="43" spans="1:33" x14ac:dyDescent="0.25">
      <c r="A43" s="157">
        <f t="shared" si="2"/>
        <v>42</v>
      </c>
      <c r="B43" s="519" t="s">
        <v>3874</v>
      </c>
      <c r="C43" s="519" t="s">
        <v>3874</v>
      </c>
      <c r="D43" s="520" t="s">
        <v>5539</v>
      </c>
      <c r="E43" s="6"/>
      <c r="F43" s="7"/>
      <c r="G43" s="7"/>
      <c r="H43" s="7"/>
      <c r="I43" s="7"/>
      <c r="J43" s="7"/>
      <c r="K43" s="7"/>
      <c r="L43" s="7"/>
      <c r="M43" s="7">
        <f t="shared" si="1"/>
        <v>0</v>
      </c>
      <c r="N43" s="6"/>
      <c r="O43" s="6"/>
      <c r="P43" s="6"/>
      <c r="Q43" s="6"/>
      <c r="R43" s="6"/>
      <c r="S43" s="6"/>
      <c r="T43" s="6"/>
      <c r="U43" s="6"/>
      <c r="V43" s="6"/>
      <c r="W43" s="6"/>
      <c r="X43" s="6"/>
      <c r="Y43" s="6"/>
      <c r="Z43" s="6"/>
      <c r="AA43" s="6"/>
      <c r="AB43" s="6"/>
      <c r="AC43" s="6"/>
      <c r="AD43" s="6"/>
      <c r="AE43" s="6"/>
      <c r="AF43" s="6"/>
      <c r="AG43" s="6"/>
    </row>
    <row r="44" spans="1:33" x14ac:dyDescent="0.25">
      <c r="A44" s="157">
        <f t="shared" si="2"/>
        <v>43</v>
      </c>
      <c r="B44" s="519" t="s">
        <v>2291</v>
      </c>
      <c r="C44" s="519" t="s">
        <v>2291</v>
      </c>
      <c r="D44" s="520" t="s">
        <v>3857</v>
      </c>
      <c r="E44" s="6"/>
      <c r="F44" s="7"/>
      <c r="G44" s="7" t="s">
        <v>621</v>
      </c>
      <c r="H44" s="7"/>
      <c r="I44" s="7"/>
      <c r="J44" s="7"/>
      <c r="K44" s="7" t="s">
        <v>171</v>
      </c>
      <c r="L44" s="7"/>
      <c r="M44" s="7">
        <f t="shared" si="1"/>
        <v>2</v>
      </c>
      <c r="N44" s="6" t="s">
        <v>3989</v>
      </c>
      <c r="O44" s="6" t="s">
        <v>3988</v>
      </c>
      <c r="P44" s="6"/>
      <c r="Q44" s="6"/>
      <c r="R44" s="6"/>
      <c r="S44" s="6"/>
      <c r="T44" s="6"/>
      <c r="U44" s="6"/>
      <c r="V44" s="6"/>
      <c r="W44" s="6"/>
      <c r="X44" s="6"/>
      <c r="Y44" s="6"/>
      <c r="Z44" s="6"/>
      <c r="AA44" s="6"/>
      <c r="AB44" s="6"/>
      <c r="AC44" s="6"/>
      <c r="AD44" s="6"/>
      <c r="AE44" s="6"/>
      <c r="AF44" s="6"/>
      <c r="AG44" s="6"/>
    </row>
    <row r="45" spans="1:33" x14ac:dyDescent="0.25">
      <c r="A45" s="157">
        <f t="shared" si="2"/>
        <v>44</v>
      </c>
      <c r="B45" s="519" t="s">
        <v>5258</v>
      </c>
      <c r="C45" s="519" t="s">
        <v>3935</v>
      </c>
      <c r="D45" s="520" t="s">
        <v>3857</v>
      </c>
      <c r="E45" s="6"/>
      <c r="F45" s="7"/>
      <c r="G45" s="7" t="s">
        <v>621</v>
      </c>
      <c r="H45" s="7"/>
      <c r="I45" s="7"/>
      <c r="J45" s="7"/>
      <c r="K45" s="7"/>
      <c r="L45" s="7" t="s">
        <v>171</v>
      </c>
      <c r="M45" s="7">
        <f t="shared" si="1"/>
        <v>0</v>
      </c>
      <c r="N45" s="6"/>
      <c r="O45" s="6"/>
      <c r="P45" s="6"/>
      <c r="Q45" s="6"/>
      <c r="R45" s="6"/>
      <c r="S45" s="6"/>
      <c r="T45" s="6"/>
      <c r="U45" s="6"/>
      <c r="V45" s="6"/>
      <c r="W45" s="6"/>
      <c r="X45" s="6"/>
      <c r="Y45" s="6"/>
      <c r="Z45" s="6"/>
      <c r="AA45" s="6"/>
      <c r="AB45" s="6"/>
      <c r="AC45" s="6"/>
      <c r="AD45" s="6"/>
      <c r="AE45" s="6"/>
      <c r="AF45" s="6"/>
      <c r="AG45" s="6"/>
    </row>
    <row r="46" spans="1:33" x14ac:dyDescent="0.25">
      <c r="A46" s="157">
        <f t="shared" si="2"/>
        <v>45</v>
      </c>
      <c r="B46" s="519" t="s">
        <v>5259</v>
      </c>
      <c r="C46" s="519" t="s">
        <v>3935</v>
      </c>
      <c r="D46" s="520" t="s">
        <v>3857</v>
      </c>
      <c r="E46" s="6"/>
      <c r="F46" s="7"/>
      <c r="G46" s="7" t="s">
        <v>621</v>
      </c>
      <c r="H46" s="7"/>
      <c r="I46" s="7"/>
      <c r="J46" s="7"/>
      <c r="K46" s="7"/>
      <c r="L46" s="7" t="s">
        <v>171</v>
      </c>
      <c r="M46" s="7">
        <f t="shared" si="1"/>
        <v>0</v>
      </c>
      <c r="N46" s="6"/>
      <c r="O46" s="6"/>
      <c r="P46" s="6"/>
      <c r="Q46" s="6"/>
      <c r="R46" s="6"/>
      <c r="S46" s="6"/>
      <c r="T46" s="6"/>
      <c r="U46" s="6"/>
      <c r="V46" s="6"/>
      <c r="W46" s="6"/>
      <c r="X46" s="6"/>
      <c r="Y46" s="6"/>
      <c r="Z46" s="6"/>
      <c r="AA46" s="6"/>
      <c r="AB46" s="6"/>
      <c r="AC46" s="6"/>
      <c r="AD46" s="6"/>
      <c r="AE46" s="6"/>
      <c r="AF46" s="6"/>
      <c r="AG46" s="6"/>
    </row>
    <row r="47" spans="1:33" x14ac:dyDescent="0.25">
      <c r="A47" s="157">
        <f t="shared" si="2"/>
        <v>46</v>
      </c>
      <c r="B47" s="519" t="s">
        <v>5260</v>
      </c>
      <c r="C47" s="519" t="s">
        <v>3935</v>
      </c>
      <c r="D47" s="520" t="s">
        <v>3857</v>
      </c>
      <c r="E47" s="6"/>
      <c r="F47" s="7"/>
      <c r="G47" s="7" t="s">
        <v>621</v>
      </c>
      <c r="H47" s="7"/>
      <c r="I47" s="7"/>
      <c r="J47" s="7"/>
      <c r="K47" s="7"/>
      <c r="L47" s="7" t="s">
        <v>171</v>
      </c>
      <c r="M47" s="7">
        <f t="shared" si="1"/>
        <v>0</v>
      </c>
      <c r="N47" s="6"/>
      <c r="O47" s="6"/>
      <c r="P47" s="6"/>
      <c r="Q47" s="6"/>
      <c r="R47" s="6"/>
      <c r="S47" s="6"/>
      <c r="T47" s="6"/>
      <c r="U47" s="6"/>
      <c r="V47" s="6"/>
      <c r="W47" s="6"/>
      <c r="X47" s="6"/>
      <c r="Y47" s="6"/>
      <c r="Z47" s="6"/>
      <c r="AA47" s="6"/>
      <c r="AB47" s="6"/>
      <c r="AC47" s="6"/>
      <c r="AD47" s="6"/>
      <c r="AE47" s="6"/>
      <c r="AF47" s="6"/>
      <c r="AG47" s="6"/>
    </row>
    <row r="48" spans="1:33" x14ac:dyDescent="0.25">
      <c r="A48" s="157">
        <f t="shared" si="2"/>
        <v>47</v>
      </c>
      <c r="B48" s="519" t="s">
        <v>5261</v>
      </c>
      <c r="C48" s="519" t="s">
        <v>3935</v>
      </c>
      <c r="D48" s="520" t="s">
        <v>3857</v>
      </c>
      <c r="E48" s="6"/>
      <c r="F48" s="7"/>
      <c r="G48" s="7" t="s">
        <v>621</v>
      </c>
      <c r="H48" s="7"/>
      <c r="I48" s="7"/>
      <c r="J48" s="7"/>
      <c r="K48" s="7"/>
      <c r="L48" s="7" t="s">
        <v>171</v>
      </c>
      <c r="M48" s="7">
        <f t="shared" si="1"/>
        <v>0</v>
      </c>
      <c r="N48" s="6"/>
      <c r="O48" s="6"/>
      <c r="P48" s="6"/>
      <c r="Q48" s="6"/>
      <c r="R48" s="6"/>
      <c r="S48" s="6"/>
      <c r="T48" s="6"/>
      <c r="U48" s="6"/>
      <c r="V48" s="6"/>
      <c r="W48" s="6"/>
      <c r="X48" s="6"/>
      <c r="Y48" s="6"/>
      <c r="Z48" s="6"/>
      <c r="AA48" s="6"/>
      <c r="AB48" s="6"/>
      <c r="AC48" s="6"/>
      <c r="AD48" s="6"/>
      <c r="AE48" s="6"/>
      <c r="AF48" s="6"/>
      <c r="AG48" s="6"/>
    </row>
    <row r="49" spans="1:33" x14ac:dyDescent="0.25">
      <c r="A49" s="157">
        <f t="shared" si="2"/>
        <v>48</v>
      </c>
      <c r="B49" s="519" t="s">
        <v>5262</v>
      </c>
      <c r="C49" s="519" t="s">
        <v>3935</v>
      </c>
      <c r="D49" s="520" t="s">
        <v>3857</v>
      </c>
      <c r="E49" s="6"/>
      <c r="F49" s="7"/>
      <c r="G49" s="7" t="s">
        <v>621</v>
      </c>
      <c r="H49" s="7"/>
      <c r="I49" s="7"/>
      <c r="J49" s="7"/>
      <c r="K49" s="7"/>
      <c r="L49" s="7" t="s">
        <v>171</v>
      </c>
      <c r="M49" s="7">
        <f t="shared" si="1"/>
        <v>0</v>
      </c>
      <c r="N49" s="6"/>
      <c r="O49" s="6"/>
      <c r="P49" s="6"/>
      <c r="Q49" s="6"/>
      <c r="R49" s="6"/>
      <c r="S49" s="6"/>
      <c r="T49" s="6"/>
      <c r="U49" s="6"/>
      <c r="V49" s="6"/>
      <c r="W49" s="6"/>
      <c r="X49" s="6"/>
      <c r="Y49" s="6"/>
      <c r="Z49" s="6"/>
      <c r="AA49" s="6"/>
      <c r="AB49" s="6"/>
      <c r="AC49" s="6"/>
      <c r="AD49" s="6"/>
      <c r="AE49" s="6"/>
      <c r="AF49" s="6"/>
      <c r="AG49" s="6"/>
    </row>
    <row r="50" spans="1:33" x14ac:dyDescent="0.25">
      <c r="A50" s="157">
        <f t="shared" si="2"/>
        <v>49</v>
      </c>
      <c r="B50" s="519" t="s">
        <v>2272</v>
      </c>
      <c r="C50" s="519" t="s">
        <v>2272</v>
      </c>
      <c r="D50" s="520" t="s">
        <v>5499</v>
      </c>
      <c r="E50" s="6" t="s">
        <v>3775</v>
      </c>
      <c r="F50" s="7"/>
      <c r="G50" s="7" t="s">
        <v>621</v>
      </c>
      <c r="H50" s="7"/>
      <c r="I50" s="7"/>
      <c r="J50" s="7"/>
      <c r="K50" s="7"/>
      <c r="L50" s="7"/>
      <c r="M50" s="7">
        <f t="shared" si="1"/>
        <v>0</v>
      </c>
      <c r="N50" s="6"/>
      <c r="O50" s="6"/>
      <c r="P50" s="6"/>
      <c r="Q50" s="6"/>
      <c r="R50" s="6"/>
      <c r="S50" s="6"/>
      <c r="T50" s="6"/>
      <c r="U50" s="6"/>
      <c r="V50" s="6"/>
      <c r="W50" s="6"/>
      <c r="X50" s="6"/>
      <c r="Y50" s="6"/>
      <c r="Z50" s="6"/>
      <c r="AA50" s="6"/>
      <c r="AB50" s="6"/>
      <c r="AC50" s="6"/>
      <c r="AD50" s="6"/>
      <c r="AE50" s="6"/>
      <c r="AF50" s="6"/>
      <c r="AG50" s="6"/>
    </row>
    <row r="51" spans="1:33" x14ac:dyDescent="0.25">
      <c r="A51" s="157">
        <f t="shared" si="2"/>
        <v>50</v>
      </c>
      <c r="B51" s="519" t="s">
        <v>3883</v>
      </c>
      <c r="C51" s="519" t="s">
        <v>3883</v>
      </c>
      <c r="D51" s="520" t="s">
        <v>5738</v>
      </c>
      <c r="E51" s="6"/>
      <c r="F51" s="7"/>
      <c r="G51" s="7" t="s">
        <v>627</v>
      </c>
      <c r="H51" s="7"/>
      <c r="I51" s="7"/>
      <c r="J51" s="7"/>
      <c r="K51" s="7"/>
      <c r="L51" s="7"/>
      <c r="M51" s="7">
        <f t="shared" si="1"/>
        <v>0</v>
      </c>
      <c r="N51" s="6"/>
      <c r="O51" s="6"/>
      <c r="P51" s="6"/>
      <c r="Q51" s="6"/>
      <c r="R51" s="6"/>
      <c r="S51" s="6"/>
      <c r="T51" s="6"/>
      <c r="U51" s="6"/>
      <c r="V51" s="6"/>
      <c r="W51" s="6"/>
      <c r="X51" s="6"/>
      <c r="Y51" s="6"/>
      <c r="Z51" s="6"/>
      <c r="AA51" s="6"/>
      <c r="AB51" s="6"/>
      <c r="AC51" s="6"/>
      <c r="AD51" s="6"/>
      <c r="AE51" s="6"/>
      <c r="AF51" s="6"/>
      <c r="AG51" s="6"/>
    </row>
    <row r="52" spans="1:33" x14ac:dyDescent="0.25">
      <c r="A52" s="157">
        <f t="shared" si="2"/>
        <v>51</v>
      </c>
      <c r="B52" s="519" t="s">
        <v>3966</v>
      </c>
      <c r="C52" s="519" t="s">
        <v>3966</v>
      </c>
      <c r="D52" s="522" t="s">
        <v>5615</v>
      </c>
      <c r="E52" s="6"/>
      <c r="F52" s="7"/>
      <c r="G52" s="7"/>
      <c r="H52" s="7"/>
      <c r="I52" s="7"/>
      <c r="J52" s="7"/>
      <c r="K52" s="7"/>
      <c r="L52" s="7"/>
      <c r="M52" s="7">
        <f t="shared" si="1"/>
        <v>0</v>
      </c>
      <c r="N52" s="6"/>
      <c r="O52" s="6"/>
      <c r="P52" s="6"/>
      <c r="Q52" s="6"/>
      <c r="R52" s="6"/>
      <c r="S52" s="6"/>
      <c r="T52" s="6"/>
      <c r="U52" s="6"/>
      <c r="V52" s="6"/>
      <c r="W52" s="6"/>
      <c r="X52" s="6"/>
      <c r="Y52" s="6"/>
      <c r="Z52" s="6"/>
      <c r="AA52" s="6"/>
      <c r="AB52" s="6"/>
      <c r="AC52" s="6"/>
      <c r="AD52" s="6"/>
      <c r="AE52" s="6"/>
      <c r="AF52" s="6"/>
      <c r="AG52" s="6"/>
    </row>
    <row r="53" spans="1:33" x14ac:dyDescent="0.25">
      <c r="A53" s="157">
        <f t="shared" si="2"/>
        <v>52</v>
      </c>
      <c r="B53" s="519" t="s">
        <v>3961</v>
      </c>
      <c r="C53" s="519" t="s">
        <v>3961</v>
      </c>
      <c r="D53" s="523" t="s">
        <v>5594</v>
      </c>
      <c r="E53" s="6"/>
      <c r="F53" s="7"/>
      <c r="G53" s="7"/>
      <c r="H53" s="7"/>
      <c r="I53" s="7"/>
      <c r="J53" s="7"/>
      <c r="K53" s="7"/>
      <c r="L53" s="7"/>
      <c r="M53" s="7">
        <f t="shared" si="1"/>
        <v>0</v>
      </c>
      <c r="N53" s="6"/>
      <c r="O53" s="6"/>
      <c r="P53" s="6"/>
      <c r="Q53" s="6"/>
      <c r="R53" s="6"/>
      <c r="S53" s="6"/>
      <c r="T53" s="6"/>
      <c r="U53" s="6"/>
      <c r="V53" s="6"/>
      <c r="W53" s="6"/>
      <c r="X53" s="6"/>
      <c r="Y53" s="6"/>
      <c r="Z53" s="6"/>
      <c r="AA53" s="6"/>
      <c r="AB53" s="6"/>
      <c r="AC53" s="6"/>
      <c r="AD53" s="6"/>
      <c r="AE53" s="6"/>
      <c r="AF53" s="6"/>
      <c r="AG53" s="6"/>
    </row>
    <row r="54" spans="1:33" x14ac:dyDescent="0.25">
      <c r="A54" s="157">
        <f t="shared" si="2"/>
        <v>53</v>
      </c>
      <c r="B54" s="519" t="s">
        <v>3948</v>
      </c>
      <c r="C54" s="519" t="s">
        <v>3948</v>
      </c>
      <c r="D54" s="520" t="s">
        <v>5739</v>
      </c>
      <c r="E54" s="6"/>
      <c r="F54" s="7"/>
      <c r="G54" s="7"/>
      <c r="H54" s="7"/>
      <c r="I54" s="7"/>
      <c r="J54" s="7"/>
      <c r="K54" s="7"/>
      <c r="L54" s="7"/>
      <c r="M54" s="7">
        <f t="shared" si="1"/>
        <v>0</v>
      </c>
      <c r="N54" s="6"/>
      <c r="O54" s="6"/>
      <c r="P54" s="6"/>
      <c r="Q54" s="6"/>
      <c r="R54" s="6"/>
      <c r="S54" s="6"/>
      <c r="T54" s="6"/>
      <c r="U54" s="6"/>
      <c r="V54" s="6"/>
      <c r="W54" s="6"/>
      <c r="X54" s="6"/>
      <c r="Y54" s="6"/>
      <c r="Z54" s="6"/>
      <c r="AA54" s="6"/>
      <c r="AB54" s="6"/>
      <c r="AC54" s="6"/>
      <c r="AD54" s="6"/>
      <c r="AE54" s="6"/>
      <c r="AF54" s="6"/>
      <c r="AG54" s="6"/>
    </row>
    <row r="55" spans="1:33" x14ac:dyDescent="0.25">
      <c r="A55" s="157">
        <f t="shared" si="2"/>
        <v>54</v>
      </c>
      <c r="B55" s="519" t="s">
        <v>3942</v>
      </c>
      <c r="C55" s="519" t="s">
        <v>3942</v>
      </c>
      <c r="D55" s="520" t="s">
        <v>5526</v>
      </c>
      <c r="E55" s="6"/>
      <c r="F55" s="7"/>
      <c r="G55" s="7"/>
      <c r="H55" s="7"/>
      <c r="I55" s="7"/>
      <c r="J55" s="7"/>
      <c r="K55" s="7"/>
      <c r="L55" s="7"/>
      <c r="M55" s="7">
        <f t="shared" si="1"/>
        <v>0</v>
      </c>
      <c r="N55" s="6"/>
      <c r="O55" s="6"/>
      <c r="P55" s="6"/>
      <c r="Q55" s="6"/>
      <c r="R55" s="6"/>
      <c r="S55" s="6"/>
      <c r="T55" s="6"/>
      <c r="U55" s="6"/>
      <c r="V55" s="6"/>
      <c r="W55" s="6"/>
      <c r="X55" s="6"/>
      <c r="Y55" s="6"/>
      <c r="Z55" s="6"/>
      <c r="AA55" s="6"/>
      <c r="AB55" s="6"/>
      <c r="AC55" s="6"/>
      <c r="AD55" s="6"/>
      <c r="AE55" s="6"/>
      <c r="AF55" s="6"/>
      <c r="AG55" s="6"/>
    </row>
    <row r="56" spans="1:33" x14ac:dyDescent="0.25">
      <c r="A56" s="157">
        <f t="shared" si="2"/>
        <v>55</v>
      </c>
      <c r="B56" s="519" t="s">
        <v>2279</v>
      </c>
      <c r="C56" s="519" t="s">
        <v>2279</v>
      </c>
      <c r="D56" s="520" t="s">
        <v>5740</v>
      </c>
      <c r="E56" s="6"/>
      <c r="F56" s="7"/>
      <c r="G56" s="7"/>
      <c r="H56" s="7"/>
      <c r="I56" s="7"/>
      <c r="J56" s="7"/>
      <c r="K56" s="7"/>
      <c r="L56" s="7"/>
      <c r="M56" s="7">
        <f t="shared" si="1"/>
        <v>0</v>
      </c>
      <c r="N56" s="6"/>
      <c r="O56" s="6"/>
      <c r="P56" s="6"/>
      <c r="Q56" s="6"/>
      <c r="R56" s="6"/>
      <c r="S56" s="6"/>
      <c r="T56" s="6"/>
      <c r="U56" s="6"/>
      <c r="V56" s="6"/>
      <c r="W56" s="6"/>
      <c r="X56" s="6"/>
      <c r="Y56" s="6"/>
      <c r="Z56" s="6"/>
      <c r="AA56" s="6"/>
      <c r="AB56" s="6"/>
      <c r="AC56" s="6"/>
      <c r="AD56" s="6"/>
      <c r="AE56" s="6"/>
      <c r="AF56" s="6"/>
      <c r="AG56" s="6"/>
    </row>
    <row r="57" spans="1:33" x14ac:dyDescent="0.25">
      <c r="A57" s="157">
        <f t="shared" si="2"/>
        <v>56</v>
      </c>
      <c r="B57" s="519" t="s">
        <v>3863</v>
      </c>
      <c r="C57" s="519" t="s">
        <v>3863</v>
      </c>
      <c r="D57" s="521" t="s">
        <v>5446</v>
      </c>
      <c r="E57" s="6"/>
      <c r="F57" s="7"/>
      <c r="G57" s="7"/>
      <c r="H57" s="7"/>
      <c r="I57" s="7"/>
      <c r="J57" s="7"/>
      <c r="K57" s="7"/>
      <c r="L57" s="7"/>
      <c r="M57" s="7">
        <f t="shared" si="1"/>
        <v>0</v>
      </c>
      <c r="N57" s="6"/>
      <c r="O57" s="6"/>
      <c r="P57" s="6"/>
      <c r="Q57" s="6"/>
      <c r="R57" s="6"/>
      <c r="S57" s="6"/>
      <c r="T57" s="6"/>
      <c r="U57" s="6"/>
      <c r="V57" s="6"/>
      <c r="W57" s="6"/>
      <c r="X57" s="6"/>
      <c r="Y57" s="6"/>
      <c r="Z57" s="6"/>
      <c r="AA57" s="6"/>
      <c r="AB57" s="6"/>
      <c r="AC57" s="6"/>
      <c r="AD57" s="6"/>
      <c r="AE57" s="6"/>
      <c r="AF57" s="6"/>
      <c r="AG57" s="6"/>
    </row>
    <row r="58" spans="1:33" x14ac:dyDescent="0.25">
      <c r="A58" s="157">
        <f t="shared" si="2"/>
        <v>57</v>
      </c>
      <c r="B58" s="519" t="s">
        <v>3871</v>
      </c>
      <c r="C58" s="519" t="s">
        <v>3871</v>
      </c>
      <c r="D58" s="521" t="s">
        <v>5870</v>
      </c>
      <c r="E58" s="6"/>
      <c r="F58" s="7"/>
      <c r="G58" s="7" t="s">
        <v>622</v>
      </c>
      <c r="H58" s="7"/>
      <c r="I58" s="7"/>
      <c r="J58" s="7"/>
      <c r="K58" s="7"/>
      <c r="L58" s="7"/>
      <c r="M58" s="7">
        <f t="shared" si="1"/>
        <v>0</v>
      </c>
      <c r="N58" s="6"/>
      <c r="O58" s="6"/>
      <c r="P58" s="6"/>
      <c r="Q58" s="6"/>
      <c r="R58" s="6"/>
      <c r="S58" s="6"/>
      <c r="T58" s="6"/>
      <c r="U58" s="6"/>
      <c r="V58" s="6"/>
      <c r="W58" s="6"/>
      <c r="X58" s="6"/>
      <c r="Y58" s="6"/>
      <c r="Z58" s="6"/>
      <c r="AA58" s="6"/>
      <c r="AB58" s="6"/>
      <c r="AC58" s="6"/>
      <c r="AD58" s="6"/>
      <c r="AE58" s="6"/>
      <c r="AF58" s="6"/>
      <c r="AG58" s="6"/>
    </row>
    <row r="59" spans="1:33" x14ac:dyDescent="0.25">
      <c r="A59" s="157">
        <f t="shared" si="2"/>
        <v>58</v>
      </c>
      <c r="B59" s="519" t="s">
        <v>3872</v>
      </c>
      <c r="C59" s="519" t="s">
        <v>3872</v>
      </c>
      <c r="D59" s="521" t="s">
        <v>5871</v>
      </c>
      <c r="E59" s="6"/>
      <c r="F59" s="7"/>
      <c r="G59" s="7" t="s">
        <v>622</v>
      </c>
      <c r="H59" s="7"/>
      <c r="I59" s="7"/>
      <c r="J59" s="7"/>
      <c r="K59" s="7"/>
      <c r="L59" s="7"/>
      <c r="M59" s="7">
        <f t="shared" si="1"/>
        <v>0</v>
      </c>
      <c r="N59" s="6"/>
      <c r="O59" s="6"/>
      <c r="P59" s="6"/>
      <c r="Q59" s="6"/>
      <c r="R59" s="6"/>
      <c r="S59" s="6"/>
      <c r="T59" s="6"/>
      <c r="U59" s="6"/>
      <c r="V59" s="6"/>
      <c r="W59" s="6"/>
      <c r="X59" s="6"/>
      <c r="Y59" s="6"/>
      <c r="Z59" s="6"/>
      <c r="AA59" s="6"/>
      <c r="AB59" s="6"/>
      <c r="AC59" s="6"/>
      <c r="AD59" s="6"/>
      <c r="AE59" s="6"/>
      <c r="AF59" s="6"/>
      <c r="AG59" s="6"/>
    </row>
    <row r="60" spans="1:33" x14ac:dyDescent="0.25">
      <c r="A60" s="157">
        <f t="shared" si="2"/>
        <v>59</v>
      </c>
      <c r="B60" s="519" t="s">
        <v>3920</v>
      </c>
      <c r="C60" s="519" t="s">
        <v>3920</v>
      </c>
      <c r="D60" s="521" t="s">
        <v>5447</v>
      </c>
      <c r="E60" s="6"/>
      <c r="F60" s="7"/>
      <c r="G60" s="7" t="s">
        <v>5448</v>
      </c>
      <c r="H60" s="7"/>
      <c r="I60" s="7"/>
      <c r="J60" s="7"/>
      <c r="K60" s="7"/>
      <c r="L60" s="7"/>
      <c r="M60" s="7">
        <f t="shared" si="1"/>
        <v>0</v>
      </c>
      <c r="N60" s="6"/>
      <c r="O60" s="6"/>
      <c r="P60" s="6"/>
      <c r="Q60" s="6"/>
      <c r="R60" s="6"/>
      <c r="S60" s="6"/>
      <c r="T60" s="6"/>
      <c r="U60" s="6"/>
      <c r="V60" s="6"/>
      <c r="W60" s="6"/>
      <c r="X60" s="6"/>
      <c r="Y60" s="6"/>
      <c r="Z60" s="6"/>
      <c r="AA60" s="6"/>
      <c r="AB60" s="6"/>
      <c r="AC60" s="6"/>
      <c r="AD60" s="6"/>
      <c r="AE60" s="6"/>
      <c r="AF60" s="6"/>
      <c r="AG60" s="6"/>
    </row>
    <row r="61" spans="1:33" x14ac:dyDescent="0.25">
      <c r="A61" s="157">
        <f t="shared" si="2"/>
        <v>60</v>
      </c>
      <c r="B61" s="519" t="s">
        <v>2278</v>
      </c>
      <c r="C61" s="519" t="s">
        <v>2278</v>
      </c>
      <c r="D61" s="520" t="s">
        <v>5741</v>
      </c>
      <c r="E61" s="6" t="s">
        <v>5869</v>
      </c>
      <c r="F61" s="7"/>
      <c r="G61" s="7" t="s">
        <v>624</v>
      </c>
      <c r="H61" s="7"/>
      <c r="I61" s="7"/>
      <c r="J61" s="7"/>
      <c r="K61" s="7"/>
      <c r="L61" s="7"/>
      <c r="M61" s="7">
        <f t="shared" si="1"/>
        <v>13</v>
      </c>
      <c r="N61" s="6" t="s">
        <v>4483</v>
      </c>
      <c r="O61" s="6" t="s">
        <v>4484</v>
      </c>
      <c r="P61" s="6" t="s">
        <v>4485</v>
      </c>
      <c r="Q61" s="6" t="s">
        <v>4486</v>
      </c>
      <c r="R61" s="6" t="s">
        <v>4487</v>
      </c>
      <c r="S61" s="6" t="s">
        <v>4488</v>
      </c>
      <c r="T61" s="6" t="s">
        <v>4489</v>
      </c>
      <c r="U61" s="6" t="s">
        <v>4490</v>
      </c>
      <c r="V61" s="6" t="s">
        <v>4491</v>
      </c>
      <c r="W61" s="6" t="s">
        <v>4492</v>
      </c>
      <c r="X61" s="6" t="s">
        <v>4493</v>
      </c>
      <c r="Y61" s="6" t="s">
        <v>4494</v>
      </c>
      <c r="Z61" s="6" t="s">
        <v>4495</v>
      </c>
      <c r="AA61" s="6"/>
      <c r="AB61" s="6"/>
      <c r="AC61" s="6"/>
      <c r="AD61" s="6"/>
      <c r="AE61" s="6"/>
      <c r="AF61" s="6"/>
      <c r="AG61" s="6"/>
    </row>
    <row r="62" spans="1:33" x14ac:dyDescent="0.25">
      <c r="A62" s="157">
        <f t="shared" si="2"/>
        <v>61</v>
      </c>
      <c r="B62" s="519" t="s">
        <v>3921</v>
      </c>
      <c r="C62" s="519" t="s">
        <v>3921</v>
      </c>
      <c r="D62" s="520" t="s">
        <v>5742</v>
      </c>
      <c r="E62" s="6"/>
      <c r="F62" s="7"/>
      <c r="G62" s="7" t="s">
        <v>5448</v>
      </c>
      <c r="H62" s="7"/>
      <c r="I62" s="7"/>
      <c r="J62" s="7"/>
      <c r="K62" s="7"/>
      <c r="L62" s="7"/>
      <c r="M62" s="7">
        <f t="shared" si="1"/>
        <v>0</v>
      </c>
      <c r="N62" s="6"/>
      <c r="O62" s="6"/>
      <c r="P62" s="6"/>
      <c r="Q62" s="6"/>
      <c r="R62" s="6"/>
      <c r="S62" s="6"/>
      <c r="T62" s="6"/>
      <c r="U62" s="6"/>
      <c r="V62" s="6"/>
      <c r="W62" s="6"/>
      <c r="X62" s="6"/>
      <c r="Y62" s="6"/>
      <c r="Z62" s="6"/>
      <c r="AA62" s="6"/>
      <c r="AB62" s="6"/>
      <c r="AC62" s="6"/>
      <c r="AD62" s="6"/>
      <c r="AE62" s="6"/>
      <c r="AF62" s="6"/>
      <c r="AG62" s="6"/>
    </row>
    <row r="63" spans="1:33" x14ac:dyDescent="0.25">
      <c r="A63" s="157">
        <f t="shared" si="2"/>
        <v>62</v>
      </c>
      <c r="B63" s="519" t="s">
        <v>3868</v>
      </c>
      <c r="C63" s="519" t="s">
        <v>3868</v>
      </c>
      <c r="D63" s="520" t="s">
        <v>5743</v>
      </c>
      <c r="E63" s="6"/>
      <c r="F63" s="7"/>
      <c r="G63" s="7"/>
      <c r="H63" s="7"/>
      <c r="I63" s="7"/>
      <c r="J63" s="7"/>
      <c r="K63" s="7"/>
      <c r="L63" s="7"/>
      <c r="M63" s="7">
        <f t="shared" si="1"/>
        <v>0</v>
      </c>
      <c r="N63" s="6"/>
      <c r="O63" s="6"/>
      <c r="P63" s="6"/>
      <c r="Q63" s="6"/>
      <c r="R63" s="6"/>
      <c r="S63" s="6"/>
      <c r="T63" s="6"/>
      <c r="U63" s="6"/>
      <c r="V63" s="6"/>
      <c r="W63" s="6"/>
      <c r="X63" s="6"/>
      <c r="Y63" s="6"/>
      <c r="Z63" s="6"/>
      <c r="AA63" s="6"/>
      <c r="AB63" s="6"/>
      <c r="AC63" s="6"/>
      <c r="AD63" s="6"/>
      <c r="AE63" s="6"/>
      <c r="AF63" s="6"/>
      <c r="AG63" s="6"/>
    </row>
    <row r="64" spans="1:33" x14ac:dyDescent="0.25">
      <c r="A64" s="157">
        <f t="shared" si="2"/>
        <v>63</v>
      </c>
      <c r="B64" s="519" t="s">
        <v>5247</v>
      </c>
      <c r="C64" s="519" t="s">
        <v>3515</v>
      </c>
      <c r="D64" s="520" t="s">
        <v>3857</v>
      </c>
      <c r="E64" s="6"/>
      <c r="F64" s="7"/>
      <c r="G64" s="7" t="s">
        <v>622</v>
      </c>
      <c r="H64" s="7"/>
      <c r="I64" s="7"/>
      <c r="J64" s="7"/>
      <c r="K64" s="7"/>
      <c r="L64" s="7"/>
      <c r="M64" s="7">
        <f t="shared" si="1"/>
        <v>6</v>
      </c>
      <c r="N64" s="160" t="s">
        <v>4025</v>
      </c>
      <c r="O64" s="160" t="s">
        <v>4026</v>
      </c>
      <c r="P64" s="160" t="s">
        <v>4027</v>
      </c>
      <c r="Q64" s="160" t="s">
        <v>4028</v>
      </c>
      <c r="R64" s="160" t="s">
        <v>4029</v>
      </c>
      <c r="S64" s="160" t="s">
        <v>4030</v>
      </c>
      <c r="T64" s="6"/>
      <c r="U64" s="6"/>
      <c r="V64" s="6"/>
      <c r="W64" s="6"/>
      <c r="X64" s="6"/>
      <c r="Y64" s="6"/>
      <c r="Z64" s="6"/>
      <c r="AA64" s="6"/>
      <c r="AB64" s="6"/>
      <c r="AC64" s="6"/>
      <c r="AD64" s="6"/>
      <c r="AE64" s="6"/>
      <c r="AF64" s="6"/>
      <c r="AG64" s="6"/>
    </row>
    <row r="65" spans="1:33" x14ac:dyDescent="0.25">
      <c r="A65" s="157">
        <f t="shared" si="2"/>
        <v>64</v>
      </c>
      <c r="B65" s="519" t="s">
        <v>3869</v>
      </c>
      <c r="C65" s="519" t="s">
        <v>3869</v>
      </c>
      <c r="D65" s="520" t="s">
        <v>5577</v>
      </c>
      <c r="E65" s="6"/>
      <c r="F65" s="7"/>
      <c r="G65" s="7"/>
      <c r="H65" s="7"/>
      <c r="I65" s="7"/>
      <c r="J65" s="7"/>
      <c r="K65" s="7"/>
      <c r="L65" s="7"/>
      <c r="M65" s="7">
        <f t="shared" si="1"/>
        <v>0</v>
      </c>
      <c r="N65" s="6"/>
      <c r="O65" s="6"/>
      <c r="P65" s="6"/>
      <c r="Q65" s="6"/>
      <c r="R65" s="6"/>
      <c r="S65" s="6"/>
      <c r="T65" s="6"/>
      <c r="U65" s="6"/>
      <c r="V65" s="6"/>
      <c r="W65" s="6"/>
      <c r="X65" s="6"/>
      <c r="Y65" s="6"/>
      <c r="Z65" s="6"/>
      <c r="AA65" s="6"/>
      <c r="AB65" s="6"/>
      <c r="AC65" s="6"/>
      <c r="AD65" s="6"/>
      <c r="AE65" s="6"/>
      <c r="AF65" s="6"/>
      <c r="AG65" s="6"/>
    </row>
    <row r="66" spans="1:33" x14ac:dyDescent="0.25">
      <c r="A66" s="157">
        <f t="shared" si="2"/>
        <v>65</v>
      </c>
      <c r="B66" s="519" t="s">
        <v>3926</v>
      </c>
      <c r="C66" s="519" t="s">
        <v>3926</v>
      </c>
      <c r="D66" s="520" t="s">
        <v>5457</v>
      </c>
      <c r="E66" s="6"/>
      <c r="F66" s="7"/>
      <c r="G66" s="7"/>
      <c r="H66" s="7"/>
      <c r="I66" s="7"/>
      <c r="J66" s="7"/>
      <c r="K66" s="7"/>
      <c r="L66" s="7"/>
      <c r="M66" s="7">
        <f t="shared" si="1"/>
        <v>0</v>
      </c>
      <c r="N66" s="6"/>
      <c r="O66" s="6"/>
      <c r="P66" s="6"/>
      <c r="Q66" s="6"/>
      <c r="R66" s="6"/>
      <c r="S66" s="6"/>
      <c r="T66" s="6"/>
      <c r="U66" s="6"/>
      <c r="V66" s="6"/>
      <c r="W66" s="6"/>
      <c r="X66" s="6"/>
      <c r="Y66" s="6"/>
      <c r="Z66" s="6"/>
      <c r="AA66" s="6"/>
      <c r="AB66" s="6"/>
      <c r="AC66" s="6"/>
      <c r="AD66" s="6"/>
      <c r="AE66" s="6"/>
      <c r="AF66" s="6"/>
      <c r="AG66" s="6"/>
    </row>
    <row r="67" spans="1:33" x14ac:dyDescent="0.25">
      <c r="A67" s="157">
        <f t="shared" ref="A67:A98" si="3">IF(B67="","",1+A66)</f>
        <v>66</v>
      </c>
      <c r="B67" s="519" t="s">
        <v>1123</v>
      </c>
      <c r="C67" s="519" t="s">
        <v>1123</v>
      </c>
      <c r="D67" s="520" t="s">
        <v>3857</v>
      </c>
      <c r="E67" s="6"/>
      <c r="F67" s="7"/>
      <c r="G67" s="7"/>
      <c r="H67" s="7"/>
      <c r="I67" s="7"/>
      <c r="J67" s="7"/>
      <c r="K67" s="7"/>
      <c r="L67" s="7"/>
      <c r="M67" s="7">
        <f t="shared" ref="M67:M130" si="4">COUNTA(N67:AG67)</f>
        <v>0</v>
      </c>
      <c r="N67" s="6"/>
      <c r="O67" s="6"/>
      <c r="P67" s="6"/>
      <c r="Q67" s="6"/>
      <c r="R67" s="6"/>
      <c r="S67" s="6"/>
      <c r="T67" s="6"/>
      <c r="U67" s="6"/>
      <c r="V67" s="6"/>
      <c r="W67" s="6"/>
      <c r="X67" s="6"/>
      <c r="Y67" s="6"/>
      <c r="Z67" s="6"/>
      <c r="AA67" s="6"/>
      <c r="AB67" s="6"/>
      <c r="AC67" s="6"/>
      <c r="AD67" s="6"/>
      <c r="AE67" s="6"/>
      <c r="AF67" s="6"/>
      <c r="AG67" s="6"/>
    </row>
    <row r="68" spans="1:33" x14ac:dyDescent="0.25">
      <c r="A68" s="157">
        <f t="shared" si="3"/>
        <v>67</v>
      </c>
      <c r="B68" s="519" t="s">
        <v>3866</v>
      </c>
      <c r="C68" s="519" t="s">
        <v>3866</v>
      </c>
      <c r="D68" s="520" t="s">
        <v>5744</v>
      </c>
      <c r="E68" s="6"/>
      <c r="F68" s="7"/>
      <c r="G68" s="7"/>
      <c r="H68" s="7"/>
      <c r="I68" s="7"/>
      <c r="J68" s="7"/>
      <c r="K68" s="7"/>
      <c r="L68" s="7"/>
      <c r="M68" s="7">
        <f t="shared" si="4"/>
        <v>0</v>
      </c>
      <c r="N68" s="6"/>
      <c r="O68" s="6"/>
      <c r="P68" s="6"/>
      <c r="Q68" s="6"/>
      <c r="R68" s="6"/>
      <c r="S68" s="6"/>
      <c r="T68" s="6"/>
      <c r="U68" s="6"/>
      <c r="V68" s="6"/>
      <c r="W68" s="6"/>
      <c r="X68" s="6"/>
      <c r="Y68" s="6"/>
      <c r="Z68" s="6"/>
      <c r="AA68" s="6"/>
      <c r="AB68" s="6"/>
      <c r="AC68" s="6"/>
      <c r="AD68" s="6"/>
      <c r="AE68" s="6"/>
      <c r="AF68" s="6"/>
      <c r="AG68" s="6"/>
    </row>
    <row r="69" spans="1:33" x14ac:dyDescent="0.25">
      <c r="A69" s="157">
        <f t="shared" si="3"/>
        <v>68</v>
      </c>
      <c r="B69" s="519" t="s">
        <v>3954</v>
      </c>
      <c r="C69" s="519" t="s">
        <v>3954</v>
      </c>
      <c r="D69" s="520" t="s">
        <v>5542</v>
      </c>
      <c r="E69" s="6"/>
      <c r="F69" s="7"/>
      <c r="G69" s="7"/>
      <c r="H69" s="7"/>
      <c r="I69" s="7"/>
      <c r="J69" s="7"/>
      <c r="K69" s="7"/>
      <c r="L69" s="7"/>
      <c r="M69" s="7">
        <f t="shared" si="4"/>
        <v>0</v>
      </c>
      <c r="N69" s="6"/>
      <c r="O69" s="6"/>
      <c r="P69" s="6"/>
      <c r="Q69" s="6"/>
      <c r="R69" s="6"/>
      <c r="S69" s="6"/>
      <c r="T69" s="6"/>
      <c r="U69" s="6"/>
      <c r="V69" s="6"/>
      <c r="W69" s="6"/>
      <c r="X69" s="6"/>
      <c r="Y69" s="6"/>
      <c r="Z69" s="6"/>
      <c r="AA69" s="6"/>
      <c r="AB69" s="6"/>
      <c r="AC69" s="6"/>
      <c r="AD69" s="6"/>
      <c r="AE69" s="6"/>
      <c r="AF69" s="6"/>
      <c r="AG69" s="6"/>
    </row>
    <row r="70" spans="1:33" x14ac:dyDescent="0.25">
      <c r="A70" s="157">
        <f t="shared" si="3"/>
        <v>69</v>
      </c>
      <c r="B70" s="519" t="s">
        <v>2325</v>
      </c>
      <c r="C70" s="519" t="s">
        <v>2325</v>
      </c>
      <c r="D70" s="520" t="s">
        <v>5745</v>
      </c>
      <c r="E70" s="6"/>
      <c r="F70" s="7"/>
      <c r="G70" s="7" t="s">
        <v>622</v>
      </c>
      <c r="H70" s="7"/>
      <c r="I70" s="7"/>
      <c r="J70" s="7"/>
      <c r="K70" s="7"/>
      <c r="L70" s="7"/>
      <c r="M70" s="7">
        <f t="shared" si="4"/>
        <v>0</v>
      </c>
      <c r="N70" s="6"/>
      <c r="O70" s="6"/>
      <c r="P70" s="6"/>
      <c r="Q70" s="6"/>
      <c r="R70" s="6"/>
      <c r="S70" s="6"/>
      <c r="T70" s="6"/>
      <c r="U70" s="6"/>
      <c r="V70" s="6"/>
      <c r="W70" s="6"/>
      <c r="X70" s="6"/>
      <c r="Y70" s="6"/>
      <c r="Z70" s="6"/>
      <c r="AA70" s="6"/>
      <c r="AB70" s="6"/>
      <c r="AC70" s="6"/>
      <c r="AD70" s="6"/>
      <c r="AE70" s="6"/>
      <c r="AF70" s="6"/>
      <c r="AG70" s="6"/>
    </row>
    <row r="71" spans="1:33" x14ac:dyDescent="0.25">
      <c r="A71" s="157">
        <f t="shared" si="3"/>
        <v>70</v>
      </c>
      <c r="B71" s="519" t="s">
        <v>3924</v>
      </c>
      <c r="C71" s="519" t="s">
        <v>3924</v>
      </c>
      <c r="D71" s="520" t="s">
        <v>5450</v>
      </c>
      <c r="E71" s="6"/>
      <c r="F71" s="7"/>
      <c r="G71" s="7" t="s">
        <v>619</v>
      </c>
      <c r="H71" s="7"/>
      <c r="I71" s="7"/>
      <c r="J71" s="7"/>
      <c r="K71" s="7"/>
      <c r="L71" s="7"/>
      <c r="M71" s="7">
        <f t="shared" si="4"/>
        <v>0</v>
      </c>
      <c r="N71" s="6"/>
      <c r="O71" s="6"/>
      <c r="P71" s="6"/>
      <c r="Q71" s="6"/>
      <c r="R71" s="6"/>
      <c r="S71" s="6"/>
      <c r="T71" s="6"/>
      <c r="U71" s="6"/>
      <c r="V71" s="6"/>
      <c r="W71" s="6"/>
      <c r="X71" s="6"/>
      <c r="Y71" s="6"/>
      <c r="Z71" s="6"/>
      <c r="AA71" s="6"/>
      <c r="AB71" s="6"/>
      <c r="AC71" s="6"/>
      <c r="AD71" s="6"/>
      <c r="AE71" s="6"/>
      <c r="AF71" s="6"/>
      <c r="AG71" s="6"/>
    </row>
    <row r="72" spans="1:33" x14ac:dyDescent="0.25">
      <c r="A72" s="157">
        <f t="shared" si="3"/>
        <v>71</v>
      </c>
      <c r="B72" s="519" t="s">
        <v>3876</v>
      </c>
      <c r="C72" s="519" t="s">
        <v>3876</v>
      </c>
      <c r="D72" s="520" t="s">
        <v>5456</v>
      </c>
      <c r="E72" s="6"/>
      <c r="F72" s="7"/>
      <c r="G72" s="7" t="s">
        <v>1112</v>
      </c>
      <c r="H72" s="7"/>
      <c r="I72" s="7"/>
      <c r="J72" s="7"/>
      <c r="K72" s="7"/>
      <c r="L72" s="7"/>
      <c r="M72" s="7">
        <f t="shared" si="4"/>
        <v>0</v>
      </c>
      <c r="N72" s="6"/>
      <c r="O72" s="6"/>
      <c r="P72" s="6"/>
      <c r="Q72" s="6"/>
      <c r="R72" s="6"/>
      <c r="S72" s="6"/>
      <c r="T72" s="6"/>
      <c r="U72" s="6"/>
      <c r="V72" s="6"/>
      <c r="W72" s="6"/>
      <c r="X72" s="6"/>
      <c r="Y72" s="6"/>
      <c r="Z72" s="6"/>
      <c r="AA72" s="6"/>
      <c r="AB72" s="6"/>
      <c r="AC72" s="6"/>
      <c r="AD72" s="6"/>
      <c r="AE72" s="6"/>
      <c r="AF72" s="6"/>
      <c r="AG72" s="6"/>
    </row>
    <row r="73" spans="1:33" x14ac:dyDescent="0.25">
      <c r="A73" s="157">
        <f t="shared" si="3"/>
        <v>72</v>
      </c>
      <c r="B73" s="519" t="s">
        <v>2326</v>
      </c>
      <c r="C73" s="519" t="s">
        <v>2326</v>
      </c>
      <c r="D73" s="520" t="s">
        <v>5746</v>
      </c>
      <c r="E73" s="6"/>
      <c r="F73" s="7"/>
      <c r="G73" s="7" t="s">
        <v>623</v>
      </c>
      <c r="H73" s="7"/>
      <c r="I73" s="7"/>
      <c r="J73" s="7"/>
      <c r="K73" s="7"/>
      <c r="L73" s="7"/>
      <c r="M73" s="7">
        <f t="shared" si="4"/>
        <v>0</v>
      </c>
      <c r="N73" s="6"/>
      <c r="O73" s="6"/>
      <c r="P73" s="6"/>
      <c r="Q73" s="6"/>
      <c r="R73" s="6"/>
      <c r="S73" s="6"/>
      <c r="T73" s="6"/>
      <c r="U73" s="6"/>
      <c r="V73" s="6"/>
      <c r="W73" s="6"/>
      <c r="X73" s="6"/>
      <c r="Y73" s="6"/>
      <c r="Z73" s="6"/>
      <c r="AA73" s="6"/>
      <c r="AB73" s="6"/>
      <c r="AC73" s="6"/>
      <c r="AD73" s="6"/>
      <c r="AE73" s="6"/>
      <c r="AF73" s="6"/>
      <c r="AG73" s="6"/>
    </row>
    <row r="74" spans="1:33" x14ac:dyDescent="0.25">
      <c r="A74" s="157">
        <f t="shared" si="3"/>
        <v>73</v>
      </c>
      <c r="B74" s="519" t="s">
        <v>3940</v>
      </c>
      <c r="C74" s="519" t="s">
        <v>3940</v>
      </c>
      <c r="D74" s="520" t="s">
        <v>5525</v>
      </c>
      <c r="E74" s="6"/>
      <c r="F74" s="7"/>
      <c r="G74" s="7" t="s">
        <v>623</v>
      </c>
      <c r="H74" s="7"/>
      <c r="I74" s="7"/>
      <c r="J74" s="7"/>
      <c r="K74" s="7"/>
      <c r="L74" s="7"/>
      <c r="M74" s="7">
        <f t="shared" si="4"/>
        <v>0</v>
      </c>
      <c r="N74" s="6"/>
      <c r="O74" s="6"/>
      <c r="P74" s="6"/>
      <c r="Q74" s="6"/>
      <c r="R74" s="6"/>
      <c r="S74" s="6"/>
      <c r="T74" s="6"/>
      <c r="U74" s="6"/>
      <c r="V74" s="6"/>
      <c r="W74" s="6"/>
      <c r="X74" s="6"/>
      <c r="Y74" s="6"/>
      <c r="Z74" s="6"/>
      <c r="AA74" s="6"/>
      <c r="AB74" s="6"/>
      <c r="AC74" s="6"/>
      <c r="AD74" s="6"/>
      <c r="AE74" s="6"/>
      <c r="AF74" s="6"/>
      <c r="AG74" s="6"/>
    </row>
    <row r="75" spans="1:33" x14ac:dyDescent="0.25">
      <c r="A75" s="157">
        <f t="shared" si="3"/>
        <v>74</v>
      </c>
      <c r="B75" s="519" t="s">
        <v>5574</v>
      </c>
      <c r="C75" s="519" t="s">
        <v>3865</v>
      </c>
      <c r="D75" s="520" t="s">
        <v>5747</v>
      </c>
      <c r="E75" s="6"/>
      <c r="F75" s="7"/>
      <c r="G75" s="7" t="s">
        <v>624</v>
      </c>
      <c r="H75" s="7"/>
      <c r="I75" s="7"/>
      <c r="J75" s="7"/>
      <c r="K75" s="7"/>
      <c r="L75" s="7"/>
      <c r="M75" s="7">
        <f t="shared" si="4"/>
        <v>0</v>
      </c>
      <c r="N75" s="6"/>
      <c r="O75" s="6"/>
      <c r="P75" s="6"/>
      <c r="Q75" s="6"/>
      <c r="R75" s="6"/>
      <c r="S75" s="6"/>
      <c r="T75" s="6"/>
      <c r="U75" s="6"/>
      <c r="V75" s="6"/>
      <c r="W75" s="6"/>
      <c r="X75" s="6"/>
      <c r="Y75" s="6"/>
      <c r="Z75" s="6"/>
      <c r="AA75" s="6"/>
      <c r="AB75" s="6"/>
      <c r="AC75" s="6"/>
      <c r="AD75" s="6"/>
      <c r="AE75" s="6"/>
      <c r="AF75" s="6"/>
      <c r="AG75" s="6"/>
    </row>
    <row r="76" spans="1:33" x14ac:dyDescent="0.25">
      <c r="A76" s="157">
        <f t="shared" si="3"/>
        <v>75</v>
      </c>
      <c r="B76" s="519" t="s">
        <v>2275</v>
      </c>
      <c r="C76" s="519" t="s">
        <v>2275</v>
      </c>
      <c r="D76" s="520" t="s">
        <v>5748</v>
      </c>
      <c r="E76" s="6"/>
      <c r="F76" s="7"/>
      <c r="G76" s="7" t="s">
        <v>1113</v>
      </c>
      <c r="H76" s="7"/>
      <c r="I76" s="7"/>
      <c r="J76" s="7"/>
      <c r="K76" s="7"/>
      <c r="L76" s="7"/>
      <c r="M76" s="7">
        <f t="shared" si="4"/>
        <v>0</v>
      </c>
      <c r="N76" s="6"/>
      <c r="O76" s="6"/>
      <c r="P76" s="6"/>
      <c r="Q76" s="6"/>
      <c r="R76" s="6"/>
      <c r="S76" s="6"/>
      <c r="T76" s="6"/>
      <c r="U76" s="6"/>
      <c r="V76" s="6"/>
      <c r="W76" s="6"/>
      <c r="X76" s="6"/>
      <c r="Y76" s="6"/>
      <c r="Z76" s="6"/>
      <c r="AA76" s="6"/>
      <c r="AB76" s="6"/>
      <c r="AC76" s="6"/>
      <c r="AD76" s="6"/>
      <c r="AE76" s="6"/>
      <c r="AF76" s="6"/>
      <c r="AG76" s="6"/>
    </row>
    <row r="77" spans="1:33" x14ac:dyDescent="0.25">
      <c r="A77" s="157">
        <f t="shared" si="3"/>
        <v>76</v>
      </c>
      <c r="B77" s="519" t="s">
        <v>3930</v>
      </c>
      <c r="C77" s="519" t="s">
        <v>3930</v>
      </c>
      <c r="D77" s="520" t="s">
        <v>5749</v>
      </c>
      <c r="E77" s="6"/>
      <c r="F77" s="7"/>
      <c r="G77" s="7" t="s">
        <v>1112</v>
      </c>
      <c r="H77" s="7"/>
      <c r="I77" s="7"/>
      <c r="J77" s="7"/>
      <c r="K77" s="7"/>
      <c r="L77" s="7"/>
      <c r="M77" s="7">
        <f t="shared" si="4"/>
        <v>0</v>
      </c>
      <c r="N77" s="6"/>
      <c r="O77" s="6"/>
      <c r="P77" s="6"/>
      <c r="Q77" s="6"/>
      <c r="R77" s="6"/>
      <c r="S77" s="6"/>
      <c r="T77" s="6"/>
      <c r="U77" s="6"/>
      <c r="V77" s="6"/>
      <c r="W77" s="6"/>
      <c r="X77" s="6"/>
      <c r="Y77" s="6"/>
      <c r="Z77" s="6"/>
      <c r="AA77" s="6"/>
      <c r="AB77" s="6"/>
      <c r="AC77" s="6"/>
      <c r="AD77" s="6"/>
      <c r="AE77" s="6"/>
      <c r="AF77" s="6"/>
      <c r="AG77" s="6"/>
    </row>
    <row r="78" spans="1:33" x14ac:dyDescent="0.25">
      <c r="A78" s="157">
        <f t="shared" si="3"/>
        <v>77</v>
      </c>
      <c r="B78" s="519" t="s">
        <v>2248</v>
      </c>
      <c r="C78" s="519" t="s">
        <v>2248</v>
      </c>
      <c r="D78" s="520" t="s">
        <v>3857</v>
      </c>
      <c r="E78" s="6"/>
      <c r="F78" s="7"/>
      <c r="G78" s="7" t="s">
        <v>622</v>
      </c>
      <c r="H78" s="7"/>
      <c r="I78" s="7"/>
      <c r="J78" s="7"/>
      <c r="K78" s="7" t="s">
        <v>171</v>
      </c>
      <c r="L78" s="7"/>
      <c r="M78" s="7">
        <f t="shared" si="4"/>
        <v>3</v>
      </c>
      <c r="N78" s="6" t="s">
        <v>3990</v>
      </c>
      <c r="O78" s="6" t="s">
        <v>3991</v>
      </c>
      <c r="P78" s="6" t="s">
        <v>3992</v>
      </c>
      <c r="Q78" s="6"/>
      <c r="R78" s="6"/>
      <c r="S78" s="6"/>
      <c r="T78" s="6"/>
      <c r="U78" s="6"/>
      <c r="V78" s="6"/>
      <c r="W78" s="6"/>
      <c r="X78" s="6"/>
      <c r="Y78" s="6"/>
      <c r="Z78" s="6"/>
      <c r="AA78" s="6"/>
      <c r="AB78" s="6"/>
      <c r="AC78" s="6"/>
      <c r="AD78" s="6"/>
      <c r="AE78" s="6"/>
      <c r="AF78" s="6"/>
      <c r="AG78" s="6"/>
    </row>
    <row r="79" spans="1:33" x14ac:dyDescent="0.25">
      <c r="A79" s="157">
        <f t="shared" si="3"/>
        <v>78</v>
      </c>
      <c r="B79" s="519" t="s">
        <v>5161</v>
      </c>
      <c r="C79" s="519" t="s">
        <v>3870</v>
      </c>
      <c r="D79" s="520" t="s">
        <v>3857</v>
      </c>
      <c r="E79" s="6"/>
      <c r="F79" s="7"/>
      <c r="G79" s="7" t="s">
        <v>622</v>
      </c>
      <c r="H79" s="7"/>
      <c r="I79" s="7"/>
      <c r="J79" s="7"/>
      <c r="K79" s="7"/>
      <c r="L79" s="7" t="s">
        <v>171</v>
      </c>
      <c r="M79" s="7">
        <f t="shared" si="4"/>
        <v>0</v>
      </c>
      <c r="N79" s="6"/>
      <c r="O79" s="6"/>
      <c r="P79" s="6"/>
      <c r="Q79" s="6"/>
      <c r="R79" s="6"/>
      <c r="S79" s="6"/>
      <c r="T79" s="6"/>
      <c r="U79" s="6"/>
      <c r="V79" s="6"/>
      <c r="W79" s="6"/>
      <c r="X79" s="6"/>
      <c r="Y79" s="6"/>
      <c r="Z79" s="6"/>
      <c r="AA79" s="6"/>
      <c r="AB79" s="6"/>
      <c r="AC79" s="6"/>
      <c r="AD79" s="6"/>
      <c r="AE79" s="6"/>
      <c r="AF79" s="6"/>
      <c r="AG79" s="6"/>
    </row>
    <row r="80" spans="1:33" x14ac:dyDescent="0.25">
      <c r="A80" s="157">
        <f t="shared" si="3"/>
        <v>79</v>
      </c>
      <c r="B80" s="519" t="s">
        <v>5162</v>
      </c>
      <c r="C80" s="519" t="s">
        <v>3870</v>
      </c>
      <c r="D80" s="520" t="s">
        <v>3857</v>
      </c>
      <c r="E80" s="6"/>
      <c r="F80" s="7"/>
      <c r="G80" s="7" t="s">
        <v>622</v>
      </c>
      <c r="H80" s="7"/>
      <c r="I80" s="7"/>
      <c r="J80" s="7"/>
      <c r="K80" s="7"/>
      <c r="L80" s="7" t="s">
        <v>171</v>
      </c>
      <c r="M80" s="7">
        <f t="shared" si="4"/>
        <v>0</v>
      </c>
      <c r="N80" s="6"/>
      <c r="O80" s="6"/>
      <c r="P80" s="6"/>
      <c r="Q80" s="6"/>
      <c r="R80" s="6"/>
      <c r="S80" s="6"/>
      <c r="T80" s="6"/>
      <c r="U80" s="6"/>
      <c r="V80" s="6"/>
      <c r="W80" s="6"/>
      <c r="X80" s="6"/>
      <c r="Y80" s="6"/>
      <c r="Z80" s="6"/>
      <c r="AA80" s="6"/>
      <c r="AB80" s="6"/>
      <c r="AC80" s="6"/>
      <c r="AD80" s="6"/>
      <c r="AE80" s="6"/>
      <c r="AF80" s="6"/>
      <c r="AG80" s="6"/>
    </row>
    <row r="81" spans="1:33" x14ac:dyDescent="0.25">
      <c r="A81" s="157">
        <f t="shared" si="3"/>
        <v>80</v>
      </c>
      <c r="B81" s="519" t="s">
        <v>5153</v>
      </c>
      <c r="C81" s="519" t="s">
        <v>3870</v>
      </c>
      <c r="D81" s="520" t="s">
        <v>3857</v>
      </c>
      <c r="E81" s="6"/>
      <c r="F81" s="7"/>
      <c r="G81" s="7" t="s">
        <v>622</v>
      </c>
      <c r="H81" s="7"/>
      <c r="I81" s="7"/>
      <c r="J81" s="7"/>
      <c r="K81" s="7"/>
      <c r="L81" s="7" t="s">
        <v>171</v>
      </c>
      <c r="M81" s="7">
        <f t="shared" si="4"/>
        <v>0</v>
      </c>
      <c r="N81" s="6"/>
      <c r="O81" s="6"/>
      <c r="P81" s="6"/>
      <c r="Q81" s="6"/>
      <c r="R81" s="6"/>
      <c r="S81" s="6"/>
      <c r="T81" s="6"/>
      <c r="U81" s="6"/>
      <c r="V81" s="6"/>
      <c r="W81" s="6"/>
      <c r="X81" s="6"/>
      <c r="Y81" s="6"/>
      <c r="Z81" s="6"/>
      <c r="AA81" s="6"/>
      <c r="AB81" s="6"/>
      <c r="AC81" s="6"/>
      <c r="AD81" s="6"/>
      <c r="AE81" s="6"/>
      <c r="AF81" s="6"/>
      <c r="AG81" s="6"/>
    </row>
    <row r="82" spans="1:33" x14ac:dyDescent="0.25">
      <c r="A82" s="157">
        <f t="shared" si="3"/>
        <v>81</v>
      </c>
      <c r="B82" s="519" t="s">
        <v>5154</v>
      </c>
      <c r="C82" s="519" t="s">
        <v>3870</v>
      </c>
      <c r="D82" s="520" t="s">
        <v>3857</v>
      </c>
      <c r="E82" s="6"/>
      <c r="F82" s="7"/>
      <c r="G82" s="7" t="s">
        <v>622</v>
      </c>
      <c r="H82" s="7"/>
      <c r="I82" s="7"/>
      <c r="J82" s="7"/>
      <c r="K82" s="7"/>
      <c r="L82" s="7" t="s">
        <v>171</v>
      </c>
      <c r="M82" s="7">
        <f t="shared" si="4"/>
        <v>0</v>
      </c>
      <c r="N82" s="6"/>
      <c r="O82" s="6"/>
      <c r="P82" s="6"/>
      <c r="Q82" s="6"/>
      <c r="R82" s="6"/>
      <c r="S82" s="6"/>
      <c r="T82" s="6"/>
      <c r="U82" s="6"/>
      <c r="V82" s="6"/>
      <c r="W82" s="6"/>
      <c r="X82" s="6"/>
      <c r="Y82" s="6"/>
      <c r="Z82" s="6"/>
      <c r="AA82" s="6"/>
      <c r="AB82" s="6"/>
      <c r="AC82" s="6"/>
      <c r="AD82" s="6"/>
      <c r="AE82" s="6"/>
      <c r="AF82" s="6"/>
      <c r="AG82" s="6"/>
    </row>
    <row r="83" spans="1:33" x14ac:dyDescent="0.25">
      <c r="A83" s="157">
        <f t="shared" si="3"/>
        <v>82</v>
      </c>
      <c r="B83" s="519" t="s">
        <v>5155</v>
      </c>
      <c r="C83" s="519" t="s">
        <v>3870</v>
      </c>
      <c r="D83" s="520" t="s">
        <v>3857</v>
      </c>
      <c r="E83" s="6"/>
      <c r="F83" s="7"/>
      <c r="G83" s="7" t="s">
        <v>622</v>
      </c>
      <c r="H83" s="7"/>
      <c r="I83" s="7"/>
      <c r="J83" s="7"/>
      <c r="K83" s="7"/>
      <c r="L83" s="7" t="s">
        <v>171</v>
      </c>
      <c r="M83" s="7">
        <f t="shared" si="4"/>
        <v>0</v>
      </c>
      <c r="N83" s="6"/>
      <c r="O83" s="6"/>
      <c r="P83" s="6"/>
      <c r="Q83" s="6"/>
      <c r="R83" s="6"/>
      <c r="S83" s="6"/>
      <c r="T83" s="6"/>
      <c r="U83" s="6"/>
      <c r="V83" s="6"/>
      <c r="W83" s="6"/>
      <c r="X83" s="6"/>
      <c r="Y83" s="6"/>
      <c r="Z83" s="6"/>
      <c r="AA83" s="6"/>
      <c r="AB83" s="6"/>
      <c r="AC83" s="6"/>
      <c r="AD83" s="6"/>
      <c r="AE83" s="6"/>
      <c r="AF83" s="6"/>
      <c r="AG83" s="6"/>
    </row>
    <row r="84" spans="1:33" x14ac:dyDescent="0.25">
      <c r="A84" s="157">
        <f t="shared" si="3"/>
        <v>83</v>
      </c>
      <c r="B84" s="519" t="s">
        <v>5156</v>
      </c>
      <c r="C84" s="519" t="s">
        <v>3870</v>
      </c>
      <c r="D84" s="520" t="s">
        <v>3857</v>
      </c>
      <c r="E84" s="6"/>
      <c r="F84" s="7"/>
      <c r="G84" s="7" t="s">
        <v>622</v>
      </c>
      <c r="H84" s="7"/>
      <c r="I84" s="7"/>
      <c r="J84" s="7"/>
      <c r="K84" s="7"/>
      <c r="L84" s="7" t="s">
        <v>171</v>
      </c>
      <c r="M84" s="7">
        <f t="shared" si="4"/>
        <v>0</v>
      </c>
      <c r="N84" s="6"/>
      <c r="O84" s="6"/>
      <c r="P84" s="6"/>
      <c r="Q84" s="6"/>
      <c r="R84" s="6"/>
      <c r="S84" s="6"/>
      <c r="T84" s="6"/>
      <c r="U84" s="6"/>
      <c r="V84" s="6"/>
      <c r="W84" s="6"/>
      <c r="X84" s="6"/>
      <c r="Y84" s="6"/>
      <c r="Z84" s="6"/>
      <c r="AA84" s="6"/>
      <c r="AB84" s="6"/>
      <c r="AC84" s="6"/>
      <c r="AD84" s="6"/>
      <c r="AE84" s="6"/>
      <c r="AF84" s="6"/>
      <c r="AG84" s="6"/>
    </row>
    <row r="85" spans="1:33" x14ac:dyDescent="0.25">
      <c r="A85" s="157">
        <f t="shared" si="3"/>
        <v>84</v>
      </c>
      <c r="B85" s="519" t="s">
        <v>2274</v>
      </c>
      <c r="C85" s="519" t="s">
        <v>2274</v>
      </c>
      <c r="D85" s="520" t="s">
        <v>5750</v>
      </c>
      <c r="E85" s="6"/>
      <c r="F85" s="7"/>
      <c r="G85" s="7" t="s">
        <v>623</v>
      </c>
      <c r="H85" s="7"/>
      <c r="I85" s="7"/>
      <c r="J85" s="7"/>
      <c r="K85" s="7"/>
      <c r="L85" s="7"/>
      <c r="M85" s="7">
        <f t="shared" si="4"/>
        <v>0</v>
      </c>
      <c r="N85" s="6"/>
      <c r="O85" s="6"/>
      <c r="P85" s="6"/>
      <c r="Q85" s="6"/>
      <c r="R85" s="6"/>
      <c r="S85" s="6"/>
      <c r="T85" s="6"/>
      <c r="U85" s="6"/>
      <c r="V85" s="6"/>
      <c r="W85" s="6"/>
      <c r="X85" s="6"/>
      <c r="Y85" s="6"/>
      <c r="Z85" s="6"/>
      <c r="AA85" s="6"/>
      <c r="AB85" s="6"/>
      <c r="AC85" s="6"/>
      <c r="AD85" s="6"/>
      <c r="AE85" s="6"/>
      <c r="AF85" s="6"/>
      <c r="AG85" s="6"/>
    </row>
    <row r="86" spans="1:33" x14ac:dyDescent="0.25">
      <c r="A86" s="157">
        <f t="shared" si="3"/>
        <v>85</v>
      </c>
      <c r="B86" s="519" t="s">
        <v>3882</v>
      </c>
      <c r="C86" s="519" t="s">
        <v>3882</v>
      </c>
      <c r="D86" s="520" t="s">
        <v>3857</v>
      </c>
      <c r="E86" s="6"/>
      <c r="F86" s="7"/>
      <c r="G86" s="7" t="s">
        <v>626</v>
      </c>
      <c r="H86" s="7"/>
      <c r="I86" s="7"/>
      <c r="J86" s="7"/>
      <c r="K86" s="7"/>
      <c r="L86" s="7"/>
      <c r="M86" s="7">
        <f t="shared" si="4"/>
        <v>0</v>
      </c>
      <c r="N86" s="6"/>
      <c r="O86" s="6"/>
      <c r="P86" s="6"/>
      <c r="Q86" s="6"/>
      <c r="R86" s="6"/>
      <c r="S86" s="6"/>
      <c r="T86" s="6"/>
      <c r="U86" s="6"/>
      <c r="V86" s="6"/>
      <c r="W86" s="6"/>
      <c r="X86" s="6"/>
      <c r="Y86" s="6"/>
      <c r="Z86" s="6"/>
      <c r="AA86" s="6"/>
      <c r="AB86" s="6"/>
      <c r="AC86" s="6"/>
      <c r="AD86" s="6"/>
      <c r="AE86" s="6"/>
      <c r="AF86" s="6"/>
      <c r="AG86" s="6"/>
    </row>
    <row r="87" spans="1:33" x14ac:dyDescent="0.25">
      <c r="A87" s="157">
        <f t="shared" si="3"/>
        <v>86</v>
      </c>
      <c r="B87" s="519" t="s">
        <v>3879</v>
      </c>
      <c r="C87" s="519" t="s">
        <v>3879</v>
      </c>
      <c r="D87" s="520" t="s">
        <v>3857</v>
      </c>
      <c r="E87" s="6"/>
      <c r="F87" s="7"/>
      <c r="G87" s="7" t="s">
        <v>623</v>
      </c>
      <c r="H87" s="7"/>
      <c r="I87" s="7"/>
      <c r="J87" s="7"/>
      <c r="K87" s="7" t="s">
        <v>171</v>
      </c>
      <c r="L87" s="7"/>
      <c r="M87" s="7">
        <f t="shared" si="4"/>
        <v>3</v>
      </c>
      <c r="N87" s="6" t="s">
        <v>3993</v>
      </c>
      <c r="O87" s="6" t="s">
        <v>3994</v>
      </c>
      <c r="P87" s="6" t="s">
        <v>3995</v>
      </c>
      <c r="Q87" s="6"/>
      <c r="R87" s="6"/>
      <c r="S87" s="6"/>
      <c r="T87" s="6"/>
      <c r="U87" s="6"/>
      <c r="V87" s="6"/>
      <c r="W87" s="6"/>
      <c r="X87" s="6"/>
      <c r="Y87" s="6"/>
      <c r="Z87" s="6"/>
      <c r="AA87" s="6"/>
      <c r="AB87" s="6"/>
      <c r="AC87" s="6"/>
      <c r="AD87" s="6"/>
      <c r="AE87" s="6"/>
      <c r="AF87" s="6"/>
      <c r="AG87" s="6"/>
    </row>
    <row r="88" spans="1:33" x14ac:dyDescent="0.25">
      <c r="A88" s="157">
        <f t="shared" si="3"/>
        <v>87</v>
      </c>
      <c r="B88" s="519" t="s">
        <v>5263</v>
      </c>
      <c r="C88" s="519" t="s">
        <v>3941</v>
      </c>
      <c r="D88" s="520" t="s">
        <v>3857</v>
      </c>
      <c r="E88" s="6"/>
      <c r="F88" s="7"/>
      <c r="G88" s="7" t="s">
        <v>623</v>
      </c>
      <c r="H88" s="7"/>
      <c r="I88" s="7"/>
      <c r="J88" s="7"/>
      <c r="K88" s="7"/>
      <c r="L88" s="7" t="s">
        <v>171</v>
      </c>
      <c r="M88" s="7">
        <f t="shared" si="4"/>
        <v>0</v>
      </c>
      <c r="N88" s="6"/>
      <c r="O88" s="6"/>
      <c r="P88" s="6"/>
      <c r="Q88" s="6"/>
      <c r="R88" s="6"/>
      <c r="S88" s="6"/>
      <c r="T88" s="6"/>
      <c r="U88" s="6"/>
      <c r="V88" s="6"/>
      <c r="W88" s="6"/>
      <c r="X88" s="6"/>
      <c r="Y88" s="6"/>
      <c r="Z88" s="6"/>
      <c r="AA88" s="6"/>
      <c r="AB88" s="6"/>
      <c r="AC88" s="6"/>
      <c r="AD88" s="6"/>
      <c r="AE88" s="6"/>
      <c r="AF88" s="6"/>
      <c r="AG88" s="6"/>
    </row>
    <row r="89" spans="1:33" x14ac:dyDescent="0.25">
      <c r="A89" s="157">
        <f t="shared" si="3"/>
        <v>88</v>
      </c>
      <c r="B89" s="519" t="s">
        <v>5264</v>
      </c>
      <c r="C89" s="519" t="s">
        <v>3941</v>
      </c>
      <c r="D89" s="520" t="s">
        <v>3857</v>
      </c>
      <c r="E89" s="6"/>
      <c r="F89" s="7"/>
      <c r="G89" s="7" t="s">
        <v>623</v>
      </c>
      <c r="H89" s="7"/>
      <c r="I89" s="7"/>
      <c r="J89" s="7"/>
      <c r="K89" s="7"/>
      <c r="L89" s="7" t="s">
        <v>171</v>
      </c>
      <c r="M89" s="7">
        <f t="shared" si="4"/>
        <v>0</v>
      </c>
      <c r="N89" s="6"/>
      <c r="O89" s="6"/>
      <c r="P89" s="6"/>
      <c r="Q89" s="6"/>
      <c r="R89" s="6"/>
      <c r="S89" s="6"/>
      <c r="T89" s="6"/>
      <c r="U89" s="6"/>
      <c r="V89" s="6"/>
      <c r="W89" s="6"/>
      <c r="X89" s="6"/>
      <c r="Y89" s="6"/>
      <c r="Z89" s="6"/>
      <c r="AA89" s="6"/>
      <c r="AB89" s="6"/>
      <c r="AC89" s="6"/>
      <c r="AD89" s="6"/>
      <c r="AE89" s="6"/>
      <c r="AF89" s="6"/>
      <c r="AG89" s="6"/>
    </row>
    <row r="90" spans="1:33" x14ac:dyDescent="0.25">
      <c r="A90" s="157">
        <f t="shared" si="3"/>
        <v>89</v>
      </c>
      <c r="B90" s="519" t="s">
        <v>5265</v>
      </c>
      <c r="C90" s="519" t="s">
        <v>3941</v>
      </c>
      <c r="D90" s="520" t="s">
        <v>3857</v>
      </c>
      <c r="E90" s="6"/>
      <c r="F90" s="7"/>
      <c r="G90" s="7" t="s">
        <v>623</v>
      </c>
      <c r="H90" s="7"/>
      <c r="I90" s="7"/>
      <c r="J90" s="7"/>
      <c r="K90" s="7"/>
      <c r="L90" s="7" t="s">
        <v>171</v>
      </c>
      <c r="M90" s="7">
        <f t="shared" si="4"/>
        <v>0</v>
      </c>
      <c r="N90" s="6"/>
      <c r="O90" s="6"/>
      <c r="P90" s="6"/>
      <c r="Q90" s="6"/>
      <c r="R90" s="6"/>
      <c r="S90" s="6"/>
      <c r="T90" s="6"/>
      <c r="U90" s="6"/>
      <c r="V90" s="6"/>
      <c r="W90" s="6"/>
      <c r="X90" s="6"/>
      <c r="Y90" s="6"/>
      <c r="Z90" s="6"/>
      <c r="AA90" s="6"/>
      <c r="AB90" s="6"/>
      <c r="AC90" s="6"/>
      <c r="AD90" s="6"/>
      <c r="AE90" s="6"/>
      <c r="AF90" s="6"/>
      <c r="AG90" s="6"/>
    </row>
    <row r="91" spans="1:33" x14ac:dyDescent="0.25">
      <c r="A91" s="157">
        <f t="shared" si="3"/>
        <v>90</v>
      </c>
      <c r="B91" s="519" t="s">
        <v>5266</v>
      </c>
      <c r="C91" s="519" t="s">
        <v>3941</v>
      </c>
      <c r="D91" s="520" t="s">
        <v>3857</v>
      </c>
      <c r="E91" s="6"/>
      <c r="F91" s="7"/>
      <c r="G91" s="7" t="s">
        <v>623</v>
      </c>
      <c r="H91" s="7"/>
      <c r="I91" s="7"/>
      <c r="J91" s="7"/>
      <c r="K91" s="7"/>
      <c r="L91" s="7" t="s">
        <v>171</v>
      </c>
      <c r="M91" s="7">
        <f t="shared" si="4"/>
        <v>0</v>
      </c>
      <c r="N91" s="6"/>
      <c r="O91" s="6"/>
      <c r="P91" s="6"/>
      <c r="Q91" s="6"/>
      <c r="R91" s="6"/>
      <c r="S91" s="6"/>
      <c r="T91" s="6"/>
      <c r="U91" s="6"/>
      <c r="V91" s="6"/>
      <c r="W91" s="6"/>
      <c r="X91" s="6"/>
      <c r="Y91" s="6"/>
      <c r="Z91" s="6"/>
      <c r="AA91" s="6"/>
      <c r="AB91" s="6"/>
      <c r="AC91" s="6"/>
      <c r="AD91" s="6"/>
      <c r="AE91" s="6"/>
      <c r="AF91" s="6"/>
      <c r="AG91" s="6"/>
    </row>
    <row r="92" spans="1:33" x14ac:dyDescent="0.25">
      <c r="A92" s="157">
        <f t="shared" si="3"/>
        <v>91</v>
      </c>
      <c r="B92" s="519" t="s">
        <v>4022</v>
      </c>
      <c r="C92" s="519" t="s">
        <v>4022</v>
      </c>
      <c r="D92" s="520" t="s">
        <v>5751</v>
      </c>
      <c r="E92" s="6"/>
      <c r="F92" s="7"/>
      <c r="G92" s="7" t="s">
        <v>627</v>
      </c>
      <c r="H92" s="7"/>
      <c r="I92" s="7"/>
      <c r="J92" s="7"/>
      <c r="K92" s="7"/>
      <c r="L92" s="7"/>
      <c r="M92" s="7">
        <f t="shared" si="4"/>
        <v>0</v>
      </c>
      <c r="N92" s="6"/>
      <c r="O92" s="6"/>
      <c r="P92" s="6"/>
      <c r="Q92" s="6"/>
      <c r="R92" s="6"/>
      <c r="S92" s="6"/>
      <c r="T92" s="6"/>
      <c r="U92" s="6"/>
      <c r="V92" s="6"/>
      <c r="W92" s="6"/>
      <c r="X92" s="6"/>
      <c r="Y92" s="6"/>
      <c r="Z92" s="6"/>
      <c r="AA92" s="6"/>
      <c r="AB92" s="6"/>
      <c r="AC92" s="6"/>
      <c r="AD92" s="6"/>
      <c r="AE92" s="6"/>
      <c r="AF92" s="6"/>
      <c r="AG92" s="6"/>
    </row>
    <row r="93" spans="1:33" x14ac:dyDescent="0.25">
      <c r="A93" s="157">
        <f t="shared" si="3"/>
        <v>92</v>
      </c>
      <c r="B93" s="519" t="s">
        <v>2277</v>
      </c>
      <c r="C93" s="519" t="s">
        <v>2277</v>
      </c>
      <c r="D93" s="520" t="s">
        <v>5752</v>
      </c>
      <c r="E93" s="6"/>
      <c r="F93" s="7"/>
      <c r="G93" s="7" t="s">
        <v>624</v>
      </c>
      <c r="H93" s="7"/>
      <c r="I93" s="7"/>
      <c r="J93" s="7"/>
      <c r="K93" s="7"/>
      <c r="L93" s="7"/>
      <c r="M93" s="7">
        <f t="shared" si="4"/>
        <v>8</v>
      </c>
      <c r="N93" s="6" t="s">
        <v>3996</v>
      </c>
      <c r="O93" s="6" t="s">
        <v>3997</v>
      </c>
      <c r="P93" s="6" t="s">
        <v>3998</v>
      </c>
      <c r="Q93" s="6" t="s">
        <v>3999</v>
      </c>
      <c r="R93" s="6" t="s">
        <v>4000</v>
      </c>
      <c r="S93" s="6" t="s">
        <v>4001</v>
      </c>
      <c r="T93" s="6" t="s">
        <v>4002</v>
      </c>
      <c r="U93" s="6" t="s">
        <v>4003</v>
      </c>
      <c r="V93" s="6"/>
      <c r="W93" s="6"/>
      <c r="X93" s="6"/>
      <c r="Y93" s="6"/>
      <c r="Z93" s="6"/>
      <c r="AA93" s="6"/>
      <c r="AB93" s="6"/>
      <c r="AC93" s="6"/>
      <c r="AD93" s="6"/>
      <c r="AE93" s="6"/>
      <c r="AF93" s="6"/>
      <c r="AG93" s="6"/>
    </row>
    <row r="94" spans="1:33" x14ac:dyDescent="0.25">
      <c r="A94" s="157">
        <f t="shared" si="3"/>
        <v>93</v>
      </c>
      <c r="B94" s="519" t="s">
        <v>2283</v>
      </c>
      <c r="C94" s="519" t="s">
        <v>2283</v>
      </c>
      <c r="D94" s="520" t="s">
        <v>3857</v>
      </c>
      <c r="E94" s="6"/>
      <c r="F94" s="7"/>
      <c r="G94" s="7" t="s">
        <v>627</v>
      </c>
      <c r="H94" s="7"/>
      <c r="I94" s="7"/>
      <c r="J94" s="7"/>
      <c r="K94" s="7" t="s">
        <v>171</v>
      </c>
      <c r="L94" s="7"/>
      <c r="M94" s="7">
        <f t="shared" si="4"/>
        <v>3</v>
      </c>
      <c r="N94" s="6" t="s">
        <v>4004</v>
      </c>
      <c r="O94" s="6" t="s">
        <v>4005</v>
      </c>
      <c r="P94" s="6" t="s">
        <v>4006</v>
      </c>
      <c r="Q94" s="6"/>
      <c r="R94" s="6"/>
      <c r="S94" s="6"/>
      <c r="T94" s="6"/>
      <c r="U94" s="6"/>
      <c r="V94" s="6"/>
      <c r="W94" s="6"/>
      <c r="X94" s="6"/>
      <c r="Y94" s="6"/>
      <c r="Z94" s="6"/>
      <c r="AA94" s="6"/>
      <c r="AB94" s="6"/>
      <c r="AC94" s="6"/>
      <c r="AD94" s="6"/>
      <c r="AE94" s="6"/>
      <c r="AF94" s="6"/>
      <c r="AG94" s="6"/>
    </row>
    <row r="95" spans="1:33" x14ac:dyDescent="0.25">
      <c r="A95" s="157">
        <f t="shared" si="3"/>
        <v>94</v>
      </c>
      <c r="B95" s="519" t="s">
        <v>5293</v>
      </c>
      <c r="C95" s="519" t="s">
        <v>3965</v>
      </c>
      <c r="D95" s="520" t="s">
        <v>3857</v>
      </c>
      <c r="E95" s="6"/>
      <c r="F95" s="7"/>
      <c r="G95" s="7" t="s">
        <v>627</v>
      </c>
      <c r="H95" s="7"/>
      <c r="I95" s="7"/>
      <c r="J95" s="7"/>
      <c r="K95" s="7"/>
      <c r="L95" s="7" t="s">
        <v>171</v>
      </c>
      <c r="M95" s="7">
        <f t="shared" si="4"/>
        <v>0</v>
      </c>
      <c r="N95" s="6"/>
      <c r="O95" s="6"/>
      <c r="P95" s="6"/>
      <c r="Q95" s="6"/>
      <c r="R95" s="6"/>
      <c r="S95" s="6"/>
      <c r="T95" s="6"/>
      <c r="U95" s="6"/>
      <c r="V95" s="6"/>
      <c r="W95" s="6"/>
      <c r="X95" s="6"/>
      <c r="Y95" s="6"/>
      <c r="Z95" s="6"/>
      <c r="AA95" s="6"/>
      <c r="AB95" s="6"/>
      <c r="AC95" s="6"/>
      <c r="AD95" s="6"/>
      <c r="AE95" s="6"/>
      <c r="AF95" s="6"/>
      <c r="AG95" s="6"/>
    </row>
    <row r="96" spans="1:33" x14ac:dyDescent="0.25">
      <c r="A96" s="157">
        <f t="shared" si="3"/>
        <v>95</v>
      </c>
      <c r="B96" s="519" t="s">
        <v>5294</v>
      </c>
      <c r="C96" s="519" t="s">
        <v>3965</v>
      </c>
      <c r="D96" s="520" t="s">
        <v>3857</v>
      </c>
      <c r="E96" s="6"/>
      <c r="F96" s="7"/>
      <c r="G96" s="7" t="s">
        <v>627</v>
      </c>
      <c r="H96" s="7"/>
      <c r="I96" s="7"/>
      <c r="J96" s="7"/>
      <c r="K96" s="7"/>
      <c r="L96" s="7" t="s">
        <v>171</v>
      </c>
      <c r="M96" s="7">
        <f t="shared" si="4"/>
        <v>0</v>
      </c>
      <c r="N96" s="6"/>
      <c r="O96" s="6"/>
      <c r="P96" s="6"/>
      <c r="Q96" s="6"/>
      <c r="R96" s="6"/>
      <c r="S96" s="6"/>
      <c r="T96" s="6"/>
      <c r="U96" s="6"/>
      <c r="V96" s="6"/>
      <c r="W96" s="6"/>
      <c r="X96" s="6"/>
      <c r="Y96" s="6"/>
      <c r="Z96" s="6"/>
      <c r="AA96" s="6"/>
      <c r="AB96" s="6"/>
      <c r="AC96" s="6"/>
      <c r="AD96" s="6"/>
      <c r="AE96" s="6"/>
      <c r="AF96" s="6"/>
      <c r="AG96" s="6"/>
    </row>
    <row r="97" spans="1:33" x14ac:dyDescent="0.25">
      <c r="A97" s="157">
        <f t="shared" si="3"/>
        <v>96</v>
      </c>
      <c r="B97" s="519" t="s">
        <v>5295</v>
      </c>
      <c r="C97" s="519" t="s">
        <v>3965</v>
      </c>
      <c r="D97" s="520" t="s">
        <v>3857</v>
      </c>
      <c r="E97" s="6"/>
      <c r="F97" s="7"/>
      <c r="G97" s="7" t="s">
        <v>627</v>
      </c>
      <c r="H97" s="7"/>
      <c r="I97" s="7"/>
      <c r="J97" s="7"/>
      <c r="K97" s="7"/>
      <c r="L97" s="7" t="s">
        <v>171</v>
      </c>
      <c r="M97" s="7">
        <f t="shared" si="4"/>
        <v>0</v>
      </c>
      <c r="N97" s="6"/>
      <c r="O97" s="6"/>
      <c r="P97" s="6"/>
      <c r="Q97" s="6"/>
      <c r="R97" s="6"/>
      <c r="S97" s="6"/>
      <c r="T97" s="6"/>
      <c r="U97" s="6"/>
      <c r="V97" s="6"/>
      <c r="W97" s="6"/>
      <c r="X97" s="6"/>
      <c r="Y97" s="6"/>
      <c r="Z97" s="6"/>
      <c r="AA97" s="6"/>
      <c r="AB97" s="6"/>
      <c r="AC97" s="6"/>
      <c r="AD97" s="6"/>
      <c r="AE97" s="6"/>
      <c r="AF97" s="6"/>
      <c r="AG97" s="6"/>
    </row>
    <row r="98" spans="1:33" x14ac:dyDescent="0.25">
      <c r="A98" s="157">
        <f t="shared" si="3"/>
        <v>97</v>
      </c>
      <c r="B98" s="519" t="s">
        <v>5296</v>
      </c>
      <c r="C98" s="519" t="s">
        <v>3965</v>
      </c>
      <c r="D98" s="520" t="s">
        <v>3857</v>
      </c>
      <c r="E98" s="6"/>
      <c r="F98" s="7"/>
      <c r="G98" s="7" t="s">
        <v>627</v>
      </c>
      <c r="H98" s="7"/>
      <c r="I98" s="7"/>
      <c r="J98" s="7"/>
      <c r="K98" s="7"/>
      <c r="L98" s="7" t="s">
        <v>171</v>
      </c>
      <c r="M98" s="7">
        <f t="shared" si="4"/>
        <v>0</v>
      </c>
      <c r="N98" s="6"/>
      <c r="O98" s="6"/>
      <c r="P98" s="6"/>
      <c r="Q98" s="6"/>
      <c r="R98" s="6"/>
      <c r="S98" s="6"/>
      <c r="T98" s="6"/>
      <c r="U98" s="6"/>
      <c r="V98" s="6"/>
      <c r="W98" s="6"/>
      <c r="X98" s="6"/>
      <c r="Y98" s="6"/>
      <c r="Z98" s="6"/>
      <c r="AA98" s="6"/>
      <c r="AB98" s="6"/>
      <c r="AC98" s="6"/>
      <c r="AD98" s="6"/>
      <c r="AE98" s="6"/>
      <c r="AF98" s="6"/>
      <c r="AG98" s="6"/>
    </row>
    <row r="99" spans="1:33" x14ac:dyDescent="0.25">
      <c r="A99" s="157">
        <f t="shared" ref="A99:A130" si="5">IF(B99="","",1+A98)</f>
        <v>98</v>
      </c>
      <c r="B99" s="519" t="s">
        <v>5297</v>
      </c>
      <c r="C99" s="519" t="s">
        <v>3965</v>
      </c>
      <c r="D99" s="520" t="s">
        <v>3857</v>
      </c>
      <c r="E99" s="6"/>
      <c r="F99" s="7"/>
      <c r="G99" s="7" t="s">
        <v>627</v>
      </c>
      <c r="H99" s="7"/>
      <c r="I99" s="7"/>
      <c r="J99" s="7"/>
      <c r="K99" s="7"/>
      <c r="L99" s="7" t="s">
        <v>171</v>
      </c>
      <c r="M99" s="7">
        <f t="shared" si="4"/>
        <v>0</v>
      </c>
      <c r="N99" s="6"/>
      <c r="O99" s="6"/>
      <c r="P99" s="6"/>
      <c r="Q99" s="6"/>
      <c r="R99" s="6"/>
      <c r="S99" s="6"/>
      <c r="T99" s="6"/>
      <c r="U99" s="6"/>
      <c r="V99" s="6"/>
      <c r="W99" s="6"/>
      <c r="X99" s="6"/>
      <c r="Y99" s="6"/>
      <c r="Z99" s="6"/>
      <c r="AA99" s="6"/>
      <c r="AB99" s="6"/>
      <c r="AC99" s="6"/>
      <c r="AD99" s="6"/>
      <c r="AE99" s="6"/>
      <c r="AF99" s="6"/>
      <c r="AG99" s="6"/>
    </row>
    <row r="100" spans="1:33" x14ac:dyDescent="0.25">
      <c r="A100" s="157">
        <f t="shared" si="5"/>
        <v>99</v>
      </c>
      <c r="B100" s="519" t="s">
        <v>3884</v>
      </c>
      <c r="C100" s="519" t="s">
        <v>3884</v>
      </c>
      <c r="D100" s="520" t="s">
        <v>5614</v>
      </c>
      <c r="E100" s="6"/>
      <c r="F100" s="7"/>
      <c r="G100" s="7" t="s">
        <v>627</v>
      </c>
      <c r="H100" s="7"/>
      <c r="I100" s="7"/>
      <c r="J100" s="7"/>
      <c r="K100" s="7"/>
      <c r="L100" s="7"/>
      <c r="M100" s="7">
        <f t="shared" si="4"/>
        <v>3</v>
      </c>
      <c r="N100" s="6" t="s">
        <v>4007</v>
      </c>
      <c r="O100" s="6" t="s">
        <v>4008</v>
      </c>
      <c r="P100" s="6" t="s">
        <v>4009</v>
      </c>
      <c r="Q100" s="6"/>
      <c r="R100" s="6"/>
      <c r="S100" s="6"/>
      <c r="T100" s="6"/>
      <c r="U100" s="6"/>
      <c r="V100" s="6"/>
      <c r="W100" s="6"/>
      <c r="X100" s="6"/>
      <c r="Y100" s="6"/>
      <c r="Z100" s="6"/>
      <c r="AA100" s="6"/>
      <c r="AB100" s="6"/>
      <c r="AC100" s="6"/>
      <c r="AD100" s="6"/>
      <c r="AE100" s="6"/>
      <c r="AF100" s="6"/>
      <c r="AG100" s="6"/>
    </row>
    <row r="101" spans="1:33" x14ac:dyDescent="0.25">
      <c r="A101" s="157">
        <f t="shared" si="5"/>
        <v>100</v>
      </c>
      <c r="B101" s="519" t="s">
        <v>3949</v>
      </c>
      <c r="C101" s="519" t="s">
        <v>3949</v>
      </c>
      <c r="D101" s="520" t="s">
        <v>5533</v>
      </c>
      <c r="E101" s="6"/>
      <c r="F101" s="7"/>
      <c r="G101" s="7" t="s">
        <v>623</v>
      </c>
      <c r="H101" s="7"/>
      <c r="I101" s="7"/>
      <c r="J101" s="7"/>
      <c r="K101" s="7"/>
      <c r="L101" s="7"/>
      <c r="M101" s="7">
        <f t="shared" si="4"/>
        <v>0</v>
      </c>
      <c r="N101" s="6"/>
      <c r="O101" s="6"/>
      <c r="P101" s="6"/>
      <c r="Q101" s="6"/>
      <c r="R101" s="6"/>
      <c r="S101" s="6"/>
      <c r="T101" s="6"/>
      <c r="U101" s="6"/>
      <c r="V101" s="6"/>
      <c r="W101" s="6"/>
      <c r="X101" s="6"/>
      <c r="Y101" s="6"/>
      <c r="Z101" s="6"/>
      <c r="AA101" s="6"/>
      <c r="AB101" s="6"/>
      <c r="AC101" s="6"/>
      <c r="AD101" s="6"/>
      <c r="AE101" s="6"/>
      <c r="AF101" s="6"/>
      <c r="AG101" s="6"/>
    </row>
    <row r="102" spans="1:33" x14ac:dyDescent="0.25">
      <c r="A102" s="157">
        <f t="shared" si="5"/>
        <v>101</v>
      </c>
      <c r="B102" s="519" t="s">
        <v>3923</v>
      </c>
      <c r="C102" s="519" t="s">
        <v>3923</v>
      </c>
      <c r="D102" s="520" t="s">
        <v>5449</v>
      </c>
      <c r="E102" s="6"/>
      <c r="F102" s="7"/>
      <c r="G102" s="7" t="s">
        <v>619</v>
      </c>
      <c r="H102" s="7"/>
      <c r="I102" s="7"/>
      <c r="J102" s="7"/>
      <c r="K102" s="7"/>
      <c r="L102" s="7"/>
      <c r="M102" s="7">
        <f t="shared" si="4"/>
        <v>0</v>
      </c>
      <c r="N102" s="6"/>
      <c r="O102" s="6"/>
      <c r="P102" s="6"/>
      <c r="Q102" s="6"/>
      <c r="R102" s="6"/>
      <c r="S102" s="6"/>
      <c r="T102" s="6"/>
      <c r="U102" s="6"/>
      <c r="V102" s="6"/>
      <c r="W102" s="6"/>
      <c r="X102" s="6"/>
      <c r="Y102" s="6"/>
      <c r="Z102" s="6"/>
      <c r="AA102" s="6"/>
      <c r="AB102" s="6"/>
      <c r="AC102" s="6"/>
      <c r="AD102" s="6"/>
      <c r="AE102" s="6"/>
      <c r="AF102" s="6"/>
      <c r="AG102" s="6"/>
    </row>
    <row r="103" spans="1:33" x14ac:dyDescent="0.25">
      <c r="A103" s="157">
        <f t="shared" si="5"/>
        <v>102</v>
      </c>
      <c r="B103" s="519" t="s">
        <v>3925</v>
      </c>
      <c r="C103" s="519" t="s">
        <v>3925</v>
      </c>
      <c r="D103" s="520" t="s">
        <v>5451</v>
      </c>
      <c r="E103" s="6"/>
      <c r="F103" s="7"/>
      <c r="G103" s="7" t="s">
        <v>619</v>
      </c>
      <c r="H103" s="7"/>
      <c r="I103" s="7"/>
      <c r="J103" s="7"/>
      <c r="K103" s="7"/>
      <c r="L103" s="7"/>
      <c r="M103" s="7">
        <f t="shared" si="4"/>
        <v>0</v>
      </c>
      <c r="N103" s="6"/>
      <c r="O103" s="6"/>
      <c r="P103" s="6"/>
      <c r="Q103" s="6"/>
      <c r="R103" s="6"/>
      <c r="S103" s="6"/>
      <c r="T103" s="6"/>
      <c r="U103" s="6"/>
      <c r="V103" s="6"/>
      <c r="W103" s="6"/>
      <c r="X103" s="6"/>
      <c r="Y103" s="6"/>
      <c r="Z103" s="6"/>
      <c r="AA103" s="6"/>
      <c r="AB103" s="6"/>
      <c r="AC103" s="6"/>
      <c r="AD103" s="6"/>
      <c r="AE103" s="6"/>
      <c r="AF103" s="6"/>
      <c r="AG103" s="6"/>
    </row>
    <row r="104" spans="1:33" x14ac:dyDescent="0.25">
      <c r="A104" s="157">
        <f t="shared" si="5"/>
        <v>103</v>
      </c>
      <c r="B104" s="519" t="s">
        <v>3875</v>
      </c>
      <c r="C104" s="519" t="s">
        <v>3875</v>
      </c>
      <c r="D104" s="520" t="s">
        <v>3857</v>
      </c>
      <c r="E104" s="6"/>
      <c r="F104" s="7"/>
      <c r="G104" s="7" t="s">
        <v>619</v>
      </c>
      <c r="H104" s="7"/>
      <c r="I104" s="7"/>
      <c r="J104" s="7"/>
      <c r="K104" s="7" t="s">
        <v>171</v>
      </c>
      <c r="L104" s="7"/>
      <c r="M104" s="7">
        <f t="shared" si="4"/>
        <v>2</v>
      </c>
      <c r="N104" s="6" t="s">
        <v>4010</v>
      </c>
      <c r="O104" s="6" t="s">
        <v>4011</v>
      </c>
      <c r="P104" s="6"/>
      <c r="Q104" s="6"/>
      <c r="R104" s="6"/>
      <c r="S104" s="6"/>
      <c r="T104" s="6"/>
      <c r="U104" s="6"/>
      <c r="V104" s="6"/>
      <c r="W104" s="6"/>
      <c r="X104" s="6"/>
      <c r="Y104" s="6"/>
      <c r="Z104" s="6"/>
      <c r="AA104" s="6"/>
      <c r="AB104" s="6"/>
      <c r="AC104" s="6"/>
      <c r="AD104" s="6"/>
      <c r="AE104" s="6"/>
      <c r="AF104" s="6"/>
      <c r="AG104" s="6"/>
    </row>
    <row r="105" spans="1:33" x14ac:dyDescent="0.25">
      <c r="A105" s="157">
        <f t="shared" si="5"/>
        <v>104</v>
      </c>
      <c r="B105" s="519" t="s">
        <v>5317</v>
      </c>
      <c r="C105" s="519" t="s">
        <v>5322</v>
      </c>
      <c r="D105" s="520" t="s">
        <v>3857</v>
      </c>
      <c r="E105" s="6"/>
      <c r="F105" s="7"/>
      <c r="G105" s="7" t="s">
        <v>619</v>
      </c>
      <c r="H105" s="7"/>
      <c r="I105" s="7"/>
      <c r="J105" s="7"/>
      <c r="K105" s="7"/>
      <c r="L105" s="7" t="s">
        <v>171</v>
      </c>
      <c r="M105" s="7">
        <f t="shared" si="4"/>
        <v>0</v>
      </c>
      <c r="N105" s="6"/>
      <c r="O105" s="6"/>
      <c r="P105" s="6"/>
      <c r="Q105" s="6"/>
      <c r="R105" s="6"/>
      <c r="S105" s="6"/>
      <c r="T105" s="6"/>
      <c r="U105" s="6"/>
      <c r="V105" s="6"/>
      <c r="W105" s="6"/>
      <c r="X105" s="6"/>
      <c r="Y105" s="6"/>
      <c r="Z105" s="6"/>
      <c r="AA105" s="6"/>
      <c r="AB105" s="6"/>
      <c r="AC105" s="6"/>
      <c r="AD105" s="6"/>
      <c r="AE105" s="6"/>
      <c r="AF105" s="6"/>
      <c r="AG105" s="6"/>
    </row>
    <row r="106" spans="1:33" x14ac:dyDescent="0.25">
      <c r="A106" s="157">
        <f t="shared" si="5"/>
        <v>105</v>
      </c>
      <c r="B106" s="519" t="s">
        <v>5318</v>
      </c>
      <c r="C106" s="519" t="s">
        <v>5322</v>
      </c>
      <c r="D106" s="520" t="s">
        <v>3857</v>
      </c>
      <c r="E106" s="6"/>
      <c r="F106" s="7"/>
      <c r="G106" s="7" t="s">
        <v>619</v>
      </c>
      <c r="H106" s="7"/>
      <c r="I106" s="7"/>
      <c r="J106" s="7"/>
      <c r="K106" s="7"/>
      <c r="L106" s="7" t="s">
        <v>171</v>
      </c>
      <c r="M106" s="7">
        <f t="shared" si="4"/>
        <v>0</v>
      </c>
      <c r="N106" s="6"/>
      <c r="O106" s="6"/>
      <c r="P106" s="6"/>
      <c r="Q106" s="6"/>
      <c r="R106" s="6"/>
      <c r="S106" s="6"/>
      <c r="T106" s="6"/>
      <c r="U106" s="6"/>
      <c r="V106" s="6"/>
      <c r="W106" s="6"/>
      <c r="X106" s="6"/>
      <c r="Y106" s="6"/>
      <c r="Z106" s="6"/>
      <c r="AA106" s="6"/>
      <c r="AB106" s="6"/>
      <c r="AC106" s="6"/>
      <c r="AD106" s="6"/>
      <c r="AE106" s="6"/>
      <c r="AF106" s="6"/>
      <c r="AG106" s="6"/>
    </row>
    <row r="107" spans="1:33" x14ac:dyDescent="0.25">
      <c r="A107" s="157">
        <f t="shared" si="5"/>
        <v>106</v>
      </c>
      <c r="B107" s="519" t="s">
        <v>5319</v>
      </c>
      <c r="C107" s="519" t="s">
        <v>5322</v>
      </c>
      <c r="D107" s="520" t="s">
        <v>3857</v>
      </c>
      <c r="E107" s="6"/>
      <c r="F107" s="7"/>
      <c r="G107" s="7" t="s">
        <v>619</v>
      </c>
      <c r="H107" s="7"/>
      <c r="I107" s="7"/>
      <c r="J107" s="7"/>
      <c r="K107" s="7"/>
      <c r="L107" s="7" t="s">
        <v>171</v>
      </c>
      <c r="M107" s="7">
        <f t="shared" si="4"/>
        <v>0</v>
      </c>
      <c r="N107" s="6"/>
      <c r="O107" s="6"/>
      <c r="P107" s="6"/>
      <c r="Q107" s="6"/>
      <c r="R107" s="6"/>
      <c r="S107" s="6"/>
      <c r="T107" s="6"/>
      <c r="U107" s="6"/>
      <c r="V107" s="6"/>
      <c r="W107" s="6"/>
      <c r="X107" s="6"/>
      <c r="Y107" s="6"/>
      <c r="Z107" s="6"/>
      <c r="AA107" s="6"/>
      <c r="AB107" s="6"/>
      <c r="AC107" s="6"/>
      <c r="AD107" s="6"/>
      <c r="AE107" s="6"/>
      <c r="AF107" s="6"/>
      <c r="AG107" s="6"/>
    </row>
    <row r="108" spans="1:33" x14ac:dyDescent="0.25">
      <c r="A108" s="157">
        <f t="shared" si="5"/>
        <v>107</v>
      </c>
      <c r="B108" s="519" t="s">
        <v>5320</v>
      </c>
      <c r="C108" s="519" t="s">
        <v>5322</v>
      </c>
      <c r="D108" s="520" t="s">
        <v>3857</v>
      </c>
      <c r="E108" s="6"/>
      <c r="F108" s="7"/>
      <c r="G108" s="7" t="s">
        <v>619</v>
      </c>
      <c r="H108" s="7"/>
      <c r="I108" s="7"/>
      <c r="J108" s="7"/>
      <c r="K108" s="7"/>
      <c r="L108" s="7" t="s">
        <v>171</v>
      </c>
      <c r="M108" s="7">
        <f t="shared" si="4"/>
        <v>0</v>
      </c>
      <c r="N108" s="6"/>
      <c r="O108" s="6"/>
      <c r="P108" s="6"/>
      <c r="Q108" s="6"/>
      <c r="R108" s="6"/>
      <c r="S108" s="6"/>
      <c r="T108" s="6"/>
      <c r="U108" s="6"/>
      <c r="V108" s="6"/>
      <c r="W108" s="6"/>
      <c r="X108" s="6"/>
      <c r="Y108" s="6"/>
      <c r="Z108" s="6"/>
      <c r="AA108" s="6"/>
      <c r="AB108" s="6"/>
      <c r="AC108" s="6"/>
      <c r="AD108" s="6"/>
      <c r="AE108" s="6"/>
      <c r="AF108" s="6"/>
      <c r="AG108" s="6"/>
    </row>
    <row r="109" spans="1:33" x14ac:dyDescent="0.25">
      <c r="A109" s="157">
        <f t="shared" si="5"/>
        <v>108</v>
      </c>
      <c r="B109" s="519" t="s">
        <v>5321</v>
      </c>
      <c r="C109" s="519" t="s">
        <v>5322</v>
      </c>
      <c r="D109" s="520" t="s">
        <v>3857</v>
      </c>
      <c r="E109" s="6"/>
      <c r="F109" s="7"/>
      <c r="G109" s="7" t="s">
        <v>619</v>
      </c>
      <c r="H109" s="7"/>
      <c r="I109" s="7"/>
      <c r="J109" s="7"/>
      <c r="K109" s="7"/>
      <c r="L109" s="7" t="s">
        <v>171</v>
      </c>
      <c r="M109" s="7">
        <f t="shared" si="4"/>
        <v>0</v>
      </c>
      <c r="N109" s="6"/>
      <c r="O109" s="6"/>
      <c r="P109" s="6"/>
      <c r="Q109" s="6"/>
      <c r="R109" s="6"/>
      <c r="S109" s="6"/>
      <c r="T109" s="6"/>
      <c r="U109" s="6"/>
      <c r="V109" s="6"/>
      <c r="W109" s="6"/>
      <c r="X109" s="6"/>
      <c r="Y109" s="6"/>
      <c r="Z109" s="6"/>
      <c r="AA109" s="6"/>
      <c r="AB109" s="6"/>
      <c r="AC109" s="6"/>
      <c r="AD109" s="6"/>
      <c r="AE109" s="6"/>
      <c r="AF109" s="6"/>
      <c r="AG109" s="6"/>
    </row>
    <row r="110" spans="1:33" x14ac:dyDescent="0.25">
      <c r="A110" s="157">
        <f t="shared" si="5"/>
        <v>109</v>
      </c>
      <c r="B110" s="519" t="s">
        <v>3861</v>
      </c>
      <c r="C110" s="519" t="s">
        <v>3861</v>
      </c>
      <c r="D110" s="520" t="s">
        <v>5573</v>
      </c>
      <c r="E110" s="6"/>
      <c r="F110" s="7"/>
      <c r="G110" s="7"/>
      <c r="H110" s="7"/>
      <c r="I110" s="7"/>
      <c r="J110" s="7"/>
      <c r="K110" s="7"/>
      <c r="L110" s="7"/>
      <c r="M110" s="7">
        <f t="shared" si="4"/>
        <v>0</v>
      </c>
      <c r="N110" s="6"/>
      <c r="O110" s="6"/>
      <c r="P110" s="6"/>
      <c r="Q110" s="6"/>
      <c r="R110" s="6"/>
      <c r="S110" s="6"/>
      <c r="T110" s="6"/>
      <c r="U110" s="6"/>
      <c r="V110" s="6"/>
      <c r="W110" s="6"/>
      <c r="X110" s="6"/>
      <c r="Y110" s="6"/>
      <c r="Z110" s="6"/>
      <c r="AA110" s="6"/>
      <c r="AB110" s="6"/>
      <c r="AC110" s="6"/>
      <c r="AD110" s="6"/>
      <c r="AE110" s="6"/>
      <c r="AF110" s="6"/>
      <c r="AG110" s="6"/>
    </row>
    <row r="111" spans="1:33" x14ac:dyDescent="0.25">
      <c r="A111" s="157">
        <f t="shared" si="5"/>
        <v>110</v>
      </c>
      <c r="B111" s="519" t="s">
        <v>3945</v>
      </c>
      <c r="C111" s="519" t="s">
        <v>3945</v>
      </c>
      <c r="D111" s="520" t="s">
        <v>5528</v>
      </c>
      <c r="E111" s="6"/>
      <c r="F111" s="7"/>
      <c r="G111" s="7"/>
      <c r="H111" s="7"/>
      <c r="I111" s="7"/>
      <c r="J111" s="7"/>
      <c r="K111" s="7"/>
      <c r="L111" s="7"/>
      <c r="M111" s="7">
        <f t="shared" si="4"/>
        <v>0</v>
      </c>
      <c r="N111" s="6"/>
      <c r="O111" s="6"/>
      <c r="P111" s="6"/>
      <c r="Q111" s="6"/>
      <c r="R111" s="6"/>
      <c r="S111" s="6"/>
      <c r="T111" s="6"/>
      <c r="U111" s="6"/>
      <c r="V111" s="6"/>
      <c r="W111" s="6"/>
      <c r="X111" s="6"/>
      <c r="Y111" s="6"/>
      <c r="Z111" s="6"/>
      <c r="AA111" s="6"/>
      <c r="AB111" s="6"/>
      <c r="AC111" s="6"/>
      <c r="AD111" s="6"/>
      <c r="AE111" s="6"/>
      <c r="AF111" s="6"/>
      <c r="AG111" s="6"/>
    </row>
    <row r="112" spans="1:33" x14ac:dyDescent="0.25">
      <c r="A112" s="157">
        <f t="shared" si="5"/>
        <v>111</v>
      </c>
      <c r="B112" s="519" t="s">
        <v>2269</v>
      </c>
      <c r="C112" s="519" t="s">
        <v>2269</v>
      </c>
      <c r="D112" s="520" t="s">
        <v>5753</v>
      </c>
      <c r="E112" s="6"/>
      <c r="F112" s="7"/>
      <c r="G112" s="7" t="s">
        <v>619</v>
      </c>
      <c r="H112" s="7"/>
      <c r="I112" s="7"/>
      <c r="J112" s="7"/>
      <c r="K112" s="7"/>
      <c r="L112" s="7"/>
      <c r="M112" s="7">
        <f t="shared" si="4"/>
        <v>0</v>
      </c>
      <c r="N112" s="6"/>
      <c r="O112" s="6"/>
      <c r="P112" s="6"/>
      <c r="Q112" s="6"/>
      <c r="R112" s="6"/>
      <c r="S112" s="6"/>
      <c r="T112" s="6"/>
      <c r="U112" s="6"/>
      <c r="V112" s="6"/>
      <c r="W112" s="6"/>
      <c r="X112" s="6"/>
      <c r="Y112" s="6"/>
      <c r="Z112" s="6"/>
      <c r="AA112" s="6"/>
      <c r="AB112" s="6"/>
      <c r="AC112" s="6"/>
      <c r="AD112" s="6"/>
      <c r="AE112" s="6"/>
      <c r="AF112" s="6"/>
      <c r="AG112" s="6"/>
    </row>
    <row r="113" spans="1:33" x14ac:dyDescent="0.25">
      <c r="A113" s="157">
        <f t="shared" si="5"/>
        <v>112</v>
      </c>
      <c r="B113" s="519" t="s">
        <v>2251</v>
      </c>
      <c r="C113" s="519" t="s">
        <v>2251</v>
      </c>
      <c r="D113" s="520" t="s">
        <v>3857</v>
      </c>
      <c r="E113" s="6"/>
      <c r="F113" s="7"/>
      <c r="G113" s="7" t="s">
        <v>624</v>
      </c>
      <c r="H113" s="7"/>
      <c r="I113" s="7"/>
      <c r="J113" s="7"/>
      <c r="K113" s="7" t="s">
        <v>171</v>
      </c>
      <c r="L113" s="7"/>
      <c r="M113" s="7">
        <f t="shared" si="4"/>
        <v>2</v>
      </c>
      <c r="N113" s="6" t="s">
        <v>4012</v>
      </c>
      <c r="O113" s="6" t="s">
        <v>4013</v>
      </c>
      <c r="P113" s="6"/>
      <c r="Q113" s="6"/>
      <c r="R113" s="6"/>
      <c r="S113" s="6"/>
      <c r="T113" s="6"/>
      <c r="U113" s="6"/>
      <c r="V113" s="6"/>
      <c r="W113" s="6"/>
      <c r="X113" s="6"/>
      <c r="Y113" s="6"/>
      <c r="Z113" s="6"/>
      <c r="AA113" s="6"/>
      <c r="AB113" s="6"/>
      <c r="AC113" s="6"/>
      <c r="AD113" s="6"/>
      <c r="AE113" s="6"/>
      <c r="AF113" s="6"/>
      <c r="AG113" s="6"/>
    </row>
    <row r="114" spans="1:33" x14ac:dyDescent="0.25">
      <c r="A114" s="157">
        <f t="shared" si="5"/>
        <v>113</v>
      </c>
      <c r="B114" s="519" t="s">
        <v>5298</v>
      </c>
      <c r="C114" s="519" t="s">
        <v>3864</v>
      </c>
      <c r="D114" s="520" t="s">
        <v>3857</v>
      </c>
      <c r="E114" s="6"/>
      <c r="F114" s="7"/>
      <c r="G114" s="7" t="s">
        <v>624</v>
      </c>
      <c r="H114" s="7"/>
      <c r="I114" s="7"/>
      <c r="J114" s="7"/>
      <c r="K114" s="7"/>
      <c r="L114" s="7" t="s">
        <v>171</v>
      </c>
      <c r="M114" s="7">
        <f t="shared" si="4"/>
        <v>0</v>
      </c>
      <c r="N114" s="6"/>
      <c r="O114" s="6"/>
      <c r="P114" s="6"/>
      <c r="Q114" s="6"/>
      <c r="R114" s="6"/>
      <c r="S114" s="6"/>
      <c r="T114" s="6"/>
      <c r="U114" s="6"/>
      <c r="V114" s="6"/>
      <c r="W114" s="6"/>
      <c r="X114" s="6"/>
      <c r="Y114" s="6"/>
      <c r="Z114" s="6"/>
      <c r="AA114" s="6"/>
      <c r="AB114" s="6"/>
      <c r="AC114" s="6"/>
      <c r="AD114" s="6"/>
      <c r="AE114" s="6"/>
      <c r="AF114" s="6"/>
      <c r="AG114" s="6"/>
    </row>
    <row r="115" spans="1:33" x14ac:dyDescent="0.25">
      <c r="A115" s="157">
        <f t="shared" si="5"/>
        <v>114</v>
      </c>
      <c r="B115" s="519" t="s">
        <v>5299</v>
      </c>
      <c r="C115" s="519" t="s">
        <v>3864</v>
      </c>
      <c r="D115" s="520" t="s">
        <v>3857</v>
      </c>
      <c r="E115" s="6"/>
      <c r="F115" s="7"/>
      <c r="G115" s="7" t="s">
        <v>624</v>
      </c>
      <c r="H115" s="7"/>
      <c r="I115" s="7"/>
      <c r="J115" s="7"/>
      <c r="K115" s="7"/>
      <c r="L115" s="7" t="s">
        <v>171</v>
      </c>
      <c r="M115" s="7">
        <f t="shared" si="4"/>
        <v>0</v>
      </c>
      <c r="N115" s="6"/>
      <c r="O115" s="6"/>
      <c r="P115" s="6"/>
      <c r="Q115" s="6"/>
      <c r="R115" s="6"/>
      <c r="S115" s="6"/>
      <c r="T115" s="6"/>
      <c r="U115" s="6"/>
      <c r="V115" s="6"/>
      <c r="W115" s="6"/>
      <c r="X115" s="6"/>
      <c r="Y115" s="6"/>
      <c r="Z115" s="6"/>
      <c r="AA115" s="6"/>
      <c r="AB115" s="6"/>
      <c r="AC115" s="6"/>
      <c r="AD115" s="6"/>
      <c r="AE115" s="6"/>
      <c r="AF115" s="6"/>
      <c r="AG115" s="6"/>
    </row>
    <row r="116" spans="1:33" x14ac:dyDescent="0.25">
      <c r="A116" s="157">
        <f t="shared" si="5"/>
        <v>115</v>
      </c>
      <c r="B116" s="519" t="s">
        <v>5300</v>
      </c>
      <c r="C116" s="519" t="s">
        <v>3864</v>
      </c>
      <c r="D116" s="520" t="s">
        <v>3857</v>
      </c>
      <c r="E116" s="6"/>
      <c r="F116" s="7"/>
      <c r="G116" s="7" t="s">
        <v>624</v>
      </c>
      <c r="H116" s="7"/>
      <c r="I116" s="7"/>
      <c r="J116" s="7"/>
      <c r="K116" s="7"/>
      <c r="L116" s="7" t="s">
        <v>171</v>
      </c>
      <c r="M116" s="7">
        <f t="shared" si="4"/>
        <v>0</v>
      </c>
      <c r="N116" s="6"/>
      <c r="O116" s="6"/>
      <c r="P116" s="6"/>
      <c r="Q116" s="6"/>
      <c r="R116" s="6"/>
      <c r="S116" s="6"/>
      <c r="T116" s="6"/>
      <c r="U116" s="6"/>
      <c r="V116" s="6"/>
      <c r="W116" s="6"/>
      <c r="X116" s="6"/>
      <c r="Y116" s="6"/>
      <c r="Z116" s="6"/>
      <c r="AA116" s="6"/>
      <c r="AB116" s="6"/>
      <c r="AC116" s="6"/>
      <c r="AD116" s="6"/>
      <c r="AE116" s="6"/>
      <c r="AF116" s="6"/>
      <c r="AG116" s="6"/>
    </row>
    <row r="117" spans="1:33" x14ac:dyDescent="0.25">
      <c r="A117" s="157">
        <f t="shared" si="5"/>
        <v>116</v>
      </c>
      <c r="B117" s="519" t="s">
        <v>5301</v>
      </c>
      <c r="C117" s="519" t="s">
        <v>3864</v>
      </c>
      <c r="D117" s="520" t="s">
        <v>3857</v>
      </c>
      <c r="E117" s="6"/>
      <c r="F117" s="7"/>
      <c r="G117" s="7" t="s">
        <v>624</v>
      </c>
      <c r="H117" s="7"/>
      <c r="I117" s="7"/>
      <c r="J117" s="7"/>
      <c r="K117" s="7"/>
      <c r="L117" s="7" t="s">
        <v>171</v>
      </c>
      <c r="M117" s="7">
        <f t="shared" si="4"/>
        <v>0</v>
      </c>
      <c r="N117" s="6"/>
      <c r="O117" s="6"/>
      <c r="P117" s="6"/>
      <c r="Q117" s="6"/>
      <c r="R117" s="6"/>
      <c r="S117" s="6"/>
      <c r="T117" s="6"/>
      <c r="U117" s="6"/>
      <c r="V117" s="6"/>
      <c r="W117" s="6"/>
      <c r="X117" s="6"/>
      <c r="Y117" s="6"/>
      <c r="Z117" s="6"/>
      <c r="AA117" s="6"/>
      <c r="AB117" s="6"/>
      <c r="AC117" s="6"/>
      <c r="AD117" s="6"/>
      <c r="AE117" s="6"/>
      <c r="AF117" s="6"/>
      <c r="AG117" s="6"/>
    </row>
    <row r="118" spans="1:33" x14ac:dyDescent="0.25">
      <c r="A118" s="157">
        <f t="shared" si="5"/>
        <v>117</v>
      </c>
      <c r="B118" s="519" t="s">
        <v>2287</v>
      </c>
      <c r="C118" s="519" t="s">
        <v>2287</v>
      </c>
      <c r="D118" s="520" t="s">
        <v>5445</v>
      </c>
      <c r="E118" s="6"/>
      <c r="F118" s="7"/>
      <c r="G118" s="7"/>
      <c r="H118" s="7"/>
      <c r="I118" s="7"/>
      <c r="J118" s="7"/>
      <c r="K118" s="7"/>
      <c r="L118" s="7"/>
      <c r="M118" s="7">
        <f t="shared" si="4"/>
        <v>0</v>
      </c>
      <c r="N118" s="6"/>
      <c r="O118" s="6"/>
      <c r="P118" s="6"/>
      <c r="Q118" s="6"/>
      <c r="R118" s="6"/>
      <c r="S118" s="6"/>
      <c r="T118" s="6"/>
      <c r="U118" s="6"/>
      <c r="V118" s="6"/>
      <c r="W118" s="6"/>
      <c r="X118" s="6"/>
      <c r="Y118" s="6"/>
      <c r="Z118" s="6"/>
      <c r="AA118" s="6"/>
      <c r="AB118" s="6"/>
      <c r="AC118" s="6"/>
      <c r="AD118" s="6"/>
      <c r="AE118" s="6"/>
      <c r="AF118" s="6"/>
      <c r="AG118" s="6"/>
    </row>
    <row r="119" spans="1:33" x14ac:dyDescent="0.25">
      <c r="A119" s="157">
        <f t="shared" si="5"/>
        <v>118</v>
      </c>
      <c r="B119" s="519" t="s">
        <v>3922</v>
      </c>
      <c r="C119" s="519" t="s">
        <v>3922</v>
      </c>
      <c r="D119" s="520" t="s">
        <v>5754</v>
      </c>
      <c r="E119" s="6"/>
      <c r="F119" s="7"/>
      <c r="G119" s="7" t="s">
        <v>619</v>
      </c>
      <c r="H119" s="7"/>
      <c r="I119" s="7"/>
      <c r="J119" s="7"/>
      <c r="K119" s="7"/>
      <c r="L119" s="7"/>
      <c r="M119" s="7">
        <f t="shared" si="4"/>
        <v>0</v>
      </c>
      <c r="N119" s="6"/>
      <c r="O119" s="6"/>
      <c r="P119" s="6"/>
      <c r="Q119" s="6"/>
      <c r="R119" s="6"/>
      <c r="S119" s="6"/>
      <c r="T119" s="6"/>
      <c r="U119" s="6"/>
      <c r="V119" s="6"/>
      <c r="W119" s="6"/>
      <c r="X119" s="6"/>
      <c r="Y119" s="6"/>
      <c r="Z119" s="6"/>
      <c r="AA119" s="6"/>
      <c r="AB119" s="6"/>
      <c r="AC119" s="6"/>
      <c r="AD119" s="6"/>
      <c r="AE119" s="6"/>
      <c r="AF119" s="6"/>
      <c r="AG119" s="6"/>
    </row>
    <row r="120" spans="1:33" x14ac:dyDescent="0.25">
      <c r="A120" s="157">
        <f t="shared" si="5"/>
        <v>119</v>
      </c>
      <c r="B120" s="519" t="s">
        <v>3958</v>
      </c>
      <c r="C120" s="519" t="s">
        <v>3958</v>
      </c>
      <c r="D120" s="520" t="s">
        <v>5591</v>
      </c>
      <c r="E120" s="6"/>
      <c r="F120" s="7"/>
      <c r="G120" s="7"/>
      <c r="H120" s="7"/>
      <c r="I120" s="7"/>
      <c r="J120" s="7"/>
      <c r="K120" s="7"/>
      <c r="L120" s="7"/>
      <c r="M120" s="7">
        <f t="shared" si="4"/>
        <v>0</v>
      </c>
      <c r="N120" s="6"/>
      <c r="O120" s="6"/>
      <c r="P120" s="6"/>
      <c r="Q120" s="6"/>
      <c r="R120" s="6"/>
      <c r="S120" s="6"/>
      <c r="T120" s="6"/>
      <c r="U120" s="6"/>
      <c r="V120" s="6"/>
      <c r="W120" s="6"/>
      <c r="X120" s="6"/>
      <c r="Y120" s="6"/>
      <c r="Z120" s="6"/>
      <c r="AA120" s="6"/>
      <c r="AB120" s="6"/>
      <c r="AC120" s="6"/>
      <c r="AD120" s="6"/>
      <c r="AE120" s="6"/>
      <c r="AF120" s="6"/>
      <c r="AG120" s="6"/>
    </row>
    <row r="121" spans="1:33" x14ac:dyDescent="0.25">
      <c r="A121" s="157">
        <f t="shared" si="5"/>
        <v>120</v>
      </c>
      <c r="B121" s="519" t="s">
        <v>3881</v>
      </c>
      <c r="C121" s="519" t="s">
        <v>3881</v>
      </c>
      <c r="D121" s="520" t="s">
        <v>3857</v>
      </c>
      <c r="E121" s="6"/>
      <c r="F121" s="7"/>
      <c r="G121" s="7" t="s">
        <v>625</v>
      </c>
      <c r="H121" s="7"/>
      <c r="I121" s="7"/>
      <c r="J121" s="7"/>
      <c r="K121" s="7" t="s">
        <v>171</v>
      </c>
      <c r="L121" s="7"/>
      <c r="M121" s="7">
        <f t="shared" si="4"/>
        <v>3</v>
      </c>
      <c r="N121" s="6" t="s">
        <v>4014</v>
      </c>
      <c r="O121" s="6" t="s">
        <v>6150</v>
      </c>
      <c r="P121" s="6" t="s">
        <v>4016</v>
      </c>
      <c r="Q121" s="6"/>
      <c r="R121" s="6"/>
      <c r="S121" s="6"/>
      <c r="T121" s="6"/>
      <c r="U121" s="6"/>
      <c r="V121" s="6"/>
      <c r="W121" s="6"/>
      <c r="X121" s="6"/>
      <c r="Y121" s="6"/>
      <c r="Z121" s="6"/>
      <c r="AA121" s="6"/>
      <c r="AB121" s="6"/>
      <c r="AC121" s="6"/>
      <c r="AD121" s="6"/>
      <c r="AE121" s="6"/>
      <c r="AF121" s="6"/>
      <c r="AG121" s="6"/>
    </row>
    <row r="122" spans="1:33" x14ac:dyDescent="0.25">
      <c r="A122" s="157">
        <f t="shared" si="5"/>
        <v>121</v>
      </c>
      <c r="B122" s="519" t="s">
        <v>5302</v>
      </c>
      <c r="C122" s="519" t="s">
        <v>3957</v>
      </c>
      <c r="D122" s="520" t="s">
        <v>3857</v>
      </c>
      <c r="E122" s="6"/>
      <c r="F122" s="7"/>
      <c r="G122" s="7" t="s">
        <v>625</v>
      </c>
      <c r="H122" s="7"/>
      <c r="I122" s="7"/>
      <c r="J122" s="7"/>
      <c r="K122" s="7"/>
      <c r="L122" s="7" t="s">
        <v>171</v>
      </c>
      <c r="M122" s="7">
        <f t="shared" si="4"/>
        <v>0</v>
      </c>
      <c r="N122" s="6"/>
      <c r="O122" s="6"/>
      <c r="P122" s="6"/>
      <c r="Q122" s="6"/>
      <c r="R122" s="6"/>
      <c r="S122" s="6"/>
      <c r="T122" s="6"/>
      <c r="U122" s="6"/>
      <c r="V122" s="6"/>
      <c r="W122" s="6"/>
      <c r="X122" s="6"/>
      <c r="Y122" s="6"/>
      <c r="Z122" s="6"/>
      <c r="AA122" s="6"/>
      <c r="AB122" s="6"/>
      <c r="AC122" s="6"/>
      <c r="AD122" s="6"/>
      <c r="AE122" s="6"/>
      <c r="AF122" s="6"/>
      <c r="AG122" s="6"/>
    </row>
    <row r="123" spans="1:33" x14ac:dyDescent="0.25">
      <c r="A123" s="157">
        <f t="shared" si="5"/>
        <v>122</v>
      </c>
      <c r="B123" s="519" t="s">
        <v>5303</v>
      </c>
      <c r="C123" s="519" t="s">
        <v>3957</v>
      </c>
      <c r="D123" s="520" t="s">
        <v>3857</v>
      </c>
      <c r="E123" s="6"/>
      <c r="F123" s="7"/>
      <c r="G123" s="7" t="s">
        <v>625</v>
      </c>
      <c r="H123" s="7"/>
      <c r="I123" s="7"/>
      <c r="J123" s="7"/>
      <c r="K123" s="7"/>
      <c r="L123" s="7" t="s">
        <v>171</v>
      </c>
      <c r="M123" s="7">
        <f t="shared" si="4"/>
        <v>0</v>
      </c>
      <c r="N123" s="6"/>
      <c r="O123" s="6"/>
      <c r="P123" s="6"/>
      <c r="Q123" s="6"/>
      <c r="R123" s="6"/>
      <c r="S123" s="6"/>
      <c r="T123" s="6"/>
      <c r="U123" s="6"/>
      <c r="V123" s="6"/>
      <c r="W123" s="6"/>
      <c r="X123" s="6"/>
      <c r="Y123" s="6"/>
      <c r="Z123" s="6"/>
      <c r="AA123" s="6"/>
      <c r="AB123" s="6"/>
      <c r="AC123" s="6"/>
      <c r="AD123" s="6"/>
      <c r="AE123" s="6"/>
      <c r="AF123" s="6"/>
      <c r="AG123" s="6"/>
    </row>
    <row r="124" spans="1:33" x14ac:dyDescent="0.25">
      <c r="A124" s="157">
        <f t="shared" si="5"/>
        <v>123</v>
      </c>
      <c r="B124" s="519" t="s">
        <v>5304</v>
      </c>
      <c r="C124" s="519" t="s">
        <v>3957</v>
      </c>
      <c r="D124" s="520" t="s">
        <v>3857</v>
      </c>
      <c r="E124" s="6"/>
      <c r="F124" s="7"/>
      <c r="G124" s="7" t="s">
        <v>625</v>
      </c>
      <c r="H124" s="7"/>
      <c r="I124" s="7"/>
      <c r="J124" s="7"/>
      <c r="K124" s="7"/>
      <c r="L124" s="7" t="s">
        <v>171</v>
      </c>
      <c r="M124" s="7">
        <f t="shared" si="4"/>
        <v>0</v>
      </c>
      <c r="N124" s="6"/>
      <c r="O124" s="6"/>
      <c r="P124" s="6"/>
      <c r="Q124" s="6"/>
      <c r="R124" s="6"/>
      <c r="S124" s="6"/>
      <c r="T124" s="6"/>
      <c r="U124" s="6"/>
      <c r="V124" s="6"/>
      <c r="W124" s="6"/>
      <c r="X124" s="6"/>
      <c r="Y124" s="6"/>
      <c r="Z124" s="6"/>
      <c r="AA124" s="6"/>
      <c r="AB124" s="6"/>
      <c r="AC124" s="6"/>
      <c r="AD124" s="6"/>
      <c r="AE124" s="6"/>
      <c r="AF124" s="6"/>
      <c r="AG124" s="6"/>
    </row>
    <row r="125" spans="1:33" x14ac:dyDescent="0.25">
      <c r="A125" s="157">
        <f t="shared" si="5"/>
        <v>124</v>
      </c>
      <c r="B125" s="519" t="s">
        <v>5305</v>
      </c>
      <c r="C125" s="519" t="s">
        <v>3957</v>
      </c>
      <c r="D125" s="520" t="s">
        <v>3857</v>
      </c>
      <c r="E125" s="6"/>
      <c r="F125" s="7"/>
      <c r="G125" s="7" t="s">
        <v>625</v>
      </c>
      <c r="H125" s="7"/>
      <c r="I125" s="7"/>
      <c r="J125" s="7"/>
      <c r="K125" s="7"/>
      <c r="L125" s="7" t="s">
        <v>171</v>
      </c>
      <c r="M125" s="7">
        <f t="shared" si="4"/>
        <v>0</v>
      </c>
      <c r="N125" s="6"/>
      <c r="O125" s="6"/>
      <c r="P125" s="6"/>
      <c r="Q125" s="6"/>
      <c r="R125" s="6"/>
      <c r="S125" s="6"/>
      <c r="T125" s="6"/>
      <c r="U125" s="6"/>
      <c r="V125" s="6"/>
      <c r="W125" s="6"/>
      <c r="X125" s="6"/>
      <c r="Y125" s="6"/>
      <c r="Z125" s="6"/>
      <c r="AA125" s="6"/>
      <c r="AB125" s="6"/>
      <c r="AC125" s="6"/>
      <c r="AD125" s="6"/>
      <c r="AE125" s="6"/>
      <c r="AF125" s="6"/>
      <c r="AG125" s="6"/>
    </row>
    <row r="126" spans="1:33" x14ac:dyDescent="0.25">
      <c r="A126" s="157">
        <f t="shared" si="5"/>
        <v>125</v>
      </c>
      <c r="B126" s="519" t="s">
        <v>5306</v>
      </c>
      <c r="C126" s="519" t="s">
        <v>3957</v>
      </c>
      <c r="D126" s="520" t="s">
        <v>3857</v>
      </c>
      <c r="E126" s="6"/>
      <c r="F126" s="7"/>
      <c r="G126" s="7" t="s">
        <v>625</v>
      </c>
      <c r="H126" s="7"/>
      <c r="I126" s="7"/>
      <c r="J126" s="7"/>
      <c r="K126" s="7"/>
      <c r="L126" s="7" t="s">
        <v>171</v>
      </c>
      <c r="M126" s="7">
        <f t="shared" si="4"/>
        <v>0</v>
      </c>
      <c r="N126" s="6"/>
      <c r="O126" s="6"/>
      <c r="P126" s="6"/>
      <c r="Q126" s="6"/>
      <c r="R126" s="6"/>
      <c r="S126" s="6"/>
      <c r="T126" s="6"/>
      <c r="U126" s="6"/>
      <c r="V126" s="6"/>
      <c r="W126" s="6"/>
      <c r="X126" s="6"/>
      <c r="Y126" s="6"/>
      <c r="Z126" s="6"/>
      <c r="AA126" s="6"/>
      <c r="AB126" s="6"/>
      <c r="AC126" s="6"/>
      <c r="AD126" s="6"/>
      <c r="AE126" s="6"/>
      <c r="AF126" s="6"/>
      <c r="AG126" s="6"/>
    </row>
    <row r="127" spans="1:33" x14ac:dyDescent="0.25">
      <c r="A127" s="157">
        <f t="shared" si="5"/>
        <v>126</v>
      </c>
      <c r="B127" s="519" t="s">
        <v>3873</v>
      </c>
      <c r="C127" s="519" t="s">
        <v>3873</v>
      </c>
      <c r="D127" s="520" t="s">
        <v>3857</v>
      </c>
      <c r="E127" s="6"/>
      <c r="F127" s="7"/>
      <c r="G127" s="7" t="s">
        <v>1113</v>
      </c>
      <c r="H127" s="7"/>
      <c r="I127" s="7"/>
      <c r="J127" s="7"/>
      <c r="K127" s="7" t="s">
        <v>171</v>
      </c>
      <c r="L127" s="7"/>
      <c r="M127" s="7">
        <f t="shared" si="4"/>
        <v>4</v>
      </c>
      <c r="N127" s="6" t="s">
        <v>4017</v>
      </c>
      <c r="O127" s="6" t="s">
        <v>4018</v>
      </c>
      <c r="P127" s="6" t="s">
        <v>4019</v>
      </c>
      <c r="Q127" s="6" t="s">
        <v>4020</v>
      </c>
      <c r="R127" s="6"/>
      <c r="S127" s="6"/>
      <c r="T127" s="6"/>
      <c r="U127" s="6"/>
      <c r="V127" s="6"/>
      <c r="W127" s="6"/>
      <c r="X127" s="6"/>
      <c r="Y127" s="6"/>
      <c r="Z127" s="6"/>
      <c r="AA127" s="6"/>
      <c r="AB127" s="6"/>
      <c r="AC127" s="6"/>
      <c r="AD127" s="6"/>
      <c r="AE127" s="6"/>
      <c r="AF127" s="6"/>
      <c r="AG127" s="6"/>
    </row>
    <row r="128" spans="1:33" x14ac:dyDescent="0.25">
      <c r="A128" s="157">
        <f t="shared" si="5"/>
        <v>127</v>
      </c>
      <c r="B128" s="519" t="s">
        <v>5307</v>
      </c>
      <c r="C128" s="519" t="s">
        <v>3951</v>
      </c>
      <c r="D128" s="520" t="s">
        <v>3857</v>
      </c>
      <c r="E128" s="6"/>
      <c r="F128" s="7"/>
      <c r="G128" s="7" t="s">
        <v>1113</v>
      </c>
      <c r="H128" s="7"/>
      <c r="I128" s="7"/>
      <c r="J128" s="7"/>
      <c r="K128" s="7"/>
      <c r="L128" s="7" t="s">
        <v>171</v>
      </c>
      <c r="M128" s="7">
        <f t="shared" si="4"/>
        <v>0</v>
      </c>
      <c r="N128" s="6"/>
      <c r="O128" s="6"/>
      <c r="P128" s="6"/>
      <c r="Q128" s="6"/>
      <c r="R128" s="6"/>
      <c r="S128" s="6"/>
      <c r="T128" s="6"/>
      <c r="U128" s="6"/>
      <c r="V128" s="6"/>
      <c r="W128" s="6"/>
      <c r="X128" s="6"/>
      <c r="Y128" s="6"/>
      <c r="Z128" s="6"/>
      <c r="AA128" s="6"/>
      <c r="AB128" s="6"/>
      <c r="AC128" s="6"/>
      <c r="AD128" s="6"/>
      <c r="AE128" s="6"/>
      <c r="AF128" s="6"/>
      <c r="AG128" s="6"/>
    </row>
    <row r="129" spans="1:33" x14ac:dyDescent="0.25">
      <c r="A129" s="157">
        <f t="shared" si="5"/>
        <v>128</v>
      </c>
      <c r="B129" s="519" t="s">
        <v>5308</v>
      </c>
      <c r="C129" s="519" t="s">
        <v>3951</v>
      </c>
      <c r="D129" s="520" t="s">
        <v>3857</v>
      </c>
      <c r="E129" s="6"/>
      <c r="F129" s="7"/>
      <c r="G129" s="7" t="s">
        <v>1113</v>
      </c>
      <c r="H129" s="7"/>
      <c r="I129" s="7"/>
      <c r="J129" s="7"/>
      <c r="K129" s="7"/>
      <c r="L129" s="7" t="s">
        <v>171</v>
      </c>
      <c r="M129" s="7">
        <f t="shared" si="4"/>
        <v>0</v>
      </c>
      <c r="N129" s="6"/>
      <c r="O129" s="6"/>
      <c r="P129" s="6"/>
      <c r="Q129" s="6"/>
      <c r="R129" s="6"/>
      <c r="S129" s="6"/>
      <c r="T129" s="6"/>
      <c r="U129" s="6"/>
      <c r="V129" s="6"/>
      <c r="W129" s="6"/>
      <c r="X129" s="6"/>
      <c r="Y129" s="6"/>
      <c r="Z129" s="6"/>
      <c r="AA129" s="6"/>
      <c r="AB129" s="6"/>
      <c r="AC129" s="6"/>
      <c r="AD129" s="6"/>
      <c r="AE129" s="6"/>
      <c r="AF129" s="6"/>
      <c r="AG129" s="6"/>
    </row>
    <row r="130" spans="1:33" x14ac:dyDescent="0.25">
      <c r="A130" s="157">
        <f t="shared" si="5"/>
        <v>129</v>
      </c>
      <c r="B130" s="519" t="s">
        <v>5309</v>
      </c>
      <c r="C130" s="519" t="s">
        <v>3951</v>
      </c>
      <c r="D130" s="520" t="s">
        <v>3857</v>
      </c>
      <c r="E130" s="6"/>
      <c r="F130" s="7"/>
      <c r="G130" s="7" t="s">
        <v>1113</v>
      </c>
      <c r="H130" s="7"/>
      <c r="I130" s="7"/>
      <c r="J130" s="7"/>
      <c r="K130" s="7"/>
      <c r="L130" s="7" t="s">
        <v>171</v>
      </c>
      <c r="M130" s="7">
        <f t="shared" si="4"/>
        <v>0</v>
      </c>
      <c r="N130" s="6"/>
      <c r="O130" s="6"/>
      <c r="P130" s="6"/>
      <c r="Q130" s="6"/>
      <c r="R130" s="6"/>
      <c r="S130" s="6"/>
      <c r="T130" s="6"/>
      <c r="U130" s="6"/>
      <c r="V130" s="6"/>
      <c r="W130" s="6"/>
      <c r="X130" s="6"/>
      <c r="Y130" s="6"/>
      <c r="Z130" s="6"/>
      <c r="AA130" s="6"/>
      <c r="AB130" s="6"/>
      <c r="AC130" s="6"/>
      <c r="AD130" s="6"/>
      <c r="AE130" s="6"/>
      <c r="AF130" s="6"/>
      <c r="AG130" s="6"/>
    </row>
    <row r="131" spans="1:33" x14ac:dyDescent="0.25">
      <c r="A131" s="157">
        <f t="shared" ref="A131:A194" si="6">IF(B131="","",1+A130)</f>
        <v>130</v>
      </c>
      <c r="B131" s="519" t="s">
        <v>5310</v>
      </c>
      <c r="C131" s="519" t="s">
        <v>3951</v>
      </c>
      <c r="D131" s="520" t="s">
        <v>3857</v>
      </c>
      <c r="E131" s="6"/>
      <c r="F131" s="7"/>
      <c r="G131" s="7" t="s">
        <v>1113</v>
      </c>
      <c r="H131" s="7"/>
      <c r="I131" s="7"/>
      <c r="J131" s="7"/>
      <c r="K131" s="7"/>
      <c r="L131" s="7" t="s">
        <v>171</v>
      </c>
      <c r="M131" s="7">
        <f t="shared" ref="M131:M194" si="7">COUNTA(N131:AG131)</f>
        <v>0</v>
      </c>
      <c r="N131" s="6"/>
      <c r="O131" s="6"/>
      <c r="P131" s="6"/>
      <c r="Q131" s="6"/>
      <c r="R131" s="6"/>
      <c r="S131" s="6"/>
      <c r="T131" s="6"/>
      <c r="U131" s="6"/>
      <c r="V131" s="6"/>
      <c r="W131" s="6"/>
      <c r="X131" s="6"/>
      <c r="Y131" s="6"/>
      <c r="Z131" s="6"/>
      <c r="AA131" s="6"/>
      <c r="AB131" s="6"/>
      <c r="AC131" s="6"/>
      <c r="AD131" s="6"/>
      <c r="AE131" s="6"/>
      <c r="AF131" s="6"/>
      <c r="AG131" s="6"/>
    </row>
    <row r="132" spans="1:33" x14ac:dyDescent="0.25">
      <c r="A132" s="157">
        <f t="shared" si="6"/>
        <v>131</v>
      </c>
      <c r="B132" s="519" t="s">
        <v>5311</v>
      </c>
      <c r="C132" s="519" t="s">
        <v>3951</v>
      </c>
      <c r="D132" s="520" t="s">
        <v>3857</v>
      </c>
      <c r="E132" s="6"/>
      <c r="F132" s="7"/>
      <c r="G132" s="7" t="s">
        <v>1113</v>
      </c>
      <c r="H132" s="7"/>
      <c r="I132" s="7"/>
      <c r="J132" s="7"/>
      <c r="K132" s="7"/>
      <c r="L132" s="7" t="s">
        <v>171</v>
      </c>
      <c r="M132" s="7">
        <f t="shared" si="7"/>
        <v>0</v>
      </c>
      <c r="N132" s="6"/>
      <c r="O132" s="6"/>
      <c r="P132" s="6"/>
      <c r="Q132" s="6"/>
      <c r="R132" s="6"/>
      <c r="S132" s="6"/>
      <c r="T132" s="6"/>
      <c r="U132" s="6"/>
      <c r="V132" s="6"/>
      <c r="W132" s="6"/>
      <c r="X132" s="6"/>
      <c r="Y132" s="6"/>
      <c r="Z132" s="6"/>
      <c r="AA132" s="6"/>
      <c r="AB132" s="6"/>
      <c r="AC132" s="6"/>
      <c r="AD132" s="6"/>
      <c r="AE132" s="6"/>
      <c r="AF132" s="6"/>
      <c r="AG132" s="6"/>
    </row>
    <row r="133" spans="1:33" x14ac:dyDescent="0.25">
      <c r="A133" s="157">
        <f t="shared" si="6"/>
        <v>132</v>
      </c>
      <c r="B133" s="519" t="s">
        <v>2273</v>
      </c>
      <c r="C133" s="519" t="s">
        <v>2273</v>
      </c>
      <c r="D133" s="520" t="s">
        <v>5755</v>
      </c>
      <c r="E133" s="6"/>
      <c r="F133" s="7"/>
      <c r="G133" s="7" t="s">
        <v>622</v>
      </c>
      <c r="H133" s="7"/>
      <c r="I133" s="7"/>
      <c r="J133" s="7"/>
      <c r="K133" s="7"/>
      <c r="L133" s="7"/>
      <c r="M133" s="7">
        <f t="shared" si="7"/>
        <v>0</v>
      </c>
      <c r="N133" s="6"/>
      <c r="O133" s="6"/>
      <c r="P133" s="6"/>
      <c r="Q133" s="6"/>
      <c r="R133" s="6"/>
      <c r="S133" s="6"/>
      <c r="T133" s="6"/>
      <c r="U133" s="6"/>
      <c r="V133" s="6"/>
      <c r="W133" s="6"/>
      <c r="X133" s="6"/>
      <c r="Y133" s="6"/>
      <c r="Z133" s="6"/>
      <c r="AA133" s="6"/>
      <c r="AB133" s="6"/>
      <c r="AC133" s="6"/>
      <c r="AD133" s="6"/>
      <c r="AE133" s="6"/>
      <c r="AF133" s="6"/>
      <c r="AG133" s="6"/>
    </row>
    <row r="134" spans="1:33" x14ac:dyDescent="0.25">
      <c r="A134" s="157">
        <f t="shared" si="6"/>
        <v>133</v>
      </c>
      <c r="B134" s="519" t="s">
        <v>3919</v>
      </c>
      <c r="C134" s="519" t="s">
        <v>3919</v>
      </c>
      <c r="D134" s="520" t="s">
        <v>5756</v>
      </c>
      <c r="E134" s="6"/>
      <c r="F134" s="7"/>
      <c r="G134" s="7" t="s">
        <v>628</v>
      </c>
      <c r="H134" s="7"/>
      <c r="I134" s="7"/>
      <c r="J134" s="7"/>
      <c r="K134" s="7"/>
      <c r="L134" s="7"/>
      <c r="M134" s="7">
        <f t="shared" si="7"/>
        <v>0</v>
      </c>
      <c r="N134" s="6"/>
      <c r="O134" s="6"/>
      <c r="P134" s="6"/>
      <c r="Q134" s="6"/>
      <c r="R134" s="6"/>
      <c r="S134" s="6"/>
      <c r="T134" s="6"/>
      <c r="U134" s="6"/>
      <c r="V134" s="6"/>
      <c r="W134" s="6"/>
      <c r="X134" s="6"/>
      <c r="Y134" s="6"/>
      <c r="Z134" s="6"/>
      <c r="AA134" s="6"/>
      <c r="AB134" s="6"/>
      <c r="AC134" s="6"/>
      <c r="AD134" s="6"/>
      <c r="AE134" s="6"/>
      <c r="AF134" s="6"/>
      <c r="AG134" s="6"/>
    </row>
    <row r="135" spans="1:33" x14ac:dyDescent="0.25">
      <c r="A135" s="157">
        <f t="shared" si="6"/>
        <v>134</v>
      </c>
      <c r="B135" s="519" t="s">
        <v>3960</v>
      </c>
      <c r="C135" s="519" t="s">
        <v>3960</v>
      </c>
      <c r="D135" s="522" t="s">
        <v>5593</v>
      </c>
      <c r="E135" s="6" t="s">
        <v>5859</v>
      </c>
      <c r="F135" s="7"/>
      <c r="G135" s="7"/>
      <c r="H135" s="7"/>
      <c r="I135" s="7"/>
      <c r="J135" s="7"/>
      <c r="K135" s="7"/>
      <c r="L135" s="7"/>
      <c r="M135" s="7">
        <f t="shared" si="7"/>
        <v>0</v>
      </c>
      <c r="N135" s="6"/>
      <c r="O135" s="6"/>
      <c r="P135" s="6"/>
      <c r="Q135" s="6"/>
      <c r="R135" s="6"/>
      <c r="S135" s="6"/>
      <c r="T135" s="6"/>
      <c r="U135" s="6"/>
      <c r="V135" s="6"/>
      <c r="W135" s="6"/>
      <c r="X135" s="6"/>
      <c r="Y135" s="6"/>
      <c r="Z135" s="6"/>
      <c r="AA135" s="6"/>
      <c r="AB135" s="6"/>
      <c r="AC135" s="6"/>
      <c r="AD135" s="6"/>
      <c r="AE135" s="6"/>
      <c r="AF135" s="6"/>
      <c r="AG135" s="6"/>
    </row>
    <row r="136" spans="1:33" x14ac:dyDescent="0.25">
      <c r="A136" s="157">
        <f t="shared" si="6"/>
        <v>135</v>
      </c>
      <c r="B136" s="519" t="s">
        <v>2280</v>
      </c>
      <c r="C136" s="519" t="s">
        <v>2280</v>
      </c>
      <c r="D136" s="520" t="s">
        <v>5757</v>
      </c>
      <c r="E136" s="6"/>
      <c r="F136" s="7"/>
      <c r="G136" s="7" t="s">
        <v>625</v>
      </c>
      <c r="H136" s="7"/>
      <c r="I136" s="7"/>
      <c r="J136" s="7"/>
      <c r="K136" s="7"/>
      <c r="L136" s="7"/>
      <c r="M136" s="7">
        <f t="shared" si="7"/>
        <v>0</v>
      </c>
      <c r="N136" s="6"/>
      <c r="O136" s="6"/>
      <c r="P136" s="6"/>
      <c r="Q136" s="6"/>
      <c r="R136" s="6"/>
      <c r="S136" s="6"/>
      <c r="T136" s="6"/>
      <c r="U136" s="6"/>
      <c r="V136" s="6"/>
      <c r="W136" s="6"/>
      <c r="X136" s="6"/>
      <c r="Y136" s="6"/>
      <c r="Z136" s="6"/>
      <c r="AA136" s="6"/>
      <c r="AB136" s="6"/>
      <c r="AC136" s="6"/>
      <c r="AD136" s="6"/>
      <c r="AE136" s="6"/>
      <c r="AF136" s="6"/>
      <c r="AG136" s="6"/>
    </row>
    <row r="137" spans="1:33" x14ac:dyDescent="0.25">
      <c r="A137" s="157">
        <f t="shared" si="6"/>
        <v>136</v>
      </c>
      <c r="B137" s="519" t="s">
        <v>2315</v>
      </c>
      <c r="C137" s="519" t="s">
        <v>2315</v>
      </c>
      <c r="D137" s="520" t="s">
        <v>5758</v>
      </c>
      <c r="E137" s="6"/>
      <c r="F137" s="7"/>
      <c r="G137" s="7" t="s">
        <v>1112</v>
      </c>
      <c r="H137" s="7"/>
      <c r="I137" s="7"/>
      <c r="J137" s="7"/>
      <c r="K137" s="7"/>
      <c r="L137" s="7"/>
      <c r="M137" s="7">
        <f t="shared" si="7"/>
        <v>0</v>
      </c>
      <c r="N137" s="6"/>
      <c r="O137" s="6"/>
      <c r="P137" s="6"/>
      <c r="Q137" s="6"/>
      <c r="R137" s="6"/>
      <c r="S137" s="6"/>
      <c r="T137" s="6"/>
      <c r="U137" s="6"/>
      <c r="V137" s="6"/>
      <c r="W137" s="6"/>
      <c r="X137" s="6"/>
      <c r="Y137" s="6"/>
      <c r="Z137" s="6"/>
      <c r="AA137" s="6"/>
      <c r="AB137" s="6"/>
      <c r="AC137" s="6"/>
      <c r="AD137" s="6"/>
      <c r="AE137" s="6"/>
      <c r="AF137" s="6"/>
      <c r="AG137" s="6"/>
    </row>
    <row r="138" spans="1:33" x14ac:dyDescent="0.25">
      <c r="A138" s="157">
        <f t="shared" si="6"/>
        <v>137</v>
      </c>
      <c r="B138" s="519" t="s">
        <v>2282</v>
      </c>
      <c r="C138" s="519" t="s">
        <v>2282</v>
      </c>
      <c r="D138" s="520" t="s">
        <v>3857</v>
      </c>
      <c r="E138" s="6"/>
      <c r="F138" s="7"/>
      <c r="G138" s="7" t="s">
        <v>626</v>
      </c>
      <c r="H138" s="7"/>
      <c r="I138" s="7"/>
      <c r="J138" s="7"/>
      <c r="K138" s="7" t="s">
        <v>171</v>
      </c>
      <c r="L138" s="7"/>
      <c r="M138" s="7">
        <f t="shared" si="7"/>
        <v>2</v>
      </c>
      <c r="N138" s="6" t="s">
        <v>4021</v>
      </c>
      <c r="O138" s="6" t="s">
        <v>3516</v>
      </c>
      <c r="P138" s="6"/>
      <c r="Q138" s="6"/>
      <c r="R138" s="6"/>
      <c r="S138" s="6"/>
      <c r="T138" s="6"/>
      <c r="U138" s="6"/>
      <c r="V138" s="6"/>
      <c r="W138" s="6"/>
      <c r="X138" s="6"/>
      <c r="Y138" s="6"/>
      <c r="Z138" s="6"/>
      <c r="AA138" s="6"/>
      <c r="AB138" s="6"/>
      <c r="AC138" s="6"/>
      <c r="AD138" s="6"/>
      <c r="AE138" s="6"/>
      <c r="AF138" s="6"/>
      <c r="AG138" s="6"/>
    </row>
    <row r="139" spans="1:33" x14ac:dyDescent="0.25">
      <c r="A139" s="157">
        <f t="shared" si="6"/>
        <v>138</v>
      </c>
      <c r="B139" s="519" t="s">
        <v>5312</v>
      </c>
      <c r="C139" s="519" t="s">
        <v>3964</v>
      </c>
      <c r="D139" s="520" t="s">
        <v>3857</v>
      </c>
      <c r="E139" s="6"/>
      <c r="F139" s="7"/>
      <c r="G139" s="7" t="s">
        <v>626</v>
      </c>
      <c r="H139" s="7"/>
      <c r="I139" s="7"/>
      <c r="J139" s="7"/>
      <c r="K139" s="7"/>
      <c r="L139" s="7" t="s">
        <v>171</v>
      </c>
      <c r="M139" s="7">
        <f t="shared" si="7"/>
        <v>0</v>
      </c>
      <c r="N139" s="6"/>
      <c r="O139" s="6"/>
      <c r="P139" s="6"/>
      <c r="Q139" s="6"/>
      <c r="R139" s="6"/>
      <c r="S139" s="6"/>
      <c r="T139" s="6"/>
      <c r="U139" s="6"/>
      <c r="V139" s="6"/>
      <c r="W139" s="6"/>
      <c r="X139" s="6"/>
      <c r="Y139" s="6"/>
      <c r="Z139" s="6"/>
      <c r="AA139" s="6"/>
      <c r="AB139" s="6"/>
      <c r="AC139" s="6"/>
      <c r="AD139" s="6"/>
      <c r="AE139" s="6"/>
      <c r="AF139" s="6"/>
      <c r="AG139" s="6"/>
    </row>
    <row r="140" spans="1:33" x14ac:dyDescent="0.25">
      <c r="A140" s="157">
        <f t="shared" si="6"/>
        <v>139</v>
      </c>
      <c r="B140" s="519" t="s">
        <v>5313</v>
      </c>
      <c r="C140" s="519" t="s">
        <v>3964</v>
      </c>
      <c r="D140" s="520" t="s">
        <v>3857</v>
      </c>
      <c r="E140" s="6"/>
      <c r="F140" s="7"/>
      <c r="G140" s="7" t="s">
        <v>626</v>
      </c>
      <c r="H140" s="7"/>
      <c r="I140" s="7"/>
      <c r="J140" s="7"/>
      <c r="K140" s="7"/>
      <c r="L140" s="7" t="s">
        <v>171</v>
      </c>
      <c r="M140" s="7">
        <f t="shared" si="7"/>
        <v>0</v>
      </c>
      <c r="N140" s="6"/>
      <c r="O140" s="6"/>
      <c r="P140" s="6"/>
      <c r="Q140" s="6"/>
      <c r="R140" s="6"/>
      <c r="S140" s="6"/>
      <c r="T140" s="6"/>
      <c r="U140" s="6"/>
      <c r="V140" s="6"/>
      <c r="W140" s="6"/>
      <c r="X140" s="6"/>
      <c r="Y140" s="6"/>
      <c r="Z140" s="6"/>
      <c r="AA140" s="6"/>
      <c r="AB140" s="6"/>
      <c r="AC140" s="6"/>
      <c r="AD140" s="6"/>
      <c r="AE140" s="6"/>
      <c r="AF140" s="6"/>
      <c r="AG140" s="6"/>
    </row>
    <row r="141" spans="1:33" x14ac:dyDescent="0.25">
      <c r="A141" s="157">
        <f t="shared" si="6"/>
        <v>140</v>
      </c>
      <c r="B141" s="519" t="s">
        <v>5314</v>
      </c>
      <c r="C141" s="519" t="s">
        <v>3964</v>
      </c>
      <c r="D141" s="520" t="s">
        <v>3857</v>
      </c>
      <c r="E141" s="6"/>
      <c r="F141" s="7"/>
      <c r="G141" s="7" t="s">
        <v>626</v>
      </c>
      <c r="H141" s="7"/>
      <c r="I141" s="7"/>
      <c r="J141" s="7"/>
      <c r="K141" s="7"/>
      <c r="L141" s="7" t="s">
        <v>171</v>
      </c>
      <c r="M141" s="7">
        <f t="shared" si="7"/>
        <v>0</v>
      </c>
      <c r="N141" s="6"/>
      <c r="O141" s="6"/>
      <c r="P141" s="6"/>
      <c r="Q141" s="6"/>
      <c r="R141" s="6"/>
      <c r="S141" s="6"/>
      <c r="T141" s="6"/>
      <c r="U141" s="6"/>
      <c r="V141" s="6"/>
      <c r="W141" s="6"/>
      <c r="X141" s="6"/>
      <c r="Y141" s="6"/>
      <c r="Z141" s="6"/>
      <c r="AA141" s="6"/>
      <c r="AB141" s="6"/>
      <c r="AC141" s="6"/>
      <c r="AD141" s="6"/>
      <c r="AE141" s="6"/>
      <c r="AF141" s="6"/>
      <c r="AG141" s="6"/>
    </row>
    <row r="142" spans="1:33" x14ac:dyDescent="0.25">
      <c r="A142" s="157">
        <f t="shared" si="6"/>
        <v>141</v>
      </c>
      <c r="B142" s="519" t="s">
        <v>5315</v>
      </c>
      <c r="C142" s="519" t="s">
        <v>3964</v>
      </c>
      <c r="D142" s="520" t="s">
        <v>3857</v>
      </c>
      <c r="E142" s="6"/>
      <c r="F142" s="7"/>
      <c r="G142" s="7" t="s">
        <v>626</v>
      </c>
      <c r="H142" s="7"/>
      <c r="I142" s="7"/>
      <c r="J142" s="7"/>
      <c r="K142" s="7"/>
      <c r="L142" s="7" t="s">
        <v>171</v>
      </c>
      <c r="M142" s="7">
        <f t="shared" si="7"/>
        <v>0</v>
      </c>
      <c r="N142" s="6"/>
      <c r="O142" s="6"/>
      <c r="P142" s="6"/>
      <c r="Q142" s="6"/>
      <c r="R142" s="6"/>
      <c r="S142" s="6"/>
      <c r="T142" s="6"/>
      <c r="U142" s="6"/>
      <c r="V142" s="6"/>
      <c r="W142" s="6"/>
      <c r="X142" s="6"/>
      <c r="Y142" s="6"/>
      <c r="Z142" s="6"/>
      <c r="AA142" s="6"/>
      <c r="AB142" s="6"/>
      <c r="AC142" s="6"/>
      <c r="AD142" s="6"/>
      <c r="AE142" s="6"/>
      <c r="AF142" s="6"/>
      <c r="AG142" s="6"/>
    </row>
    <row r="143" spans="1:33" x14ac:dyDescent="0.25">
      <c r="A143" s="157">
        <f t="shared" si="6"/>
        <v>142</v>
      </c>
      <c r="B143" s="519" t="s">
        <v>5316</v>
      </c>
      <c r="C143" s="519" t="s">
        <v>3964</v>
      </c>
      <c r="D143" s="520" t="s">
        <v>3857</v>
      </c>
      <c r="E143" s="6"/>
      <c r="F143" s="7"/>
      <c r="G143" s="7" t="s">
        <v>626</v>
      </c>
      <c r="H143" s="7"/>
      <c r="I143" s="7"/>
      <c r="J143" s="7"/>
      <c r="K143" s="7"/>
      <c r="L143" s="7" t="s">
        <v>171</v>
      </c>
      <c r="M143" s="7">
        <f t="shared" si="7"/>
        <v>0</v>
      </c>
      <c r="N143" s="6"/>
      <c r="O143" s="6"/>
      <c r="P143" s="6"/>
      <c r="Q143" s="6"/>
      <c r="R143" s="6"/>
      <c r="S143" s="6"/>
      <c r="T143" s="6"/>
      <c r="U143" s="6"/>
      <c r="V143" s="6"/>
      <c r="W143" s="6"/>
      <c r="X143" s="6"/>
      <c r="Y143" s="6"/>
      <c r="Z143" s="6"/>
      <c r="AA143" s="6"/>
      <c r="AB143" s="6"/>
      <c r="AC143" s="6"/>
      <c r="AD143" s="6"/>
      <c r="AE143" s="6"/>
      <c r="AF143" s="6"/>
      <c r="AG143" s="6"/>
    </row>
    <row r="144" spans="1:33" x14ac:dyDescent="0.25">
      <c r="A144" s="157">
        <f t="shared" si="6"/>
        <v>143</v>
      </c>
      <c r="B144" s="519" t="s">
        <v>3963</v>
      </c>
      <c r="C144" s="519" t="s">
        <v>3963</v>
      </c>
      <c r="D144" s="520" t="s">
        <v>3857</v>
      </c>
      <c r="E144" s="6"/>
      <c r="F144" s="7"/>
      <c r="G144" s="7" t="s">
        <v>626</v>
      </c>
      <c r="H144" s="7"/>
      <c r="I144" s="7"/>
      <c r="J144" s="7"/>
      <c r="K144" s="7"/>
      <c r="L144" s="7"/>
      <c r="M144" s="7">
        <f t="shared" si="7"/>
        <v>0</v>
      </c>
      <c r="N144" s="6"/>
      <c r="O144" s="6"/>
      <c r="P144" s="6"/>
      <c r="Q144" s="6"/>
      <c r="R144" s="6"/>
      <c r="S144" s="6"/>
      <c r="T144" s="6"/>
      <c r="U144" s="6"/>
      <c r="V144" s="6"/>
      <c r="W144" s="6"/>
      <c r="X144" s="6"/>
      <c r="Y144" s="6"/>
      <c r="Z144" s="6"/>
      <c r="AA144" s="6"/>
      <c r="AB144" s="6"/>
      <c r="AC144" s="6"/>
      <c r="AD144" s="6"/>
      <c r="AE144" s="6"/>
      <c r="AF144" s="6"/>
      <c r="AG144" s="6"/>
    </row>
    <row r="145" spans="1:33" x14ac:dyDescent="0.25">
      <c r="A145" s="157">
        <f t="shared" si="6"/>
        <v>144</v>
      </c>
      <c r="B145" s="519" t="s">
        <v>3918</v>
      </c>
      <c r="C145" s="519" t="s">
        <v>3918</v>
      </c>
      <c r="D145" s="520" t="s">
        <v>6052</v>
      </c>
      <c r="E145" s="6"/>
      <c r="F145" s="7"/>
      <c r="G145" s="7" t="s">
        <v>628</v>
      </c>
      <c r="H145" s="7"/>
      <c r="I145" s="7"/>
      <c r="J145" s="7"/>
      <c r="K145" s="7"/>
      <c r="L145" s="7"/>
      <c r="M145" s="7">
        <f t="shared" si="7"/>
        <v>0</v>
      </c>
      <c r="N145" s="6"/>
      <c r="O145" s="6"/>
      <c r="P145" s="6"/>
      <c r="Q145" s="6"/>
      <c r="R145" s="6"/>
      <c r="S145" s="6"/>
      <c r="T145" s="6"/>
      <c r="U145" s="6"/>
      <c r="V145" s="6"/>
      <c r="W145" s="6"/>
      <c r="X145" s="6"/>
      <c r="Y145" s="6"/>
      <c r="Z145" s="6"/>
      <c r="AA145" s="6"/>
      <c r="AB145" s="6"/>
      <c r="AC145" s="6"/>
      <c r="AD145" s="6"/>
      <c r="AE145" s="6"/>
      <c r="AF145" s="6"/>
      <c r="AG145" s="6"/>
    </row>
    <row r="146" spans="1:33" x14ac:dyDescent="0.25">
      <c r="A146" s="157">
        <f t="shared" si="6"/>
        <v>145</v>
      </c>
      <c r="B146" s="519" t="s">
        <v>270</v>
      </c>
      <c r="C146" s="519" t="s">
        <v>270</v>
      </c>
      <c r="D146" s="520" t="s">
        <v>3857</v>
      </c>
      <c r="E146" s="6"/>
      <c r="F146" s="7"/>
      <c r="G146" s="7"/>
      <c r="H146" s="7"/>
      <c r="I146" s="7"/>
      <c r="J146" s="7"/>
      <c r="K146" s="7"/>
      <c r="L146" s="7"/>
      <c r="M146" s="7">
        <f t="shared" si="7"/>
        <v>0</v>
      </c>
      <c r="N146" s="6"/>
      <c r="O146" s="6"/>
      <c r="P146" s="6"/>
      <c r="Q146" s="6"/>
      <c r="R146" s="6"/>
      <c r="S146" s="6"/>
      <c r="T146" s="6"/>
      <c r="U146" s="6"/>
      <c r="V146" s="6"/>
      <c r="W146" s="6"/>
      <c r="X146" s="6"/>
      <c r="Y146" s="6"/>
      <c r="Z146" s="6"/>
      <c r="AA146" s="6"/>
      <c r="AB146" s="6"/>
      <c r="AC146" s="6"/>
      <c r="AD146" s="6"/>
      <c r="AE146" s="6"/>
      <c r="AF146" s="6"/>
      <c r="AG146" s="6"/>
    </row>
    <row r="147" spans="1:33" x14ac:dyDescent="0.25">
      <c r="A147" s="157">
        <f t="shared" si="6"/>
        <v>146</v>
      </c>
      <c r="B147" s="519" t="s">
        <v>3943</v>
      </c>
      <c r="C147" s="519" t="s">
        <v>3943</v>
      </c>
      <c r="D147" s="520" t="s">
        <v>5527</v>
      </c>
      <c r="E147" s="6"/>
      <c r="F147" s="7"/>
      <c r="G147" s="7"/>
      <c r="H147" s="7"/>
      <c r="I147" s="7"/>
      <c r="J147" s="7"/>
      <c r="K147" s="7"/>
      <c r="L147" s="7"/>
      <c r="M147" s="7">
        <f t="shared" si="7"/>
        <v>0</v>
      </c>
      <c r="N147" s="6"/>
      <c r="O147" s="6"/>
      <c r="P147" s="6"/>
      <c r="Q147" s="6"/>
      <c r="R147" s="6"/>
      <c r="S147" s="6"/>
      <c r="T147" s="6"/>
      <c r="U147" s="6"/>
      <c r="V147" s="6"/>
      <c r="W147" s="6"/>
      <c r="X147" s="6"/>
      <c r="Y147" s="6"/>
      <c r="Z147" s="6"/>
      <c r="AA147" s="6"/>
      <c r="AB147" s="6"/>
      <c r="AC147" s="6"/>
      <c r="AD147" s="6"/>
      <c r="AE147" s="6"/>
      <c r="AF147" s="6"/>
      <c r="AG147" s="6"/>
    </row>
    <row r="148" spans="1:33" x14ac:dyDescent="0.25">
      <c r="A148" s="157">
        <f t="shared" si="6"/>
        <v>147</v>
      </c>
      <c r="B148" s="519" t="s">
        <v>3962</v>
      </c>
      <c r="C148" s="519" t="s">
        <v>3962</v>
      </c>
      <c r="D148" s="520" t="s">
        <v>5759</v>
      </c>
      <c r="E148" s="6"/>
      <c r="F148" s="7"/>
      <c r="G148" s="7" t="s">
        <v>625</v>
      </c>
      <c r="H148" s="7"/>
      <c r="I148" s="7"/>
      <c r="J148" s="7"/>
      <c r="K148" s="7"/>
      <c r="L148" s="7"/>
      <c r="M148" s="7">
        <f t="shared" si="7"/>
        <v>0</v>
      </c>
      <c r="N148" s="6"/>
      <c r="O148" s="6"/>
      <c r="P148" s="6"/>
      <c r="Q148" s="6"/>
      <c r="R148" s="6"/>
      <c r="S148" s="6"/>
      <c r="T148" s="6"/>
      <c r="U148" s="6"/>
      <c r="V148" s="6"/>
      <c r="W148" s="6"/>
      <c r="X148" s="6"/>
      <c r="Y148" s="6"/>
      <c r="Z148" s="6"/>
      <c r="AA148" s="6"/>
      <c r="AB148" s="6"/>
      <c r="AC148" s="6"/>
      <c r="AD148" s="6"/>
      <c r="AE148" s="6"/>
      <c r="AF148" s="6"/>
      <c r="AG148" s="6"/>
    </row>
    <row r="149" spans="1:33" x14ac:dyDescent="0.25">
      <c r="A149" s="157">
        <f t="shared" si="6"/>
        <v>148</v>
      </c>
      <c r="B149" s="519" t="s">
        <v>3939</v>
      </c>
      <c r="C149" s="519" t="s">
        <v>3939</v>
      </c>
      <c r="D149" s="520" t="s">
        <v>5524</v>
      </c>
      <c r="E149" s="6"/>
      <c r="F149" s="7"/>
      <c r="G149" s="7" t="s">
        <v>623</v>
      </c>
      <c r="H149" s="7"/>
      <c r="I149" s="7"/>
      <c r="J149" s="7"/>
      <c r="K149" s="7"/>
      <c r="L149" s="7"/>
      <c r="M149" s="7">
        <f t="shared" si="7"/>
        <v>0</v>
      </c>
      <c r="N149" s="6"/>
      <c r="O149" s="6"/>
      <c r="P149" s="6"/>
      <c r="Q149" s="6"/>
      <c r="R149" s="6"/>
      <c r="S149" s="6"/>
      <c r="T149" s="6"/>
      <c r="U149" s="6"/>
      <c r="V149" s="6"/>
      <c r="W149" s="6"/>
      <c r="X149" s="6"/>
      <c r="Y149" s="6"/>
      <c r="Z149" s="6"/>
      <c r="AA149" s="6"/>
      <c r="AB149" s="6"/>
      <c r="AC149" s="6"/>
      <c r="AD149" s="6"/>
      <c r="AE149" s="6"/>
      <c r="AF149" s="6"/>
      <c r="AG149" s="6"/>
    </row>
    <row r="150" spans="1:33" x14ac:dyDescent="0.25">
      <c r="A150" s="157">
        <f t="shared" si="6"/>
        <v>149</v>
      </c>
      <c r="B150" s="519" t="s">
        <v>3931</v>
      </c>
      <c r="C150" s="519" t="s">
        <v>3931</v>
      </c>
      <c r="D150" s="520" t="s">
        <v>3857</v>
      </c>
      <c r="E150" s="6"/>
      <c r="F150" s="7"/>
      <c r="G150" s="7" t="s">
        <v>1112</v>
      </c>
      <c r="H150" s="7"/>
      <c r="I150" s="7"/>
      <c r="J150" s="7"/>
      <c r="K150" s="7"/>
      <c r="L150" s="7"/>
      <c r="M150" s="7">
        <f t="shared" si="7"/>
        <v>0</v>
      </c>
      <c r="N150" s="6"/>
      <c r="O150" s="6"/>
      <c r="P150" s="6"/>
      <c r="Q150" s="6"/>
      <c r="R150" s="6"/>
      <c r="S150" s="6"/>
      <c r="T150" s="6"/>
      <c r="U150" s="6"/>
      <c r="V150" s="6"/>
      <c r="W150" s="6"/>
      <c r="X150" s="6"/>
      <c r="Y150" s="6"/>
      <c r="Z150" s="6"/>
      <c r="AA150" s="6"/>
      <c r="AB150" s="6"/>
      <c r="AC150" s="6"/>
      <c r="AD150" s="6"/>
      <c r="AE150" s="6"/>
      <c r="AF150" s="6"/>
      <c r="AG150" s="6"/>
    </row>
    <row r="151" spans="1:33" x14ac:dyDescent="0.25">
      <c r="A151" s="157">
        <f t="shared" si="6"/>
        <v>150</v>
      </c>
      <c r="B151" s="519" t="s">
        <v>2281</v>
      </c>
      <c r="C151" s="519" t="s">
        <v>2281</v>
      </c>
      <c r="D151" s="520" t="s">
        <v>5760</v>
      </c>
      <c r="E151" s="6"/>
      <c r="F151" s="7"/>
      <c r="G151" s="7"/>
      <c r="H151" s="7"/>
      <c r="I151" s="7"/>
      <c r="J151" s="7"/>
      <c r="K151" s="7"/>
      <c r="L151" s="7"/>
      <c r="M151" s="7">
        <f t="shared" si="7"/>
        <v>0</v>
      </c>
      <c r="N151" s="6"/>
      <c r="O151" s="6"/>
      <c r="P151" s="6"/>
      <c r="Q151" s="6"/>
      <c r="R151" s="6"/>
      <c r="S151" s="6"/>
      <c r="T151" s="6"/>
      <c r="U151" s="6"/>
      <c r="V151" s="6"/>
      <c r="W151" s="6"/>
      <c r="X151" s="6"/>
      <c r="Y151" s="6"/>
      <c r="Z151" s="6"/>
      <c r="AA151" s="6"/>
      <c r="AB151" s="6"/>
      <c r="AC151" s="6"/>
      <c r="AD151" s="6"/>
      <c r="AE151" s="6"/>
      <c r="AF151" s="6"/>
      <c r="AG151" s="6"/>
    </row>
    <row r="152" spans="1:33" x14ac:dyDescent="0.25">
      <c r="A152" s="157">
        <f t="shared" si="6"/>
        <v>151</v>
      </c>
      <c r="B152" s="519" t="s">
        <v>5532</v>
      </c>
      <c r="C152" s="519" t="s">
        <v>3936</v>
      </c>
      <c r="D152" s="520" t="s">
        <v>5531</v>
      </c>
      <c r="E152" s="6"/>
      <c r="F152" s="7"/>
      <c r="G152" s="7"/>
      <c r="H152" s="7"/>
      <c r="I152" s="7"/>
      <c r="J152" s="7"/>
      <c r="K152" s="7"/>
      <c r="L152" s="7"/>
      <c r="M152" s="7">
        <f t="shared" si="7"/>
        <v>0</v>
      </c>
      <c r="N152" s="6"/>
      <c r="O152" s="6"/>
      <c r="P152" s="6"/>
      <c r="Q152" s="6"/>
      <c r="R152" s="6"/>
      <c r="S152" s="6"/>
      <c r="T152" s="6"/>
      <c r="U152" s="6"/>
      <c r="V152" s="6"/>
      <c r="W152" s="6"/>
      <c r="X152" s="6"/>
      <c r="Y152" s="6"/>
      <c r="Z152" s="6"/>
      <c r="AA152" s="6"/>
      <c r="AB152" s="6"/>
      <c r="AC152" s="6"/>
      <c r="AD152" s="6"/>
      <c r="AE152" s="6"/>
      <c r="AF152" s="6"/>
      <c r="AG152" s="6"/>
    </row>
    <row r="153" spans="1:33" x14ac:dyDescent="0.25">
      <c r="A153" s="157">
        <f t="shared" si="6"/>
        <v>152</v>
      </c>
      <c r="B153" s="519" t="s">
        <v>5530</v>
      </c>
      <c r="C153" s="519" t="s">
        <v>3936</v>
      </c>
      <c r="D153" s="520" t="s">
        <v>5500</v>
      </c>
      <c r="E153" s="6"/>
      <c r="F153" s="7"/>
      <c r="G153" s="7"/>
      <c r="H153" s="7"/>
      <c r="I153" s="7"/>
      <c r="J153" s="7"/>
      <c r="K153" s="7"/>
      <c r="L153" s="7"/>
      <c r="M153" s="7">
        <f t="shared" si="7"/>
        <v>0</v>
      </c>
      <c r="N153" s="6"/>
      <c r="O153" s="6"/>
      <c r="P153" s="6"/>
      <c r="Q153" s="6"/>
      <c r="R153" s="6"/>
      <c r="S153" s="6"/>
      <c r="T153" s="6"/>
      <c r="U153" s="6"/>
      <c r="V153" s="6"/>
      <c r="W153" s="6"/>
      <c r="X153" s="6"/>
      <c r="Y153" s="6"/>
      <c r="Z153" s="6"/>
      <c r="AA153" s="6"/>
      <c r="AB153" s="6"/>
      <c r="AC153" s="6"/>
      <c r="AD153" s="6"/>
      <c r="AE153" s="6"/>
      <c r="AF153" s="6"/>
      <c r="AG153" s="6"/>
    </row>
    <row r="154" spans="1:33" x14ac:dyDescent="0.25">
      <c r="A154" s="157">
        <f t="shared" si="6"/>
        <v>153</v>
      </c>
      <c r="B154" s="519" t="s">
        <v>3946</v>
      </c>
      <c r="C154" s="519" t="s">
        <v>3946</v>
      </c>
      <c r="D154" s="520" t="s">
        <v>5529</v>
      </c>
      <c r="E154" s="6"/>
      <c r="F154" s="7"/>
      <c r="G154" s="7"/>
      <c r="H154" s="7"/>
      <c r="I154" s="7"/>
      <c r="J154" s="7"/>
      <c r="K154" s="7"/>
      <c r="L154" s="7"/>
      <c r="M154" s="7">
        <f t="shared" si="7"/>
        <v>0</v>
      </c>
      <c r="N154" s="6"/>
      <c r="O154" s="6"/>
      <c r="P154" s="6"/>
      <c r="Q154" s="6"/>
      <c r="R154" s="6"/>
      <c r="S154" s="6"/>
      <c r="T154" s="6"/>
      <c r="U154" s="6"/>
      <c r="V154" s="6"/>
      <c r="W154" s="6"/>
      <c r="X154" s="6"/>
      <c r="Y154" s="6"/>
      <c r="Z154" s="6"/>
      <c r="AA154" s="6"/>
      <c r="AB154" s="6"/>
      <c r="AC154" s="6"/>
      <c r="AD154" s="6"/>
      <c r="AE154" s="6"/>
      <c r="AF154" s="6"/>
      <c r="AG154" s="6"/>
    </row>
    <row r="155" spans="1:33" x14ac:dyDescent="0.25">
      <c r="A155" s="157">
        <f t="shared" si="6"/>
        <v>154</v>
      </c>
      <c r="B155" s="519" t="s">
        <v>5354</v>
      </c>
      <c r="C155" s="519" t="s">
        <v>3929</v>
      </c>
      <c r="D155" s="520" t="s">
        <v>5444</v>
      </c>
      <c r="E155" s="6"/>
      <c r="F155" s="7"/>
      <c r="G155" s="7" t="s">
        <v>619</v>
      </c>
      <c r="H155" s="7"/>
      <c r="I155" s="7"/>
      <c r="J155" s="7"/>
      <c r="K155" s="7"/>
      <c r="L155" s="7"/>
      <c r="M155" s="7">
        <f t="shared" si="7"/>
        <v>0</v>
      </c>
      <c r="N155" s="6"/>
      <c r="O155" s="6"/>
      <c r="P155" s="6"/>
      <c r="Q155" s="6"/>
      <c r="R155" s="6"/>
      <c r="S155" s="6"/>
      <c r="T155" s="6"/>
      <c r="U155" s="6"/>
      <c r="V155" s="6"/>
      <c r="W155" s="6"/>
      <c r="X155" s="6"/>
      <c r="Y155" s="6"/>
      <c r="Z155" s="6"/>
      <c r="AA155" s="6"/>
      <c r="AB155" s="6"/>
      <c r="AC155" s="6"/>
      <c r="AD155" s="6"/>
      <c r="AE155" s="6"/>
      <c r="AF155" s="6"/>
      <c r="AG155" s="6"/>
    </row>
    <row r="156" spans="1:33" x14ac:dyDescent="0.25">
      <c r="A156" s="157">
        <f t="shared" si="6"/>
        <v>155</v>
      </c>
      <c r="B156" s="519" t="s">
        <v>2292</v>
      </c>
      <c r="C156" s="519" t="s">
        <v>2292</v>
      </c>
      <c r="D156" s="520" t="s">
        <v>5705</v>
      </c>
      <c r="E156" s="6"/>
      <c r="F156" s="7"/>
      <c r="G156" s="7"/>
      <c r="H156" s="7"/>
      <c r="I156" s="7"/>
      <c r="J156" s="7"/>
      <c r="K156" s="7"/>
      <c r="L156" s="7"/>
      <c r="M156" s="7">
        <f t="shared" si="7"/>
        <v>0</v>
      </c>
      <c r="N156" s="6"/>
      <c r="O156" s="6"/>
      <c r="P156" s="6"/>
      <c r="Q156" s="6"/>
      <c r="R156" s="6"/>
      <c r="S156" s="6"/>
      <c r="T156" s="6"/>
      <c r="U156" s="6"/>
      <c r="V156" s="6"/>
      <c r="W156" s="6"/>
      <c r="X156" s="6"/>
      <c r="Y156" s="6"/>
      <c r="Z156" s="6"/>
      <c r="AA156" s="6"/>
      <c r="AB156" s="6"/>
      <c r="AC156" s="6"/>
      <c r="AD156" s="6"/>
      <c r="AE156" s="6"/>
      <c r="AF156" s="6"/>
      <c r="AG156" s="6"/>
    </row>
    <row r="157" spans="1:33" x14ac:dyDescent="0.25">
      <c r="A157" s="157">
        <f t="shared" si="6"/>
        <v>156</v>
      </c>
      <c r="B157" s="519" t="s">
        <v>3944</v>
      </c>
      <c r="C157" s="519" t="s">
        <v>3944</v>
      </c>
      <c r="D157" s="520" t="s">
        <v>5521</v>
      </c>
      <c r="E157" s="6"/>
      <c r="F157" s="7"/>
      <c r="G157" s="7"/>
      <c r="H157" s="7"/>
      <c r="I157" s="7"/>
      <c r="J157" s="7"/>
      <c r="K157" s="7"/>
      <c r="L157" s="7"/>
      <c r="M157" s="7">
        <f t="shared" si="7"/>
        <v>0</v>
      </c>
      <c r="N157" s="6"/>
      <c r="O157" s="6"/>
      <c r="P157" s="6"/>
      <c r="Q157" s="6"/>
      <c r="R157" s="6"/>
      <c r="S157" s="6"/>
      <c r="T157" s="6"/>
      <c r="U157" s="6"/>
      <c r="V157" s="6"/>
      <c r="W157" s="6"/>
      <c r="X157" s="6"/>
      <c r="Y157" s="6"/>
      <c r="Z157" s="6"/>
      <c r="AA157" s="6"/>
      <c r="AB157" s="6"/>
      <c r="AC157" s="6"/>
      <c r="AD157" s="6"/>
      <c r="AE157" s="6"/>
      <c r="AF157" s="6"/>
      <c r="AG157" s="6"/>
    </row>
    <row r="158" spans="1:33" x14ac:dyDescent="0.25">
      <c r="A158" s="157">
        <f t="shared" si="6"/>
        <v>157</v>
      </c>
      <c r="B158" s="519" t="s">
        <v>3956</v>
      </c>
      <c r="C158" s="519" t="s">
        <v>3956</v>
      </c>
      <c r="D158" s="520" t="s">
        <v>5590</v>
      </c>
      <c r="E158" s="6"/>
      <c r="F158" s="7"/>
      <c r="G158" s="7"/>
      <c r="H158" s="7"/>
      <c r="I158" s="7"/>
      <c r="J158" s="7"/>
      <c r="K158" s="7"/>
      <c r="L158" s="7"/>
      <c r="M158" s="7">
        <f t="shared" si="7"/>
        <v>0</v>
      </c>
      <c r="N158" s="6"/>
      <c r="O158" s="6"/>
      <c r="P158" s="6"/>
      <c r="Q158" s="6"/>
      <c r="R158" s="6"/>
      <c r="S158" s="6"/>
      <c r="T158" s="6"/>
      <c r="U158" s="6"/>
      <c r="V158" s="6"/>
      <c r="W158" s="6"/>
      <c r="X158" s="6"/>
      <c r="Y158" s="6"/>
      <c r="Z158" s="6"/>
      <c r="AA158" s="6"/>
      <c r="AB158" s="6"/>
      <c r="AC158" s="6"/>
      <c r="AD158" s="6"/>
      <c r="AE158" s="6"/>
      <c r="AF158" s="6"/>
      <c r="AG158" s="6"/>
    </row>
    <row r="159" spans="1:33" x14ac:dyDescent="0.25">
      <c r="A159" s="157">
        <f t="shared" si="6"/>
        <v>158</v>
      </c>
      <c r="B159" s="519" t="s">
        <v>3867</v>
      </c>
      <c r="C159" s="519" t="s">
        <v>3867</v>
      </c>
      <c r="D159" s="520" t="s">
        <v>5576</v>
      </c>
      <c r="E159" s="6"/>
      <c r="F159" s="7"/>
      <c r="G159" s="7"/>
      <c r="H159" s="7"/>
      <c r="I159" s="7"/>
      <c r="J159" s="7"/>
      <c r="K159" s="7"/>
      <c r="L159" s="7"/>
      <c r="M159" s="7">
        <f t="shared" si="7"/>
        <v>0</v>
      </c>
      <c r="N159" s="6"/>
      <c r="O159" s="6"/>
      <c r="P159" s="6"/>
      <c r="Q159" s="6"/>
      <c r="R159" s="6"/>
      <c r="S159" s="6"/>
      <c r="T159" s="6"/>
      <c r="U159" s="6"/>
      <c r="V159" s="6"/>
      <c r="W159" s="6"/>
      <c r="X159" s="6"/>
      <c r="Y159" s="6"/>
      <c r="Z159" s="6"/>
      <c r="AA159" s="6"/>
      <c r="AB159" s="6"/>
      <c r="AC159" s="6"/>
      <c r="AD159" s="6"/>
      <c r="AE159" s="6"/>
      <c r="AF159" s="6"/>
      <c r="AG159" s="6"/>
    </row>
    <row r="160" spans="1:33" x14ac:dyDescent="0.25">
      <c r="A160" s="157">
        <f t="shared" si="6"/>
        <v>159</v>
      </c>
      <c r="B160" s="519" t="s">
        <v>2290</v>
      </c>
      <c r="C160" s="519" t="s">
        <v>2290</v>
      </c>
      <c r="D160" s="520" t="s">
        <v>5761</v>
      </c>
      <c r="E160" s="6"/>
      <c r="F160" s="7"/>
      <c r="G160" s="7" t="s">
        <v>621</v>
      </c>
      <c r="H160" s="7"/>
      <c r="I160" s="7"/>
      <c r="J160" s="7"/>
      <c r="K160" s="7"/>
      <c r="L160" s="7"/>
      <c r="M160" s="7">
        <f t="shared" si="7"/>
        <v>0</v>
      </c>
      <c r="N160" s="6"/>
      <c r="O160" s="6"/>
      <c r="P160" s="6"/>
      <c r="Q160" s="6"/>
      <c r="R160" s="6"/>
      <c r="S160" s="6"/>
      <c r="T160" s="6"/>
      <c r="U160" s="6"/>
      <c r="V160" s="6"/>
      <c r="W160" s="6"/>
      <c r="X160" s="6"/>
      <c r="Y160" s="6"/>
      <c r="Z160" s="6"/>
      <c r="AA160" s="6"/>
      <c r="AB160" s="6"/>
      <c r="AC160" s="6"/>
      <c r="AD160" s="6"/>
      <c r="AE160" s="6"/>
      <c r="AF160" s="6"/>
      <c r="AG160" s="6"/>
    </row>
    <row r="161" spans="1:33" x14ac:dyDescent="0.25">
      <c r="A161" s="157">
        <f t="shared" si="6"/>
        <v>160</v>
      </c>
      <c r="B161" s="519" t="s">
        <v>3934</v>
      </c>
      <c r="C161" s="519" t="s">
        <v>3934</v>
      </c>
      <c r="D161" s="520" t="s">
        <v>3857</v>
      </c>
      <c r="E161" s="6"/>
      <c r="F161" s="7"/>
      <c r="G161" s="7" t="s">
        <v>621</v>
      </c>
      <c r="H161" s="7"/>
      <c r="I161" s="7"/>
      <c r="J161" s="7"/>
      <c r="K161" s="7"/>
      <c r="L161" s="7"/>
      <c r="M161" s="7">
        <f t="shared" si="7"/>
        <v>0</v>
      </c>
      <c r="N161" s="6"/>
      <c r="O161" s="6"/>
      <c r="P161" s="6"/>
      <c r="Q161" s="6"/>
      <c r="R161" s="6"/>
      <c r="S161" s="6"/>
      <c r="T161" s="6"/>
      <c r="U161" s="6"/>
      <c r="V161" s="6"/>
      <c r="W161" s="6"/>
      <c r="X161" s="6"/>
      <c r="Y161" s="6"/>
      <c r="Z161" s="6"/>
      <c r="AA161" s="6"/>
      <c r="AB161" s="6"/>
      <c r="AC161" s="6"/>
      <c r="AD161" s="6"/>
      <c r="AE161" s="6"/>
      <c r="AF161" s="6"/>
      <c r="AG161" s="6"/>
    </row>
    <row r="162" spans="1:33" x14ac:dyDescent="0.25">
      <c r="A162" s="157">
        <f t="shared" si="6"/>
        <v>161</v>
      </c>
      <c r="B162" s="519" t="s">
        <v>4211</v>
      </c>
      <c r="C162" s="519" t="s">
        <v>4211</v>
      </c>
      <c r="D162" s="520" t="s">
        <v>5706</v>
      </c>
      <c r="E162" s="6"/>
      <c r="F162" s="7"/>
      <c r="G162" s="7" t="s">
        <v>619</v>
      </c>
      <c r="H162" s="7"/>
      <c r="I162" s="7" t="s">
        <v>4010</v>
      </c>
      <c r="J162" s="7" t="s">
        <v>5317</v>
      </c>
      <c r="K162" s="7"/>
      <c r="L162" s="7" t="s">
        <v>171</v>
      </c>
      <c r="M162" s="7">
        <f t="shared" si="7"/>
        <v>0</v>
      </c>
      <c r="N162" s="6"/>
      <c r="O162" s="6"/>
      <c r="P162" s="6"/>
      <c r="Q162" s="6"/>
      <c r="R162" s="6"/>
      <c r="S162" s="6"/>
      <c r="T162" s="6"/>
      <c r="U162" s="6"/>
      <c r="V162" s="6"/>
      <c r="W162" s="6"/>
      <c r="X162" s="6"/>
      <c r="Y162" s="6"/>
      <c r="Z162" s="6"/>
      <c r="AA162" s="6"/>
      <c r="AB162" s="6"/>
      <c r="AC162" s="6"/>
      <c r="AD162" s="6"/>
      <c r="AE162" s="6"/>
      <c r="AF162" s="6"/>
      <c r="AG162" s="6"/>
    </row>
    <row r="163" spans="1:33" x14ac:dyDescent="0.25">
      <c r="A163" s="157">
        <f t="shared" si="6"/>
        <v>162</v>
      </c>
      <c r="B163" s="519" t="s">
        <v>4212</v>
      </c>
      <c r="C163" s="519" t="s">
        <v>4212</v>
      </c>
      <c r="D163" s="520" t="s">
        <v>5452</v>
      </c>
      <c r="E163" s="6"/>
      <c r="F163" s="7"/>
      <c r="G163" s="7" t="s">
        <v>619</v>
      </c>
      <c r="H163" s="7"/>
      <c r="I163" s="7" t="s">
        <v>4010</v>
      </c>
      <c r="J163" s="7" t="s">
        <v>5319</v>
      </c>
      <c r="K163" s="7"/>
      <c r="L163" s="7" t="s">
        <v>171</v>
      </c>
      <c r="M163" s="7">
        <f t="shared" si="7"/>
        <v>0</v>
      </c>
      <c r="N163" s="6"/>
      <c r="O163" s="6"/>
      <c r="P163" s="6"/>
      <c r="Q163" s="6"/>
      <c r="R163" s="6"/>
      <c r="S163" s="6"/>
      <c r="T163" s="6"/>
      <c r="U163" s="6"/>
      <c r="V163" s="6"/>
      <c r="W163" s="6"/>
      <c r="X163" s="6"/>
      <c r="Y163" s="6"/>
      <c r="Z163" s="6"/>
      <c r="AA163" s="6"/>
      <c r="AB163" s="6"/>
      <c r="AC163" s="6"/>
      <c r="AD163" s="6"/>
      <c r="AE163" s="6"/>
      <c r="AF163" s="6"/>
      <c r="AG163" s="6"/>
    </row>
    <row r="164" spans="1:33" x14ac:dyDescent="0.25">
      <c r="A164" s="157">
        <f t="shared" si="6"/>
        <v>163</v>
      </c>
      <c r="B164" s="519" t="s">
        <v>4213</v>
      </c>
      <c r="C164" s="519" t="s">
        <v>4213</v>
      </c>
      <c r="D164" s="520" t="s">
        <v>5762</v>
      </c>
      <c r="E164" s="6"/>
      <c r="F164" s="7"/>
      <c r="G164" s="7" t="s">
        <v>619</v>
      </c>
      <c r="H164" s="7"/>
      <c r="I164" s="7" t="s">
        <v>4010</v>
      </c>
      <c r="J164" s="7" t="s">
        <v>5320</v>
      </c>
      <c r="K164" s="7"/>
      <c r="L164" s="7" t="s">
        <v>171</v>
      </c>
      <c r="M164" s="7">
        <f t="shared" si="7"/>
        <v>0</v>
      </c>
      <c r="N164" s="6"/>
      <c r="O164" s="6"/>
      <c r="P164" s="6"/>
      <c r="Q164" s="6"/>
      <c r="R164" s="6"/>
      <c r="S164" s="6"/>
      <c r="T164" s="6"/>
      <c r="U164" s="6"/>
      <c r="V164" s="6"/>
      <c r="W164" s="6"/>
      <c r="X164" s="6"/>
      <c r="Y164" s="6"/>
      <c r="Z164" s="6"/>
      <c r="AA164" s="6"/>
      <c r="AB164" s="6"/>
      <c r="AC164" s="6"/>
      <c r="AD164" s="6"/>
      <c r="AE164" s="6"/>
      <c r="AF164" s="6"/>
      <c r="AG164" s="6"/>
    </row>
    <row r="165" spans="1:33" x14ac:dyDescent="0.25">
      <c r="A165" s="157">
        <f t="shared" si="6"/>
        <v>164</v>
      </c>
      <c r="B165" s="519" t="s">
        <v>4215</v>
      </c>
      <c r="C165" s="519" t="s">
        <v>4215</v>
      </c>
      <c r="D165" s="520" t="s">
        <v>5453</v>
      </c>
      <c r="E165" s="6"/>
      <c r="F165" s="7"/>
      <c r="G165" s="7" t="s">
        <v>619</v>
      </c>
      <c r="H165" s="7"/>
      <c r="I165" s="7" t="s">
        <v>4010</v>
      </c>
      <c r="J165" s="7" t="s">
        <v>5321</v>
      </c>
      <c r="K165" s="7"/>
      <c r="L165" s="7" t="s">
        <v>171</v>
      </c>
      <c r="M165" s="7">
        <f t="shared" si="7"/>
        <v>0</v>
      </c>
      <c r="N165" s="6"/>
      <c r="O165" s="6"/>
      <c r="P165" s="6"/>
      <c r="Q165" s="6"/>
      <c r="R165" s="6"/>
      <c r="S165" s="6"/>
      <c r="T165" s="6"/>
      <c r="U165" s="6"/>
      <c r="V165" s="6"/>
      <c r="W165" s="6"/>
      <c r="X165" s="6"/>
      <c r="Y165" s="6"/>
      <c r="Z165" s="6"/>
      <c r="AA165" s="6"/>
      <c r="AB165" s="6"/>
      <c r="AC165" s="6"/>
      <c r="AD165" s="6"/>
      <c r="AE165" s="6"/>
      <c r="AF165" s="6"/>
      <c r="AG165" s="6"/>
    </row>
    <row r="166" spans="1:33" x14ac:dyDescent="0.25">
      <c r="A166" s="157">
        <f t="shared" si="6"/>
        <v>165</v>
      </c>
      <c r="B166" s="519" t="s">
        <v>4216</v>
      </c>
      <c r="C166" s="519" t="s">
        <v>4216</v>
      </c>
      <c r="D166" s="520" t="s">
        <v>5454</v>
      </c>
      <c r="E166" s="6"/>
      <c r="F166" s="7"/>
      <c r="G166" s="7" t="s">
        <v>619</v>
      </c>
      <c r="H166" s="7"/>
      <c r="I166" s="7" t="s">
        <v>4011</v>
      </c>
      <c r="J166" s="7" t="s">
        <v>5317</v>
      </c>
      <c r="K166" s="7"/>
      <c r="L166" s="7" t="s">
        <v>171</v>
      </c>
      <c r="M166" s="7">
        <f t="shared" si="7"/>
        <v>0</v>
      </c>
      <c r="N166" s="6"/>
      <c r="O166" s="6"/>
      <c r="P166" s="6"/>
      <c r="Q166" s="6"/>
      <c r="R166" s="6"/>
      <c r="S166" s="6"/>
      <c r="T166" s="6"/>
      <c r="U166" s="6"/>
      <c r="V166" s="6"/>
      <c r="W166" s="6"/>
      <c r="X166" s="6"/>
      <c r="Y166" s="6"/>
      <c r="Z166" s="6"/>
      <c r="AA166" s="6"/>
      <c r="AB166" s="6"/>
      <c r="AC166" s="6"/>
      <c r="AD166" s="6"/>
      <c r="AE166" s="6"/>
      <c r="AF166" s="6"/>
      <c r="AG166" s="6"/>
    </row>
    <row r="167" spans="1:33" x14ac:dyDescent="0.25">
      <c r="A167" s="157">
        <f t="shared" si="6"/>
        <v>166</v>
      </c>
      <c r="B167" s="519" t="s">
        <v>4217</v>
      </c>
      <c r="C167" s="519" t="s">
        <v>4217</v>
      </c>
      <c r="D167" s="520" t="s">
        <v>5763</v>
      </c>
      <c r="E167" s="6"/>
      <c r="F167" s="7"/>
      <c r="G167" s="7" t="s">
        <v>619</v>
      </c>
      <c r="H167" s="7"/>
      <c r="I167" s="7" t="s">
        <v>4011</v>
      </c>
      <c r="J167" s="7" t="s">
        <v>5318</v>
      </c>
      <c r="K167" s="7"/>
      <c r="L167" s="7" t="s">
        <v>171</v>
      </c>
      <c r="M167" s="7">
        <f t="shared" si="7"/>
        <v>3</v>
      </c>
      <c r="N167" s="6" t="s">
        <v>4473</v>
      </c>
      <c r="O167" s="6" t="s">
        <v>4476</v>
      </c>
      <c r="P167" s="6" t="s">
        <v>4479</v>
      </c>
      <c r="Q167" s="6"/>
      <c r="R167" s="6"/>
      <c r="S167" s="6"/>
      <c r="T167" s="6"/>
      <c r="U167" s="6"/>
      <c r="V167" s="6"/>
      <c r="W167" s="6"/>
      <c r="X167" s="6"/>
      <c r="Y167" s="6"/>
      <c r="Z167" s="6"/>
      <c r="AA167" s="6"/>
      <c r="AB167" s="6"/>
      <c r="AC167" s="6"/>
      <c r="AD167" s="6"/>
      <c r="AE167" s="6"/>
      <c r="AF167" s="6"/>
      <c r="AG167" s="6"/>
    </row>
    <row r="168" spans="1:33" x14ac:dyDescent="0.25">
      <c r="A168" s="157">
        <f t="shared" si="6"/>
        <v>167</v>
      </c>
      <c r="B168" s="519" t="s">
        <v>4218</v>
      </c>
      <c r="C168" s="519" t="s">
        <v>4218</v>
      </c>
      <c r="D168" s="520" t="s">
        <v>5764</v>
      </c>
      <c r="E168" s="6"/>
      <c r="F168" s="7"/>
      <c r="G168" s="7" t="s">
        <v>619</v>
      </c>
      <c r="H168" s="7"/>
      <c r="I168" s="7" t="s">
        <v>4011</v>
      </c>
      <c r="J168" s="7" t="s">
        <v>5319</v>
      </c>
      <c r="K168" s="7"/>
      <c r="L168" s="7" t="s">
        <v>171</v>
      </c>
      <c r="M168" s="7">
        <f t="shared" si="7"/>
        <v>3</v>
      </c>
      <c r="N168" s="6" t="s">
        <v>4473</v>
      </c>
      <c r="O168" s="6" t="s">
        <v>4476</v>
      </c>
      <c r="P168" s="6" t="s">
        <v>4479</v>
      </c>
      <c r="Q168" s="6"/>
      <c r="R168" s="6"/>
      <c r="S168" s="6"/>
      <c r="T168" s="6"/>
      <c r="U168" s="6"/>
      <c r="V168" s="6"/>
      <c r="W168" s="6"/>
      <c r="X168" s="6"/>
      <c r="Y168" s="6"/>
      <c r="Z168" s="6"/>
      <c r="AA168" s="6"/>
      <c r="AB168" s="6"/>
      <c r="AC168" s="6"/>
      <c r="AD168" s="6"/>
      <c r="AE168" s="6"/>
      <c r="AF168" s="6"/>
      <c r="AG168" s="6"/>
    </row>
    <row r="169" spans="1:33" x14ac:dyDescent="0.25">
      <c r="A169" s="157">
        <f t="shared" si="6"/>
        <v>168</v>
      </c>
      <c r="B169" s="519" t="s">
        <v>4219</v>
      </c>
      <c r="C169" s="519" t="s">
        <v>4219</v>
      </c>
      <c r="D169" s="520" t="s">
        <v>5455</v>
      </c>
      <c r="E169" s="6"/>
      <c r="F169" s="7"/>
      <c r="G169" s="7" t="s">
        <v>619</v>
      </c>
      <c r="H169" s="7"/>
      <c r="I169" s="7" t="s">
        <v>4011</v>
      </c>
      <c r="J169" s="7" t="s">
        <v>5320</v>
      </c>
      <c r="K169" s="7"/>
      <c r="L169" s="7" t="s">
        <v>171</v>
      </c>
      <c r="M169" s="7">
        <f t="shared" si="7"/>
        <v>0</v>
      </c>
      <c r="N169" s="6"/>
      <c r="O169" s="6"/>
      <c r="P169" s="6"/>
      <c r="Q169" s="6"/>
      <c r="R169" s="6"/>
      <c r="S169" s="6"/>
      <c r="T169" s="6"/>
      <c r="U169" s="6"/>
      <c r="V169" s="6"/>
      <c r="W169" s="6"/>
      <c r="X169" s="6"/>
      <c r="Y169" s="6"/>
      <c r="Z169" s="6"/>
      <c r="AA169" s="6"/>
      <c r="AB169" s="6"/>
      <c r="AC169" s="6"/>
      <c r="AD169" s="6"/>
      <c r="AE169" s="6"/>
      <c r="AF169" s="6"/>
      <c r="AG169" s="6"/>
    </row>
    <row r="170" spans="1:33" x14ac:dyDescent="0.25">
      <c r="A170" s="157">
        <f t="shared" si="6"/>
        <v>169</v>
      </c>
      <c r="B170" s="519" t="s">
        <v>4220</v>
      </c>
      <c r="C170" s="519" t="s">
        <v>4220</v>
      </c>
      <c r="D170" s="520" t="s">
        <v>5765</v>
      </c>
      <c r="E170" s="6"/>
      <c r="F170" s="7"/>
      <c r="G170" s="7" t="s">
        <v>619</v>
      </c>
      <c r="H170" s="7"/>
      <c r="I170" s="7" t="s">
        <v>4011</v>
      </c>
      <c r="J170" s="7" t="s">
        <v>5321</v>
      </c>
      <c r="K170" s="7"/>
      <c r="L170" s="7" t="s">
        <v>171</v>
      </c>
      <c r="M170" s="7">
        <f t="shared" si="7"/>
        <v>3</v>
      </c>
      <c r="N170" s="6" t="s">
        <v>4473</v>
      </c>
      <c r="O170" s="6" t="s">
        <v>4476</v>
      </c>
      <c r="P170" s="6" t="s">
        <v>4479</v>
      </c>
      <c r="Q170" s="6"/>
      <c r="R170" s="6"/>
      <c r="S170" s="6"/>
      <c r="T170" s="6"/>
      <c r="U170" s="6"/>
      <c r="V170" s="6"/>
      <c r="W170" s="6"/>
      <c r="X170" s="6"/>
      <c r="Y170" s="6"/>
      <c r="Z170" s="6"/>
      <c r="AA170" s="6"/>
      <c r="AB170" s="6"/>
      <c r="AC170" s="6"/>
      <c r="AD170" s="6"/>
      <c r="AE170" s="6"/>
      <c r="AF170" s="6"/>
      <c r="AG170" s="6"/>
    </row>
    <row r="171" spans="1:33" x14ac:dyDescent="0.25">
      <c r="A171" s="157">
        <f t="shared" si="6"/>
        <v>170</v>
      </c>
      <c r="B171" s="519" t="s">
        <v>4225</v>
      </c>
      <c r="C171" s="519" t="s">
        <v>4225</v>
      </c>
      <c r="D171" s="520" t="s">
        <v>5458</v>
      </c>
      <c r="E171" s="6" t="s">
        <v>5860</v>
      </c>
      <c r="F171" s="7"/>
      <c r="G171" s="7" t="s">
        <v>1112</v>
      </c>
      <c r="H171" s="7"/>
      <c r="I171" s="7" t="s">
        <v>3978</v>
      </c>
      <c r="J171" s="7" t="s">
        <v>5167</v>
      </c>
      <c r="K171" s="7"/>
      <c r="L171" s="7" t="s">
        <v>171</v>
      </c>
      <c r="M171" s="7">
        <f t="shared" si="7"/>
        <v>0</v>
      </c>
      <c r="N171" s="6"/>
      <c r="O171" s="6"/>
      <c r="P171" s="6"/>
      <c r="Q171" s="6"/>
      <c r="R171" s="6"/>
      <c r="S171" s="6"/>
      <c r="T171" s="6"/>
      <c r="U171" s="6"/>
      <c r="V171" s="6"/>
      <c r="W171" s="6"/>
      <c r="X171" s="6"/>
      <c r="Y171" s="6"/>
      <c r="Z171" s="6"/>
      <c r="AA171" s="6"/>
      <c r="AB171" s="6"/>
      <c r="AC171" s="6"/>
      <c r="AD171" s="6"/>
      <c r="AE171" s="6"/>
      <c r="AF171" s="6"/>
      <c r="AG171" s="6"/>
    </row>
    <row r="172" spans="1:33" x14ac:dyDescent="0.25">
      <c r="A172" s="157">
        <f t="shared" si="6"/>
        <v>171</v>
      </c>
      <c r="B172" s="519" t="s">
        <v>4221</v>
      </c>
      <c r="C172" s="519" t="s">
        <v>4221</v>
      </c>
      <c r="D172" s="520" t="s">
        <v>5459</v>
      </c>
      <c r="E172" s="6"/>
      <c r="F172" s="7"/>
      <c r="G172" s="7" t="s">
        <v>1112</v>
      </c>
      <c r="H172" s="7"/>
      <c r="I172" s="7" t="s">
        <v>3978</v>
      </c>
      <c r="J172" s="7" t="s">
        <v>5168</v>
      </c>
      <c r="K172" s="7"/>
      <c r="L172" s="7" t="s">
        <v>171</v>
      </c>
      <c r="M172" s="7">
        <f t="shared" si="7"/>
        <v>0</v>
      </c>
      <c r="N172" s="6"/>
      <c r="O172" s="6"/>
      <c r="P172" s="6"/>
      <c r="Q172" s="6"/>
      <c r="R172" s="6"/>
      <c r="S172" s="6"/>
      <c r="T172" s="6"/>
      <c r="U172" s="6"/>
      <c r="V172" s="6"/>
      <c r="W172" s="6"/>
      <c r="X172" s="6"/>
      <c r="Y172" s="6"/>
      <c r="Z172" s="6"/>
      <c r="AA172" s="6"/>
      <c r="AB172" s="6"/>
      <c r="AC172" s="6"/>
      <c r="AD172" s="6"/>
      <c r="AE172" s="6"/>
      <c r="AF172" s="6"/>
      <c r="AG172" s="6"/>
    </row>
    <row r="173" spans="1:33" x14ac:dyDescent="0.25">
      <c r="A173" s="157">
        <f t="shared" si="6"/>
        <v>172</v>
      </c>
      <c r="B173" s="519" t="s">
        <v>4223</v>
      </c>
      <c r="C173" s="519" t="s">
        <v>4223</v>
      </c>
      <c r="D173" s="520" t="s">
        <v>5460</v>
      </c>
      <c r="E173" s="6"/>
      <c r="F173" s="7"/>
      <c r="G173" s="7" t="s">
        <v>1112</v>
      </c>
      <c r="H173" s="7"/>
      <c r="I173" s="7" t="s">
        <v>3978</v>
      </c>
      <c r="J173" s="7" t="s">
        <v>5169</v>
      </c>
      <c r="K173" s="7"/>
      <c r="L173" s="7" t="s">
        <v>171</v>
      </c>
      <c r="M173" s="7">
        <f t="shared" si="7"/>
        <v>0</v>
      </c>
      <c r="N173" s="6"/>
      <c r="O173" s="6"/>
      <c r="P173" s="6"/>
      <c r="Q173" s="6"/>
      <c r="R173" s="6"/>
      <c r="S173" s="6"/>
      <c r="T173" s="6"/>
      <c r="U173" s="6"/>
      <c r="V173" s="6"/>
      <c r="W173" s="6"/>
      <c r="X173" s="6"/>
      <c r="Y173" s="6"/>
      <c r="Z173" s="6"/>
      <c r="AA173" s="6"/>
      <c r="AB173" s="6"/>
      <c r="AC173" s="6"/>
      <c r="AD173" s="6"/>
      <c r="AE173" s="6"/>
      <c r="AF173" s="6"/>
      <c r="AG173" s="6"/>
    </row>
    <row r="174" spans="1:33" x14ac:dyDescent="0.25">
      <c r="A174" s="157">
        <f t="shared" si="6"/>
        <v>173</v>
      </c>
      <c r="B174" s="519" t="s">
        <v>4222</v>
      </c>
      <c r="C174" s="519" t="s">
        <v>4222</v>
      </c>
      <c r="D174" s="520" t="s">
        <v>5461</v>
      </c>
      <c r="E174" s="6"/>
      <c r="F174" s="7"/>
      <c r="G174" s="7" t="s">
        <v>1112</v>
      </c>
      <c r="H174" s="7"/>
      <c r="I174" s="7" t="s">
        <v>3978</v>
      </c>
      <c r="J174" s="7" t="s">
        <v>5170</v>
      </c>
      <c r="K174" s="7"/>
      <c r="L174" s="7" t="s">
        <v>171</v>
      </c>
      <c r="M174" s="7">
        <f t="shared" si="7"/>
        <v>0</v>
      </c>
      <c r="N174" s="6"/>
      <c r="O174" s="6"/>
      <c r="P174" s="6"/>
      <c r="Q174" s="6"/>
      <c r="R174" s="6"/>
      <c r="S174" s="6"/>
      <c r="T174" s="6"/>
      <c r="U174" s="6"/>
      <c r="V174" s="6"/>
      <c r="W174" s="6"/>
      <c r="X174" s="6"/>
      <c r="Y174" s="6"/>
      <c r="Z174" s="6"/>
      <c r="AA174" s="6"/>
      <c r="AB174" s="6"/>
      <c r="AC174" s="6"/>
      <c r="AD174" s="6"/>
      <c r="AE174" s="6"/>
      <c r="AF174" s="6"/>
      <c r="AG174" s="6"/>
    </row>
    <row r="175" spans="1:33" x14ac:dyDescent="0.25">
      <c r="A175" s="157">
        <f t="shared" si="6"/>
        <v>174</v>
      </c>
      <c r="B175" s="519" t="s">
        <v>4224</v>
      </c>
      <c r="C175" s="519" t="s">
        <v>4224</v>
      </c>
      <c r="D175" s="520" t="s">
        <v>5462</v>
      </c>
      <c r="E175" s="6" t="s">
        <v>5861</v>
      </c>
      <c r="F175" s="7"/>
      <c r="G175" s="7" t="s">
        <v>1112</v>
      </c>
      <c r="H175" s="7"/>
      <c r="I175" s="7" t="s">
        <v>3979</v>
      </c>
      <c r="J175" s="7" t="s">
        <v>5167</v>
      </c>
      <c r="K175" s="7"/>
      <c r="L175" s="7" t="s">
        <v>171</v>
      </c>
      <c r="M175" s="7">
        <f t="shared" si="7"/>
        <v>0</v>
      </c>
      <c r="N175" s="6"/>
      <c r="O175" s="6"/>
      <c r="P175" s="6"/>
      <c r="Q175" s="6"/>
      <c r="R175" s="6"/>
      <c r="S175" s="6"/>
      <c r="T175" s="6"/>
      <c r="U175" s="6"/>
      <c r="V175" s="6"/>
      <c r="W175" s="6"/>
      <c r="X175" s="6"/>
      <c r="Y175" s="6"/>
      <c r="Z175" s="6"/>
      <c r="AA175" s="6"/>
      <c r="AB175" s="6"/>
      <c r="AC175" s="6"/>
      <c r="AD175" s="6"/>
      <c r="AE175" s="6"/>
      <c r="AF175" s="6"/>
      <c r="AG175" s="6"/>
    </row>
    <row r="176" spans="1:33" x14ac:dyDescent="0.25">
      <c r="A176" s="157">
        <f t="shared" si="6"/>
        <v>175</v>
      </c>
      <c r="B176" s="519" t="s">
        <v>4226</v>
      </c>
      <c r="C176" s="519" t="s">
        <v>4226</v>
      </c>
      <c r="D176" s="520" t="s">
        <v>5766</v>
      </c>
      <c r="E176" s="6"/>
      <c r="F176" s="7"/>
      <c r="G176" s="7" t="s">
        <v>1112</v>
      </c>
      <c r="H176" s="7"/>
      <c r="I176" s="7" t="s">
        <v>3979</v>
      </c>
      <c r="J176" s="7" t="s">
        <v>5168</v>
      </c>
      <c r="K176" s="7"/>
      <c r="L176" s="7" t="s">
        <v>171</v>
      </c>
      <c r="M176" s="7">
        <f t="shared" si="7"/>
        <v>0</v>
      </c>
      <c r="N176" s="6"/>
      <c r="O176" s="6"/>
      <c r="P176" s="6"/>
      <c r="Q176" s="6"/>
      <c r="R176" s="6"/>
      <c r="S176" s="6"/>
      <c r="T176" s="6"/>
      <c r="U176" s="6"/>
      <c r="V176" s="6"/>
      <c r="W176" s="6"/>
      <c r="X176" s="6"/>
      <c r="Y176" s="6"/>
      <c r="Z176" s="6"/>
      <c r="AA176" s="6"/>
      <c r="AB176" s="6"/>
      <c r="AC176" s="6"/>
      <c r="AD176" s="6"/>
      <c r="AE176" s="6"/>
      <c r="AF176" s="6"/>
      <c r="AG176" s="6"/>
    </row>
    <row r="177" spans="1:33" x14ac:dyDescent="0.25">
      <c r="A177" s="157">
        <f t="shared" si="6"/>
        <v>176</v>
      </c>
      <c r="B177" s="519" t="s">
        <v>3863</v>
      </c>
      <c r="C177" s="519" t="s">
        <v>3863</v>
      </c>
      <c r="D177" s="520" t="s">
        <v>5463</v>
      </c>
      <c r="E177" s="6"/>
      <c r="F177" s="7"/>
      <c r="G177" s="7" t="s">
        <v>1112</v>
      </c>
      <c r="H177" s="7"/>
      <c r="I177" s="7" t="s">
        <v>3979</v>
      </c>
      <c r="J177" s="7" t="s">
        <v>5169</v>
      </c>
      <c r="K177" s="7"/>
      <c r="L177" s="7" t="s">
        <v>171</v>
      </c>
      <c r="M177" s="7">
        <f t="shared" si="7"/>
        <v>0</v>
      </c>
      <c r="N177" s="6"/>
      <c r="O177" s="6"/>
      <c r="P177" s="6"/>
      <c r="Q177" s="6"/>
      <c r="R177" s="6"/>
      <c r="S177" s="6"/>
      <c r="T177" s="6"/>
      <c r="U177" s="6"/>
      <c r="V177" s="6"/>
      <c r="W177" s="6"/>
      <c r="X177" s="6"/>
      <c r="Y177" s="6"/>
      <c r="Z177" s="6"/>
      <c r="AA177" s="6"/>
      <c r="AB177" s="6"/>
      <c r="AC177" s="6"/>
      <c r="AD177" s="6"/>
      <c r="AE177" s="6"/>
      <c r="AF177" s="6"/>
      <c r="AG177" s="6"/>
    </row>
    <row r="178" spans="1:33" x14ac:dyDescent="0.25">
      <c r="A178" s="157">
        <f t="shared" si="6"/>
        <v>177</v>
      </c>
      <c r="B178" s="519" t="s">
        <v>4227</v>
      </c>
      <c r="C178" s="519" t="s">
        <v>4227</v>
      </c>
      <c r="D178" s="520" t="s">
        <v>5464</v>
      </c>
      <c r="E178" s="6"/>
      <c r="F178" s="7"/>
      <c r="G178" s="7" t="s">
        <v>1112</v>
      </c>
      <c r="H178" s="7"/>
      <c r="I178" s="7" t="s">
        <v>3979</v>
      </c>
      <c r="J178" s="7" t="s">
        <v>5170</v>
      </c>
      <c r="K178" s="7"/>
      <c r="L178" s="7" t="s">
        <v>171</v>
      </c>
      <c r="M178" s="7">
        <f t="shared" si="7"/>
        <v>0</v>
      </c>
      <c r="N178" s="6"/>
      <c r="O178" s="6"/>
      <c r="P178" s="6"/>
      <c r="Q178" s="6"/>
      <c r="R178" s="6"/>
      <c r="S178" s="6"/>
      <c r="T178" s="6"/>
      <c r="U178" s="6"/>
      <c r="V178" s="6"/>
      <c r="W178" s="6"/>
      <c r="X178" s="6"/>
      <c r="Y178" s="6"/>
      <c r="Z178" s="6"/>
      <c r="AA178" s="6"/>
      <c r="AB178" s="6"/>
      <c r="AC178" s="6"/>
      <c r="AD178" s="6"/>
      <c r="AE178" s="6"/>
      <c r="AF178" s="6"/>
      <c r="AG178" s="6"/>
    </row>
    <row r="179" spans="1:33" x14ac:dyDescent="0.25">
      <c r="A179" s="157">
        <f t="shared" si="6"/>
        <v>178</v>
      </c>
      <c r="B179" s="519" t="s">
        <v>4228</v>
      </c>
      <c r="C179" s="519" t="s">
        <v>4228</v>
      </c>
      <c r="D179" s="520" t="s">
        <v>5767</v>
      </c>
      <c r="E179" s="6" t="s">
        <v>5862</v>
      </c>
      <c r="F179" s="7"/>
      <c r="G179" s="7" t="s">
        <v>620</v>
      </c>
      <c r="H179" s="7"/>
      <c r="I179" s="7" t="s">
        <v>3984</v>
      </c>
      <c r="J179" s="524" t="s">
        <v>5323</v>
      </c>
      <c r="K179" s="7"/>
      <c r="L179" s="7" t="s">
        <v>171</v>
      </c>
      <c r="M179" s="7">
        <f t="shared" si="7"/>
        <v>0</v>
      </c>
      <c r="N179" s="6"/>
      <c r="O179" s="6"/>
      <c r="P179" s="6"/>
      <c r="Q179" s="6"/>
      <c r="R179" s="6"/>
      <c r="S179" s="6"/>
      <c r="T179" s="6"/>
      <c r="U179" s="6"/>
      <c r="V179" s="6"/>
      <c r="W179" s="6"/>
      <c r="X179" s="6"/>
      <c r="Y179" s="6"/>
      <c r="Z179" s="6"/>
      <c r="AA179" s="6"/>
      <c r="AB179" s="6"/>
      <c r="AC179" s="6"/>
      <c r="AD179" s="6"/>
      <c r="AE179" s="6"/>
      <c r="AF179" s="6"/>
      <c r="AG179" s="6"/>
    </row>
    <row r="180" spans="1:33" x14ac:dyDescent="0.25">
      <c r="A180" s="157">
        <f t="shared" si="6"/>
        <v>179</v>
      </c>
      <c r="B180" s="519" t="s">
        <v>4229</v>
      </c>
      <c r="C180" s="519" t="s">
        <v>4229</v>
      </c>
      <c r="D180" s="520" t="s">
        <v>5468</v>
      </c>
      <c r="E180" s="6"/>
      <c r="F180" s="7"/>
      <c r="G180" s="7" t="s">
        <v>620</v>
      </c>
      <c r="H180" s="7"/>
      <c r="I180" s="7" t="s">
        <v>3984</v>
      </c>
      <c r="J180" s="524" t="s">
        <v>5254</v>
      </c>
      <c r="K180" s="7"/>
      <c r="L180" s="7" t="s">
        <v>171</v>
      </c>
      <c r="M180" s="7">
        <f t="shared" si="7"/>
        <v>0</v>
      </c>
      <c r="N180" s="6"/>
      <c r="O180" s="6"/>
      <c r="P180" s="6"/>
      <c r="Q180" s="6"/>
      <c r="R180" s="6"/>
      <c r="S180" s="6"/>
      <c r="T180" s="6"/>
      <c r="U180" s="6"/>
      <c r="V180" s="6"/>
      <c r="W180" s="6"/>
      <c r="X180" s="6"/>
      <c r="Y180" s="6"/>
      <c r="Z180" s="6"/>
      <c r="AA180" s="6"/>
      <c r="AB180" s="6"/>
      <c r="AC180" s="6"/>
      <c r="AD180" s="6"/>
      <c r="AE180" s="6"/>
      <c r="AF180" s="6"/>
      <c r="AG180" s="6"/>
    </row>
    <row r="181" spans="1:33" x14ac:dyDescent="0.25">
      <c r="A181" s="157">
        <f t="shared" si="6"/>
        <v>180</v>
      </c>
      <c r="B181" s="519" t="s">
        <v>4230</v>
      </c>
      <c r="C181" s="519" t="s">
        <v>4230</v>
      </c>
      <c r="D181" s="520" t="s">
        <v>5768</v>
      </c>
      <c r="E181" s="6"/>
      <c r="F181" s="7"/>
      <c r="G181" s="7" t="s">
        <v>620</v>
      </c>
      <c r="H181" s="7"/>
      <c r="I181" s="7" t="s">
        <v>3984</v>
      </c>
      <c r="J181" s="524" t="s">
        <v>5255</v>
      </c>
      <c r="K181" s="7"/>
      <c r="L181" s="7" t="s">
        <v>171</v>
      </c>
      <c r="M181" s="7">
        <f t="shared" si="7"/>
        <v>0</v>
      </c>
      <c r="N181" s="6"/>
      <c r="O181" s="6"/>
      <c r="P181" s="6"/>
      <c r="Q181" s="6"/>
      <c r="R181" s="6"/>
      <c r="S181" s="6"/>
      <c r="T181" s="6"/>
      <c r="U181" s="6"/>
      <c r="V181" s="6"/>
      <c r="W181" s="6"/>
      <c r="X181" s="6"/>
      <c r="Y181" s="6"/>
      <c r="Z181" s="6"/>
      <c r="AA181" s="6"/>
      <c r="AB181" s="6"/>
      <c r="AC181" s="6"/>
      <c r="AD181" s="6"/>
      <c r="AE181" s="6"/>
      <c r="AF181" s="6"/>
      <c r="AG181" s="6"/>
    </row>
    <row r="182" spans="1:33" x14ac:dyDescent="0.25">
      <c r="A182" s="157">
        <f t="shared" si="6"/>
        <v>181</v>
      </c>
      <c r="B182" s="519" t="s">
        <v>5470</v>
      </c>
      <c r="C182" s="519" t="s">
        <v>4231</v>
      </c>
      <c r="D182" s="520" t="s">
        <v>5469</v>
      </c>
      <c r="E182" s="6"/>
      <c r="F182" s="7"/>
      <c r="G182" s="7" t="s">
        <v>620</v>
      </c>
      <c r="H182" s="7"/>
      <c r="I182" s="7" t="s">
        <v>3984</v>
      </c>
      <c r="J182" s="524" t="s">
        <v>5256</v>
      </c>
      <c r="K182" s="7"/>
      <c r="L182" s="7" t="s">
        <v>171</v>
      </c>
      <c r="M182" s="7">
        <f t="shared" si="7"/>
        <v>0</v>
      </c>
      <c r="N182" s="6"/>
      <c r="O182" s="6"/>
      <c r="P182" s="6"/>
      <c r="Q182" s="6"/>
      <c r="R182" s="6"/>
      <c r="S182" s="6"/>
      <c r="T182" s="6"/>
      <c r="U182" s="6"/>
      <c r="V182" s="6"/>
      <c r="W182" s="6"/>
      <c r="X182" s="6"/>
      <c r="Y182" s="6"/>
      <c r="Z182" s="6"/>
      <c r="AA182" s="6"/>
      <c r="AB182" s="6"/>
      <c r="AC182" s="6"/>
      <c r="AD182" s="6"/>
      <c r="AE182" s="6"/>
      <c r="AF182" s="6"/>
      <c r="AG182" s="6"/>
    </row>
    <row r="183" spans="1:33" x14ac:dyDescent="0.25">
      <c r="A183" s="157">
        <f t="shared" si="6"/>
        <v>182</v>
      </c>
      <c r="B183" s="519" t="s">
        <v>4232</v>
      </c>
      <c r="C183" s="519" t="s">
        <v>4232</v>
      </c>
      <c r="D183" s="520" t="s">
        <v>5769</v>
      </c>
      <c r="E183" s="6"/>
      <c r="F183" s="7"/>
      <c r="G183" s="7" t="s">
        <v>620</v>
      </c>
      <c r="H183" s="7"/>
      <c r="I183" s="7" t="s">
        <v>3984</v>
      </c>
      <c r="J183" s="524" t="s">
        <v>5257</v>
      </c>
      <c r="K183" s="7"/>
      <c r="L183" s="7" t="s">
        <v>171</v>
      </c>
      <c r="M183" s="7">
        <f t="shared" si="7"/>
        <v>0</v>
      </c>
      <c r="N183" s="6"/>
      <c r="O183" s="6"/>
      <c r="P183" s="6"/>
      <c r="Q183" s="6"/>
      <c r="R183" s="6"/>
      <c r="S183" s="6"/>
      <c r="T183" s="6"/>
      <c r="U183" s="6"/>
      <c r="V183" s="6"/>
      <c r="W183" s="6"/>
      <c r="X183" s="6"/>
      <c r="Y183" s="6"/>
      <c r="Z183" s="6"/>
      <c r="AA183" s="6"/>
      <c r="AB183" s="6"/>
      <c r="AC183" s="6"/>
      <c r="AD183" s="6"/>
      <c r="AE183" s="6"/>
      <c r="AF183" s="6"/>
      <c r="AG183" s="6"/>
    </row>
    <row r="184" spans="1:33" x14ac:dyDescent="0.25">
      <c r="A184" s="157">
        <f t="shared" si="6"/>
        <v>183</v>
      </c>
      <c r="B184" s="519" t="s">
        <v>4233</v>
      </c>
      <c r="C184" s="519" t="s">
        <v>4233</v>
      </c>
      <c r="D184" s="520" t="s">
        <v>5471</v>
      </c>
      <c r="E184" s="6" t="s">
        <v>5863</v>
      </c>
      <c r="F184" s="7"/>
      <c r="G184" s="7" t="s">
        <v>620</v>
      </c>
      <c r="H184" s="7"/>
      <c r="I184" s="7" t="s">
        <v>3980</v>
      </c>
      <c r="J184" s="524" t="s">
        <v>5323</v>
      </c>
      <c r="K184" s="7"/>
      <c r="L184" s="7" t="s">
        <v>171</v>
      </c>
      <c r="M184" s="7">
        <f t="shared" si="7"/>
        <v>0</v>
      </c>
      <c r="N184" s="6"/>
      <c r="O184" s="6"/>
      <c r="P184" s="6"/>
      <c r="Q184" s="6"/>
      <c r="R184" s="6"/>
      <c r="S184" s="6"/>
      <c r="T184" s="6"/>
      <c r="U184" s="6"/>
      <c r="V184" s="6"/>
      <c r="W184" s="6"/>
      <c r="X184" s="6"/>
      <c r="Y184" s="6"/>
      <c r="Z184" s="6"/>
      <c r="AA184" s="6"/>
      <c r="AB184" s="6"/>
      <c r="AC184" s="6"/>
      <c r="AD184" s="6"/>
      <c r="AE184" s="6"/>
      <c r="AF184" s="6"/>
      <c r="AG184" s="6"/>
    </row>
    <row r="185" spans="1:33" x14ac:dyDescent="0.25">
      <c r="A185" s="157">
        <f t="shared" si="6"/>
        <v>184</v>
      </c>
      <c r="B185" s="519" t="s">
        <v>4234</v>
      </c>
      <c r="C185" s="519" t="s">
        <v>4234</v>
      </c>
      <c r="D185" s="520" t="s">
        <v>5472</v>
      </c>
      <c r="E185" s="6"/>
      <c r="F185" s="7"/>
      <c r="G185" s="7" t="s">
        <v>620</v>
      </c>
      <c r="H185" s="7"/>
      <c r="I185" s="7" t="s">
        <v>3980</v>
      </c>
      <c r="J185" s="524" t="s">
        <v>5324</v>
      </c>
      <c r="K185" s="7"/>
      <c r="L185" s="7" t="s">
        <v>171</v>
      </c>
      <c r="M185" s="7">
        <f t="shared" si="7"/>
        <v>0</v>
      </c>
      <c r="N185" s="6"/>
      <c r="O185" s="6"/>
      <c r="P185" s="6"/>
      <c r="Q185" s="6"/>
      <c r="R185" s="6"/>
      <c r="S185" s="6"/>
      <c r="T185" s="6"/>
      <c r="U185" s="6"/>
      <c r="V185" s="6"/>
      <c r="W185" s="6"/>
      <c r="X185" s="6"/>
      <c r="Y185" s="6"/>
      <c r="Z185" s="6"/>
      <c r="AA185" s="6"/>
      <c r="AB185" s="6"/>
      <c r="AC185" s="6"/>
      <c r="AD185" s="6"/>
      <c r="AE185" s="6"/>
      <c r="AF185" s="6"/>
      <c r="AG185" s="6"/>
    </row>
    <row r="186" spans="1:33" x14ac:dyDescent="0.25">
      <c r="A186" s="157">
        <f t="shared" si="6"/>
        <v>185</v>
      </c>
      <c r="B186" s="519" t="s">
        <v>4235</v>
      </c>
      <c r="C186" s="519" t="s">
        <v>4235</v>
      </c>
      <c r="D186" s="520" t="s">
        <v>5770</v>
      </c>
      <c r="E186" s="6"/>
      <c r="F186" s="7"/>
      <c r="G186" s="7" t="s">
        <v>620</v>
      </c>
      <c r="H186" s="7"/>
      <c r="I186" s="7" t="s">
        <v>3980</v>
      </c>
      <c r="J186" s="524" t="s">
        <v>5254</v>
      </c>
      <c r="K186" s="7"/>
      <c r="L186" s="7" t="s">
        <v>171</v>
      </c>
      <c r="M186" s="7">
        <f t="shared" si="7"/>
        <v>0</v>
      </c>
      <c r="N186" s="6"/>
      <c r="O186" s="6"/>
      <c r="P186" s="6"/>
      <c r="Q186" s="6"/>
      <c r="R186" s="6"/>
      <c r="S186" s="6"/>
      <c r="T186" s="6"/>
      <c r="U186" s="6"/>
      <c r="V186" s="6"/>
      <c r="W186" s="6"/>
      <c r="X186" s="6"/>
      <c r="Y186" s="6"/>
      <c r="Z186" s="6"/>
      <c r="AA186" s="6"/>
      <c r="AB186" s="6"/>
      <c r="AC186" s="6"/>
      <c r="AD186" s="6"/>
      <c r="AE186" s="6"/>
      <c r="AF186" s="6"/>
      <c r="AG186" s="6"/>
    </row>
    <row r="187" spans="1:33" x14ac:dyDescent="0.25">
      <c r="A187" s="157">
        <f t="shared" si="6"/>
        <v>186</v>
      </c>
      <c r="B187" s="519" t="s">
        <v>4236</v>
      </c>
      <c r="C187" s="519" t="s">
        <v>4236</v>
      </c>
      <c r="D187" s="520" t="s">
        <v>5473</v>
      </c>
      <c r="E187" s="6"/>
      <c r="F187" s="7"/>
      <c r="G187" s="7" t="s">
        <v>620</v>
      </c>
      <c r="H187" s="7"/>
      <c r="I187" s="7" t="s">
        <v>3980</v>
      </c>
      <c r="J187" s="524" t="s">
        <v>5255</v>
      </c>
      <c r="K187" s="7"/>
      <c r="L187" s="7" t="s">
        <v>171</v>
      </c>
      <c r="M187" s="7">
        <f t="shared" si="7"/>
        <v>0</v>
      </c>
      <c r="N187" s="6"/>
      <c r="O187" s="6"/>
      <c r="P187" s="6"/>
      <c r="Q187" s="6"/>
      <c r="R187" s="6"/>
      <c r="S187" s="6"/>
      <c r="T187" s="6"/>
      <c r="U187" s="6"/>
      <c r="V187" s="6"/>
      <c r="W187" s="6"/>
      <c r="X187" s="6"/>
      <c r="Y187" s="6"/>
      <c r="Z187" s="6"/>
      <c r="AA187" s="6"/>
      <c r="AB187" s="6"/>
      <c r="AC187" s="6"/>
      <c r="AD187" s="6"/>
      <c r="AE187" s="6"/>
      <c r="AF187" s="6"/>
      <c r="AG187" s="6"/>
    </row>
    <row r="188" spans="1:33" x14ac:dyDescent="0.25">
      <c r="A188" s="157">
        <f t="shared" si="6"/>
        <v>187</v>
      </c>
      <c r="B188" s="519" t="s">
        <v>5475</v>
      </c>
      <c r="C188" s="519" t="s">
        <v>4237</v>
      </c>
      <c r="D188" s="520" t="s">
        <v>5474</v>
      </c>
      <c r="E188" s="6"/>
      <c r="F188" s="7"/>
      <c r="G188" s="7" t="s">
        <v>620</v>
      </c>
      <c r="H188" s="7"/>
      <c r="I188" s="7" t="s">
        <v>3980</v>
      </c>
      <c r="J188" s="524" t="s">
        <v>5256</v>
      </c>
      <c r="K188" s="7"/>
      <c r="L188" s="7" t="s">
        <v>171</v>
      </c>
      <c r="M188" s="7">
        <f t="shared" si="7"/>
        <v>0</v>
      </c>
      <c r="N188" s="6"/>
      <c r="O188" s="6"/>
      <c r="P188" s="6"/>
      <c r="Q188" s="6"/>
      <c r="R188" s="6"/>
      <c r="S188" s="6"/>
      <c r="T188" s="6"/>
      <c r="U188" s="6"/>
      <c r="V188" s="6"/>
      <c r="W188" s="6"/>
      <c r="X188" s="6"/>
      <c r="Y188" s="6"/>
      <c r="Z188" s="6"/>
      <c r="AA188" s="6"/>
      <c r="AB188" s="6"/>
      <c r="AC188" s="6"/>
      <c r="AD188" s="6"/>
      <c r="AE188" s="6"/>
      <c r="AF188" s="6"/>
      <c r="AG188" s="6"/>
    </row>
    <row r="189" spans="1:33" x14ac:dyDescent="0.25">
      <c r="A189" s="157">
        <f t="shared" si="6"/>
        <v>188</v>
      </c>
      <c r="B189" s="519" t="s">
        <v>4238</v>
      </c>
      <c r="C189" s="519" t="s">
        <v>4238</v>
      </c>
      <c r="D189" s="520" t="s">
        <v>5771</v>
      </c>
      <c r="E189" s="6"/>
      <c r="F189" s="7"/>
      <c r="G189" s="7" t="s">
        <v>620</v>
      </c>
      <c r="H189" s="7"/>
      <c r="I189" s="7" t="s">
        <v>3980</v>
      </c>
      <c r="J189" s="524" t="s">
        <v>5257</v>
      </c>
      <c r="K189" s="7"/>
      <c r="L189" s="7" t="s">
        <v>171</v>
      </c>
      <c r="M189" s="7">
        <f t="shared" si="7"/>
        <v>0</v>
      </c>
      <c r="N189" s="6"/>
      <c r="O189" s="6"/>
      <c r="P189" s="6"/>
      <c r="Q189" s="6"/>
      <c r="R189" s="6"/>
      <c r="S189" s="6"/>
      <c r="T189" s="6"/>
      <c r="U189" s="6"/>
      <c r="V189" s="6"/>
      <c r="W189" s="6"/>
      <c r="X189" s="6"/>
      <c r="Y189" s="6"/>
      <c r="Z189" s="6"/>
      <c r="AA189" s="6"/>
      <c r="AB189" s="6"/>
      <c r="AC189" s="6"/>
      <c r="AD189" s="6"/>
      <c r="AE189" s="6"/>
      <c r="AF189" s="6"/>
      <c r="AG189" s="6"/>
    </row>
    <row r="190" spans="1:33" x14ac:dyDescent="0.25">
      <c r="A190" s="157">
        <f t="shared" si="6"/>
        <v>189</v>
      </c>
      <c r="B190" s="519" t="s">
        <v>4383</v>
      </c>
      <c r="C190" s="519" t="s">
        <v>4383</v>
      </c>
      <c r="D190" s="520" t="s">
        <v>5476</v>
      </c>
      <c r="E190" s="6"/>
      <c r="F190" s="7"/>
      <c r="G190" s="7" t="s">
        <v>620</v>
      </c>
      <c r="H190" s="7"/>
      <c r="I190" s="7" t="s">
        <v>122</v>
      </c>
      <c r="J190" s="524" t="s">
        <v>5323</v>
      </c>
      <c r="K190" s="7"/>
      <c r="L190" s="7" t="s">
        <v>171</v>
      </c>
      <c r="M190" s="7">
        <f t="shared" si="7"/>
        <v>0</v>
      </c>
      <c r="N190" s="6"/>
      <c r="O190" s="6"/>
      <c r="P190" s="6"/>
      <c r="Q190" s="6"/>
      <c r="R190" s="6"/>
      <c r="S190" s="6"/>
      <c r="T190" s="6"/>
      <c r="U190" s="6"/>
      <c r="V190" s="6"/>
      <c r="W190" s="6"/>
      <c r="X190" s="6"/>
      <c r="Y190" s="6"/>
      <c r="Z190" s="6"/>
      <c r="AA190" s="6"/>
      <c r="AB190" s="6"/>
      <c r="AC190" s="6"/>
      <c r="AD190" s="6"/>
      <c r="AE190" s="6"/>
      <c r="AF190" s="6"/>
      <c r="AG190" s="6"/>
    </row>
    <row r="191" spans="1:33" x14ac:dyDescent="0.25">
      <c r="A191" s="157">
        <f t="shared" si="6"/>
        <v>190</v>
      </c>
      <c r="B191" s="519" t="s">
        <v>4242</v>
      </c>
      <c r="C191" s="519" t="s">
        <v>4242</v>
      </c>
      <c r="D191" s="520" t="s">
        <v>5772</v>
      </c>
      <c r="E191" s="6"/>
      <c r="F191" s="7"/>
      <c r="G191" s="7" t="s">
        <v>620</v>
      </c>
      <c r="H191" s="7"/>
      <c r="I191" s="7" t="s">
        <v>122</v>
      </c>
      <c r="J191" s="524" t="s">
        <v>5324</v>
      </c>
      <c r="K191" s="7"/>
      <c r="L191" s="7" t="s">
        <v>171</v>
      </c>
      <c r="M191" s="7">
        <f t="shared" si="7"/>
        <v>0</v>
      </c>
      <c r="N191" s="6"/>
      <c r="O191" s="6"/>
      <c r="P191" s="6"/>
      <c r="Q191" s="6"/>
      <c r="R191" s="6"/>
      <c r="S191" s="6"/>
      <c r="T191" s="6"/>
      <c r="U191" s="6"/>
      <c r="V191" s="6"/>
      <c r="W191" s="6"/>
      <c r="X191" s="6"/>
      <c r="Y191" s="6"/>
      <c r="Z191" s="6"/>
      <c r="AA191" s="6"/>
      <c r="AB191" s="6"/>
      <c r="AC191" s="6"/>
      <c r="AD191" s="6"/>
      <c r="AE191" s="6"/>
      <c r="AF191" s="6"/>
      <c r="AG191" s="6"/>
    </row>
    <row r="192" spans="1:33" x14ac:dyDescent="0.25">
      <c r="A192" s="157">
        <f t="shared" si="6"/>
        <v>191</v>
      </c>
      <c r="B192" s="519" t="s">
        <v>4239</v>
      </c>
      <c r="C192" s="519" t="s">
        <v>4239</v>
      </c>
      <c r="D192" s="520" t="s">
        <v>5773</v>
      </c>
      <c r="E192" s="6"/>
      <c r="F192" s="7"/>
      <c r="G192" s="7" t="s">
        <v>620</v>
      </c>
      <c r="H192" s="7"/>
      <c r="I192" s="7" t="s">
        <v>122</v>
      </c>
      <c r="J192" s="524" t="s">
        <v>5254</v>
      </c>
      <c r="K192" s="7"/>
      <c r="L192" s="7" t="s">
        <v>171</v>
      </c>
      <c r="M192" s="7">
        <f t="shared" si="7"/>
        <v>0</v>
      </c>
      <c r="N192" s="6"/>
      <c r="O192" s="6"/>
      <c r="P192" s="6"/>
      <c r="Q192" s="6"/>
      <c r="R192" s="6"/>
      <c r="S192" s="6"/>
      <c r="T192" s="6"/>
      <c r="U192" s="6"/>
      <c r="V192" s="6"/>
      <c r="W192" s="6"/>
      <c r="X192" s="6"/>
      <c r="Y192" s="6"/>
      <c r="Z192" s="6"/>
      <c r="AA192" s="6"/>
      <c r="AB192" s="6"/>
      <c r="AC192" s="6"/>
      <c r="AD192" s="6"/>
      <c r="AE192" s="6"/>
      <c r="AF192" s="6"/>
      <c r="AG192" s="6"/>
    </row>
    <row r="193" spans="1:33" x14ac:dyDescent="0.25">
      <c r="A193" s="157">
        <f t="shared" si="6"/>
        <v>192</v>
      </c>
      <c r="B193" s="519" t="s">
        <v>4240</v>
      </c>
      <c r="C193" s="519" t="s">
        <v>4240</v>
      </c>
      <c r="D193" s="520" t="s">
        <v>5477</v>
      </c>
      <c r="E193" s="6"/>
      <c r="F193" s="7"/>
      <c r="G193" s="7" t="s">
        <v>620</v>
      </c>
      <c r="H193" s="7"/>
      <c r="I193" s="7" t="s">
        <v>122</v>
      </c>
      <c r="J193" s="524" t="s">
        <v>5255</v>
      </c>
      <c r="K193" s="7"/>
      <c r="L193" s="7" t="s">
        <v>171</v>
      </c>
      <c r="M193" s="7">
        <f t="shared" si="7"/>
        <v>0</v>
      </c>
      <c r="N193" s="6"/>
      <c r="O193" s="6"/>
      <c r="P193" s="6"/>
      <c r="Q193" s="6"/>
      <c r="R193" s="6"/>
      <c r="S193" s="6"/>
      <c r="T193" s="6"/>
      <c r="U193" s="6"/>
      <c r="V193" s="6"/>
      <c r="W193" s="6"/>
      <c r="X193" s="6"/>
      <c r="Y193" s="6"/>
      <c r="Z193" s="6"/>
      <c r="AA193" s="6"/>
      <c r="AB193" s="6"/>
      <c r="AC193" s="6"/>
      <c r="AD193" s="6"/>
      <c r="AE193" s="6"/>
      <c r="AF193" s="6"/>
      <c r="AG193" s="6"/>
    </row>
    <row r="194" spans="1:33" x14ac:dyDescent="0.25">
      <c r="A194" s="157">
        <f t="shared" si="6"/>
        <v>193</v>
      </c>
      <c r="B194" s="519" t="s">
        <v>4231</v>
      </c>
      <c r="C194" s="519" t="s">
        <v>4231</v>
      </c>
      <c r="D194" s="520" t="s">
        <v>5469</v>
      </c>
      <c r="E194" s="6"/>
      <c r="F194" s="7"/>
      <c r="G194" s="7" t="s">
        <v>620</v>
      </c>
      <c r="H194" s="7"/>
      <c r="I194" s="7" t="s">
        <v>122</v>
      </c>
      <c r="J194" s="524" t="s">
        <v>5256</v>
      </c>
      <c r="K194" s="7"/>
      <c r="L194" s="7" t="s">
        <v>171</v>
      </c>
      <c r="M194" s="7">
        <f t="shared" si="7"/>
        <v>0</v>
      </c>
      <c r="N194" s="6"/>
      <c r="O194" s="6"/>
      <c r="P194" s="6"/>
      <c r="Q194" s="6"/>
      <c r="R194" s="6"/>
      <c r="S194" s="6"/>
      <c r="T194" s="6"/>
      <c r="U194" s="6"/>
      <c r="V194" s="6"/>
      <c r="W194" s="6"/>
      <c r="X194" s="6"/>
      <c r="Y194" s="6"/>
      <c r="Z194" s="6"/>
      <c r="AA194" s="6"/>
      <c r="AB194" s="6"/>
      <c r="AC194" s="6"/>
      <c r="AD194" s="6"/>
      <c r="AE194" s="6"/>
      <c r="AF194" s="6"/>
      <c r="AG194" s="6"/>
    </row>
    <row r="195" spans="1:33" x14ac:dyDescent="0.25">
      <c r="A195" s="157">
        <f t="shared" ref="A195:A258" si="8">IF(B195="","",1+A194)</f>
        <v>194</v>
      </c>
      <c r="B195" s="519" t="s">
        <v>4241</v>
      </c>
      <c r="C195" s="519" t="s">
        <v>4241</v>
      </c>
      <c r="D195" s="520" t="s">
        <v>5478</v>
      </c>
      <c r="E195" s="6"/>
      <c r="F195" s="7"/>
      <c r="G195" s="7" t="s">
        <v>620</v>
      </c>
      <c r="H195" s="7"/>
      <c r="I195" s="7" t="s">
        <v>122</v>
      </c>
      <c r="J195" s="524" t="s">
        <v>5257</v>
      </c>
      <c r="K195" s="7"/>
      <c r="L195" s="7" t="s">
        <v>171</v>
      </c>
      <c r="M195" s="7">
        <f t="shared" ref="M195:M258" si="9">COUNTA(N195:AG195)</f>
        <v>0</v>
      </c>
      <c r="N195" s="6"/>
      <c r="O195" s="6"/>
      <c r="P195" s="6"/>
      <c r="Q195" s="6"/>
      <c r="R195" s="6"/>
      <c r="S195" s="6"/>
      <c r="T195" s="6"/>
      <c r="U195" s="6"/>
      <c r="V195" s="6"/>
      <c r="W195" s="6"/>
      <c r="X195" s="6"/>
      <c r="Y195" s="6"/>
      <c r="Z195" s="6"/>
      <c r="AA195" s="6"/>
      <c r="AB195" s="6"/>
      <c r="AC195" s="6"/>
      <c r="AD195" s="6"/>
      <c r="AE195" s="6"/>
      <c r="AF195" s="6"/>
      <c r="AG195" s="6"/>
    </row>
    <row r="196" spans="1:33" x14ac:dyDescent="0.25">
      <c r="A196" s="157">
        <f t="shared" si="8"/>
        <v>195</v>
      </c>
      <c r="B196" s="519" t="s">
        <v>4379</v>
      </c>
      <c r="C196" s="519" t="s">
        <v>4379</v>
      </c>
      <c r="D196" s="520" t="s">
        <v>5479</v>
      </c>
      <c r="E196" s="6" t="s">
        <v>5864</v>
      </c>
      <c r="F196" s="7"/>
      <c r="G196" s="7" t="s">
        <v>620</v>
      </c>
      <c r="H196" s="7"/>
      <c r="I196" s="7" t="s">
        <v>614</v>
      </c>
      <c r="J196" s="524" t="s">
        <v>5323</v>
      </c>
      <c r="K196" s="7"/>
      <c r="L196" s="7" t="s">
        <v>171</v>
      </c>
      <c r="M196" s="7">
        <f t="shared" si="9"/>
        <v>0</v>
      </c>
      <c r="N196" s="6"/>
      <c r="O196" s="6"/>
      <c r="P196" s="6"/>
      <c r="Q196" s="6"/>
      <c r="R196" s="6"/>
      <c r="S196" s="6"/>
      <c r="T196" s="6"/>
      <c r="U196" s="6"/>
      <c r="V196" s="6"/>
      <c r="W196" s="6"/>
      <c r="X196" s="6"/>
      <c r="Y196" s="6"/>
      <c r="Z196" s="6"/>
      <c r="AA196" s="6"/>
      <c r="AB196" s="6"/>
      <c r="AC196" s="6"/>
      <c r="AD196" s="6"/>
      <c r="AE196" s="6"/>
      <c r="AF196" s="6"/>
      <c r="AG196" s="6"/>
    </row>
    <row r="197" spans="1:33" x14ac:dyDescent="0.25">
      <c r="A197" s="157">
        <f t="shared" si="8"/>
        <v>196</v>
      </c>
      <c r="B197" s="519" t="s">
        <v>4243</v>
      </c>
      <c r="C197" s="519" t="s">
        <v>4243</v>
      </c>
      <c r="D197" s="520" t="s">
        <v>5774</v>
      </c>
      <c r="E197" s="6"/>
      <c r="F197" s="7"/>
      <c r="G197" s="7" t="s">
        <v>620</v>
      </c>
      <c r="H197" s="7"/>
      <c r="I197" s="7" t="s">
        <v>614</v>
      </c>
      <c r="J197" s="524" t="s">
        <v>5254</v>
      </c>
      <c r="K197" s="7"/>
      <c r="L197" s="7" t="s">
        <v>171</v>
      </c>
      <c r="M197" s="7">
        <f t="shared" si="9"/>
        <v>0</v>
      </c>
      <c r="N197" s="6"/>
      <c r="O197" s="6"/>
      <c r="P197" s="6"/>
      <c r="Q197" s="6"/>
      <c r="R197" s="6"/>
      <c r="S197" s="6"/>
      <c r="T197" s="6"/>
      <c r="U197" s="6"/>
      <c r="V197" s="6"/>
      <c r="W197" s="6"/>
      <c r="X197" s="6"/>
      <c r="Y197" s="6"/>
      <c r="Z197" s="6"/>
      <c r="AA197" s="6"/>
      <c r="AB197" s="6"/>
      <c r="AC197" s="6"/>
      <c r="AD197" s="6"/>
      <c r="AE197" s="6"/>
      <c r="AF197" s="6"/>
      <c r="AG197" s="6"/>
    </row>
    <row r="198" spans="1:33" x14ac:dyDescent="0.25">
      <c r="A198" s="157">
        <f t="shared" si="8"/>
        <v>197</v>
      </c>
      <c r="B198" s="519" t="s">
        <v>4244</v>
      </c>
      <c r="C198" s="519" t="s">
        <v>4244</v>
      </c>
      <c r="D198" s="520" t="s">
        <v>5481</v>
      </c>
      <c r="E198" s="6"/>
      <c r="F198" s="7"/>
      <c r="G198" s="7" t="s">
        <v>620</v>
      </c>
      <c r="H198" s="7"/>
      <c r="I198" s="7" t="s">
        <v>614</v>
      </c>
      <c r="J198" s="524" t="s">
        <v>5255</v>
      </c>
      <c r="K198" s="7"/>
      <c r="L198" s="7" t="s">
        <v>171</v>
      </c>
      <c r="M198" s="7">
        <f t="shared" si="9"/>
        <v>0</v>
      </c>
      <c r="N198" s="6"/>
      <c r="O198" s="6"/>
      <c r="P198" s="6"/>
      <c r="Q198" s="6"/>
      <c r="R198" s="6"/>
      <c r="S198" s="6"/>
      <c r="T198" s="6"/>
      <c r="U198" s="6"/>
      <c r="V198" s="6"/>
      <c r="W198" s="6"/>
      <c r="X198" s="6"/>
      <c r="Y198" s="6"/>
      <c r="Z198" s="6"/>
      <c r="AA198" s="6"/>
      <c r="AB198" s="6"/>
      <c r="AC198" s="6"/>
      <c r="AD198" s="6"/>
      <c r="AE198" s="6"/>
      <c r="AF198" s="6"/>
      <c r="AG198" s="6"/>
    </row>
    <row r="199" spans="1:33" x14ac:dyDescent="0.25">
      <c r="A199" s="157">
        <f t="shared" si="8"/>
        <v>198</v>
      </c>
      <c r="B199" s="519" t="s">
        <v>4245</v>
      </c>
      <c r="C199" s="519" t="s">
        <v>4245</v>
      </c>
      <c r="D199" s="521" t="s">
        <v>5483</v>
      </c>
      <c r="E199" s="6"/>
      <c r="F199" s="524"/>
      <c r="G199" s="7" t="s">
        <v>620</v>
      </c>
      <c r="H199" s="7"/>
      <c r="I199" s="7" t="s">
        <v>614</v>
      </c>
      <c r="J199" s="524" t="s">
        <v>5257</v>
      </c>
      <c r="K199" s="7"/>
      <c r="L199" s="7" t="s">
        <v>171</v>
      </c>
      <c r="M199" s="7">
        <f t="shared" si="9"/>
        <v>0</v>
      </c>
      <c r="N199" s="6"/>
      <c r="O199" s="6"/>
      <c r="P199" s="6"/>
      <c r="Q199" s="6"/>
      <c r="R199" s="6"/>
      <c r="S199" s="6"/>
      <c r="T199" s="6"/>
      <c r="U199" s="6"/>
      <c r="V199" s="6"/>
      <c r="W199" s="6"/>
      <c r="X199" s="6"/>
      <c r="Y199" s="6"/>
      <c r="Z199" s="6"/>
      <c r="AA199" s="6"/>
      <c r="AB199" s="6"/>
      <c r="AC199" s="6"/>
      <c r="AD199" s="6"/>
      <c r="AE199" s="6"/>
      <c r="AF199" s="6"/>
      <c r="AG199" s="6"/>
    </row>
    <row r="200" spans="1:33" x14ac:dyDescent="0.25">
      <c r="A200" s="157">
        <f t="shared" si="8"/>
        <v>199</v>
      </c>
      <c r="B200" s="519" t="s">
        <v>5484</v>
      </c>
      <c r="C200" s="519" t="s">
        <v>4237</v>
      </c>
      <c r="D200" s="520" t="s">
        <v>5482</v>
      </c>
      <c r="E200" s="6"/>
      <c r="F200" s="7"/>
      <c r="G200" s="7" t="s">
        <v>620</v>
      </c>
      <c r="H200" s="7"/>
      <c r="I200" s="7" t="s">
        <v>614</v>
      </c>
      <c r="J200" s="524" t="s">
        <v>5256</v>
      </c>
      <c r="K200" s="7"/>
      <c r="L200" s="7" t="s">
        <v>171</v>
      </c>
      <c r="M200" s="7">
        <f t="shared" si="9"/>
        <v>0</v>
      </c>
      <c r="N200" s="6"/>
      <c r="O200" s="6"/>
      <c r="P200" s="6"/>
      <c r="Q200" s="6"/>
      <c r="R200" s="6"/>
      <c r="S200" s="6"/>
      <c r="T200" s="6"/>
      <c r="U200" s="6"/>
      <c r="V200" s="6"/>
      <c r="W200" s="6"/>
      <c r="X200" s="6"/>
      <c r="Y200" s="6"/>
      <c r="Z200" s="6"/>
      <c r="AA200" s="6"/>
      <c r="AB200" s="6"/>
      <c r="AC200" s="6"/>
      <c r="AD200" s="6"/>
      <c r="AE200" s="6"/>
      <c r="AF200" s="6"/>
      <c r="AG200" s="6"/>
    </row>
    <row r="201" spans="1:33" x14ac:dyDescent="0.25">
      <c r="A201" s="157">
        <f t="shared" si="8"/>
        <v>200</v>
      </c>
      <c r="B201" s="519" t="s">
        <v>4246</v>
      </c>
      <c r="C201" s="519" t="s">
        <v>4246</v>
      </c>
      <c r="D201" s="520" t="s">
        <v>5480</v>
      </c>
      <c r="E201" s="6"/>
      <c r="F201" s="7"/>
      <c r="G201" s="7" t="s">
        <v>620</v>
      </c>
      <c r="H201" s="7"/>
      <c r="I201" s="7" t="s">
        <v>614</v>
      </c>
      <c r="J201" s="524" t="s">
        <v>5324</v>
      </c>
      <c r="K201" s="7"/>
      <c r="L201" s="7" t="s">
        <v>171</v>
      </c>
      <c r="M201" s="7">
        <f t="shared" si="9"/>
        <v>0</v>
      </c>
      <c r="N201" s="6"/>
      <c r="O201" s="6"/>
      <c r="P201" s="6"/>
      <c r="Q201" s="6"/>
      <c r="R201" s="6"/>
      <c r="S201" s="6"/>
      <c r="T201" s="6"/>
      <c r="U201" s="6"/>
      <c r="V201" s="6"/>
      <c r="W201" s="6"/>
      <c r="X201" s="6"/>
      <c r="Y201" s="6"/>
      <c r="Z201" s="6"/>
      <c r="AA201" s="6"/>
      <c r="AB201" s="6"/>
      <c r="AC201" s="6"/>
      <c r="AD201" s="6"/>
      <c r="AE201" s="6"/>
      <c r="AF201" s="6"/>
      <c r="AG201" s="6"/>
    </row>
    <row r="202" spans="1:33" x14ac:dyDescent="0.25">
      <c r="A202" s="157">
        <f t="shared" si="8"/>
        <v>201</v>
      </c>
      <c r="B202" s="519" t="s">
        <v>4380</v>
      </c>
      <c r="C202" s="519" t="s">
        <v>4380</v>
      </c>
      <c r="D202" s="521" t="s">
        <v>5485</v>
      </c>
      <c r="E202" s="6" t="s">
        <v>5865</v>
      </c>
      <c r="F202" s="7"/>
      <c r="G202" s="7" t="s">
        <v>620</v>
      </c>
      <c r="H202" s="7"/>
      <c r="I202" s="7" t="s">
        <v>4256</v>
      </c>
      <c r="J202" s="524" t="s">
        <v>5323</v>
      </c>
      <c r="K202" s="7"/>
      <c r="L202" s="7" t="s">
        <v>171</v>
      </c>
      <c r="M202" s="7">
        <f t="shared" si="9"/>
        <v>0</v>
      </c>
      <c r="N202" s="6"/>
      <c r="O202" s="6"/>
      <c r="P202" s="6"/>
      <c r="Q202" s="6"/>
      <c r="R202" s="6"/>
      <c r="S202" s="6"/>
      <c r="T202" s="6"/>
      <c r="U202" s="6"/>
      <c r="V202" s="6"/>
      <c r="W202" s="6"/>
      <c r="X202" s="6"/>
      <c r="Y202" s="6"/>
      <c r="Z202" s="6"/>
      <c r="AA202" s="6"/>
      <c r="AB202" s="6"/>
      <c r="AC202" s="6"/>
      <c r="AD202" s="6"/>
      <c r="AE202" s="6"/>
      <c r="AF202" s="6"/>
      <c r="AG202" s="6"/>
    </row>
    <row r="203" spans="1:33" x14ac:dyDescent="0.25">
      <c r="A203" s="157">
        <f t="shared" si="8"/>
        <v>202</v>
      </c>
      <c r="B203" s="519" t="s">
        <v>4247</v>
      </c>
      <c r="C203" s="519" t="s">
        <v>4247</v>
      </c>
      <c r="D203" s="520" t="s">
        <v>5775</v>
      </c>
      <c r="E203" s="6"/>
      <c r="F203" s="7"/>
      <c r="G203" s="7" t="s">
        <v>620</v>
      </c>
      <c r="H203" s="7"/>
      <c r="I203" s="7" t="s">
        <v>4256</v>
      </c>
      <c r="J203" s="524" t="s">
        <v>5324</v>
      </c>
      <c r="K203" s="7"/>
      <c r="L203" s="7" t="s">
        <v>171</v>
      </c>
      <c r="M203" s="7">
        <f t="shared" si="9"/>
        <v>0</v>
      </c>
      <c r="N203" s="6"/>
      <c r="O203" s="6"/>
      <c r="P203" s="6"/>
      <c r="Q203" s="6"/>
      <c r="R203" s="6"/>
      <c r="S203" s="6"/>
      <c r="T203" s="6"/>
      <c r="U203" s="6"/>
      <c r="V203" s="6"/>
      <c r="W203" s="6"/>
      <c r="X203" s="6"/>
      <c r="Y203" s="6"/>
      <c r="Z203" s="6"/>
      <c r="AA203" s="6"/>
      <c r="AB203" s="6"/>
      <c r="AC203" s="6"/>
      <c r="AD203" s="6"/>
      <c r="AE203" s="6"/>
      <c r="AF203" s="6"/>
      <c r="AG203" s="6"/>
    </row>
    <row r="204" spans="1:33" x14ac:dyDescent="0.25">
      <c r="A204" s="157">
        <f t="shared" si="8"/>
        <v>203</v>
      </c>
      <c r="B204" s="519" t="s">
        <v>4248</v>
      </c>
      <c r="C204" s="519" t="s">
        <v>4248</v>
      </c>
      <c r="D204" s="520" t="s">
        <v>5776</v>
      </c>
      <c r="E204" s="6"/>
      <c r="F204" s="7"/>
      <c r="G204" s="7" t="s">
        <v>620</v>
      </c>
      <c r="H204" s="7"/>
      <c r="I204" s="7" t="s">
        <v>4256</v>
      </c>
      <c r="J204" s="524" t="s">
        <v>5254</v>
      </c>
      <c r="K204" s="7"/>
      <c r="L204" s="7" t="s">
        <v>171</v>
      </c>
      <c r="M204" s="7">
        <f t="shared" si="9"/>
        <v>0</v>
      </c>
      <c r="N204" s="6"/>
      <c r="O204" s="6"/>
      <c r="P204" s="6"/>
      <c r="Q204" s="6"/>
      <c r="R204" s="6"/>
      <c r="S204" s="6"/>
      <c r="T204" s="6"/>
      <c r="U204" s="6"/>
      <c r="V204" s="6"/>
      <c r="W204" s="6"/>
      <c r="X204" s="6"/>
      <c r="Y204" s="6"/>
      <c r="Z204" s="6"/>
      <c r="AA204" s="6"/>
      <c r="AB204" s="6"/>
      <c r="AC204" s="6"/>
      <c r="AD204" s="6"/>
      <c r="AE204" s="6"/>
      <c r="AF204" s="6"/>
      <c r="AG204" s="6"/>
    </row>
    <row r="205" spans="1:33" x14ac:dyDescent="0.25">
      <c r="A205" s="157">
        <f t="shared" si="8"/>
        <v>204</v>
      </c>
      <c r="B205" s="519" t="s">
        <v>4249</v>
      </c>
      <c r="C205" s="519" t="s">
        <v>4249</v>
      </c>
      <c r="D205" s="520" t="s">
        <v>5486</v>
      </c>
      <c r="E205" s="6"/>
      <c r="F205" s="7"/>
      <c r="G205" s="7" t="s">
        <v>620</v>
      </c>
      <c r="H205" s="7"/>
      <c r="I205" s="7" t="s">
        <v>4256</v>
      </c>
      <c r="J205" s="524" t="s">
        <v>5255</v>
      </c>
      <c r="K205" s="7"/>
      <c r="L205" s="7" t="s">
        <v>171</v>
      </c>
      <c r="M205" s="7">
        <f t="shared" si="9"/>
        <v>0</v>
      </c>
      <c r="N205" s="6"/>
      <c r="O205" s="6"/>
      <c r="P205" s="6"/>
      <c r="Q205" s="6"/>
      <c r="R205" s="6"/>
      <c r="S205" s="6"/>
      <c r="T205" s="6"/>
      <c r="U205" s="6"/>
      <c r="V205" s="6"/>
      <c r="W205" s="6"/>
      <c r="X205" s="6"/>
      <c r="Y205" s="6"/>
      <c r="Z205" s="6"/>
      <c r="AA205" s="6"/>
      <c r="AB205" s="6"/>
      <c r="AC205" s="6"/>
      <c r="AD205" s="6"/>
      <c r="AE205" s="6"/>
      <c r="AF205" s="6"/>
      <c r="AG205" s="6"/>
    </row>
    <row r="206" spans="1:33" x14ac:dyDescent="0.25">
      <c r="A206" s="157">
        <f t="shared" si="8"/>
        <v>205</v>
      </c>
      <c r="B206" s="519" t="s">
        <v>5488</v>
      </c>
      <c r="C206" s="519" t="s">
        <v>4237</v>
      </c>
      <c r="D206" s="520" t="s">
        <v>5487</v>
      </c>
      <c r="E206" s="6"/>
      <c r="F206" s="7"/>
      <c r="G206" s="7" t="s">
        <v>620</v>
      </c>
      <c r="H206" s="7"/>
      <c r="I206" s="7" t="s">
        <v>4256</v>
      </c>
      <c r="J206" s="524" t="s">
        <v>5256</v>
      </c>
      <c r="K206" s="7"/>
      <c r="L206" s="7" t="s">
        <v>171</v>
      </c>
      <c r="M206" s="7">
        <f t="shared" si="9"/>
        <v>0</v>
      </c>
      <c r="N206" s="6"/>
      <c r="O206" s="6"/>
      <c r="P206" s="6"/>
      <c r="Q206" s="6"/>
      <c r="R206" s="6"/>
      <c r="S206" s="6"/>
      <c r="T206" s="6"/>
      <c r="U206" s="6"/>
      <c r="V206" s="6"/>
      <c r="W206" s="6"/>
      <c r="X206" s="6"/>
      <c r="Y206" s="6"/>
      <c r="Z206" s="6"/>
      <c r="AA206" s="6"/>
      <c r="AB206" s="6"/>
      <c r="AC206" s="6"/>
      <c r="AD206" s="6"/>
      <c r="AE206" s="6"/>
      <c r="AF206" s="6"/>
      <c r="AG206" s="6"/>
    </row>
    <row r="207" spans="1:33" x14ac:dyDescent="0.25">
      <c r="A207" s="157">
        <f t="shared" si="8"/>
        <v>206</v>
      </c>
      <c r="B207" s="519" t="s">
        <v>4250</v>
      </c>
      <c r="C207" s="519" t="s">
        <v>4250</v>
      </c>
      <c r="D207" s="520" t="s">
        <v>5489</v>
      </c>
      <c r="E207" s="6"/>
      <c r="F207" s="7"/>
      <c r="G207" s="7" t="s">
        <v>620</v>
      </c>
      <c r="H207" s="7"/>
      <c r="I207" s="7" t="s">
        <v>4256</v>
      </c>
      <c r="J207" s="524" t="s">
        <v>5257</v>
      </c>
      <c r="K207" s="7"/>
      <c r="L207" s="7" t="s">
        <v>171</v>
      </c>
      <c r="M207" s="7">
        <f t="shared" si="9"/>
        <v>0</v>
      </c>
      <c r="N207" s="6"/>
      <c r="O207" s="6"/>
      <c r="P207" s="6"/>
      <c r="Q207" s="6"/>
      <c r="R207" s="6"/>
      <c r="S207" s="6"/>
      <c r="T207" s="6"/>
      <c r="U207" s="6"/>
      <c r="V207" s="6"/>
      <c r="W207" s="6"/>
      <c r="X207" s="6"/>
      <c r="Y207" s="6"/>
      <c r="Z207" s="6"/>
      <c r="AA207" s="6"/>
      <c r="AB207" s="6"/>
      <c r="AC207" s="6"/>
      <c r="AD207" s="6"/>
      <c r="AE207" s="6"/>
      <c r="AF207" s="6"/>
      <c r="AG207" s="6"/>
    </row>
    <row r="208" spans="1:33" x14ac:dyDescent="0.25">
      <c r="A208" s="157">
        <f t="shared" si="8"/>
        <v>207</v>
      </c>
      <c r="B208" s="519" t="s">
        <v>4251</v>
      </c>
      <c r="C208" s="519" t="s">
        <v>4251</v>
      </c>
      <c r="D208" s="520" t="s">
        <v>5490</v>
      </c>
      <c r="E208" s="6"/>
      <c r="F208" s="7"/>
      <c r="G208" s="7" t="s">
        <v>620</v>
      </c>
      <c r="H208" s="7"/>
      <c r="I208" s="7" t="s">
        <v>4255</v>
      </c>
      <c r="J208" s="524" t="s">
        <v>5323</v>
      </c>
      <c r="K208" s="7"/>
      <c r="L208" s="7" t="s">
        <v>171</v>
      </c>
      <c r="M208" s="7">
        <f t="shared" si="9"/>
        <v>0</v>
      </c>
      <c r="N208" s="6"/>
      <c r="O208" s="6"/>
      <c r="P208" s="6"/>
      <c r="Q208" s="6"/>
      <c r="R208" s="6"/>
      <c r="S208" s="6"/>
      <c r="T208" s="6"/>
      <c r="U208" s="6"/>
      <c r="V208" s="6"/>
      <c r="W208" s="6"/>
      <c r="X208" s="6"/>
      <c r="Y208" s="6"/>
      <c r="Z208" s="6"/>
      <c r="AA208" s="6"/>
      <c r="AB208" s="6"/>
      <c r="AC208" s="6"/>
      <c r="AD208" s="6"/>
      <c r="AE208" s="6"/>
      <c r="AF208" s="6"/>
      <c r="AG208" s="6"/>
    </row>
    <row r="209" spans="1:33" x14ac:dyDescent="0.25">
      <c r="A209" s="157">
        <f t="shared" si="8"/>
        <v>208</v>
      </c>
      <c r="B209" s="519" t="s">
        <v>4252</v>
      </c>
      <c r="C209" s="519" t="s">
        <v>4252</v>
      </c>
      <c r="D209" s="520" t="s">
        <v>5777</v>
      </c>
      <c r="E209" s="6"/>
      <c r="F209" s="7"/>
      <c r="G209" s="7" t="s">
        <v>620</v>
      </c>
      <c r="H209" s="7"/>
      <c r="I209" s="7" t="s">
        <v>4255</v>
      </c>
      <c r="J209" s="524" t="s">
        <v>5254</v>
      </c>
      <c r="K209" s="7"/>
      <c r="L209" s="7" t="s">
        <v>171</v>
      </c>
      <c r="M209" s="7">
        <f t="shared" si="9"/>
        <v>0</v>
      </c>
      <c r="N209" s="6"/>
      <c r="O209" s="6"/>
      <c r="P209" s="6"/>
      <c r="Q209" s="6"/>
      <c r="R209" s="6"/>
      <c r="S209" s="6"/>
      <c r="T209" s="6"/>
      <c r="U209" s="6"/>
      <c r="V209" s="6"/>
      <c r="W209" s="6"/>
      <c r="X209" s="6"/>
      <c r="Y209" s="6"/>
      <c r="Z209" s="6"/>
      <c r="AA209" s="6"/>
      <c r="AB209" s="6"/>
      <c r="AC209" s="6"/>
      <c r="AD209" s="6"/>
      <c r="AE209" s="6"/>
      <c r="AF209" s="6"/>
      <c r="AG209" s="6"/>
    </row>
    <row r="210" spans="1:33" x14ac:dyDescent="0.25">
      <c r="A210" s="157">
        <f t="shared" si="8"/>
        <v>209</v>
      </c>
      <c r="B210" s="519" t="s">
        <v>4253</v>
      </c>
      <c r="C210" s="519" t="s">
        <v>4253</v>
      </c>
      <c r="D210" s="520" t="s">
        <v>5778</v>
      </c>
      <c r="E210" s="6"/>
      <c r="F210" s="7"/>
      <c r="G210" s="7" t="s">
        <v>620</v>
      </c>
      <c r="H210" s="7"/>
      <c r="I210" s="7" t="s">
        <v>4255</v>
      </c>
      <c r="J210" s="524" t="s">
        <v>5255</v>
      </c>
      <c r="K210" s="7"/>
      <c r="L210" s="7" t="s">
        <v>171</v>
      </c>
      <c r="M210" s="7">
        <f t="shared" si="9"/>
        <v>0</v>
      </c>
      <c r="N210" s="6"/>
      <c r="O210" s="6"/>
      <c r="P210" s="6"/>
      <c r="Q210" s="6"/>
      <c r="R210" s="6"/>
      <c r="S210" s="6"/>
      <c r="T210" s="6"/>
      <c r="U210" s="6"/>
      <c r="V210" s="6"/>
      <c r="W210" s="6"/>
      <c r="X210" s="6"/>
      <c r="Y210" s="6"/>
      <c r="Z210" s="6"/>
      <c r="AA210" s="6"/>
      <c r="AB210" s="6"/>
      <c r="AC210" s="6"/>
      <c r="AD210" s="6"/>
      <c r="AE210" s="6"/>
      <c r="AF210" s="6"/>
      <c r="AG210" s="6"/>
    </row>
    <row r="211" spans="1:33" x14ac:dyDescent="0.25">
      <c r="A211" s="157">
        <f t="shared" si="8"/>
        <v>210</v>
      </c>
      <c r="B211" s="519" t="s">
        <v>5492</v>
      </c>
      <c r="C211" s="519" t="s">
        <v>4237</v>
      </c>
      <c r="D211" s="520" t="s">
        <v>5491</v>
      </c>
      <c r="E211" s="6"/>
      <c r="F211" s="7"/>
      <c r="G211" s="7" t="s">
        <v>620</v>
      </c>
      <c r="H211" s="7"/>
      <c r="I211" s="7" t="s">
        <v>4255</v>
      </c>
      <c r="J211" s="524" t="s">
        <v>5256</v>
      </c>
      <c r="K211" s="7"/>
      <c r="L211" s="7" t="s">
        <v>171</v>
      </c>
      <c r="M211" s="7">
        <f t="shared" si="9"/>
        <v>0</v>
      </c>
      <c r="N211" s="6"/>
      <c r="O211" s="6"/>
      <c r="P211" s="6"/>
      <c r="Q211" s="6"/>
      <c r="R211" s="6"/>
      <c r="S211" s="6"/>
      <c r="T211" s="6"/>
      <c r="U211" s="6"/>
      <c r="V211" s="6"/>
      <c r="W211" s="6"/>
      <c r="X211" s="6"/>
      <c r="Y211" s="6"/>
      <c r="Z211" s="6"/>
      <c r="AA211" s="6"/>
      <c r="AB211" s="6"/>
      <c r="AC211" s="6"/>
      <c r="AD211" s="6"/>
      <c r="AE211" s="6"/>
      <c r="AF211" s="6"/>
      <c r="AG211" s="6"/>
    </row>
    <row r="212" spans="1:33" x14ac:dyDescent="0.25">
      <c r="A212" s="157">
        <f t="shared" si="8"/>
        <v>211</v>
      </c>
      <c r="B212" s="519" t="s">
        <v>4254</v>
      </c>
      <c r="C212" s="519" t="s">
        <v>4254</v>
      </c>
      <c r="D212" s="520" t="s">
        <v>5493</v>
      </c>
      <c r="E212" s="6"/>
      <c r="F212" s="7"/>
      <c r="G212" s="7" t="s">
        <v>620</v>
      </c>
      <c r="H212" s="7"/>
      <c r="I212" s="7" t="s">
        <v>4255</v>
      </c>
      <c r="J212" s="524" t="s">
        <v>5257</v>
      </c>
      <c r="K212" s="7"/>
      <c r="L212" s="7" t="s">
        <v>171</v>
      </c>
      <c r="M212" s="7">
        <f t="shared" si="9"/>
        <v>0</v>
      </c>
      <c r="N212" s="6"/>
      <c r="O212" s="6"/>
      <c r="P212" s="6"/>
      <c r="Q212" s="6"/>
      <c r="R212" s="6"/>
      <c r="S212" s="6"/>
      <c r="T212" s="6"/>
      <c r="U212" s="6"/>
      <c r="V212" s="6"/>
      <c r="W212" s="6"/>
      <c r="X212" s="6"/>
      <c r="Y212" s="6"/>
      <c r="Z212" s="6"/>
      <c r="AA212" s="6"/>
      <c r="AB212" s="6"/>
      <c r="AC212" s="6"/>
      <c r="AD212" s="6"/>
      <c r="AE212" s="6"/>
      <c r="AF212" s="6"/>
      <c r="AG212" s="6"/>
    </row>
    <row r="213" spans="1:33" x14ac:dyDescent="0.25">
      <c r="A213" s="157">
        <f t="shared" si="8"/>
        <v>212</v>
      </c>
      <c r="B213" s="519" t="s">
        <v>4257</v>
      </c>
      <c r="C213" s="519" t="s">
        <v>4257</v>
      </c>
      <c r="D213" s="520" t="s">
        <v>5779</v>
      </c>
      <c r="E213" s="6"/>
      <c r="F213" s="7"/>
      <c r="G213" s="7" t="s">
        <v>620</v>
      </c>
      <c r="H213" s="7"/>
      <c r="I213" s="7" t="s">
        <v>4258</v>
      </c>
      <c r="J213" s="524" t="s">
        <v>5323</v>
      </c>
      <c r="K213" s="7"/>
      <c r="L213" s="7" t="s">
        <v>171</v>
      </c>
      <c r="M213" s="7">
        <f t="shared" si="9"/>
        <v>0</v>
      </c>
      <c r="N213" s="6"/>
      <c r="O213" s="6"/>
      <c r="P213" s="6"/>
      <c r="Q213" s="6"/>
      <c r="R213" s="6"/>
      <c r="S213" s="6"/>
      <c r="T213" s="6"/>
      <c r="U213" s="6"/>
      <c r="V213" s="6"/>
      <c r="W213" s="6"/>
      <c r="X213" s="6"/>
      <c r="Y213" s="6"/>
      <c r="Z213" s="6"/>
      <c r="AA213" s="6"/>
      <c r="AB213" s="6"/>
      <c r="AC213" s="6"/>
      <c r="AD213" s="6"/>
      <c r="AE213" s="6"/>
      <c r="AF213" s="6"/>
      <c r="AG213" s="6"/>
    </row>
    <row r="214" spans="1:33" x14ac:dyDescent="0.25">
      <c r="A214" s="157">
        <f t="shared" si="8"/>
        <v>213</v>
      </c>
      <c r="B214" s="519" t="s">
        <v>4381</v>
      </c>
      <c r="C214" s="519" t="s">
        <v>4381</v>
      </c>
      <c r="D214" s="521" t="s">
        <v>5485</v>
      </c>
      <c r="E214" s="6" t="s">
        <v>5865</v>
      </c>
      <c r="F214" s="7"/>
      <c r="G214" s="7" t="s">
        <v>620</v>
      </c>
      <c r="H214" s="7"/>
      <c r="I214" s="7" t="s">
        <v>4258</v>
      </c>
      <c r="J214" s="524" t="s">
        <v>5324</v>
      </c>
      <c r="K214" s="7"/>
      <c r="L214" s="7" t="s">
        <v>171</v>
      </c>
      <c r="M214" s="7">
        <f t="shared" si="9"/>
        <v>0</v>
      </c>
      <c r="N214" s="6"/>
      <c r="O214" s="6"/>
      <c r="P214" s="6"/>
      <c r="Q214" s="6"/>
      <c r="R214" s="6"/>
      <c r="S214" s="6"/>
      <c r="T214" s="6"/>
      <c r="U214" s="6"/>
      <c r="V214" s="6"/>
      <c r="W214" s="6"/>
      <c r="X214" s="6"/>
      <c r="Y214" s="6"/>
      <c r="Z214" s="6"/>
      <c r="AA214" s="6"/>
      <c r="AB214" s="6"/>
      <c r="AC214" s="6"/>
      <c r="AD214" s="6"/>
      <c r="AE214" s="6"/>
      <c r="AF214" s="6"/>
      <c r="AG214" s="6"/>
    </row>
    <row r="215" spans="1:33" x14ac:dyDescent="0.25">
      <c r="A215" s="157">
        <f t="shared" si="8"/>
        <v>214</v>
      </c>
      <c r="B215" s="519" t="s">
        <v>4259</v>
      </c>
      <c r="C215" s="519" t="s">
        <v>4259</v>
      </c>
      <c r="D215" s="520" t="s">
        <v>5494</v>
      </c>
      <c r="E215" s="6"/>
      <c r="F215" s="7"/>
      <c r="G215" s="7" t="s">
        <v>620</v>
      </c>
      <c r="H215" s="7"/>
      <c r="I215" s="7" t="s">
        <v>4258</v>
      </c>
      <c r="J215" s="524" t="s">
        <v>5254</v>
      </c>
      <c r="K215" s="7"/>
      <c r="L215" s="7" t="s">
        <v>171</v>
      </c>
      <c r="M215" s="7">
        <f t="shared" si="9"/>
        <v>0</v>
      </c>
      <c r="N215" s="6"/>
      <c r="O215" s="6"/>
      <c r="P215" s="6"/>
      <c r="Q215" s="6"/>
      <c r="R215" s="6"/>
      <c r="S215" s="6"/>
      <c r="T215" s="6"/>
      <c r="U215" s="6"/>
      <c r="V215" s="6"/>
      <c r="W215" s="6"/>
      <c r="X215" s="6"/>
      <c r="Y215" s="6"/>
      <c r="Z215" s="6"/>
      <c r="AA215" s="6"/>
      <c r="AB215" s="6"/>
      <c r="AC215" s="6"/>
      <c r="AD215" s="6"/>
      <c r="AE215" s="6"/>
      <c r="AF215" s="6"/>
      <c r="AG215" s="6"/>
    </row>
    <row r="216" spans="1:33" x14ac:dyDescent="0.25">
      <c r="A216" s="157">
        <f t="shared" si="8"/>
        <v>215</v>
      </c>
      <c r="B216" s="519" t="s">
        <v>4260</v>
      </c>
      <c r="C216" s="519" t="s">
        <v>4260</v>
      </c>
      <c r="D216" s="520" t="s">
        <v>5495</v>
      </c>
      <c r="E216" s="6"/>
      <c r="F216" s="7"/>
      <c r="G216" s="7" t="s">
        <v>620</v>
      </c>
      <c r="H216" s="7"/>
      <c r="I216" s="7" t="s">
        <v>4258</v>
      </c>
      <c r="J216" s="524" t="s">
        <v>5255</v>
      </c>
      <c r="K216" s="7"/>
      <c r="L216" s="7" t="s">
        <v>171</v>
      </c>
      <c r="M216" s="7">
        <f t="shared" si="9"/>
        <v>0</v>
      </c>
      <c r="N216" s="6"/>
      <c r="O216" s="6"/>
      <c r="P216" s="6"/>
      <c r="Q216" s="6"/>
      <c r="R216" s="6"/>
      <c r="S216" s="6"/>
      <c r="T216" s="6"/>
      <c r="U216" s="6"/>
      <c r="V216" s="6"/>
      <c r="W216" s="6"/>
      <c r="X216" s="6"/>
      <c r="Y216" s="6"/>
      <c r="Z216" s="6"/>
      <c r="AA216" s="6"/>
      <c r="AB216" s="6"/>
      <c r="AC216" s="6"/>
      <c r="AD216" s="6"/>
      <c r="AE216" s="6"/>
      <c r="AF216" s="6"/>
      <c r="AG216" s="6"/>
    </row>
    <row r="217" spans="1:33" x14ac:dyDescent="0.25">
      <c r="A217" s="157">
        <f t="shared" si="8"/>
        <v>216</v>
      </c>
      <c r="B217" s="519" t="s">
        <v>5497</v>
      </c>
      <c r="C217" s="519" t="s">
        <v>4237</v>
      </c>
      <c r="D217" s="520" t="s">
        <v>5496</v>
      </c>
      <c r="E217" s="6"/>
      <c r="F217" s="7"/>
      <c r="G217" s="7" t="s">
        <v>620</v>
      </c>
      <c r="H217" s="7"/>
      <c r="I217" s="7" t="s">
        <v>4258</v>
      </c>
      <c r="J217" s="524" t="s">
        <v>5256</v>
      </c>
      <c r="K217" s="7"/>
      <c r="L217" s="7" t="s">
        <v>171</v>
      </c>
      <c r="M217" s="7">
        <f t="shared" si="9"/>
        <v>0</v>
      </c>
      <c r="N217" s="6"/>
      <c r="O217" s="6"/>
      <c r="P217" s="6"/>
      <c r="Q217" s="6"/>
      <c r="R217" s="6"/>
      <c r="S217" s="6"/>
      <c r="T217" s="6"/>
      <c r="U217" s="6"/>
      <c r="V217" s="6"/>
      <c r="W217" s="6"/>
      <c r="X217" s="6"/>
      <c r="Y217" s="6"/>
      <c r="Z217" s="6"/>
      <c r="AA217" s="6"/>
      <c r="AB217" s="6"/>
      <c r="AC217" s="6"/>
      <c r="AD217" s="6"/>
      <c r="AE217" s="6"/>
      <c r="AF217" s="6"/>
      <c r="AG217" s="6"/>
    </row>
    <row r="218" spans="1:33" x14ac:dyDescent="0.25">
      <c r="A218" s="157">
        <f t="shared" si="8"/>
        <v>217</v>
      </c>
      <c r="B218" s="519" t="s">
        <v>4261</v>
      </c>
      <c r="C218" s="519" t="s">
        <v>4261</v>
      </c>
      <c r="D218" s="520" t="s">
        <v>5498</v>
      </c>
      <c r="E218" s="6"/>
      <c r="F218" s="7"/>
      <c r="G218" s="7" t="s">
        <v>620</v>
      </c>
      <c r="H218" s="7"/>
      <c r="I218" s="7" t="s">
        <v>4258</v>
      </c>
      <c r="J218" s="524" t="s">
        <v>5257</v>
      </c>
      <c r="K218" s="7"/>
      <c r="L218" s="7" t="s">
        <v>171</v>
      </c>
      <c r="M218" s="7">
        <f t="shared" si="9"/>
        <v>0</v>
      </c>
      <c r="N218" s="6"/>
      <c r="O218" s="6"/>
      <c r="P218" s="6"/>
      <c r="Q218" s="6"/>
      <c r="R218" s="6"/>
      <c r="S218" s="6"/>
      <c r="T218" s="6"/>
      <c r="U218" s="6"/>
      <c r="V218" s="6"/>
      <c r="W218" s="6"/>
      <c r="X218" s="6"/>
      <c r="Y218" s="6"/>
      <c r="Z218" s="6"/>
      <c r="AA218" s="6"/>
      <c r="AB218" s="6"/>
      <c r="AC218" s="6"/>
      <c r="AD218" s="6"/>
      <c r="AE218" s="6"/>
      <c r="AF218" s="6"/>
      <c r="AG218" s="6"/>
    </row>
    <row r="219" spans="1:33" x14ac:dyDescent="0.25">
      <c r="A219" s="157">
        <f t="shared" si="8"/>
        <v>218</v>
      </c>
      <c r="B219" s="519" t="s">
        <v>4382</v>
      </c>
      <c r="C219" s="519" t="s">
        <v>4382</v>
      </c>
      <c r="D219" s="520" t="s">
        <v>5503</v>
      </c>
      <c r="E219" s="6"/>
      <c r="F219" s="7"/>
      <c r="G219" s="7" t="s">
        <v>621</v>
      </c>
      <c r="H219" s="7"/>
      <c r="I219" s="7" t="s">
        <v>3988</v>
      </c>
      <c r="J219" s="7" t="s">
        <v>5258</v>
      </c>
      <c r="K219" s="7"/>
      <c r="L219" s="7" t="s">
        <v>171</v>
      </c>
      <c r="M219" s="7">
        <f t="shared" si="9"/>
        <v>0</v>
      </c>
      <c r="N219" s="6"/>
      <c r="O219" s="6"/>
      <c r="P219" s="6"/>
      <c r="Q219" s="6"/>
      <c r="R219" s="6"/>
      <c r="S219" s="6"/>
      <c r="T219" s="6"/>
      <c r="U219" s="6"/>
      <c r="V219" s="6"/>
      <c r="W219" s="6"/>
      <c r="X219" s="6"/>
      <c r="Y219" s="6"/>
      <c r="Z219" s="6"/>
      <c r="AA219" s="6"/>
      <c r="AB219" s="6"/>
      <c r="AC219" s="6"/>
      <c r="AD219" s="6"/>
      <c r="AE219" s="6"/>
      <c r="AF219" s="6"/>
      <c r="AG219" s="6"/>
    </row>
    <row r="220" spans="1:33" x14ac:dyDescent="0.25">
      <c r="A220" s="157">
        <f t="shared" si="8"/>
        <v>219</v>
      </c>
      <c r="B220" s="519" t="s">
        <v>4262</v>
      </c>
      <c r="C220" s="519" t="s">
        <v>4262</v>
      </c>
      <c r="D220" s="520" t="s">
        <v>5780</v>
      </c>
      <c r="E220" s="6"/>
      <c r="F220" s="7"/>
      <c r="G220" s="7" t="s">
        <v>621</v>
      </c>
      <c r="H220" s="7"/>
      <c r="I220" s="7" t="s">
        <v>3988</v>
      </c>
      <c r="J220" s="7" t="s">
        <v>5259</v>
      </c>
      <c r="K220" s="7"/>
      <c r="L220" s="7" t="s">
        <v>171</v>
      </c>
      <c r="M220" s="7">
        <f t="shared" si="9"/>
        <v>0</v>
      </c>
      <c r="N220" s="6"/>
      <c r="O220" s="6"/>
      <c r="P220" s="6"/>
      <c r="Q220" s="6"/>
      <c r="R220" s="6"/>
      <c r="S220" s="6"/>
      <c r="T220" s="6"/>
      <c r="U220" s="6"/>
      <c r="V220" s="6"/>
      <c r="W220" s="6"/>
      <c r="X220" s="6"/>
      <c r="Y220" s="6"/>
      <c r="Z220" s="6"/>
      <c r="AA220" s="6"/>
      <c r="AB220" s="6"/>
      <c r="AC220" s="6"/>
      <c r="AD220" s="6"/>
      <c r="AE220" s="6"/>
      <c r="AF220" s="6"/>
      <c r="AG220" s="6"/>
    </row>
    <row r="221" spans="1:33" x14ac:dyDescent="0.25">
      <c r="A221" s="157">
        <f t="shared" si="8"/>
        <v>220</v>
      </c>
      <c r="B221" s="519" t="s">
        <v>4263</v>
      </c>
      <c r="C221" s="519" t="s">
        <v>4263</v>
      </c>
      <c r="D221" s="520" t="s">
        <v>5781</v>
      </c>
      <c r="E221" s="6"/>
      <c r="F221" s="7"/>
      <c r="G221" s="7" t="s">
        <v>621</v>
      </c>
      <c r="H221" s="7"/>
      <c r="I221" s="7" t="s">
        <v>3988</v>
      </c>
      <c r="J221" s="7" t="s">
        <v>5325</v>
      </c>
      <c r="K221" s="7"/>
      <c r="L221" s="7" t="s">
        <v>171</v>
      </c>
      <c r="M221" s="7">
        <f t="shared" si="9"/>
        <v>8</v>
      </c>
      <c r="N221" s="6" t="s">
        <v>3996</v>
      </c>
      <c r="O221" s="6" t="s">
        <v>3997</v>
      </c>
      <c r="P221" s="6" t="s">
        <v>3998</v>
      </c>
      <c r="Q221" s="6" t="s">
        <v>3999</v>
      </c>
      <c r="R221" s="6" t="s">
        <v>4000</v>
      </c>
      <c r="S221" s="6" t="s">
        <v>4001</v>
      </c>
      <c r="T221" s="6" t="s">
        <v>4002</v>
      </c>
      <c r="U221" s="6" t="s">
        <v>4003</v>
      </c>
      <c r="V221" s="6"/>
      <c r="W221" s="6"/>
      <c r="X221" s="6"/>
      <c r="Y221" s="6"/>
      <c r="Z221" s="6"/>
      <c r="AA221" s="6"/>
      <c r="AB221" s="6"/>
      <c r="AC221" s="6"/>
      <c r="AD221" s="6"/>
      <c r="AE221" s="6"/>
      <c r="AF221" s="6"/>
      <c r="AG221" s="6"/>
    </row>
    <row r="222" spans="1:33" x14ac:dyDescent="0.25">
      <c r="A222" s="157">
        <f t="shared" si="8"/>
        <v>221</v>
      </c>
      <c r="B222" s="519" t="s">
        <v>3865</v>
      </c>
      <c r="C222" s="519" t="s">
        <v>3865</v>
      </c>
      <c r="D222" s="520" t="s">
        <v>5782</v>
      </c>
      <c r="E222" s="6"/>
      <c r="F222" s="7"/>
      <c r="G222" s="7" t="s">
        <v>621</v>
      </c>
      <c r="H222" s="7"/>
      <c r="I222" s="7" t="s">
        <v>3988</v>
      </c>
      <c r="J222" s="7" t="s">
        <v>5260</v>
      </c>
      <c r="K222" s="7"/>
      <c r="L222" s="7" t="s">
        <v>171</v>
      </c>
      <c r="M222" s="7">
        <f t="shared" si="9"/>
        <v>0</v>
      </c>
      <c r="N222" s="6"/>
      <c r="O222" s="6"/>
      <c r="P222" s="6"/>
      <c r="Q222" s="6"/>
      <c r="R222" s="6"/>
      <c r="S222" s="6"/>
      <c r="T222" s="6"/>
      <c r="U222" s="6"/>
      <c r="V222" s="6"/>
      <c r="W222" s="6"/>
      <c r="X222" s="6"/>
      <c r="Y222" s="6"/>
      <c r="Z222" s="6"/>
      <c r="AA222" s="6"/>
      <c r="AB222" s="6"/>
      <c r="AC222" s="6"/>
      <c r="AD222" s="6"/>
      <c r="AE222" s="6"/>
      <c r="AF222" s="6"/>
      <c r="AG222" s="6"/>
    </row>
    <row r="223" spans="1:33" x14ac:dyDescent="0.25">
      <c r="A223" s="157">
        <f t="shared" si="8"/>
        <v>222</v>
      </c>
      <c r="B223" s="519" t="s">
        <v>4264</v>
      </c>
      <c r="C223" s="519" t="s">
        <v>4264</v>
      </c>
      <c r="D223" s="520" t="s">
        <v>5504</v>
      </c>
      <c r="E223" s="6"/>
      <c r="F223" s="7"/>
      <c r="G223" s="7" t="s">
        <v>621</v>
      </c>
      <c r="H223" s="7"/>
      <c r="I223" s="7" t="s">
        <v>3988</v>
      </c>
      <c r="J223" s="7" t="s">
        <v>5261</v>
      </c>
      <c r="K223" s="7"/>
      <c r="L223" s="7" t="s">
        <v>171</v>
      </c>
      <c r="M223" s="7">
        <f t="shared" si="9"/>
        <v>0</v>
      </c>
      <c r="N223" s="6"/>
      <c r="O223" s="6"/>
      <c r="P223" s="6"/>
      <c r="Q223" s="6"/>
      <c r="R223" s="6"/>
      <c r="S223" s="6"/>
      <c r="T223" s="6"/>
      <c r="U223" s="6"/>
      <c r="V223" s="6"/>
      <c r="W223" s="6"/>
      <c r="X223" s="6"/>
      <c r="Y223" s="6"/>
      <c r="Z223" s="6"/>
      <c r="AA223" s="6"/>
      <c r="AB223" s="6"/>
      <c r="AC223" s="6"/>
      <c r="AD223" s="6"/>
      <c r="AE223" s="6"/>
      <c r="AF223" s="6"/>
      <c r="AG223" s="6"/>
    </row>
    <row r="224" spans="1:33" x14ac:dyDescent="0.25">
      <c r="A224" s="157">
        <f t="shared" si="8"/>
        <v>223</v>
      </c>
      <c r="B224" s="519" t="s">
        <v>4265</v>
      </c>
      <c r="C224" s="519" t="s">
        <v>4265</v>
      </c>
      <c r="D224" s="520" t="s">
        <v>5783</v>
      </c>
      <c r="E224" s="6"/>
      <c r="F224" s="7"/>
      <c r="G224" s="7" t="s">
        <v>621</v>
      </c>
      <c r="H224" s="7"/>
      <c r="I224" s="7" t="s">
        <v>3988</v>
      </c>
      <c r="J224" s="7" t="s">
        <v>5262</v>
      </c>
      <c r="K224" s="7"/>
      <c r="L224" s="7" t="s">
        <v>171</v>
      </c>
      <c r="M224" s="7">
        <f t="shared" si="9"/>
        <v>0</v>
      </c>
      <c r="N224" s="6"/>
      <c r="O224" s="6"/>
      <c r="P224" s="6"/>
      <c r="Q224" s="6"/>
      <c r="R224" s="6"/>
      <c r="S224" s="6"/>
      <c r="T224" s="6"/>
      <c r="U224" s="6"/>
      <c r="V224" s="6"/>
      <c r="W224" s="6"/>
      <c r="X224" s="6"/>
      <c r="Y224" s="6"/>
      <c r="Z224" s="6"/>
      <c r="AA224" s="6"/>
      <c r="AB224" s="6"/>
      <c r="AC224" s="6"/>
      <c r="AD224" s="6"/>
      <c r="AE224" s="6"/>
      <c r="AF224" s="6"/>
      <c r="AG224" s="6"/>
    </row>
    <row r="225" spans="1:33" x14ac:dyDescent="0.25">
      <c r="A225" s="157">
        <f t="shared" si="8"/>
        <v>224</v>
      </c>
      <c r="B225" s="519" t="s">
        <v>4266</v>
      </c>
      <c r="C225" s="519" t="s">
        <v>4266</v>
      </c>
      <c r="D225" s="520" t="s">
        <v>5784</v>
      </c>
      <c r="E225" s="6"/>
      <c r="F225" s="7"/>
      <c r="G225" s="7" t="s">
        <v>621</v>
      </c>
      <c r="H225" s="7"/>
      <c r="I225" s="7" t="s">
        <v>3989</v>
      </c>
      <c r="J225" s="7" t="s">
        <v>5258</v>
      </c>
      <c r="K225" s="7"/>
      <c r="L225" s="7" t="s">
        <v>171</v>
      </c>
      <c r="M225" s="7">
        <f t="shared" si="9"/>
        <v>0</v>
      </c>
      <c r="N225" s="6"/>
      <c r="O225" s="6"/>
      <c r="P225" s="6"/>
      <c r="Q225" s="6"/>
      <c r="R225" s="6"/>
      <c r="S225" s="6"/>
      <c r="T225" s="6"/>
      <c r="U225" s="6"/>
      <c r="V225" s="6"/>
      <c r="W225" s="6"/>
      <c r="X225" s="6"/>
      <c r="Y225" s="6"/>
      <c r="Z225" s="6"/>
      <c r="AA225" s="6"/>
      <c r="AB225" s="6"/>
      <c r="AC225" s="6"/>
      <c r="AD225" s="6"/>
      <c r="AE225" s="6"/>
      <c r="AF225" s="6"/>
      <c r="AG225" s="6"/>
    </row>
    <row r="226" spans="1:33" x14ac:dyDescent="0.25">
      <c r="A226" s="157">
        <f t="shared" si="8"/>
        <v>225</v>
      </c>
      <c r="B226" s="519" t="s">
        <v>4267</v>
      </c>
      <c r="C226" s="519" t="s">
        <v>4267</v>
      </c>
      <c r="D226" s="520" t="s">
        <v>5785</v>
      </c>
      <c r="E226" s="6"/>
      <c r="F226" s="7"/>
      <c r="G226" s="7" t="s">
        <v>621</v>
      </c>
      <c r="H226" s="7"/>
      <c r="I226" s="7" t="s">
        <v>3989</v>
      </c>
      <c r="J226" s="7" t="s">
        <v>5259</v>
      </c>
      <c r="K226" s="7"/>
      <c r="L226" s="7" t="s">
        <v>171</v>
      </c>
      <c r="M226" s="7">
        <f t="shared" si="9"/>
        <v>0</v>
      </c>
      <c r="N226" s="6"/>
      <c r="O226" s="6"/>
      <c r="P226" s="6"/>
      <c r="Q226" s="6"/>
      <c r="R226" s="6"/>
      <c r="S226" s="6"/>
      <c r="T226" s="6"/>
      <c r="U226" s="6"/>
      <c r="V226" s="6"/>
      <c r="W226" s="6"/>
      <c r="X226" s="6"/>
      <c r="Y226" s="6"/>
      <c r="Z226" s="6"/>
      <c r="AA226" s="6"/>
      <c r="AB226" s="6"/>
      <c r="AC226" s="6"/>
      <c r="AD226" s="6"/>
      <c r="AE226" s="6"/>
      <c r="AF226" s="6"/>
      <c r="AG226" s="6"/>
    </row>
    <row r="227" spans="1:33" x14ac:dyDescent="0.25">
      <c r="A227" s="157">
        <f t="shared" si="8"/>
        <v>226</v>
      </c>
      <c r="B227" s="519" t="s">
        <v>4268</v>
      </c>
      <c r="C227" s="519" t="s">
        <v>4268</v>
      </c>
      <c r="D227" s="520" t="s">
        <v>5507</v>
      </c>
      <c r="E227" s="6"/>
      <c r="F227" s="7"/>
      <c r="G227" s="7" t="s">
        <v>621</v>
      </c>
      <c r="H227" s="7"/>
      <c r="I227" s="7" t="s">
        <v>3989</v>
      </c>
      <c r="J227" s="7" t="s">
        <v>5260</v>
      </c>
      <c r="K227" s="7"/>
      <c r="L227" s="7" t="s">
        <v>171</v>
      </c>
      <c r="M227" s="7">
        <f t="shared" si="9"/>
        <v>0</v>
      </c>
      <c r="N227" s="6"/>
      <c r="O227" s="6"/>
      <c r="P227" s="6"/>
      <c r="Q227" s="6"/>
      <c r="R227" s="6"/>
      <c r="S227" s="6"/>
      <c r="T227" s="6"/>
      <c r="U227" s="6"/>
      <c r="V227" s="6"/>
      <c r="W227" s="6"/>
      <c r="X227" s="6"/>
      <c r="Y227" s="6"/>
      <c r="Z227" s="6"/>
      <c r="AA227" s="6"/>
      <c r="AB227" s="6"/>
      <c r="AC227" s="6"/>
      <c r="AD227" s="6"/>
      <c r="AE227" s="6"/>
      <c r="AF227" s="6"/>
      <c r="AG227" s="6"/>
    </row>
    <row r="228" spans="1:33" x14ac:dyDescent="0.25">
      <c r="A228" s="157">
        <f t="shared" si="8"/>
        <v>227</v>
      </c>
      <c r="B228" s="519" t="s">
        <v>4269</v>
      </c>
      <c r="C228" s="519" t="s">
        <v>4269</v>
      </c>
      <c r="D228" s="520" t="s">
        <v>5505</v>
      </c>
      <c r="E228" s="6"/>
      <c r="F228" s="7"/>
      <c r="G228" s="7" t="s">
        <v>621</v>
      </c>
      <c r="H228" s="7"/>
      <c r="I228" s="7" t="s">
        <v>3989</v>
      </c>
      <c r="J228" s="7" t="s">
        <v>5261</v>
      </c>
      <c r="K228" s="7"/>
      <c r="L228" s="7" t="s">
        <v>171</v>
      </c>
      <c r="M228" s="7">
        <f t="shared" si="9"/>
        <v>0</v>
      </c>
      <c r="N228" s="6"/>
      <c r="O228" s="6"/>
      <c r="P228" s="6"/>
      <c r="Q228" s="6"/>
      <c r="R228" s="6"/>
      <c r="S228" s="6"/>
      <c r="T228" s="6"/>
      <c r="U228" s="6"/>
      <c r="V228" s="6"/>
      <c r="W228" s="6"/>
      <c r="X228" s="6"/>
      <c r="Y228" s="6"/>
      <c r="Z228" s="6"/>
      <c r="AA228" s="6"/>
      <c r="AB228" s="6"/>
      <c r="AC228" s="6"/>
      <c r="AD228" s="6"/>
      <c r="AE228" s="6"/>
      <c r="AF228" s="6"/>
      <c r="AG228" s="6"/>
    </row>
    <row r="229" spans="1:33" x14ac:dyDescent="0.25">
      <c r="A229" s="157">
        <f t="shared" si="8"/>
        <v>228</v>
      </c>
      <c r="B229" s="519" t="s">
        <v>4270</v>
      </c>
      <c r="C229" s="519" t="s">
        <v>4270</v>
      </c>
      <c r="D229" s="520" t="s">
        <v>5506</v>
      </c>
      <c r="E229" s="6"/>
      <c r="F229" s="7"/>
      <c r="G229" s="7" t="s">
        <v>621</v>
      </c>
      <c r="H229" s="7"/>
      <c r="I229" s="7" t="s">
        <v>3989</v>
      </c>
      <c r="J229" s="7" t="s">
        <v>5262</v>
      </c>
      <c r="K229" s="7"/>
      <c r="L229" s="7" t="s">
        <v>171</v>
      </c>
      <c r="M229" s="7">
        <f t="shared" si="9"/>
        <v>0</v>
      </c>
      <c r="N229" s="6"/>
      <c r="O229" s="6"/>
      <c r="P229" s="6"/>
      <c r="Q229" s="6"/>
      <c r="R229" s="6"/>
      <c r="S229" s="6"/>
      <c r="T229" s="6"/>
      <c r="U229" s="6"/>
      <c r="V229" s="6"/>
      <c r="W229" s="6"/>
      <c r="X229" s="6"/>
      <c r="Y229" s="6"/>
      <c r="Z229" s="6"/>
      <c r="AA229" s="6"/>
      <c r="AB229" s="6"/>
      <c r="AC229" s="6"/>
      <c r="AD229" s="6"/>
      <c r="AE229" s="6"/>
      <c r="AF229" s="6"/>
      <c r="AG229" s="6"/>
    </row>
    <row r="230" spans="1:33" x14ac:dyDescent="0.25">
      <c r="A230" s="157">
        <f t="shared" si="8"/>
        <v>229</v>
      </c>
      <c r="B230" s="519" t="s">
        <v>4271</v>
      </c>
      <c r="C230" s="519" t="s">
        <v>4271</v>
      </c>
      <c r="D230" s="520" t="s">
        <v>5508</v>
      </c>
      <c r="E230" s="6"/>
      <c r="F230" s="7"/>
      <c r="G230" s="7" t="s">
        <v>622</v>
      </c>
      <c r="H230" s="7"/>
      <c r="I230" s="7" t="s">
        <v>3991</v>
      </c>
      <c r="J230" s="7" t="s">
        <v>5161</v>
      </c>
      <c r="K230" s="7"/>
      <c r="L230" s="7" t="s">
        <v>171</v>
      </c>
      <c r="M230" s="7">
        <f t="shared" si="9"/>
        <v>0</v>
      </c>
      <c r="N230" s="6"/>
      <c r="O230" s="6"/>
      <c r="P230" s="6"/>
      <c r="Q230" s="6"/>
      <c r="R230" s="6"/>
      <c r="S230" s="6"/>
      <c r="T230" s="6"/>
      <c r="U230" s="6"/>
      <c r="V230" s="6"/>
      <c r="W230" s="6"/>
      <c r="X230" s="6"/>
      <c r="Y230" s="6"/>
      <c r="Z230" s="6"/>
      <c r="AA230" s="6"/>
      <c r="AB230" s="6"/>
      <c r="AC230" s="6"/>
      <c r="AD230" s="6"/>
      <c r="AE230" s="6"/>
      <c r="AF230" s="6"/>
      <c r="AG230" s="6"/>
    </row>
    <row r="231" spans="1:33" x14ac:dyDescent="0.25">
      <c r="A231" s="157">
        <f t="shared" si="8"/>
        <v>230</v>
      </c>
      <c r="B231" s="519" t="s">
        <v>4272</v>
      </c>
      <c r="C231" s="519" t="s">
        <v>4272</v>
      </c>
      <c r="D231" s="520" t="s">
        <v>5786</v>
      </c>
      <c r="E231" s="6"/>
      <c r="F231" s="7"/>
      <c r="G231" s="7" t="s">
        <v>622</v>
      </c>
      <c r="H231" s="7"/>
      <c r="I231" s="7" t="s">
        <v>3991</v>
      </c>
      <c r="J231" s="7" t="s">
        <v>5153</v>
      </c>
      <c r="K231" s="7"/>
      <c r="L231" s="7" t="s">
        <v>171</v>
      </c>
      <c r="M231" s="7">
        <f t="shared" si="9"/>
        <v>0</v>
      </c>
      <c r="N231" s="6"/>
      <c r="O231" s="6"/>
      <c r="P231" s="6"/>
      <c r="Q231" s="6"/>
      <c r="R231" s="6"/>
      <c r="S231" s="6"/>
      <c r="T231" s="6"/>
      <c r="U231" s="6"/>
      <c r="V231" s="6"/>
      <c r="W231" s="6"/>
      <c r="X231" s="6"/>
      <c r="Y231" s="6"/>
      <c r="Z231" s="6"/>
      <c r="AA231" s="6"/>
      <c r="AB231" s="6"/>
      <c r="AC231" s="6"/>
      <c r="AD231" s="6"/>
      <c r="AE231" s="6"/>
      <c r="AF231" s="6"/>
      <c r="AG231" s="6"/>
    </row>
    <row r="232" spans="1:33" x14ac:dyDescent="0.25">
      <c r="A232" s="157">
        <f t="shared" si="8"/>
        <v>231</v>
      </c>
      <c r="B232" s="519" t="s">
        <v>4273</v>
      </c>
      <c r="C232" s="519" t="s">
        <v>4273</v>
      </c>
      <c r="D232" s="520" t="s">
        <v>5787</v>
      </c>
      <c r="E232" s="6"/>
      <c r="F232" s="7"/>
      <c r="G232" s="7" t="s">
        <v>622</v>
      </c>
      <c r="H232" s="7"/>
      <c r="I232" s="7" t="s">
        <v>3991</v>
      </c>
      <c r="J232" s="7" t="s">
        <v>5154</v>
      </c>
      <c r="K232" s="7"/>
      <c r="L232" s="7" t="s">
        <v>171</v>
      </c>
      <c r="M232" s="7">
        <f t="shared" si="9"/>
        <v>6</v>
      </c>
      <c r="N232" s="160" t="s">
        <v>4025</v>
      </c>
      <c r="O232" s="160" t="s">
        <v>4026</v>
      </c>
      <c r="P232" s="160" t="s">
        <v>4027</v>
      </c>
      <c r="Q232" s="160" t="s">
        <v>4028</v>
      </c>
      <c r="R232" s="160" t="s">
        <v>4029</v>
      </c>
      <c r="S232" s="160" t="s">
        <v>4030</v>
      </c>
      <c r="T232" s="6"/>
      <c r="U232" s="6"/>
      <c r="V232" s="6"/>
      <c r="W232" s="6"/>
      <c r="X232" s="6"/>
      <c r="Y232" s="6"/>
      <c r="Z232" s="6"/>
      <c r="AA232" s="6"/>
      <c r="AB232" s="6"/>
      <c r="AC232" s="6"/>
      <c r="AD232" s="6"/>
      <c r="AE232" s="6"/>
      <c r="AF232" s="6"/>
      <c r="AG232" s="6"/>
    </row>
    <row r="233" spans="1:33" x14ac:dyDescent="0.25">
      <c r="A233" s="157">
        <f t="shared" si="8"/>
        <v>232</v>
      </c>
      <c r="B233" s="519" t="s">
        <v>4274</v>
      </c>
      <c r="C233" s="519" t="s">
        <v>4274</v>
      </c>
      <c r="D233" s="520" t="s">
        <v>5509</v>
      </c>
      <c r="E233" s="6"/>
      <c r="F233" s="7"/>
      <c r="G233" s="7" t="s">
        <v>622</v>
      </c>
      <c r="H233" s="7"/>
      <c r="I233" s="7" t="s">
        <v>3991</v>
      </c>
      <c r="J233" s="7" t="s">
        <v>5155</v>
      </c>
      <c r="K233" s="7"/>
      <c r="L233" s="7" t="s">
        <v>171</v>
      </c>
      <c r="M233" s="7">
        <f t="shared" si="9"/>
        <v>0</v>
      </c>
      <c r="N233" s="6"/>
      <c r="O233" s="6"/>
      <c r="P233" s="6"/>
      <c r="Q233" s="6"/>
      <c r="R233" s="6"/>
      <c r="S233" s="6"/>
      <c r="T233" s="6"/>
      <c r="U233" s="6"/>
      <c r="V233" s="6"/>
      <c r="W233" s="6"/>
      <c r="X233" s="6"/>
      <c r="Y233" s="6"/>
      <c r="Z233" s="6"/>
      <c r="AA233" s="6"/>
      <c r="AB233" s="6"/>
      <c r="AC233" s="6"/>
      <c r="AD233" s="6"/>
      <c r="AE233" s="6"/>
      <c r="AF233" s="6"/>
      <c r="AG233" s="6"/>
    </row>
    <row r="234" spans="1:33" x14ac:dyDescent="0.25">
      <c r="A234" s="157">
        <f t="shared" si="8"/>
        <v>233</v>
      </c>
      <c r="B234" s="519" t="s">
        <v>4275</v>
      </c>
      <c r="C234" s="519" t="s">
        <v>4275</v>
      </c>
      <c r="D234" s="520" t="s">
        <v>5510</v>
      </c>
      <c r="E234" s="6"/>
      <c r="F234" s="7"/>
      <c r="G234" s="7" t="s">
        <v>622</v>
      </c>
      <c r="H234" s="7"/>
      <c r="I234" s="7" t="s">
        <v>3991</v>
      </c>
      <c r="J234" s="7" t="s">
        <v>5156</v>
      </c>
      <c r="K234" s="7"/>
      <c r="L234" s="7" t="s">
        <v>171</v>
      </c>
      <c r="M234" s="7">
        <f t="shared" si="9"/>
        <v>0</v>
      </c>
      <c r="N234" s="6"/>
      <c r="O234" s="6"/>
      <c r="P234" s="6"/>
      <c r="Q234" s="6"/>
      <c r="R234" s="6"/>
      <c r="S234" s="6"/>
      <c r="T234" s="6"/>
      <c r="U234" s="6"/>
      <c r="V234" s="6"/>
      <c r="W234" s="6"/>
      <c r="X234" s="6"/>
      <c r="Y234" s="6"/>
      <c r="Z234" s="6"/>
      <c r="AA234" s="6"/>
      <c r="AB234" s="6"/>
      <c r="AC234" s="6"/>
      <c r="AD234" s="6"/>
      <c r="AE234" s="6"/>
      <c r="AF234" s="6"/>
      <c r="AG234" s="6"/>
    </row>
    <row r="235" spans="1:33" x14ac:dyDescent="0.25">
      <c r="A235" s="157">
        <f t="shared" si="8"/>
        <v>234</v>
      </c>
      <c r="B235" s="519" t="s">
        <v>4276</v>
      </c>
      <c r="C235" s="519" t="s">
        <v>4276</v>
      </c>
      <c r="D235" s="520" t="s">
        <v>5788</v>
      </c>
      <c r="E235" s="6"/>
      <c r="F235" s="7"/>
      <c r="G235" s="7" t="s">
        <v>622</v>
      </c>
      <c r="H235" s="7"/>
      <c r="I235" s="7" t="s">
        <v>4285</v>
      </c>
      <c r="J235" s="7" t="s">
        <v>5161</v>
      </c>
      <c r="K235" s="7"/>
      <c r="L235" s="7" t="s">
        <v>171</v>
      </c>
      <c r="M235" s="7">
        <f t="shared" si="9"/>
        <v>0</v>
      </c>
      <c r="N235" s="6"/>
      <c r="O235" s="6"/>
      <c r="P235" s="6"/>
      <c r="Q235" s="6"/>
      <c r="R235" s="6"/>
      <c r="S235" s="6"/>
      <c r="T235" s="6"/>
      <c r="U235" s="6"/>
      <c r="V235" s="6"/>
      <c r="W235" s="6"/>
      <c r="X235" s="6"/>
      <c r="Y235" s="6"/>
      <c r="Z235" s="6"/>
      <c r="AA235" s="6"/>
      <c r="AB235" s="6"/>
      <c r="AC235" s="6"/>
      <c r="AD235" s="6"/>
      <c r="AE235" s="6"/>
      <c r="AF235" s="6"/>
      <c r="AG235" s="6"/>
    </row>
    <row r="236" spans="1:33" x14ac:dyDescent="0.25">
      <c r="A236" s="157">
        <f t="shared" si="8"/>
        <v>235</v>
      </c>
      <c r="B236" s="519" t="s">
        <v>4277</v>
      </c>
      <c r="C236" s="519" t="s">
        <v>4277</v>
      </c>
      <c r="D236" s="520" t="s">
        <v>5511</v>
      </c>
      <c r="E236" s="156" t="s">
        <v>5866</v>
      </c>
      <c r="F236" s="7"/>
      <c r="G236" s="7" t="s">
        <v>622</v>
      </c>
      <c r="H236" s="7"/>
      <c r="I236" s="7" t="s">
        <v>4285</v>
      </c>
      <c r="J236" s="7" t="s">
        <v>5162</v>
      </c>
      <c r="K236" s="7"/>
      <c r="L236" s="7" t="s">
        <v>171</v>
      </c>
      <c r="M236" s="7">
        <f t="shared" si="9"/>
        <v>0</v>
      </c>
      <c r="N236" s="6"/>
      <c r="O236" s="6"/>
      <c r="P236" s="6"/>
      <c r="Q236" s="6"/>
      <c r="R236" s="6"/>
      <c r="S236" s="6"/>
      <c r="T236" s="6"/>
      <c r="U236" s="6"/>
      <c r="V236" s="6"/>
      <c r="W236" s="6"/>
      <c r="X236" s="6"/>
      <c r="Y236" s="6"/>
      <c r="Z236" s="6"/>
      <c r="AA236" s="6"/>
      <c r="AB236" s="6"/>
      <c r="AC236" s="6"/>
      <c r="AD236" s="6"/>
      <c r="AE236" s="6"/>
      <c r="AF236" s="6"/>
      <c r="AG236" s="6"/>
    </row>
    <row r="237" spans="1:33" x14ac:dyDescent="0.25">
      <c r="A237" s="157">
        <f t="shared" si="8"/>
        <v>236</v>
      </c>
      <c r="B237" s="519" t="s">
        <v>4278</v>
      </c>
      <c r="C237" s="519" t="s">
        <v>4278</v>
      </c>
      <c r="D237" s="520" t="s">
        <v>5789</v>
      </c>
      <c r="E237" s="6"/>
      <c r="F237" s="7"/>
      <c r="G237" s="7" t="s">
        <v>622</v>
      </c>
      <c r="H237" s="7"/>
      <c r="I237" s="7" t="s">
        <v>4285</v>
      </c>
      <c r="J237" s="7" t="s">
        <v>5153</v>
      </c>
      <c r="K237" s="7"/>
      <c r="L237" s="7" t="s">
        <v>171</v>
      </c>
      <c r="M237" s="7">
        <f t="shared" si="9"/>
        <v>0</v>
      </c>
      <c r="N237" s="6"/>
      <c r="O237" s="6"/>
      <c r="P237" s="6"/>
      <c r="Q237" s="6"/>
      <c r="R237" s="6"/>
      <c r="S237" s="6"/>
      <c r="T237" s="6"/>
      <c r="U237" s="6"/>
      <c r="V237" s="6"/>
      <c r="W237" s="6"/>
      <c r="X237" s="6"/>
      <c r="Y237" s="6"/>
      <c r="Z237" s="6"/>
      <c r="AA237" s="6"/>
      <c r="AB237" s="6"/>
      <c r="AC237" s="6"/>
      <c r="AD237" s="6"/>
      <c r="AE237" s="6"/>
      <c r="AF237" s="6"/>
      <c r="AG237" s="6"/>
    </row>
    <row r="238" spans="1:33" x14ac:dyDescent="0.25">
      <c r="A238" s="157">
        <f t="shared" si="8"/>
        <v>237</v>
      </c>
      <c r="B238" s="519" t="s">
        <v>5158</v>
      </c>
      <c r="C238" s="519" t="s">
        <v>5163</v>
      </c>
      <c r="D238" s="520" t="s">
        <v>5707</v>
      </c>
      <c r="E238" s="6"/>
      <c r="F238" s="7"/>
      <c r="G238" s="7" t="s">
        <v>622</v>
      </c>
      <c r="H238" s="7"/>
      <c r="I238" s="7" t="s">
        <v>4285</v>
      </c>
      <c r="J238" s="7" t="s">
        <v>5154</v>
      </c>
      <c r="K238" s="7"/>
      <c r="L238" s="7" t="s">
        <v>171</v>
      </c>
      <c r="M238" s="7">
        <f t="shared" si="9"/>
        <v>0</v>
      </c>
      <c r="N238" s="6"/>
      <c r="O238" s="6"/>
      <c r="P238" s="6"/>
      <c r="Q238" s="6"/>
      <c r="R238" s="6"/>
      <c r="S238" s="6"/>
      <c r="T238" s="6"/>
      <c r="U238" s="6"/>
      <c r="V238" s="6"/>
      <c r="W238" s="6"/>
      <c r="X238" s="6"/>
      <c r="Y238" s="6"/>
      <c r="Z238" s="6"/>
      <c r="AA238" s="6"/>
      <c r="AB238" s="6"/>
      <c r="AC238" s="6"/>
      <c r="AD238" s="6"/>
      <c r="AE238" s="6"/>
      <c r="AF238" s="6"/>
      <c r="AG238" s="6"/>
    </row>
    <row r="239" spans="1:33" x14ac:dyDescent="0.25">
      <c r="A239" s="157">
        <f t="shared" si="8"/>
        <v>238</v>
      </c>
      <c r="B239" s="519" t="s">
        <v>5157</v>
      </c>
      <c r="C239" s="519" t="s">
        <v>5163</v>
      </c>
      <c r="D239" s="520" t="s">
        <v>5790</v>
      </c>
      <c r="E239" s="6"/>
      <c r="F239" s="7"/>
      <c r="G239" s="7" t="s">
        <v>622</v>
      </c>
      <c r="H239" s="7"/>
      <c r="I239" s="7" t="s">
        <v>4285</v>
      </c>
      <c r="J239" s="7" t="s">
        <v>5156</v>
      </c>
      <c r="K239" s="7"/>
      <c r="L239" s="7" t="s">
        <v>171</v>
      </c>
      <c r="M239" s="7">
        <f t="shared" si="9"/>
        <v>0</v>
      </c>
      <c r="N239" s="6"/>
      <c r="O239" s="6"/>
      <c r="P239" s="6"/>
      <c r="Q239" s="6"/>
      <c r="R239" s="6"/>
      <c r="S239" s="6"/>
      <c r="T239" s="6"/>
      <c r="U239" s="6"/>
      <c r="V239" s="6"/>
      <c r="W239" s="6"/>
      <c r="X239" s="6"/>
      <c r="Y239" s="6"/>
      <c r="Z239" s="6"/>
      <c r="AA239" s="6"/>
      <c r="AB239" s="6"/>
      <c r="AC239" s="6"/>
      <c r="AD239" s="6"/>
      <c r="AE239" s="6"/>
      <c r="AF239" s="6"/>
      <c r="AG239" s="6"/>
    </row>
    <row r="240" spans="1:33" x14ac:dyDescent="0.25">
      <c r="A240" s="157">
        <f t="shared" si="8"/>
        <v>239</v>
      </c>
      <c r="B240" s="519" t="s">
        <v>4279</v>
      </c>
      <c r="C240" s="519" t="s">
        <v>4279</v>
      </c>
      <c r="D240" s="520" t="s">
        <v>5512</v>
      </c>
      <c r="E240" s="6"/>
      <c r="F240" s="7"/>
      <c r="G240" s="7" t="s">
        <v>622</v>
      </c>
      <c r="H240" s="7"/>
      <c r="I240" s="7" t="s">
        <v>4285</v>
      </c>
      <c r="J240" s="7" t="s">
        <v>5155</v>
      </c>
      <c r="K240" s="7"/>
      <c r="L240" s="7" t="s">
        <v>171</v>
      </c>
      <c r="M240" s="7">
        <f t="shared" si="9"/>
        <v>0</v>
      </c>
      <c r="N240" s="6"/>
      <c r="O240" s="6"/>
      <c r="P240" s="6"/>
      <c r="Q240" s="6"/>
      <c r="R240" s="6"/>
      <c r="S240" s="6"/>
      <c r="T240" s="6"/>
      <c r="U240" s="6"/>
      <c r="V240" s="6"/>
      <c r="W240" s="6"/>
      <c r="X240" s="6"/>
      <c r="Y240" s="6"/>
      <c r="Z240" s="6"/>
      <c r="AA240" s="6"/>
      <c r="AB240" s="6"/>
      <c r="AC240" s="6"/>
      <c r="AD240" s="6"/>
      <c r="AE240" s="6"/>
      <c r="AF240" s="6"/>
      <c r="AG240" s="6"/>
    </row>
    <row r="241" spans="1:33" x14ac:dyDescent="0.25">
      <c r="A241" s="157">
        <f t="shared" si="8"/>
        <v>240</v>
      </c>
      <c r="B241" s="519" t="s">
        <v>4280</v>
      </c>
      <c r="C241" s="519" t="s">
        <v>4280</v>
      </c>
      <c r="D241" s="520" t="s">
        <v>5791</v>
      </c>
      <c r="E241" s="6"/>
      <c r="F241" s="7"/>
      <c r="G241" s="7" t="s">
        <v>622</v>
      </c>
      <c r="H241" s="7"/>
      <c r="I241" s="7" t="s">
        <v>3992</v>
      </c>
      <c r="J241" s="7" t="s">
        <v>5162</v>
      </c>
      <c r="K241" s="7"/>
      <c r="L241" s="7" t="s">
        <v>171</v>
      </c>
      <c r="M241" s="7">
        <f t="shared" si="9"/>
        <v>0</v>
      </c>
      <c r="N241" s="6"/>
      <c r="O241" s="6"/>
      <c r="P241" s="6"/>
      <c r="Q241" s="6"/>
      <c r="R241" s="6"/>
      <c r="S241" s="6"/>
      <c r="T241" s="6"/>
      <c r="U241" s="6"/>
      <c r="V241" s="6"/>
      <c r="W241" s="6"/>
      <c r="X241" s="6"/>
      <c r="Y241" s="6"/>
      <c r="Z241" s="6"/>
      <c r="AA241" s="6"/>
      <c r="AB241" s="6"/>
      <c r="AC241" s="6"/>
      <c r="AD241" s="6"/>
      <c r="AE241" s="6"/>
      <c r="AF241" s="6"/>
      <c r="AG241" s="6"/>
    </row>
    <row r="242" spans="1:33" x14ac:dyDescent="0.25">
      <c r="A242" s="157">
        <f t="shared" si="8"/>
        <v>241</v>
      </c>
      <c r="B242" s="519" t="s">
        <v>4281</v>
      </c>
      <c r="C242" s="519" t="s">
        <v>4281</v>
      </c>
      <c r="D242" s="521" t="s">
        <v>5513</v>
      </c>
      <c r="E242" s="6"/>
      <c r="F242" s="7"/>
      <c r="G242" s="7" t="s">
        <v>622</v>
      </c>
      <c r="H242" s="7"/>
      <c r="I242" s="7" t="s">
        <v>3992</v>
      </c>
      <c r="J242" s="7" t="s">
        <v>5153</v>
      </c>
      <c r="K242" s="7"/>
      <c r="L242" s="7" t="s">
        <v>171</v>
      </c>
      <c r="M242" s="7">
        <f t="shared" si="9"/>
        <v>0</v>
      </c>
      <c r="N242" s="6"/>
      <c r="O242" s="6"/>
      <c r="P242" s="6"/>
      <c r="Q242" s="6"/>
      <c r="R242" s="6"/>
      <c r="S242" s="6"/>
      <c r="T242" s="6"/>
      <c r="U242" s="6"/>
      <c r="V242" s="6"/>
      <c r="W242" s="6"/>
      <c r="X242" s="6"/>
      <c r="Y242" s="6"/>
      <c r="Z242" s="6"/>
      <c r="AA242" s="6"/>
      <c r="AB242" s="6"/>
      <c r="AC242" s="6"/>
      <c r="AD242" s="6"/>
      <c r="AE242" s="6"/>
      <c r="AF242" s="6"/>
      <c r="AG242" s="6"/>
    </row>
    <row r="243" spans="1:33" x14ac:dyDescent="0.25">
      <c r="A243" s="157">
        <f t="shared" si="8"/>
        <v>242</v>
      </c>
      <c r="B243" s="519" t="s">
        <v>4282</v>
      </c>
      <c r="C243" s="519" t="s">
        <v>4282</v>
      </c>
      <c r="D243" s="520" t="s">
        <v>5514</v>
      </c>
      <c r="E243" s="6"/>
      <c r="F243" s="7"/>
      <c r="G243" s="7" t="s">
        <v>622</v>
      </c>
      <c r="H243" s="7"/>
      <c r="I243" s="7" t="s">
        <v>3992</v>
      </c>
      <c r="J243" s="7" t="s">
        <v>5154</v>
      </c>
      <c r="K243" s="7"/>
      <c r="L243" s="7" t="s">
        <v>171</v>
      </c>
      <c r="M243" s="7">
        <f t="shared" si="9"/>
        <v>0</v>
      </c>
      <c r="N243" s="6"/>
      <c r="O243" s="6"/>
      <c r="P243" s="6"/>
      <c r="Q243" s="6"/>
      <c r="R243" s="6"/>
      <c r="S243" s="6"/>
      <c r="T243" s="6"/>
      <c r="U243" s="6"/>
      <c r="V243" s="6"/>
      <c r="W243" s="6"/>
      <c r="X243" s="6"/>
      <c r="Y243" s="6"/>
      <c r="Z243" s="6"/>
      <c r="AA243" s="6"/>
      <c r="AB243" s="6"/>
      <c r="AC243" s="6"/>
      <c r="AD243" s="6"/>
      <c r="AE243" s="6"/>
      <c r="AF243" s="6"/>
      <c r="AG243" s="6"/>
    </row>
    <row r="244" spans="1:33" x14ac:dyDescent="0.25">
      <c r="A244" s="157">
        <f t="shared" si="8"/>
        <v>243</v>
      </c>
      <c r="B244" s="519" t="s">
        <v>4283</v>
      </c>
      <c r="C244" s="519" t="s">
        <v>4283</v>
      </c>
      <c r="D244" s="520" t="s">
        <v>5515</v>
      </c>
      <c r="E244" s="6"/>
      <c r="F244" s="7"/>
      <c r="G244" s="7" t="s">
        <v>622</v>
      </c>
      <c r="H244" s="7"/>
      <c r="I244" s="7" t="s">
        <v>3992</v>
      </c>
      <c r="J244" s="7" t="s">
        <v>5155</v>
      </c>
      <c r="K244" s="7"/>
      <c r="L244" s="7" t="s">
        <v>171</v>
      </c>
      <c r="M244" s="7">
        <f t="shared" si="9"/>
        <v>0</v>
      </c>
      <c r="N244" s="6"/>
      <c r="O244" s="6"/>
      <c r="P244" s="6"/>
      <c r="Q244" s="6"/>
      <c r="R244" s="6"/>
      <c r="S244" s="6"/>
      <c r="T244" s="6"/>
      <c r="U244" s="6"/>
      <c r="V244" s="6"/>
      <c r="W244" s="6"/>
      <c r="X244" s="6"/>
      <c r="Y244" s="6"/>
      <c r="Z244" s="6"/>
      <c r="AA244" s="6"/>
      <c r="AB244" s="6"/>
      <c r="AC244" s="6"/>
      <c r="AD244" s="6"/>
      <c r="AE244" s="6"/>
      <c r="AF244" s="6"/>
      <c r="AG244" s="6"/>
    </row>
    <row r="245" spans="1:33" x14ac:dyDescent="0.25">
      <c r="A245" s="157">
        <f t="shared" si="8"/>
        <v>244</v>
      </c>
      <c r="B245" s="519" t="s">
        <v>4284</v>
      </c>
      <c r="C245" s="519" t="s">
        <v>4284</v>
      </c>
      <c r="D245" s="520" t="s">
        <v>5708</v>
      </c>
      <c r="E245" s="6"/>
      <c r="F245" s="7"/>
      <c r="G245" s="7" t="s">
        <v>622</v>
      </c>
      <c r="H245" s="7"/>
      <c r="I245" s="7" t="s">
        <v>3992</v>
      </c>
      <c r="J245" s="7" t="s">
        <v>5156</v>
      </c>
      <c r="K245" s="7"/>
      <c r="L245" s="7" t="s">
        <v>171</v>
      </c>
      <c r="M245" s="7">
        <f t="shared" si="9"/>
        <v>0</v>
      </c>
      <c r="N245" s="6"/>
      <c r="O245" s="6"/>
      <c r="P245" s="6"/>
      <c r="Q245" s="6"/>
      <c r="R245" s="6"/>
      <c r="S245" s="6"/>
      <c r="T245" s="6"/>
      <c r="U245" s="6"/>
      <c r="V245" s="6"/>
      <c r="W245" s="6"/>
      <c r="X245" s="6"/>
      <c r="Y245" s="6"/>
      <c r="Z245" s="6"/>
      <c r="AA245" s="6"/>
      <c r="AB245" s="6"/>
      <c r="AC245" s="6"/>
      <c r="AD245" s="6"/>
      <c r="AE245" s="6"/>
      <c r="AF245" s="6"/>
      <c r="AG245" s="6"/>
    </row>
    <row r="246" spans="1:33" x14ac:dyDescent="0.25">
      <c r="A246" s="157">
        <f t="shared" si="8"/>
        <v>245</v>
      </c>
      <c r="B246" s="519" t="s">
        <v>2302</v>
      </c>
      <c r="C246" s="519" t="s">
        <v>270</v>
      </c>
      <c r="D246" s="520" t="s">
        <v>3857</v>
      </c>
      <c r="E246" s="6"/>
      <c r="F246" s="7"/>
      <c r="G246" s="7" t="s">
        <v>622</v>
      </c>
      <c r="H246" s="7"/>
      <c r="I246" s="7" t="s">
        <v>3992</v>
      </c>
      <c r="J246" s="7" t="s">
        <v>5161</v>
      </c>
      <c r="K246" s="7"/>
      <c r="L246" s="7" t="s">
        <v>171</v>
      </c>
      <c r="M246" s="7">
        <f t="shared" si="9"/>
        <v>0</v>
      </c>
      <c r="N246" s="6"/>
      <c r="O246" s="6"/>
      <c r="P246" s="6"/>
      <c r="Q246" s="6"/>
      <c r="R246" s="6"/>
      <c r="S246" s="6"/>
      <c r="T246" s="6"/>
      <c r="U246" s="6"/>
      <c r="V246" s="6"/>
      <c r="W246" s="6"/>
      <c r="X246" s="6"/>
      <c r="Y246" s="6"/>
      <c r="Z246" s="6"/>
      <c r="AA246" s="6"/>
      <c r="AB246" s="6"/>
      <c r="AC246" s="6"/>
      <c r="AD246" s="6"/>
      <c r="AE246" s="6"/>
      <c r="AF246" s="6"/>
      <c r="AG246" s="6"/>
    </row>
    <row r="247" spans="1:33" x14ac:dyDescent="0.25">
      <c r="A247" s="157">
        <f t="shared" si="8"/>
        <v>246</v>
      </c>
      <c r="B247" s="519" t="s">
        <v>4286</v>
      </c>
      <c r="C247" s="519" t="s">
        <v>4286</v>
      </c>
      <c r="D247" s="520" t="s">
        <v>5792</v>
      </c>
      <c r="E247" s="6"/>
      <c r="F247" s="7"/>
      <c r="G247" s="7" t="s">
        <v>623</v>
      </c>
      <c r="H247" s="7"/>
      <c r="I247" s="7" t="s">
        <v>3993</v>
      </c>
      <c r="J247" s="7" t="s">
        <v>5263</v>
      </c>
      <c r="K247" s="7"/>
      <c r="L247" s="7" t="s">
        <v>171</v>
      </c>
      <c r="M247" s="7">
        <f t="shared" si="9"/>
        <v>0</v>
      </c>
      <c r="N247" s="6"/>
      <c r="O247" s="6"/>
      <c r="P247" s="6"/>
      <c r="Q247" s="6"/>
      <c r="R247" s="6"/>
      <c r="S247" s="6"/>
      <c r="T247" s="6"/>
      <c r="U247" s="6"/>
      <c r="V247" s="6"/>
      <c r="W247" s="6"/>
      <c r="X247" s="6"/>
      <c r="Y247" s="6"/>
      <c r="Z247" s="6"/>
      <c r="AA247" s="6"/>
      <c r="AB247" s="6"/>
      <c r="AC247" s="6"/>
      <c r="AD247" s="6"/>
      <c r="AE247" s="6"/>
      <c r="AF247" s="6"/>
      <c r="AG247" s="6"/>
    </row>
    <row r="248" spans="1:33" x14ac:dyDescent="0.25">
      <c r="A248" s="157">
        <f t="shared" si="8"/>
        <v>247</v>
      </c>
      <c r="B248" s="519" t="s">
        <v>4287</v>
      </c>
      <c r="C248" s="519" t="s">
        <v>4287</v>
      </c>
      <c r="D248" s="520" t="s">
        <v>5534</v>
      </c>
      <c r="E248" s="6"/>
      <c r="F248" s="7"/>
      <c r="G248" s="7" t="s">
        <v>623</v>
      </c>
      <c r="H248" s="7"/>
      <c r="I248" s="7" t="s">
        <v>3993</v>
      </c>
      <c r="J248" s="7" t="s">
        <v>5264</v>
      </c>
      <c r="K248" s="7"/>
      <c r="L248" s="7" t="s">
        <v>171</v>
      </c>
      <c r="M248" s="7">
        <f t="shared" si="9"/>
        <v>0</v>
      </c>
      <c r="N248" s="6"/>
      <c r="O248" s="6"/>
      <c r="P248" s="6"/>
      <c r="Q248" s="6"/>
      <c r="R248" s="6"/>
      <c r="S248" s="6"/>
      <c r="T248" s="6"/>
      <c r="U248" s="6"/>
      <c r="V248" s="6"/>
      <c r="W248" s="6"/>
      <c r="X248" s="6"/>
      <c r="Y248" s="6"/>
      <c r="Z248" s="6"/>
      <c r="AA248" s="6"/>
      <c r="AB248" s="6"/>
      <c r="AC248" s="6"/>
      <c r="AD248" s="6"/>
      <c r="AE248" s="6"/>
      <c r="AF248" s="6"/>
      <c r="AG248" s="6"/>
    </row>
    <row r="249" spans="1:33" x14ac:dyDescent="0.25">
      <c r="A249" s="157">
        <f t="shared" si="8"/>
        <v>248</v>
      </c>
      <c r="B249" s="519" t="s">
        <v>4288</v>
      </c>
      <c r="C249" s="519" t="s">
        <v>4288</v>
      </c>
      <c r="D249" s="521" t="s">
        <v>5709</v>
      </c>
      <c r="E249" s="6"/>
      <c r="F249" s="7"/>
      <c r="G249" s="7" t="s">
        <v>623</v>
      </c>
      <c r="H249" s="7"/>
      <c r="I249" s="7" t="s">
        <v>3993</v>
      </c>
      <c r="J249" s="7" t="s">
        <v>5265</v>
      </c>
      <c r="K249" s="7"/>
      <c r="L249" s="7" t="s">
        <v>171</v>
      </c>
      <c r="M249" s="7">
        <f t="shared" si="9"/>
        <v>0</v>
      </c>
      <c r="N249" s="6"/>
      <c r="O249" s="6"/>
      <c r="P249" s="6"/>
      <c r="Q249" s="6"/>
      <c r="R249" s="6"/>
      <c r="S249" s="6"/>
      <c r="T249" s="6"/>
      <c r="U249" s="6"/>
      <c r="V249" s="6"/>
      <c r="W249" s="6"/>
      <c r="X249" s="6"/>
      <c r="Y249" s="6"/>
      <c r="Z249" s="6"/>
      <c r="AA249" s="6"/>
      <c r="AB249" s="6"/>
      <c r="AC249" s="6"/>
      <c r="AD249" s="6"/>
      <c r="AE249" s="6"/>
      <c r="AF249" s="6"/>
      <c r="AG249" s="6"/>
    </row>
    <row r="250" spans="1:33" x14ac:dyDescent="0.25">
      <c r="A250" s="157">
        <f t="shared" si="8"/>
        <v>249</v>
      </c>
      <c r="B250" s="519" t="s">
        <v>4289</v>
      </c>
      <c r="C250" s="519" t="s">
        <v>4289</v>
      </c>
      <c r="D250" s="520" t="s">
        <v>5793</v>
      </c>
      <c r="E250" s="6"/>
      <c r="F250" s="7"/>
      <c r="G250" s="7" t="s">
        <v>623</v>
      </c>
      <c r="H250" s="7"/>
      <c r="I250" s="7" t="s">
        <v>3993</v>
      </c>
      <c r="J250" s="7" t="s">
        <v>5266</v>
      </c>
      <c r="K250" s="7"/>
      <c r="L250" s="7" t="s">
        <v>171</v>
      </c>
      <c r="M250" s="7">
        <f t="shared" si="9"/>
        <v>0</v>
      </c>
      <c r="N250" s="6"/>
      <c r="O250" s="6"/>
      <c r="P250" s="6"/>
      <c r="Q250" s="6"/>
      <c r="R250" s="6"/>
      <c r="S250" s="6"/>
      <c r="T250" s="6"/>
      <c r="U250" s="6"/>
      <c r="V250" s="6"/>
      <c r="W250" s="6"/>
      <c r="X250" s="6"/>
      <c r="Y250" s="6"/>
      <c r="Z250" s="6"/>
      <c r="AA250" s="6"/>
      <c r="AB250" s="6"/>
      <c r="AC250" s="6"/>
      <c r="AD250" s="6"/>
      <c r="AE250" s="6"/>
      <c r="AF250" s="6"/>
      <c r="AG250" s="6"/>
    </row>
    <row r="251" spans="1:33" x14ac:dyDescent="0.25">
      <c r="A251" s="157">
        <f t="shared" si="8"/>
        <v>250</v>
      </c>
      <c r="B251" s="519" t="s">
        <v>4290</v>
      </c>
      <c r="C251" s="519" t="s">
        <v>4290</v>
      </c>
      <c r="D251" s="520" t="s">
        <v>5535</v>
      </c>
      <c r="E251" s="6"/>
      <c r="F251" s="7"/>
      <c r="G251" s="7" t="s">
        <v>623</v>
      </c>
      <c r="H251" s="7"/>
      <c r="I251" s="7" t="s">
        <v>3995</v>
      </c>
      <c r="J251" s="7" t="s">
        <v>5263</v>
      </c>
      <c r="K251" s="7"/>
      <c r="L251" s="7" t="s">
        <v>171</v>
      </c>
      <c r="M251" s="7">
        <f t="shared" si="9"/>
        <v>0</v>
      </c>
      <c r="N251" s="6"/>
      <c r="O251" s="6"/>
      <c r="P251" s="6"/>
      <c r="Q251" s="6"/>
      <c r="R251" s="6"/>
      <c r="S251" s="6"/>
      <c r="T251" s="6"/>
      <c r="U251" s="6"/>
      <c r="V251" s="6"/>
      <c r="W251" s="6"/>
      <c r="X251" s="6"/>
      <c r="Y251" s="6"/>
      <c r="Z251" s="6"/>
      <c r="AA251" s="6"/>
      <c r="AB251" s="6"/>
      <c r="AC251" s="6"/>
      <c r="AD251" s="6"/>
      <c r="AE251" s="6"/>
      <c r="AF251" s="6"/>
      <c r="AG251" s="6"/>
    </row>
    <row r="252" spans="1:33" x14ac:dyDescent="0.25">
      <c r="A252" s="157">
        <f t="shared" si="8"/>
        <v>251</v>
      </c>
      <c r="B252" s="519" t="s">
        <v>4291</v>
      </c>
      <c r="C252" s="519" t="s">
        <v>4291</v>
      </c>
      <c r="D252" s="520" t="s">
        <v>5536</v>
      </c>
      <c r="E252" s="6"/>
      <c r="F252" s="7"/>
      <c r="G252" s="7" t="s">
        <v>623</v>
      </c>
      <c r="H252" s="7"/>
      <c r="I252" s="7" t="s">
        <v>3995</v>
      </c>
      <c r="J252" s="7" t="s">
        <v>5264</v>
      </c>
      <c r="K252" s="7"/>
      <c r="L252" s="7" t="s">
        <v>171</v>
      </c>
      <c r="M252" s="7">
        <f t="shared" si="9"/>
        <v>0</v>
      </c>
      <c r="N252" s="6"/>
      <c r="O252" s="6"/>
      <c r="P252" s="6"/>
      <c r="Q252" s="6"/>
      <c r="R252" s="6"/>
      <c r="S252" s="6"/>
      <c r="T252" s="6"/>
      <c r="U252" s="6"/>
      <c r="V252" s="6"/>
      <c r="W252" s="6"/>
      <c r="X252" s="6"/>
      <c r="Y252" s="6"/>
      <c r="Z252" s="6"/>
      <c r="AA252" s="6"/>
      <c r="AB252" s="6"/>
      <c r="AC252" s="6"/>
      <c r="AD252" s="6"/>
      <c r="AE252" s="6"/>
      <c r="AF252" s="6"/>
      <c r="AG252" s="6"/>
    </row>
    <row r="253" spans="1:33" x14ac:dyDescent="0.25">
      <c r="A253" s="157">
        <f t="shared" si="8"/>
        <v>252</v>
      </c>
      <c r="B253" s="519" t="s">
        <v>4292</v>
      </c>
      <c r="C253" s="519" t="s">
        <v>4292</v>
      </c>
      <c r="D253" s="520" t="s">
        <v>5537</v>
      </c>
      <c r="E253" s="6"/>
      <c r="F253" s="7"/>
      <c r="G253" s="7" t="s">
        <v>623</v>
      </c>
      <c r="H253" s="7"/>
      <c r="I253" s="7" t="s">
        <v>3995</v>
      </c>
      <c r="J253" s="7" t="s">
        <v>5265</v>
      </c>
      <c r="K253" s="7"/>
      <c r="L253" s="7" t="s">
        <v>171</v>
      </c>
      <c r="M253" s="7">
        <f t="shared" si="9"/>
        <v>0</v>
      </c>
      <c r="N253" s="6"/>
      <c r="O253" s="6"/>
      <c r="P253" s="6"/>
      <c r="Q253" s="6"/>
      <c r="R253" s="6"/>
      <c r="S253" s="6"/>
      <c r="T253" s="6"/>
      <c r="U253" s="6"/>
      <c r="V253" s="6"/>
      <c r="W253" s="6"/>
      <c r="X253" s="6"/>
      <c r="Y253" s="6"/>
      <c r="Z253" s="6"/>
      <c r="AA253" s="6"/>
      <c r="AB253" s="6"/>
      <c r="AC253" s="6"/>
      <c r="AD253" s="6"/>
      <c r="AE253" s="6"/>
      <c r="AF253" s="6"/>
      <c r="AG253" s="6"/>
    </row>
    <row r="254" spans="1:33" x14ac:dyDescent="0.25">
      <c r="A254" s="157">
        <f t="shared" si="8"/>
        <v>253</v>
      </c>
      <c r="B254" s="519" t="s">
        <v>4293</v>
      </c>
      <c r="C254" s="519" t="s">
        <v>4293</v>
      </c>
      <c r="D254" s="521" t="s">
        <v>5538</v>
      </c>
      <c r="E254" s="6"/>
      <c r="F254" s="7"/>
      <c r="G254" s="7" t="s">
        <v>623</v>
      </c>
      <c r="H254" s="7"/>
      <c r="I254" s="7" t="s">
        <v>3995</v>
      </c>
      <c r="J254" s="7" t="s">
        <v>5266</v>
      </c>
      <c r="K254" s="7"/>
      <c r="L254" s="7" t="s">
        <v>171</v>
      </c>
      <c r="M254" s="7">
        <f t="shared" si="9"/>
        <v>0</v>
      </c>
      <c r="N254" s="6"/>
      <c r="O254" s="6"/>
      <c r="P254" s="6"/>
      <c r="Q254" s="6"/>
      <c r="R254" s="6"/>
      <c r="S254" s="6"/>
      <c r="T254" s="6"/>
      <c r="U254" s="6"/>
      <c r="V254" s="6"/>
      <c r="W254" s="6"/>
      <c r="X254" s="6"/>
      <c r="Y254" s="6"/>
      <c r="Z254" s="6"/>
      <c r="AA254" s="6"/>
      <c r="AB254" s="6"/>
      <c r="AC254" s="6"/>
      <c r="AD254" s="6"/>
      <c r="AE254" s="6"/>
      <c r="AF254" s="6"/>
      <c r="AG254" s="6"/>
    </row>
    <row r="255" spans="1:33" x14ac:dyDescent="0.25">
      <c r="A255" s="157">
        <f t="shared" si="8"/>
        <v>254</v>
      </c>
      <c r="B255" s="519" t="s">
        <v>4294</v>
      </c>
      <c r="C255" s="519" t="s">
        <v>4294</v>
      </c>
      <c r="D255" s="520" t="s">
        <v>5794</v>
      </c>
      <c r="E255" s="6"/>
      <c r="F255" s="7"/>
      <c r="G255" s="7" t="s">
        <v>623</v>
      </c>
      <c r="H255" s="7"/>
      <c r="I255" s="7" t="s">
        <v>3994</v>
      </c>
      <c r="J255" s="7" t="s">
        <v>5263</v>
      </c>
      <c r="K255" s="7"/>
      <c r="L255" s="7" t="s">
        <v>171</v>
      </c>
      <c r="M255" s="7">
        <f t="shared" si="9"/>
        <v>0</v>
      </c>
      <c r="N255" s="6"/>
      <c r="O255" s="6"/>
      <c r="P255" s="6"/>
      <c r="Q255" s="6"/>
      <c r="R255" s="6"/>
      <c r="S255" s="6"/>
      <c r="T255" s="6"/>
      <c r="U255" s="6"/>
      <c r="V255" s="6"/>
      <c r="W255" s="6"/>
      <c r="X255" s="6"/>
      <c r="Y255" s="6"/>
      <c r="Z255" s="6"/>
      <c r="AA255" s="6"/>
      <c r="AB255" s="6"/>
      <c r="AC255" s="6"/>
      <c r="AD255" s="6"/>
      <c r="AE255" s="6"/>
      <c r="AF255" s="6"/>
      <c r="AG255" s="6"/>
    </row>
    <row r="256" spans="1:33" x14ac:dyDescent="0.25">
      <c r="A256" s="157">
        <f t="shared" si="8"/>
        <v>255</v>
      </c>
      <c r="B256" s="519" t="s">
        <v>4295</v>
      </c>
      <c r="C256" s="519" t="s">
        <v>4295</v>
      </c>
      <c r="D256" s="520" t="s">
        <v>5795</v>
      </c>
      <c r="E256" s="6"/>
      <c r="F256" s="7"/>
      <c r="G256" s="7" t="s">
        <v>1113</v>
      </c>
      <c r="H256" s="7"/>
      <c r="I256" s="7" t="s">
        <v>4017</v>
      </c>
      <c r="J256" s="7" t="s">
        <v>5307</v>
      </c>
      <c r="K256" s="7"/>
      <c r="L256" s="7" t="s">
        <v>171</v>
      </c>
      <c r="M256" s="7">
        <f t="shared" si="9"/>
        <v>0</v>
      </c>
      <c r="N256" s="6"/>
      <c r="O256" s="6"/>
      <c r="P256" s="6"/>
      <c r="Q256" s="6"/>
      <c r="R256" s="6"/>
      <c r="S256" s="6"/>
      <c r="T256" s="6"/>
      <c r="U256" s="6"/>
      <c r="V256" s="6"/>
      <c r="W256" s="6"/>
      <c r="X256" s="6"/>
      <c r="Y256" s="6"/>
      <c r="Z256" s="6"/>
      <c r="AA256" s="6"/>
      <c r="AB256" s="6"/>
      <c r="AC256" s="6"/>
      <c r="AD256" s="6"/>
      <c r="AE256" s="6"/>
      <c r="AF256" s="6"/>
      <c r="AG256" s="6"/>
    </row>
    <row r="257" spans="1:33" x14ac:dyDescent="0.25">
      <c r="A257" s="157">
        <f t="shared" si="8"/>
        <v>256</v>
      </c>
      <c r="B257" s="519" t="s">
        <v>4296</v>
      </c>
      <c r="C257" s="519" t="s">
        <v>4296</v>
      </c>
      <c r="D257" s="520" t="s">
        <v>5796</v>
      </c>
      <c r="E257" s="6"/>
      <c r="F257" s="7"/>
      <c r="G257" s="7" t="s">
        <v>1113</v>
      </c>
      <c r="H257" s="7"/>
      <c r="I257" s="7" t="s">
        <v>4017</v>
      </c>
      <c r="J257" s="7" t="s">
        <v>5308</v>
      </c>
      <c r="K257" s="7"/>
      <c r="L257" s="7" t="s">
        <v>171</v>
      </c>
      <c r="M257" s="7">
        <f t="shared" si="9"/>
        <v>0</v>
      </c>
      <c r="N257" s="6"/>
      <c r="O257" s="6"/>
      <c r="P257" s="6"/>
      <c r="Q257" s="6"/>
      <c r="R257" s="6"/>
      <c r="S257" s="6"/>
      <c r="T257" s="6"/>
      <c r="U257" s="6"/>
      <c r="V257" s="6"/>
      <c r="W257" s="6"/>
      <c r="X257" s="6"/>
      <c r="Y257" s="6"/>
      <c r="Z257" s="6"/>
      <c r="AA257" s="6"/>
      <c r="AB257" s="6"/>
      <c r="AC257" s="6"/>
      <c r="AD257" s="6"/>
      <c r="AE257" s="6"/>
      <c r="AF257" s="6"/>
      <c r="AG257" s="6"/>
    </row>
    <row r="258" spans="1:33" x14ac:dyDescent="0.25">
      <c r="A258" s="157">
        <f t="shared" si="8"/>
        <v>257</v>
      </c>
      <c r="B258" s="519" t="s">
        <v>4297</v>
      </c>
      <c r="C258" s="519" t="s">
        <v>4297</v>
      </c>
      <c r="D258" s="520" t="s">
        <v>5797</v>
      </c>
      <c r="E258" s="6"/>
      <c r="F258" s="7"/>
      <c r="G258" s="7" t="s">
        <v>1113</v>
      </c>
      <c r="H258" s="7"/>
      <c r="I258" s="7" t="s">
        <v>4017</v>
      </c>
      <c r="J258" s="7" t="s">
        <v>5309</v>
      </c>
      <c r="K258" s="7"/>
      <c r="L258" s="7" t="s">
        <v>171</v>
      </c>
      <c r="M258" s="7">
        <f t="shared" si="9"/>
        <v>0</v>
      </c>
      <c r="N258" s="6"/>
      <c r="O258" s="6"/>
      <c r="P258" s="6"/>
      <c r="Q258" s="6"/>
      <c r="R258" s="6"/>
      <c r="S258" s="6"/>
      <c r="T258" s="6"/>
      <c r="U258" s="6"/>
      <c r="V258" s="6"/>
      <c r="W258" s="6"/>
      <c r="X258" s="6"/>
      <c r="Y258" s="6"/>
      <c r="Z258" s="6"/>
      <c r="AA258" s="6"/>
      <c r="AB258" s="6"/>
      <c r="AC258" s="6"/>
      <c r="AD258" s="6"/>
      <c r="AE258" s="6"/>
      <c r="AF258" s="6"/>
      <c r="AG258" s="6"/>
    </row>
    <row r="259" spans="1:33" x14ac:dyDescent="0.25">
      <c r="A259" s="157">
        <f t="shared" ref="A259:A322" si="10">IF(B259="","",1+A258)</f>
        <v>258</v>
      </c>
      <c r="B259" s="519" t="s">
        <v>4298</v>
      </c>
      <c r="C259" s="519" t="s">
        <v>4298</v>
      </c>
      <c r="D259" s="521" t="s">
        <v>5710</v>
      </c>
      <c r="E259" s="6"/>
      <c r="F259" s="7"/>
      <c r="G259" s="7" t="s">
        <v>1113</v>
      </c>
      <c r="H259" s="7"/>
      <c r="I259" s="7" t="s">
        <v>4017</v>
      </c>
      <c r="J259" s="7" t="s">
        <v>5310</v>
      </c>
      <c r="K259" s="7"/>
      <c r="L259" s="7" t="s">
        <v>171</v>
      </c>
      <c r="M259" s="7">
        <f t="shared" ref="M259:M322" si="11">COUNTA(N259:AG259)</f>
        <v>0</v>
      </c>
      <c r="N259" s="6"/>
      <c r="O259" s="6"/>
      <c r="P259" s="6"/>
      <c r="Q259" s="6"/>
      <c r="R259" s="6"/>
      <c r="S259" s="6"/>
      <c r="T259" s="6"/>
      <c r="U259" s="6"/>
      <c r="V259" s="6"/>
      <c r="W259" s="6"/>
      <c r="X259" s="6"/>
      <c r="Y259" s="6"/>
      <c r="Z259" s="6"/>
      <c r="AA259" s="6"/>
      <c r="AB259" s="6"/>
      <c r="AC259" s="6"/>
      <c r="AD259" s="6"/>
      <c r="AE259" s="6"/>
      <c r="AF259" s="6"/>
      <c r="AG259" s="6"/>
    </row>
    <row r="260" spans="1:33" x14ac:dyDescent="0.25">
      <c r="A260" s="157">
        <f t="shared" si="10"/>
        <v>259</v>
      </c>
      <c r="B260" s="519" t="s">
        <v>4299</v>
      </c>
      <c r="C260" s="519" t="s">
        <v>4299</v>
      </c>
      <c r="D260" s="520" t="s">
        <v>5798</v>
      </c>
      <c r="E260" s="6"/>
      <c r="F260" s="7"/>
      <c r="G260" s="7" t="s">
        <v>1113</v>
      </c>
      <c r="H260" s="7"/>
      <c r="I260" s="7" t="s">
        <v>4017</v>
      </c>
      <c r="J260" s="7" t="s">
        <v>5311</v>
      </c>
      <c r="K260" s="7"/>
      <c r="L260" s="7" t="s">
        <v>171</v>
      </c>
      <c r="M260" s="7">
        <f t="shared" si="11"/>
        <v>0</v>
      </c>
      <c r="N260" s="6"/>
      <c r="O260" s="6"/>
      <c r="P260" s="6"/>
      <c r="Q260" s="6"/>
      <c r="R260" s="6"/>
      <c r="S260" s="6"/>
      <c r="T260" s="6"/>
      <c r="U260" s="6"/>
      <c r="V260" s="6"/>
      <c r="W260" s="6"/>
      <c r="X260" s="6"/>
      <c r="Y260" s="6"/>
      <c r="Z260" s="6"/>
      <c r="AA260" s="6"/>
      <c r="AB260" s="6"/>
      <c r="AC260" s="6"/>
      <c r="AD260" s="6"/>
      <c r="AE260" s="6"/>
      <c r="AF260" s="6"/>
      <c r="AG260" s="6"/>
    </row>
    <row r="261" spans="1:33" x14ac:dyDescent="0.25">
      <c r="A261" s="157">
        <f t="shared" si="10"/>
        <v>260</v>
      </c>
      <c r="B261" s="519" t="s">
        <v>4300</v>
      </c>
      <c r="C261" s="519" t="s">
        <v>4300</v>
      </c>
      <c r="D261" s="520" t="s">
        <v>5799</v>
      </c>
      <c r="E261" s="6"/>
      <c r="F261" s="7"/>
      <c r="G261" s="7" t="s">
        <v>1113</v>
      </c>
      <c r="H261" s="7"/>
      <c r="I261" s="7" t="s">
        <v>4018</v>
      </c>
      <c r="J261" s="7" t="s">
        <v>5307</v>
      </c>
      <c r="K261" s="7"/>
      <c r="L261" s="7" t="s">
        <v>171</v>
      </c>
      <c r="M261" s="7">
        <f t="shared" si="11"/>
        <v>0</v>
      </c>
      <c r="N261" s="6"/>
      <c r="O261" s="6"/>
      <c r="P261" s="6"/>
      <c r="Q261" s="6"/>
      <c r="R261" s="6"/>
      <c r="S261" s="6"/>
      <c r="T261" s="6"/>
      <c r="U261" s="6"/>
      <c r="V261" s="6"/>
      <c r="W261" s="6"/>
      <c r="X261" s="6"/>
      <c r="Y261" s="6"/>
      <c r="Z261" s="6"/>
      <c r="AA261" s="6"/>
      <c r="AB261" s="6"/>
      <c r="AC261" s="6"/>
      <c r="AD261" s="6"/>
      <c r="AE261" s="6"/>
      <c r="AF261" s="6"/>
      <c r="AG261" s="6"/>
    </row>
    <row r="262" spans="1:33" x14ac:dyDescent="0.25">
      <c r="A262" s="157">
        <f t="shared" si="10"/>
        <v>261</v>
      </c>
      <c r="B262" s="519" t="s">
        <v>4301</v>
      </c>
      <c r="C262" s="519" t="s">
        <v>4301</v>
      </c>
      <c r="D262" s="520" t="s">
        <v>5800</v>
      </c>
      <c r="E262" s="6"/>
      <c r="F262" s="7"/>
      <c r="G262" s="7" t="s">
        <v>1113</v>
      </c>
      <c r="H262" s="7"/>
      <c r="I262" s="7" t="s">
        <v>4018</v>
      </c>
      <c r="J262" s="7" t="s">
        <v>5308</v>
      </c>
      <c r="K262" s="7"/>
      <c r="L262" s="7" t="s">
        <v>171</v>
      </c>
      <c r="M262" s="7">
        <f t="shared" si="11"/>
        <v>0</v>
      </c>
      <c r="N262" s="6"/>
      <c r="O262" s="6"/>
      <c r="P262" s="6"/>
      <c r="Q262" s="6"/>
      <c r="R262" s="6"/>
      <c r="S262" s="6"/>
      <c r="T262" s="6"/>
      <c r="U262" s="6"/>
      <c r="V262" s="6"/>
      <c r="W262" s="6"/>
      <c r="X262" s="6"/>
      <c r="Y262" s="6"/>
      <c r="Z262" s="6"/>
      <c r="AA262" s="6"/>
      <c r="AB262" s="6"/>
      <c r="AC262" s="6"/>
      <c r="AD262" s="6"/>
      <c r="AE262" s="6"/>
      <c r="AF262" s="6"/>
      <c r="AG262" s="6"/>
    </row>
    <row r="263" spans="1:33" x14ac:dyDescent="0.25">
      <c r="A263" s="157">
        <f t="shared" si="10"/>
        <v>262</v>
      </c>
      <c r="B263" s="519" t="s">
        <v>4302</v>
      </c>
      <c r="C263" s="519" t="s">
        <v>4302</v>
      </c>
      <c r="D263" s="520" t="s">
        <v>5801</v>
      </c>
      <c r="E263" s="6"/>
      <c r="F263" s="7"/>
      <c r="G263" s="7" t="s">
        <v>1113</v>
      </c>
      <c r="H263" s="7"/>
      <c r="I263" s="7" t="s">
        <v>4018</v>
      </c>
      <c r="J263" s="7" t="s">
        <v>5309</v>
      </c>
      <c r="K263" s="7"/>
      <c r="L263" s="7" t="s">
        <v>171</v>
      </c>
      <c r="M263" s="7">
        <f t="shared" si="11"/>
        <v>0</v>
      </c>
      <c r="N263" s="6"/>
      <c r="O263" s="6"/>
      <c r="P263" s="6"/>
      <c r="Q263" s="6"/>
      <c r="R263" s="6"/>
      <c r="S263" s="6"/>
      <c r="T263" s="6"/>
      <c r="U263" s="6"/>
      <c r="V263" s="6"/>
      <c r="W263" s="6"/>
      <c r="X263" s="6"/>
      <c r="Y263" s="6"/>
      <c r="Z263" s="6"/>
      <c r="AA263" s="6"/>
      <c r="AB263" s="6"/>
      <c r="AC263" s="6"/>
      <c r="AD263" s="6"/>
      <c r="AE263" s="6"/>
      <c r="AF263" s="6"/>
      <c r="AG263" s="6"/>
    </row>
    <row r="264" spans="1:33" x14ac:dyDescent="0.25">
      <c r="A264" s="157">
        <f t="shared" si="10"/>
        <v>263</v>
      </c>
      <c r="B264" s="519" t="s">
        <v>4303</v>
      </c>
      <c r="C264" s="519" t="s">
        <v>4303</v>
      </c>
      <c r="D264" s="520" t="s">
        <v>5802</v>
      </c>
      <c r="E264" s="6"/>
      <c r="F264" s="7"/>
      <c r="G264" s="7" t="s">
        <v>1113</v>
      </c>
      <c r="H264" s="7"/>
      <c r="I264" s="7" t="s">
        <v>4018</v>
      </c>
      <c r="J264" s="7" t="s">
        <v>5310</v>
      </c>
      <c r="K264" s="7"/>
      <c r="L264" s="7" t="s">
        <v>171</v>
      </c>
      <c r="M264" s="7">
        <f t="shared" si="11"/>
        <v>0</v>
      </c>
      <c r="N264" s="6"/>
      <c r="O264" s="6"/>
      <c r="P264" s="6"/>
      <c r="Q264" s="6"/>
      <c r="R264" s="6"/>
      <c r="S264" s="6"/>
      <c r="T264" s="6"/>
      <c r="U264" s="6"/>
      <c r="V264" s="6"/>
      <c r="W264" s="6"/>
      <c r="X264" s="6"/>
      <c r="Y264" s="6"/>
      <c r="Z264" s="6"/>
      <c r="AA264" s="6"/>
      <c r="AB264" s="6"/>
      <c r="AC264" s="6"/>
      <c r="AD264" s="6"/>
      <c r="AE264" s="6"/>
      <c r="AF264" s="6"/>
      <c r="AG264" s="6"/>
    </row>
    <row r="265" spans="1:33" x14ac:dyDescent="0.25">
      <c r="A265" s="157">
        <f t="shared" si="10"/>
        <v>264</v>
      </c>
      <c r="B265" s="519" t="s">
        <v>4304</v>
      </c>
      <c r="C265" s="519" t="s">
        <v>4304</v>
      </c>
      <c r="D265" s="520" t="s">
        <v>5803</v>
      </c>
      <c r="E265" s="6"/>
      <c r="F265" s="7"/>
      <c r="G265" s="7" t="s">
        <v>1113</v>
      </c>
      <c r="H265" s="7"/>
      <c r="I265" s="7" t="s">
        <v>4018</v>
      </c>
      <c r="J265" s="7" t="s">
        <v>5311</v>
      </c>
      <c r="K265" s="7"/>
      <c r="L265" s="7" t="s">
        <v>171</v>
      </c>
      <c r="M265" s="7">
        <f t="shared" si="11"/>
        <v>0</v>
      </c>
      <c r="N265" s="6"/>
      <c r="O265" s="6"/>
      <c r="P265" s="6"/>
      <c r="Q265" s="6"/>
      <c r="R265" s="6"/>
      <c r="S265" s="6"/>
      <c r="T265" s="6"/>
      <c r="U265" s="6"/>
      <c r="V265" s="6"/>
      <c r="W265" s="6"/>
      <c r="X265" s="6"/>
      <c r="Y265" s="6"/>
      <c r="Z265" s="6"/>
      <c r="AA265" s="6"/>
      <c r="AB265" s="6"/>
      <c r="AC265" s="6"/>
      <c r="AD265" s="6"/>
      <c r="AE265" s="6"/>
      <c r="AF265" s="6"/>
      <c r="AG265" s="6"/>
    </row>
    <row r="266" spans="1:33" x14ac:dyDescent="0.25">
      <c r="A266" s="157">
        <f t="shared" si="10"/>
        <v>265</v>
      </c>
      <c r="B266" s="519" t="s">
        <v>4305</v>
      </c>
      <c r="C266" s="519" t="s">
        <v>4305</v>
      </c>
      <c r="D266" s="525" t="s">
        <v>3857</v>
      </c>
      <c r="E266" s="6"/>
      <c r="F266" s="7"/>
      <c r="G266" s="7" t="s">
        <v>1113</v>
      </c>
      <c r="H266" s="7"/>
      <c r="I266" s="7" t="s">
        <v>4019</v>
      </c>
      <c r="J266" s="7" t="s">
        <v>5307</v>
      </c>
      <c r="K266" s="7"/>
      <c r="L266" s="7" t="s">
        <v>171</v>
      </c>
      <c r="M266" s="7">
        <f t="shared" si="11"/>
        <v>0</v>
      </c>
      <c r="N266" s="6"/>
      <c r="O266" s="6"/>
      <c r="P266" s="6"/>
      <c r="Q266" s="6"/>
      <c r="R266" s="6"/>
      <c r="S266" s="6"/>
      <c r="T266" s="6"/>
      <c r="U266" s="6"/>
      <c r="V266" s="6"/>
      <c r="W266" s="6"/>
      <c r="X266" s="6"/>
      <c r="Y266" s="6"/>
      <c r="Z266" s="6"/>
      <c r="AA266" s="6"/>
      <c r="AB266" s="6"/>
      <c r="AC266" s="6"/>
      <c r="AD266" s="6"/>
      <c r="AE266" s="6"/>
      <c r="AF266" s="6"/>
      <c r="AG266" s="6"/>
    </row>
    <row r="267" spans="1:33" x14ac:dyDescent="0.25">
      <c r="A267" s="157">
        <f t="shared" si="10"/>
        <v>266</v>
      </c>
      <c r="B267" s="519" t="s">
        <v>4306</v>
      </c>
      <c r="C267" s="519" t="s">
        <v>4306</v>
      </c>
      <c r="D267" s="525" t="s">
        <v>3857</v>
      </c>
      <c r="E267" s="6"/>
      <c r="F267" s="7"/>
      <c r="G267" s="7" t="s">
        <v>1113</v>
      </c>
      <c r="H267" s="7"/>
      <c r="I267" s="7" t="s">
        <v>4019</v>
      </c>
      <c r="J267" s="7" t="s">
        <v>5308</v>
      </c>
      <c r="K267" s="7"/>
      <c r="L267" s="7" t="s">
        <v>171</v>
      </c>
      <c r="M267" s="7">
        <f t="shared" si="11"/>
        <v>0</v>
      </c>
      <c r="N267" s="6"/>
      <c r="O267" s="6"/>
      <c r="P267" s="6"/>
      <c r="Q267" s="6"/>
      <c r="R267" s="6"/>
      <c r="S267" s="6"/>
      <c r="T267" s="6"/>
      <c r="U267" s="6"/>
      <c r="V267" s="6"/>
      <c r="W267" s="6"/>
      <c r="X267" s="6"/>
      <c r="Y267" s="6"/>
      <c r="Z267" s="6"/>
      <c r="AA267" s="6"/>
      <c r="AB267" s="6"/>
      <c r="AC267" s="6"/>
      <c r="AD267" s="6"/>
      <c r="AE267" s="6"/>
      <c r="AF267" s="6"/>
      <c r="AG267" s="6"/>
    </row>
    <row r="268" spans="1:33" x14ac:dyDescent="0.25">
      <c r="A268" s="157">
        <f t="shared" si="10"/>
        <v>267</v>
      </c>
      <c r="B268" s="519" t="s">
        <v>4307</v>
      </c>
      <c r="C268" s="519" t="s">
        <v>4307</v>
      </c>
      <c r="D268" s="525" t="s">
        <v>3857</v>
      </c>
      <c r="E268" s="6"/>
      <c r="F268" s="7"/>
      <c r="G268" s="7" t="s">
        <v>1113</v>
      </c>
      <c r="H268" s="7"/>
      <c r="I268" s="7" t="s">
        <v>4019</v>
      </c>
      <c r="J268" s="7" t="s">
        <v>5309</v>
      </c>
      <c r="K268" s="7"/>
      <c r="L268" s="7" t="s">
        <v>171</v>
      </c>
      <c r="M268" s="7">
        <f t="shared" si="11"/>
        <v>0</v>
      </c>
      <c r="N268" s="6"/>
      <c r="O268" s="6"/>
      <c r="P268" s="6"/>
      <c r="Q268" s="6"/>
      <c r="R268" s="6"/>
      <c r="S268" s="6"/>
      <c r="T268" s="6"/>
      <c r="U268" s="6"/>
      <c r="V268" s="6"/>
      <c r="W268" s="6"/>
      <c r="X268" s="6"/>
      <c r="Y268" s="6"/>
      <c r="Z268" s="6"/>
      <c r="AA268" s="6"/>
      <c r="AB268" s="6"/>
      <c r="AC268" s="6"/>
      <c r="AD268" s="6"/>
      <c r="AE268" s="6"/>
      <c r="AF268" s="6"/>
      <c r="AG268" s="6"/>
    </row>
    <row r="269" spans="1:33" x14ac:dyDescent="0.25">
      <c r="A269" s="157">
        <f t="shared" si="10"/>
        <v>268</v>
      </c>
      <c r="B269" s="519" t="s">
        <v>4308</v>
      </c>
      <c r="C269" s="519" t="s">
        <v>4308</v>
      </c>
      <c r="D269" s="525" t="s">
        <v>3857</v>
      </c>
      <c r="E269" s="6"/>
      <c r="F269" s="7"/>
      <c r="G269" s="7" t="s">
        <v>1113</v>
      </c>
      <c r="H269" s="7"/>
      <c r="I269" s="7" t="s">
        <v>4019</v>
      </c>
      <c r="J269" s="7" t="s">
        <v>5310</v>
      </c>
      <c r="K269" s="7"/>
      <c r="L269" s="7" t="s">
        <v>171</v>
      </c>
      <c r="M269" s="7">
        <f t="shared" si="11"/>
        <v>0</v>
      </c>
      <c r="N269" s="6"/>
      <c r="O269" s="6"/>
      <c r="P269" s="6"/>
      <c r="Q269" s="6"/>
      <c r="R269" s="6"/>
      <c r="S269" s="6"/>
      <c r="T269" s="6"/>
      <c r="U269" s="6"/>
      <c r="V269" s="6"/>
      <c r="W269" s="6"/>
      <c r="X269" s="6"/>
      <c r="Y269" s="6"/>
      <c r="Z269" s="6"/>
      <c r="AA269" s="6"/>
      <c r="AB269" s="6"/>
      <c r="AC269" s="6"/>
      <c r="AD269" s="6"/>
      <c r="AE269" s="6"/>
      <c r="AF269" s="6"/>
      <c r="AG269" s="6"/>
    </row>
    <row r="270" spans="1:33" x14ac:dyDescent="0.25">
      <c r="A270" s="157">
        <f t="shared" si="10"/>
        <v>269</v>
      </c>
      <c r="B270" s="519" t="s">
        <v>4309</v>
      </c>
      <c r="C270" s="519" t="s">
        <v>4309</v>
      </c>
      <c r="D270" s="525" t="s">
        <v>3857</v>
      </c>
      <c r="E270" s="6"/>
      <c r="F270" s="7"/>
      <c r="G270" s="7" t="s">
        <v>1113</v>
      </c>
      <c r="H270" s="7"/>
      <c r="I270" s="7" t="s">
        <v>4019</v>
      </c>
      <c r="J270" s="7" t="s">
        <v>5311</v>
      </c>
      <c r="K270" s="7"/>
      <c r="L270" s="7" t="s">
        <v>171</v>
      </c>
      <c r="M270" s="7">
        <f t="shared" si="11"/>
        <v>0</v>
      </c>
      <c r="N270" s="6"/>
      <c r="O270" s="6"/>
      <c r="P270" s="6"/>
      <c r="Q270" s="6"/>
      <c r="R270" s="6"/>
      <c r="S270" s="6"/>
      <c r="T270" s="6"/>
      <c r="U270" s="6"/>
      <c r="V270" s="6"/>
      <c r="W270" s="6"/>
      <c r="X270" s="6"/>
      <c r="Y270" s="6"/>
      <c r="Z270" s="6"/>
      <c r="AA270" s="6"/>
      <c r="AB270" s="6"/>
      <c r="AC270" s="6"/>
      <c r="AD270" s="6"/>
      <c r="AE270" s="6"/>
      <c r="AF270" s="6"/>
      <c r="AG270" s="6"/>
    </row>
    <row r="271" spans="1:33" x14ac:dyDescent="0.25">
      <c r="A271" s="157">
        <f t="shared" si="10"/>
        <v>270</v>
      </c>
      <c r="B271" s="519" t="s">
        <v>4310</v>
      </c>
      <c r="C271" s="519" t="s">
        <v>4310</v>
      </c>
      <c r="D271" s="525" t="s">
        <v>3857</v>
      </c>
      <c r="E271" s="6"/>
      <c r="F271" s="7"/>
      <c r="G271" s="7" t="s">
        <v>624</v>
      </c>
      <c r="H271" s="7"/>
      <c r="I271" s="7" t="s">
        <v>4012</v>
      </c>
      <c r="J271" s="7" t="s">
        <v>5298</v>
      </c>
      <c r="K271" s="7"/>
      <c r="L271" s="7" t="s">
        <v>171</v>
      </c>
      <c r="M271" s="7">
        <f t="shared" si="11"/>
        <v>3</v>
      </c>
      <c r="N271" s="6" t="s">
        <v>4496</v>
      </c>
      <c r="O271" s="6" t="s">
        <v>4497</v>
      </c>
      <c r="P271" s="6" t="s">
        <v>4498</v>
      </c>
      <c r="Q271" s="6"/>
      <c r="R271" s="6"/>
      <c r="S271" s="6"/>
      <c r="T271" s="6"/>
      <c r="U271" s="6"/>
      <c r="V271" s="6"/>
      <c r="W271" s="6"/>
      <c r="X271" s="6"/>
      <c r="Y271" s="6"/>
      <c r="Z271" s="6"/>
      <c r="AA271" s="6"/>
      <c r="AB271" s="6"/>
      <c r="AC271" s="6"/>
      <c r="AD271" s="6"/>
      <c r="AE271" s="6"/>
      <c r="AF271" s="6"/>
      <c r="AG271" s="6"/>
    </row>
    <row r="272" spans="1:33" x14ac:dyDescent="0.25">
      <c r="A272" s="157">
        <f t="shared" si="10"/>
        <v>271</v>
      </c>
      <c r="B272" s="519" t="s">
        <v>4311</v>
      </c>
      <c r="C272" s="519" t="s">
        <v>4311</v>
      </c>
      <c r="D272" s="525" t="s">
        <v>3857</v>
      </c>
      <c r="E272" s="6"/>
      <c r="F272" s="7"/>
      <c r="G272" s="7" t="s">
        <v>624</v>
      </c>
      <c r="H272" s="7"/>
      <c r="I272" s="7" t="s">
        <v>4012</v>
      </c>
      <c r="J272" s="7" t="s">
        <v>5299</v>
      </c>
      <c r="K272" s="7"/>
      <c r="L272" s="7" t="s">
        <v>171</v>
      </c>
      <c r="M272" s="7">
        <f t="shared" si="11"/>
        <v>3</v>
      </c>
      <c r="N272" s="6" t="s">
        <v>4499</v>
      </c>
      <c r="O272" s="6" t="s">
        <v>4500</v>
      </c>
      <c r="P272" s="6" t="s">
        <v>4501</v>
      </c>
      <c r="Q272" s="6"/>
      <c r="R272" s="6"/>
      <c r="S272" s="6"/>
      <c r="T272" s="6"/>
      <c r="U272" s="6"/>
      <c r="V272" s="6"/>
      <c r="W272" s="6"/>
      <c r="X272" s="6"/>
      <c r="Y272" s="6"/>
      <c r="Z272" s="6"/>
      <c r="AA272" s="6"/>
      <c r="AB272" s="6"/>
      <c r="AC272" s="6"/>
      <c r="AD272" s="6"/>
      <c r="AE272" s="6"/>
      <c r="AF272" s="6"/>
      <c r="AG272" s="6"/>
    </row>
    <row r="273" spans="1:33" x14ac:dyDescent="0.25">
      <c r="A273" s="157">
        <f t="shared" si="10"/>
        <v>272</v>
      </c>
      <c r="B273" s="519" t="s">
        <v>4312</v>
      </c>
      <c r="C273" s="519" t="s">
        <v>4312</v>
      </c>
      <c r="D273" s="525" t="s">
        <v>3857</v>
      </c>
      <c r="E273" s="6"/>
      <c r="F273" s="7"/>
      <c r="G273" s="7" t="s">
        <v>624</v>
      </c>
      <c r="H273" s="7"/>
      <c r="I273" s="7" t="s">
        <v>4012</v>
      </c>
      <c r="J273" s="7" t="s">
        <v>5300</v>
      </c>
      <c r="K273" s="7"/>
      <c r="L273" s="7" t="s">
        <v>171</v>
      </c>
      <c r="M273" s="7">
        <f t="shared" si="11"/>
        <v>2</v>
      </c>
      <c r="N273" s="6" t="s">
        <v>4502</v>
      </c>
      <c r="O273" s="6" t="s">
        <v>4503</v>
      </c>
      <c r="P273" s="6"/>
      <c r="Q273" s="6"/>
      <c r="R273" s="6"/>
      <c r="S273" s="6"/>
      <c r="T273" s="6"/>
      <c r="U273" s="6"/>
      <c r="V273" s="6"/>
      <c r="W273" s="6"/>
      <c r="X273" s="6"/>
      <c r="Y273" s="6"/>
      <c r="Z273" s="6"/>
      <c r="AA273" s="6"/>
      <c r="AB273" s="6"/>
      <c r="AC273" s="6"/>
      <c r="AD273" s="6"/>
      <c r="AE273" s="6"/>
      <c r="AF273" s="6"/>
      <c r="AG273" s="6"/>
    </row>
    <row r="274" spans="1:33" x14ac:dyDescent="0.25">
      <c r="A274" s="157">
        <f t="shared" si="10"/>
        <v>273</v>
      </c>
      <c r="B274" s="519" t="s">
        <v>4313</v>
      </c>
      <c r="C274" s="519" t="s">
        <v>4313</v>
      </c>
      <c r="D274" s="525" t="s">
        <v>3857</v>
      </c>
      <c r="E274" s="6"/>
      <c r="F274" s="7"/>
      <c r="G274" s="7" t="s">
        <v>624</v>
      </c>
      <c r="H274" s="7"/>
      <c r="I274" s="7" t="s">
        <v>4012</v>
      </c>
      <c r="J274" s="7" t="s">
        <v>5301</v>
      </c>
      <c r="K274" s="7"/>
      <c r="L274" s="7" t="s">
        <v>171</v>
      </c>
      <c r="M274" s="7">
        <f t="shared" si="11"/>
        <v>3</v>
      </c>
      <c r="N274" s="6" t="s">
        <v>3942</v>
      </c>
      <c r="O274" s="6" t="s">
        <v>4504</v>
      </c>
      <c r="P274" s="6" t="s">
        <v>3956</v>
      </c>
      <c r="Q274" s="6"/>
      <c r="R274" s="6"/>
      <c r="S274" s="6"/>
      <c r="T274" s="6"/>
      <c r="U274" s="6"/>
      <c r="V274" s="6"/>
      <c r="W274" s="6"/>
      <c r="X274" s="6"/>
      <c r="Y274" s="6"/>
      <c r="Z274" s="6"/>
      <c r="AA274" s="6"/>
      <c r="AB274" s="6"/>
      <c r="AC274" s="6"/>
      <c r="AD274" s="6"/>
      <c r="AE274" s="6"/>
      <c r="AF274" s="6"/>
      <c r="AG274" s="6"/>
    </row>
    <row r="275" spans="1:33" x14ac:dyDescent="0.25">
      <c r="A275" s="157">
        <f t="shared" si="10"/>
        <v>274</v>
      </c>
      <c r="B275" s="519" t="s">
        <v>4314</v>
      </c>
      <c r="C275" s="519" t="s">
        <v>4314</v>
      </c>
      <c r="D275" s="526" t="s">
        <v>5804</v>
      </c>
      <c r="E275" s="6"/>
      <c r="F275" s="7"/>
      <c r="G275" s="7" t="s">
        <v>624</v>
      </c>
      <c r="H275" s="7"/>
      <c r="I275" s="7" t="s">
        <v>4013</v>
      </c>
      <c r="J275" s="7" t="s">
        <v>5298</v>
      </c>
      <c r="K275" s="7"/>
      <c r="L275" s="7" t="s">
        <v>171</v>
      </c>
      <c r="M275" s="7">
        <f t="shared" si="11"/>
        <v>0</v>
      </c>
      <c r="N275" s="6"/>
      <c r="O275" s="6"/>
      <c r="P275" s="6"/>
      <c r="Q275" s="6"/>
      <c r="R275" s="6"/>
      <c r="S275" s="6"/>
      <c r="T275" s="6"/>
      <c r="U275" s="6"/>
      <c r="V275" s="6"/>
      <c r="W275" s="6"/>
      <c r="X275" s="6"/>
      <c r="Y275" s="6"/>
      <c r="Z275" s="6"/>
      <c r="AA275" s="6"/>
      <c r="AB275" s="6"/>
      <c r="AC275" s="6"/>
      <c r="AD275" s="6"/>
      <c r="AE275" s="6"/>
      <c r="AF275" s="6"/>
      <c r="AG275" s="6"/>
    </row>
    <row r="276" spans="1:33" x14ac:dyDescent="0.25">
      <c r="A276" s="157">
        <f t="shared" si="10"/>
        <v>275</v>
      </c>
      <c r="B276" s="519" t="s">
        <v>4315</v>
      </c>
      <c r="C276" s="519" t="s">
        <v>4315</v>
      </c>
      <c r="D276" s="520" t="s">
        <v>5587</v>
      </c>
      <c r="E276" s="6"/>
      <c r="F276" s="7"/>
      <c r="G276" s="7" t="s">
        <v>624</v>
      </c>
      <c r="H276" s="7"/>
      <c r="I276" s="7" t="s">
        <v>4013</v>
      </c>
      <c r="J276" s="7" t="s">
        <v>5299</v>
      </c>
      <c r="K276" s="7"/>
      <c r="L276" s="7" t="s">
        <v>171</v>
      </c>
      <c r="M276" s="7">
        <f t="shared" si="11"/>
        <v>0</v>
      </c>
      <c r="N276" s="6"/>
      <c r="O276" s="6"/>
      <c r="P276" s="6"/>
      <c r="Q276" s="6"/>
      <c r="R276" s="6"/>
      <c r="S276" s="6"/>
      <c r="T276" s="6"/>
      <c r="U276" s="6"/>
      <c r="V276" s="6"/>
      <c r="W276" s="6"/>
      <c r="X276" s="6"/>
      <c r="Y276" s="6"/>
      <c r="Z276" s="6"/>
      <c r="AA276" s="6"/>
      <c r="AB276" s="6"/>
      <c r="AC276" s="6"/>
      <c r="AD276" s="6"/>
      <c r="AE276" s="6"/>
      <c r="AF276" s="6"/>
      <c r="AG276" s="6"/>
    </row>
    <row r="277" spans="1:33" x14ac:dyDescent="0.25">
      <c r="A277" s="157">
        <f t="shared" si="10"/>
        <v>276</v>
      </c>
      <c r="B277" s="519" t="s">
        <v>4316</v>
      </c>
      <c r="C277" s="519" t="s">
        <v>4316</v>
      </c>
      <c r="D277" s="520" t="s">
        <v>5588</v>
      </c>
      <c r="E277" s="6"/>
      <c r="F277" s="7"/>
      <c r="G277" s="7" t="s">
        <v>624</v>
      </c>
      <c r="H277" s="7"/>
      <c r="I277" s="7" t="s">
        <v>4013</v>
      </c>
      <c r="J277" s="7" t="s">
        <v>5300</v>
      </c>
      <c r="K277" s="7"/>
      <c r="L277" s="7" t="s">
        <v>171</v>
      </c>
      <c r="M277" s="7">
        <f t="shared" si="11"/>
        <v>0</v>
      </c>
      <c r="N277" s="6"/>
      <c r="O277" s="6"/>
      <c r="P277" s="6"/>
      <c r="Q277" s="6"/>
      <c r="R277" s="6"/>
      <c r="S277" s="6"/>
      <c r="T277" s="6"/>
      <c r="U277" s="6"/>
      <c r="V277" s="6"/>
      <c r="W277" s="6"/>
      <c r="X277" s="6"/>
      <c r="Y277" s="6"/>
      <c r="Z277" s="6"/>
      <c r="AA277" s="6"/>
      <c r="AB277" s="6"/>
      <c r="AC277" s="6"/>
      <c r="AD277" s="6"/>
      <c r="AE277" s="6"/>
      <c r="AF277" s="6"/>
      <c r="AG277" s="6"/>
    </row>
    <row r="278" spans="1:33" x14ac:dyDescent="0.25">
      <c r="A278" s="157">
        <f t="shared" si="10"/>
        <v>277</v>
      </c>
      <c r="B278" s="519" t="s">
        <v>4317</v>
      </c>
      <c r="C278" s="519" t="s">
        <v>4317</v>
      </c>
      <c r="D278" s="520" t="s">
        <v>5711</v>
      </c>
      <c r="E278" s="6"/>
      <c r="F278" s="7"/>
      <c r="G278" s="7" t="s">
        <v>624</v>
      </c>
      <c r="H278" s="7"/>
      <c r="I278" s="7" t="s">
        <v>4013</v>
      </c>
      <c r="J278" s="7" t="s">
        <v>5301</v>
      </c>
      <c r="K278" s="7"/>
      <c r="L278" s="7" t="s">
        <v>171</v>
      </c>
      <c r="M278" s="7">
        <f t="shared" si="11"/>
        <v>0</v>
      </c>
      <c r="N278" s="6"/>
      <c r="O278" s="6"/>
      <c r="P278" s="6"/>
      <c r="Q278" s="6"/>
      <c r="R278" s="6"/>
      <c r="S278" s="6"/>
      <c r="T278" s="6"/>
      <c r="U278" s="6"/>
      <c r="V278" s="6"/>
      <c r="W278" s="6"/>
      <c r="X278" s="6"/>
      <c r="Y278" s="6"/>
      <c r="Z278" s="6"/>
      <c r="AA278" s="6"/>
      <c r="AB278" s="6"/>
      <c r="AC278" s="6"/>
      <c r="AD278" s="6"/>
      <c r="AE278" s="6"/>
      <c r="AF278" s="6"/>
      <c r="AG278" s="6"/>
    </row>
    <row r="279" spans="1:33" x14ac:dyDescent="0.25">
      <c r="A279" s="157">
        <f t="shared" si="10"/>
        <v>278</v>
      </c>
      <c r="B279" s="519" t="s">
        <v>4318</v>
      </c>
      <c r="C279" s="519" t="s">
        <v>4318</v>
      </c>
      <c r="D279" s="522" t="s">
        <v>5595</v>
      </c>
      <c r="E279" s="6"/>
      <c r="F279" s="7"/>
      <c r="G279" s="7" t="s">
        <v>625</v>
      </c>
      <c r="H279" s="7"/>
      <c r="I279" s="7" t="s">
        <v>4014</v>
      </c>
      <c r="J279" s="7" t="s">
        <v>5302</v>
      </c>
      <c r="K279" s="7"/>
      <c r="L279" s="7" t="s">
        <v>171</v>
      </c>
      <c r="M279" s="7">
        <f t="shared" si="11"/>
        <v>0</v>
      </c>
      <c r="N279" s="6"/>
      <c r="O279" s="6"/>
      <c r="P279" s="6"/>
      <c r="Q279" s="6"/>
      <c r="R279" s="6"/>
      <c r="S279" s="6"/>
      <c r="T279" s="6"/>
      <c r="U279" s="6"/>
      <c r="V279" s="6"/>
      <c r="W279" s="6"/>
      <c r="X279" s="6"/>
      <c r="Y279" s="6"/>
      <c r="Z279" s="6"/>
      <c r="AA279" s="6"/>
      <c r="AB279" s="6"/>
      <c r="AC279" s="6"/>
      <c r="AD279" s="6"/>
      <c r="AE279" s="6"/>
      <c r="AF279" s="6"/>
      <c r="AG279" s="6"/>
    </row>
    <row r="280" spans="1:33" x14ac:dyDescent="0.25">
      <c r="A280" s="157">
        <f t="shared" si="10"/>
        <v>279</v>
      </c>
      <c r="B280" s="519" t="s">
        <v>4319</v>
      </c>
      <c r="C280" s="519" t="s">
        <v>4319</v>
      </c>
      <c r="D280" s="520" t="s">
        <v>5805</v>
      </c>
      <c r="E280" s="6"/>
      <c r="F280" s="7"/>
      <c r="G280" s="7" t="s">
        <v>625</v>
      </c>
      <c r="H280" s="7"/>
      <c r="I280" s="7" t="s">
        <v>4014</v>
      </c>
      <c r="J280" s="7" t="s">
        <v>5303</v>
      </c>
      <c r="K280" s="7"/>
      <c r="L280" s="7" t="s">
        <v>171</v>
      </c>
      <c r="M280" s="7">
        <f t="shared" si="11"/>
        <v>0</v>
      </c>
      <c r="N280" s="6"/>
      <c r="O280" s="6"/>
      <c r="P280" s="6"/>
      <c r="Q280" s="6"/>
      <c r="R280" s="6"/>
      <c r="S280" s="6"/>
      <c r="T280" s="6"/>
      <c r="U280" s="6"/>
      <c r="V280" s="6"/>
      <c r="W280" s="6"/>
      <c r="X280" s="6"/>
      <c r="Y280" s="6"/>
      <c r="Z280" s="6"/>
      <c r="AA280" s="6"/>
      <c r="AB280" s="6"/>
      <c r="AC280" s="6"/>
      <c r="AD280" s="6"/>
      <c r="AE280" s="6"/>
      <c r="AF280" s="6"/>
      <c r="AG280" s="6"/>
    </row>
    <row r="281" spans="1:33" x14ac:dyDescent="0.25">
      <c r="A281" s="157">
        <f t="shared" si="10"/>
        <v>280</v>
      </c>
      <c r="B281" s="519" t="s">
        <v>4320</v>
      </c>
      <c r="C281" s="519" t="s">
        <v>4320</v>
      </c>
      <c r="D281" s="520" t="s">
        <v>5596</v>
      </c>
      <c r="E281" s="6"/>
      <c r="F281" s="7"/>
      <c r="G281" s="7" t="s">
        <v>625</v>
      </c>
      <c r="H281" s="7"/>
      <c r="I281" s="7" t="s">
        <v>4014</v>
      </c>
      <c r="J281" s="7" t="s">
        <v>5304</v>
      </c>
      <c r="K281" s="7"/>
      <c r="L281" s="7" t="s">
        <v>171</v>
      </c>
      <c r="M281" s="7">
        <f t="shared" si="11"/>
        <v>0</v>
      </c>
      <c r="N281" s="6"/>
      <c r="O281" s="6"/>
      <c r="P281" s="6"/>
      <c r="Q281" s="6"/>
      <c r="R281" s="6"/>
      <c r="S281" s="6"/>
      <c r="T281" s="6"/>
      <c r="U281" s="6"/>
      <c r="V281" s="6"/>
      <c r="W281" s="6"/>
      <c r="X281" s="6"/>
      <c r="Y281" s="6"/>
      <c r="Z281" s="6"/>
      <c r="AA281" s="6"/>
      <c r="AB281" s="6"/>
      <c r="AC281" s="6"/>
      <c r="AD281" s="6"/>
      <c r="AE281" s="6"/>
      <c r="AF281" s="6"/>
      <c r="AG281" s="6"/>
    </row>
    <row r="282" spans="1:33" x14ac:dyDescent="0.25">
      <c r="A282" s="157">
        <f t="shared" si="10"/>
        <v>281</v>
      </c>
      <c r="B282" s="519" t="s">
        <v>4321</v>
      </c>
      <c r="C282" s="519" t="s">
        <v>4321</v>
      </c>
      <c r="D282" s="520" t="s">
        <v>5597</v>
      </c>
      <c r="E282" s="6"/>
      <c r="F282" s="7"/>
      <c r="G282" s="7" t="s">
        <v>625</v>
      </c>
      <c r="H282" s="7"/>
      <c r="I282" s="7" t="s">
        <v>4014</v>
      </c>
      <c r="J282" s="7" t="s">
        <v>5305</v>
      </c>
      <c r="K282" s="7"/>
      <c r="L282" s="7" t="s">
        <v>171</v>
      </c>
      <c r="M282" s="7">
        <f t="shared" si="11"/>
        <v>0</v>
      </c>
      <c r="N282" s="6"/>
      <c r="O282" s="6"/>
      <c r="P282" s="6"/>
      <c r="Q282" s="6"/>
      <c r="R282" s="6"/>
      <c r="S282" s="6"/>
      <c r="T282" s="6"/>
      <c r="U282" s="6"/>
      <c r="V282" s="6"/>
      <c r="W282" s="6"/>
      <c r="X282" s="6"/>
      <c r="Y282" s="6"/>
      <c r="Z282" s="6"/>
      <c r="AA282" s="6"/>
      <c r="AB282" s="6"/>
      <c r="AC282" s="6"/>
      <c r="AD282" s="6"/>
      <c r="AE282" s="6"/>
      <c r="AF282" s="6"/>
      <c r="AG282" s="6"/>
    </row>
    <row r="283" spans="1:33" x14ac:dyDescent="0.25">
      <c r="A283" s="157">
        <f t="shared" si="10"/>
        <v>282</v>
      </c>
      <c r="B283" s="519" t="s">
        <v>4322</v>
      </c>
      <c r="C283" s="519" t="s">
        <v>4322</v>
      </c>
      <c r="D283" s="520" t="s">
        <v>5598</v>
      </c>
      <c r="E283" s="6"/>
      <c r="F283" s="7"/>
      <c r="G283" s="7" t="s">
        <v>625</v>
      </c>
      <c r="H283" s="7"/>
      <c r="I283" s="7" t="s">
        <v>4014</v>
      </c>
      <c r="J283" s="7" t="s">
        <v>5306</v>
      </c>
      <c r="K283" s="7"/>
      <c r="L283" s="7" t="s">
        <v>171</v>
      </c>
      <c r="M283" s="7">
        <f t="shared" si="11"/>
        <v>0</v>
      </c>
      <c r="N283" s="6"/>
      <c r="O283" s="6"/>
      <c r="P283" s="6"/>
      <c r="Q283" s="6"/>
      <c r="R283" s="6"/>
      <c r="S283" s="6"/>
      <c r="T283" s="6"/>
      <c r="U283" s="6"/>
      <c r="V283" s="6"/>
      <c r="W283" s="6"/>
      <c r="X283" s="6"/>
      <c r="Y283" s="6"/>
      <c r="Z283" s="6"/>
      <c r="AA283" s="6"/>
      <c r="AB283" s="6"/>
      <c r="AC283" s="6"/>
      <c r="AD283" s="6"/>
      <c r="AE283" s="6"/>
      <c r="AF283" s="6"/>
      <c r="AG283" s="6"/>
    </row>
    <row r="284" spans="1:33" x14ac:dyDescent="0.25">
      <c r="A284" s="157">
        <f t="shared" si="10"/>
        <v>283</v>
      </c>
      <c r="B284" s="519" t="s">
        <v>6149</v>
      </c>
      <c r="C284" s="519" t="s">
        <v>6149</v>
      </c>
      <c r="D284" s="520" t="s">
        <v>5599</v>
      </c>
      <c r="E284" s="6" t="s">
        <v>5867</v>
      </c>
      <c r="F284" s="7"/>
      <c r="G284" s="7" t="s">
        <v>625</v>
      </c>
      <c r="H284" s="7"/>
      <c r="I284" s="7" t="s">
        <v>4015</v>
      </c>
      <c r="J284" s="7" t="s">
        <v>5302</v>
      </c>
      <c r="K284" s="7"/>
      <c r="L284" s="7" t="s">
        <v>171</v>
      </c>
      <c r="M284" s="7">
        <f t="shared" si="11"/>
        <v>0</v>
      </c>
      <c r="N284" s="6"/>
      <c r="O284" s="6"/>
      <c r="P284" s="6"/>
      <c r="Q284" s="6"/>
      <c r="R284" s="6"/>
      <c r="S284" s="6"/>
      <c r="T284" s="6"/>
      <c r="U284" s="6"/>
      <c r="V284" s="6"/>
      <c r="W284" s="6"/>
      <c r="X284" s="6"/>
      <c r="Y284" s="6"/>
      <c r="Z284" s="6"/>
      <c r="AA284" s="6"/>
      <c r="AB284" s="6"/>
      <c r="AC284" s="6"/>
      <c r="AD284" s="6"/>
      <c r="AE284" s="6"/>
      <c r="AF284" s="6"/>
      <c r="AG284" s="6"/>
    </row>
    <row r="285" spans="1:33" x14ac:dyDescent="0.25">
      <c r="A285" s="157">
        <f t="shared" si="10"/>
        <v>284</v>
      </c>
      <c r="B285" s="519" t="s">
        <v>4428</v>
      </c>
      <c r="C285" s="519" t="s">
        <v>4428</v>
      </c>
      <c r="D285" s="520" t="s">
        <v>5600</v>
      </c>
      <c r="E285" s="6"/>
      <c r="F285" s="7"/>
      <c r="G285" s="7" t="s">
        <v>625</v>
      </c>
      <c r="H285" s="7"/>
      <c r="I285" s="7" t="s">
        <v>4015</v>
      </c>
      <c r="J285" s="7" t="s">
        <v>5303</v>
      </c>
      <c r="K285" s="7"/>
      <c r="L285" s="7" t="s">
        <v>171</v>
      </c>
      <c r="M285" s="7">
        <f t="shared" si="11"/>
        <v>0</v>
      </c>
      <c r="N285" s="6"/>
      <c r="O285" s="6"/>
      <c r="P285" s="6"/>
      <c r="Q285" s="6"/>
      <c r="R285" s="6"/>
      <c r="S285" s="6"/>
      <c r="T285" s="6"/>
      <c r="U285" s="6"/>
      <c r="V285" s="6"/>
      <c r="W285" s="6"/>
      <c r="X285" s="6"/>
      <c r="Y285" s="6"/>
      <c r="Z285" s="6"/>
      <c r="AA285" s="6"/>
      <c r="AB285" s="6"/>
      <c r="AC285" s="6"/>
      <c r="AD285" s="6"/>
      <c r="AE285" s="6"/>
      <c r="AF285" s="6"/>
      <c r="AG285" s="6"/>
    </row>
    <row r="286" spans="1:33" x14ac:dyDescent="0.25">
      <c r="A286" s="157">
        <f t="shared" si="10"/>
        <v>285</v>
      </c>
      <c r="B286" s="519" t="s">
        <v>4323</v>
      </c>
      <c r="C286" s="519" t="s">
        <v>4323</v>
      </c>
      <c r="D286" s="520" t="s">
        <v>5806</v>
      </c>
      <c r="E286" s="6"/>
      <c r="F286" s="7"/>
      <c r="G286" s="7" t="s">
        <v>625</v>
      </c>
      <c r="H286" s="7"/>
      <c r="I286" s="7" t="s">
        <v>4015</v>
      </c>
      <c r="J286" s="7" t="s">
        <v>5304</v>
      </c>
      <c r="K286" s="7"/>
      <c r="L286" s="7" t="s">
        <v>171</v>
      </c>
      <c r="M286" s="7">
        <f t="shared" si="11"/>
        <v>0</v>
      </c>
      <c r="N286" s="6"/>
      <c r="O286" s="6"/>
      <c r="P286" s="6"/>
      <c r="Q286" s="6"/>
      <c r="R286" s="6"/>
      <c r="S286" s="6"/>
      <c r="T286" s="6"/>
      <c r="U286" s="6"/>
      <c r="V286" s="6"/>
      <c r="W286" s="6"/>
      <c r="X286" s="6"/>
      <c r="Y286" s="6"/>
      <c r="Z286" s="6"/>
      <c r="AA286" s="6"/>
      <c r="AB286" s="6"/>
      <c r="AC286" s="6"/>
      <c r="AD286" s="6"/>
      <c r="AE286" s="6"/>
      <c r="AF286" s="6"/>
      <c r="AG286" s="6"/>
    </row>
    <row r="287" spans="1:33" x14ac:dyDescent="0.25">
      <c r="A287" s="157">
        <f t="shared" si="10"/>
        <v>286</v>
      </c>
      <c r="B287" s="519" t="s">
        <v>4324</v>
      </c>
      <c r="C287" s="519" t="s">
        <v>4324</v>
      </c>
      <c r="D287" s="520" t="s">
        <v>5807</v>
      </c>
      <c r="E287" s="6"/>
      <c r="F287" s="7"/>
      <c r="G287" s="7" t="s">
        <v>625</v>
      </c>
      <c r="H287" s="7"/>
      <c r="I287" s="7" t="s">
        <v>4015</v>
      </c>
      <c r="J287" s="7" t="s">
        <v>5305</v>
      </c>
      <c r="K287" s="7"/>
      <c r="L287" s="7" t="s">
        <v>171</v>
      </c>
      <c r="M287" s="7">
        <f t="shared" si="11"/>
        <v>0</v>
      </c>
      <c r="N287" s="6"/>
      <c r="O287" s="6"/>
      <c r="P287" s="6"/>
      <c r="Q287" s="6"/>
      <c r="R287" s="6"/>
      <c r="S287" s="6"/>
      <c r="T287" s="6"/>
      <c r="U287" s="6"/>
      <c r="V287" s="6"/>
      <c r="W287" s="6"/>
      <c r="X287" s="6"/>
      <c r="Y287" s="6"/>
      <c r="Z287" s="6"/>
      <c r="AA287" s="6"/>
      <c r="AB287" s="6"/>
      <c r="AC287" s="6"/>
      <c r="AD287" s="6"/>
      <c r="AE287" s="6"/>
      <c r="AF287" s="6"/>
      <c r="AG287" s="6"/>
    </row>
    <row r="288" spans="1:33" x14ac:dyDescent="0.25">
      <c r="A288" s="157">
        <f t="shared" si="10"/>
        <v>287</v>
      </c>
      <c r="B288" s="519" t="s">
        <v>4325</v>
      </c>
      <c r="C288" s="519" t="s">
        <v>4325</v>
      </c>
      <c r="D288" s="520" t="s">
        <v>5601</v>
      </c>
      <c r="E288" s="6"/>
      <c r="F288" s="7"/>
      <c r="G288" s="7" t="s">
        <v>625</v>
      </c>
      <c r="H288" s="7"/>
      <c r="I288" s="7" t="s">
        <v>4015</v>
      </c>
      <c r="J288" s="7" t="s">
        <v>5306</v>
      </c>
      <c r="K288" s="7"/>
      <c r="L288" s="7" t="s">
        <v>171</v>
      </c>
      <c r="M288" s="7">
        <f t="shared" si="11"/>
        <v>0</v>
      </c>
      <c r="N288" s="6"/>
      <c r="O288" s="6"/>
      <c r="P288" s="6"/>
      <c r="Q288" s="6"/>
      <c r="R288" s="6"/>
      <c r="S288" s="6"/>
      <c r="T288" s="6"/>
      <c r="U288" s="6"/>
      <c r="V288" s="6"/>
      <c r="W288" s="6"/>
      <c r="X288" s="6"/>
      <c r="Y288" s="6"/>
      <c r="Z288" s="6"/>
      <c r="AA288" s="6"/>
      <c r="AB288" s="6"/>
      <c r="AC288" s="6"/>
      <c r="AD288" s="6"/>
      <c r="AE288" s="6"/>
      <c r="AF288" s="6"/>
      <c r="AG288" s="6"/>
    </row>
    <row r="289" spans="1:33" x14ac:dyDescent="0.25">
      <c r="A289" s="157">
        <f t="shared" si="10"/>
        <v>288</v>
      </c>
      <c r="B289" s="519" t="s">
        <v>2303</v>
      </c>
      <c r="C289" s="519" t="s">
        <v>270</v>
      </c>
      <c r="D289" s="520" t="s">
        <v>5808</v>
      </c>
      <c r="E289" s="6"/>
      <c r="F289" s="7"/>
      <c r="G289" s="7" t="s">
        <v>625</v>
      </c>
      <c r="H289" s="7"/>
      <c r="I289" s="7" t="s">
        <v>4016</v>
      </c>
      <c r="J289" s="7" t="s">
        <v>5302</v>
      </c>
      <c r="K289" s="7"/>
      <c r="L289" s="7" t="s">
        <v>171</v>
      </c>
      <c r="M289" s="7">
        <f t="shared" si="11"/>
        <v>0</v>
      </c>
      <c r="N289" s="6"/>
      <c r="O289" s="6"/>
      <c r="P289" s="6"/>
      <c r="Q289" s="6"/>
      <c r="R289" s="6"/>
      <c r="S289" s="6"/>
      <c r="T289" s="6"/>
      <c r="U289" s="6"/>
      <c r="V289" s="6"/>
      <c r="W289" s="6"/>
      <c r="X289" s="6"/>
      <c r="Y289" s="6"/>
      <c r="Z289" s="6"/>
      <c r="AA289" s="6"/>
      <c r="AB289" s="6"/>
      <c r="AC289" s="6"/>
      <c r="AD289" s="6"/>
      <c r="AE289" s="6"/>
      <c r="AF289" s="6"/>
      <c r="AG289" s="6"/>
    </row>
    <row r="290" spans="1:33" x14ac:dyDescent="0.25">
      <c r="A290" s="157">
        <f t="shared" si="10"/>
        <v>289</v>
      </c>
      <c r="B290" s="519" t="s">
        <v>4326</v>
      </c>
      <c r="C290" s="519" t="s">
        <v>4326</v>
      </c>
      <c r="D290" s="520" t="s">
        <v>5809</v>
      </c>
      <c r="E290" s="6"/>
      <c r="F290" s="7"/>
      <c r="G290" s="7" t="s">
        <v>625</v>
      </c>
      <c r="H290" s="7"/>
      <c r="I290" s="7" t="s">
        <v>4016</v>
      </c>
      <c r="J290" s="7" t="s">
        <v>5303</v>
      </c>
      <c r="K290" s="7"/>
      <c r="L290" s="7" t="s">
        <v>171</v>
      </c>
      <c r="M290" s="7">
        <f t="shared" si="11"/>
        <v>0</v>
      </c>
      <c r="N290" s="6"/>
      <c r="O290" s="6"/>
      <c r="P290" s="6"/>
      <c r="Q290" s="6"/>
      <c r="R290" s="6"/>
      <c r="S290" s="6"/>
      <c r="T290" s="6"/>
      <c r="U290" s="6"/>
      <c r="V290" s="6"/>
      <c r="W290" s="6"/>
      <c r="X290" s="6"/>
      <c r="Y290" s="6"/>
      <c r="Z290" s="6"/>
      <c r="AA290" s="6"/>
      <c r="AB290" s="6"/>
      <c r="AC290" s="6"/>
      <c r="AD290" s="6"/>
      <c r="AE290" s="6"/>
      <c r="AF290" s="6"/>
      <c r="AG290" s="6"/>
    </row>
    <row r="291" spans="1:33" x14ac:dyDescent="0.25">
      <c r="A291" s="157">
        <f t="shared" si="10"/>
        <v>290</v>
      </c>
      <c r="B291" s="519" t="s">
        <v>4327</v>
      </c>
      <c r="C291" s="519" t="s">
        <v>4327</v>
      </c>
      <c r="D291" s="520" t="s">
        <v>5602</v>
      </c>
      <c r="E291" s="6"/>
      <c r="F291" s="7"/>
      <c r="G291" s="7" t="s">
        <v>625</v>
      </c>
      <c r="H291" s="7"/>
      <c r="I291" s="7" t="s">
        <v>4016</v>
      </c>
      <c r="J291" s="7" t="s">
        <v>5304</v>
      </c>
      <c r="K291" s="7"/>
      <c r="L291" s="7" t="s">
        <v>171</v>
      </c>
      <c r="M291" s="7">
        <f t="shared" si="11"/>
        <v>0</v>
      </c>
      <c r="N291" s="6"/>
      <c r="O291" s="6"/>
      <c r="P291" s="6"/>
      <c r="Q291" s="6"/>
      <c r="R291" s="6"/>
      <c r="S291" s="6"/>
      <c r="T291" s="6"/>
      <c r="U291" s="6"/>
      <c r="V291" s="6"/>
      <c r="W291" s="6"/>
      <c r="X291" s="6"/>
      <c r="Y291" s="6"/>
      <c r="Z291" s="6"/>
      <c r="AA291" s="6"/>
      <c r="AB291" s="6"/>
      <c r="AC291" s="6"/>
      <c r="AD291" s="6"/>
      <c r="AE291" s="6"/>
      <c r="AF291" s="6"/>
      <c r="AG291" s="6"/>
    </row>
    <row r="292" spans="1:33" x14ac:dyDescent="0.25">
      <c r="A292" s="157">
        <f t="shared" si="10"/>
        <v>291</v>
      </c>
      <c r="B292" s="519" t="s">
        <v>4328</v>
      </c>
      <c r="C292" s="519" t="s">
        <v>4328</v>
      </c>
      <c r="D292" s="522" t="s">
        <v>5712</v>
      </c>
      <c r="E292" s="6"/>
      <c r="F292" s="7"/>
      <c r="G292" s="7" t="s">
        <v>625</v>
      </c>
      <c r="H292" s="7"/>
      <c r="I292" s="7" t="s">
        <v>4016</v>
      </c>
      <c r="J292" s="7" t="s">
        <v>5305</v>
      </c>
      <c r="K292" s="7"/>
      <c r="L292" s="7" t="s">
        <v>171</v>
      </c>
      <c r="M292" s="7">
        <f t="shared" si="11"/>
        <v>0</v>
      </c>
      <c r="N292" s="6"/>
      <c r="O292" s="6"/>
      <c r="P292" s="6"/>
      <c r="Q292" s="6"/>
      <c r="R292" s="6"/>
      <c r="S292" s="6"/>
      <c r="T292" s="6"/>
      <c r="U292" s="6"/>
      <c r="V292" s="6"/>
      <c r="W292" s="6"/>
      <c r="X292" s="6"/>
      <c r="Y292" s="6"/>
      <c r="Z292" s="6"/>
      <c r="AA292" s="6"/>
      <c r="AB292" s="6"/>
      <c r="AC292" s="6"/>
      <c r="AD292" s="6"/>
      <c r="AE292" s="6"/>
      <c r="AF292" s="6"/>
      <c r="AG292" s="6"/>
    </row>
    <row r="293" spans="1:33" x14ac:dyDescent="0.25">
      <c r="A293" s="157">
        <f t="shared" si="10"/>
        <v>292</v>
      </c>
      <c r="B293" s="519" t="s">
        <v>4329</v>
      </c>
      <c r="C293" s="519" t="s">
        <v>4329</v>
      </c>
      <c r="D293" s="520" t="s">
        <v>5810</v>
      </c>
      <c r="E293" s="6"/>
      <c r="F293" s="7"/>
      <c r="G293" s="7" t="s">
        <v>625</v>
      </c>
      <c r="H293" s="7"/>
      <c r="I293" s="7" t="s">
        <v>4016</v>
      </c>
      <c r="J293" s="7" t="s">
        <v>5306</v>
      </c>
      <c r="K293" s="7"/>
      <c r="L293" s="7" t="s">
        <v>171</v>
      </c>
      <c r="M293" s="7">
        <f t="shared" si="11"/>
        <v>0</v>
      </c>
      <c r="N293" s="6"/>
      <c r="O293" s="6"/>
      <c r="P293" s="6"/>
      <c r="Q293" s="6"/>
      <c r="R293" s="6"/>
      <c r="S293" s="6"/>
      <c r="T293" s="6"/>
      <c r="U293" s="6"/>
      <c r="V293" s="6"/>
      <c r="W293" s="6"/>
      <c r="X293" s="6"/>
      <c r="Y293" s="6"/>
      <c r="Z293" s="6"/>
      <c r="AA293" s="6"/>
      <c r="AB293" s="6"/>
      <c r="AC293" s="6"/>
      <c r="AD293" s="6"/>
      <c r="AE293" s="6"/>
      <c r="AF293" s="6"/>
      <c r="AG293" s="6"/>
    </row>
    <row r="294" spans="1:33" x14ac:dyDescent="0.25">
      <c r="A294" s="157">
        <f t="shared" si="10"/>
        <v>293</v>
      </c>
      <c r="B294" s="519" t="s">
        <v>4330</v>
      </c>
      <c r="C294" s="519" t="s">
        <v>4330</v>
      </c>
      <c r="D294" s="523" t="s">
        <v>5609</v>
      </c>
      <c r="E294" s="6" t="s">
        <v>1106</v>
      </c>
      <c r="F294" s="7"/>
      <c r="G294" s="7" t="s">
        <v>626</v>
      </c>
      <c r="H294" s="7"/>
      <c r="I294" s="7" t="s">
        <v>4021</v>
      </c>
      <c r="J294" s="7" t="s">
        <v>5312</v>
      </c>
      <c r="K294" s="7"/>
      <c r="L294" s="7" t="s">
        <v>171</v>
      </c>
      <c r="M294" s="7">
        <f t="shared" si="11"/>
        <v>10</v>
      </c>
      <c r="N294" s="6" t="s">
        <v>5603</v>
      </c>
      <c r="O294" s="6" t="s">
        <v>5604</v>
      </c>
      <c r="P294" s="6" t="s">
        <v>5605</v>
      </c>
      <c r="Q294" s="6" t="s">
        <v>5606</v>
      </c>
      <c r="R294" s="6" t="s">
        <v>3779</v>
      </c>
      <c r="S294" s="6" t="s">
        <v>3781</v>
      </c>
      <c r="T294" s="6" t="s">
        <v>1098</v>
      </c>
      <c r="U294" s="6" t="s">
        <v>5607</v>
      </c>
      <c r="V294" s="6" t="s">
        <v>3780</v>
      </c>
      <c r="W294" s="6" t="s">
        <v>5608</v>
      </c>
      <c r="X294" s="6"/>
      <c r="Y294" s="6"/>
      <c r="Z294" s="6"/>
      <c r="AA294" s="6"/>
      <c r="AB294" s="6"/>
      <c r="AC294" s="6"/>
      <c r="AD294" s="6"/>
      <c r="AE294" s="6"/>
      <c r="AF294" s="6"/>
      <c r="AG294" s="6"/>
    </row>
    <row r="295" spans="1:33" x14ac:dyDescent="0.25">
      <c r="A295" s="157">
        <f t="shared" si="10"/>
        <v>294</v>
      </c>
      <c r="B295" s="519" t="s">
        <v>4331</v>
      </c>
      <c r="C295" s="519" t="s">
        <v>4331</v>
      </c>
      <c r="D295" s="520" t="s">
        <v>5811</v>
      </c>
      <c r="E295" s="6"/>
      <c r="F295" s="7"/>
      <c r="G295" s="7" t="s">
        <v>626</v>
      </c>
      <c r="H295" s="7"/>
      <c r="I295" s="7" t="s">
        <v>4021</v>
      </c>
      <c r="J295" s="7" t="s">
        <v>5313</v>
      </c>
      <c r="K295" s="7"/>
      <c r="L295" s="7" t="s">
        <v>171</v>
      </c>
      <c r="M295" s="7">
        <f t="shared" si="11"/>
        <v>0</v>
      </c>
      <c r="N295" s="6"/>
      <c r="O295" s="6"/>
      <c r="P295" s="6"/>
      <c r="Q295" s="6"/>
      <c r="R295" s="6"/>
      <c r="S295" s="6"/>
      <c r="T295" s="6"/>
      <c r="U295" s="6"/>
      <c r="V295" s="6"/>
      <c r="W295" s="6"/>
      <c r="X295" s="6"/>
      <c r="Y295" s="6"/>
      <c r="Z295" s="6"/>
      <c r="AA295" s="6"/>
      <c r="AB295" s="6"/>
      <c r="AC295" s="6"/>
      <c r="AD295" s="6"/>
      <c r="AE295" s="6"/>
      <c r="AF295" s="6"/>
      <c r="AG295" s="6"/>
    </row>
    <row r="296" spans="1:33" x14ac:dyDescent="0.25">
      <c r="A296" s="157">
        <f t="shared" si="10"/>
        <v>295</v>
      </c>
      <c r="B296" s="519" t="s">
        <v>4332</v>
      </c>
      <c r="C296" s="519" t="s">
        <v>4332</v>
      </c>
      <c r="D296" s="520" t="s">
        <v>5812</v>
      </c>
      <c r="E296" s="6"/>
      <c r="F296" s="7"/>
      <c r="G296" s="7" t="s">
        <v>626</v>
      </c>
      <c r="H296" s="7"/>
      <c r="I296" s="7" t="s">
        <v>4021</v>
      </c>
      <c r="J296" s="7" t="s">
        <v>5314</v>
      </c>
      <c r="K296" s="7"/>
      <c r="L296" s="7" t="s">
        <v>171</v>
      </c>
      <c r="M296" s="7">
        <f t="shared" si="11"/>
        <v>0</v>
      </c>
      <c r="N296" s="6"/>
      <c r="O296" s="6"/>
      <c r="P296" s="6"/>
      <c r="Q296" s="6"/>
      <c r="R296" s="6"/>
      <c r="S296" s="6"/>
      <c r="T296" s="6"/>
      <c r="U296" s="6"/>
      <c r="V296" s="6"/>
      <c r="W296" s="6"/>
      <c r="X296" s="6"/>
      <c r="Y296" s="6"/>
      <c r="Z296" s="6"/>
      <c r="AA296" s="6"/>
      <c r="AB296" s="6"/>
      <c r="AC296" s="6"/>
      <c r="AD296" s="6"/>
      <c r="AE296" s="6"/>
      <c r="AF296" s="6"/>
      <c r="AG296" s="6"/>
    </row>
    <row r="297" spans="1:33" x14ac:dyDescent="0.25">
      <c r="A297" s="157">
        <f t="shared" si="10"/>
        <v>296</v>
      </c>
      <c r="B297" s="519" t="s">
        <v>4333</v>
      </c>
      <c r="C297" s="519" t="s">
        <v>4333</v>
      </c>
      <c r="D297" s="520" t="s">
        <v>5813</v>
      </c>
      <c r="E297" s="6"/>
      <c r="F297" s="7"/>
      <c r="G297" s="7" t="s">
        <v>626</v>
      </c>
      <c r="H297" s="7"/>
      <c r="I297" s="7" t="s">
        <v>4021</v>
      </c>
      <c r="J297" s="7" t="s">
        <v>5315</v>
      </c>
      <c r="K297" s="7"/>
      <c r="L297" s="7" t="s">
        <v>171</v>
      </c>
      <c r="M297" s="7">
        <f t="shared" si="11"/>
        <v>0</v>
      </c>
      <c r="N297" s="6"/>
      <c r="O297" s="6"/>
      <c r="P297" s="6"/>
      <c r="Q297" s="6"/>
      <c r="R297" s="6"/>
      <c r="S297" s="6"/>
      <c r="T297" s="6"/>
      <c r="U297" s="6"/>
      <c r="V297" s="6"/>
      <c r="W297" s="6"/>
      <c r="X297" s="6"/>
      <c r="Y297" s="6"/>
      <c r="Z297" s="6"/>
      <c r="AA297" s="6"/>
      <c r="AB297" s="6"/>
      <c r="AC297" s="6"/>
      <c r="AD297" s="6"/>
      <c r="AE297" s="6"/>
      <c r="AF297" s="6"/>
      <c r="AG297" s="6"/>
    </row>
    <row r="298" spans="1:33" x14ac:dyDescent="0.25">
      <c r="A298" s="157">
        <f t="shared" si="10"/>
        <v>297</v>
      </c>
      <c r="B298" s="519" t="s">
        <v>4334</v>
      </c>
      <c r="C298" s="519" t="s">
        <v>4334</v>
      </c>
      <c r="D298" s="520" t="s">
        <v>5610</v>
      </c>
      <c r="E298" s="6"/>
      <c r="F298" s="7"/>
      <c r="G298" s="7" t="s">
        <v>626</v>
      </c>
      <c r="H298" s="7"/>
      <c r="I298" s="7" t="s">
        <v>4021</v>
      </c>
      <c r="J298" s="7" t="s">
        <v>5316</v>
      </c>
      <c r="K298" s="7"/>
      <c r="L298" s="7" t="s">
        <v>171</v>
      </c>
      <c r="M298" s="7">
        <f t="shared" si="11"/>
        <v>0</v>
      </c>
      <c r="N298" s="6"/>
      <c r="O298" s="6"/>
      <c r="P298" s="6"/>
      <c r="Q298" s="6"/>
      <c r="R298" s="6"/>
      <c r="S298" s="6"/>
      <c r="T298" s="6"/>
      <c r="U298" s="6"/>
      <c r="V298" s="6"/>
      <c r="W298" s="6"/>
      <c r="X298" s="6"/>
      <c r="Y298" s="6"/>
      <c r="Z298" s="6"/>
      <c r="AA298" s="6"/>
      <c r="AB298" s="6"/>
      <c r="AC298" s="6"/>
      <c r="AD298" s="6"/>
      <c r="AE298" s="6"/>
      <c r="AF298" s="6"/>
      <c r="AG298" s="6"/>
    </row>
    <row r="299" spans="1:33" x14ac:dyDescent="0.25">
      <c r="A299" s="157">
        <f t="shared" si="10"/>
        <v>298</v>
      </c>
      <c r="B299" s="519" t="s">
        <v>4335</v>
      </c>
      <c r="C299" s="519" t="s">
        <v>4335</v>
      </c>
      <c r="D299" s="520" t="s">
        <v>5611</v>
      </c>
      <c r="E299" s="6"/>
      <c r="F299" s="7"/>
      <c r="G299" s="7" t="s">
        <v>626</v>
      </c>
      <c r="H299" s="7"/>
      <c r="I299" s="7" t="s">
        <v>3516</v>
      </c>
      <c r="J299" s="7" t="s">
        <v>5312</v>
      </c>
      <c r="K299" s="7"/>
      <c r="L299" s="7" t="s">
        <v>171</v>
      </c>
      <c r="M299" s="7">
        <f t="shared" si="11"/>
        <v>0</v>
      </c>
      <c r="N299" s="6"/>
      <c r="O299" s="6"/>
      <c r="P299" s="6"/>
      <c r="Q299" s="6"/>
      <c r="R299" s="6"/>
      <c r="S299" s="6"/>
      <c r="T299" s="6"/>
      <c r="U299" s="6"/>
      <c r="V299" s="6"/>
      <c r="W299" s="6"/>
      <c r="X299" s="6"/>
      <c r="Y299" s="6"/>
      <c r="Z299" s="6"/>
      <c r="AA299" s="6"/>
      <c r="AB299" s="6"/>
      <c r="AC299" s="6"/>
      <c r="AD299" s="6"/>
      <c r="AE299" s="6"/>
      <c r="AF299" s="6"/>
      <c r="AG299" s="6"/>
    </row>
    <row r="300" spans="1:33" x14ac:dyDescent="0.25">
      <c r="A300" s="157">
        <f t="shared" si="10"/>
        <v>299</v>
      </c>
      <c r="B300" s="519" t="s">
        <v>4336</v>
      </c>
      <c r="C300" s="519" t="s">
        <v>4336</v>
      </c>
      <c r="D300" s="520" t="s">
        <v>5814</v>
      </c>
      <c r="E300" s="6"/>
      <c r="F300" s="7"/>
      <c r="G300" s="7" t="s">
        <v>626</v>
      </c>
      <c r="H300" s="7"/>
      <c r="I300" s="7" t="s">
        <v>3516</v>
      </c>
      <c r="J300" s="7" t="s">
        <v>5313</v>
      </c>
      <c r="K300" s="7"/>
      <c r="L300" s="7" t="s">
        <v>171</v>
      </c>
      <c r="M300" s="7">
        <f t="shared" si="11"/>
        <v>0</v>
      </c>
      <c r="N300" s="6"/>
      <c r="O300" s="6"/>
      <c r="P300" s="6"/>
      <c r="Q300" s="6"/>
      <c r="R300" s="6"/>
      <c r="S300" s="6"/>
      <c r="T300" s="6"/>
      <c r="U300" s="6"/>
      <c r="V300" s="6"/>
      <c r="W300" s="6"/>
      <c r="X300" s="6"/>
      <c r="Y300" s="6"/>
      <c r="Z300" s="6"/>
      <c r="AA300" s="6"/>
      <c r="AB300" s="6"/>
      <c r="AC300" s="6"/>
      <c r="AD300" s="6"/>
      <c r="AE300" s="6"/>
      <c r="AF300" s="6"/>
      <c r="AG300" s="6"/>
    </row>
    <row r="301" spans="1:33" x14ac:dyDescent="0.25">
      <c r="A301" s="157">
        <f t="shared" si="10"/>
        <v>300</v>
      </c>
      <c r="B301" s="519" t="s">
        <v>4337</v>
      </c>
      <c r="C301" s="519" t="s">
        <v>4337</v>
      </c>
      <c r="D301" s="520" t="s">
        <v>5815</v>
      </c>
      <c r="E301" s="6"/>
      <c r="F301" s="7"/>
      <c r="G301" s="7" t="s">
        <v>626</v>
      </c>
      <c r="H301" s="7"/>
      <c r="I301" s="7" t="s">
        <v>3516</v>
      </c>
      <c r="J301" s="7" t="s">
        <v>5314</v>
      </c>
      <c r="K301" s="7"/>
      <c r="L301" s="7" t="s">
        <v>171</v>
      </c>
      <c r="M301" s="7">
        <f t="shared" si="11"/>
        <v>0</v>
      </c>
      <c r="N301" s="6"/>
      <c r="O301" s="6"/>
      <c r="P301" s="6"/>
      <c r="Q301" s="6"/>
      <c r="R301" s="6"/>
      <c r="S301" s="6"/>
      <c r="T301" s="6"/>
      <c r="U301" s="6"/>
      <c r="V301" s="6"/>
      <c r="W301" s="6"/>
      <c r="X301" s="6"/>
      <c r="Y301" s="6"/>
      <c r="Z301" s="6"/>
      <c r="AA301" s="6"/>
      <c r="AB301" s="6"/>
      <c r="AC301" s="6"/>
      <c r="AD301" s="6"/>
      <c r="AE301" s="6"/>
      <c r="AF301" s="6"/>
      <c r="AG301" s="6"/>
    </row>
    <row r="302" spans="1:33" x14ac:dyDescent="0.25">
      <c r="A302" s="157">
        <f t="shared" si="10"/>
        <v>301</v>
      </c>
      <c r="B302" s="519" t="s">
        <v>4338</v>
      </c>
      <c r="C302" s="519" t="s">
        <v>4338</v>
      </c>
      <c r="D302" s="520" t="s">
        <v>5612</v>
      </c>
      <c r="E302" s="6"/>
      <c r="F302" s="7"/>
      <c r="G302" s="7" t="s">
        <v>626</v>
      </c>
      <c r="H302" s="7"/>
      <c r="I302" s="7" t="s">
        <v>3516</v>
      </c>
      <c r="J302" s="7" t="s">
        <v>5315</v>
      </c>
      <c r="K302" s="7"/>
      <c r="L302" s="7" t="s">
        <v>171</v>
      </c>
      <c r="M302" s="7">
        <f t="shared" si="11"/>
        <v>0</v>
      </c>
      <c r="N302" s="6"/>
      <c r="O302" s="6"/>
      <c r="P302" s="6"/>
      <c r="Q302" s="6"/>
      <c r="R302" s="6"/>
      <c r="S302" s="6"/>
      <c r="T302" s="6"/>
      <c r="U302" s="6"/>
      <c r="V302" s="6"/>
      <c r="W302" s="6"/>
      <c r="X302" s="6"/>
      <c r="Y302" s="6"/>
      <c r="Z302" s="6"/>
      <c r="AA302" s="6"/>
      <c r="AB302" s="6"/>
      <c r="AC302" s="6"/>
      <c r="AD302" s="6"/>
      <c r="AE302" s="6"/>
      <c r="AF302" s="6"/>
      <c r="AG302" s="6"/>
    </row>
    <row r="303" spans="1:33" x14ac:dyDescent="0.25">
      <c r="A303" s="157">
        <f t="shared" si="10"/>
        <v>302</v>
      </c>
      <c r="B303" s="519" t="s">
        <v>4339</v>
      </c>
      <c r="C303" s="519" t="s">
        <v>4339</v>
      </c>
      <c r="D303" s="520" t="s">
        <v>5613</v>
      </c>
      <c r="E303" s="6"/>
      <c r="F303" s="7"/>
      <c r="G303" s="7" t="s">
        <v>626</v>
      </c>
      <c r="H303" s="7"/>
      <c r="I303" s="7" t="s">
        <v>3516</v>
      </c>
      <c r="J303" s="7" t="s">
        <v>5316</v>
      </c>
      <c r="K303" s="7"/>
      <c r="L303" s="7" t="s">
        <v>171</v>
      </c>
      <c r="M303" s="7">
        <f t="shared" si="11"/>
        <v>0</v>
      </c>
      <c r="N303" s="6"/>
      <c r="O303" s="6"/>
      <c r="P303" s="6"/>
      <c r="Q303" s="6"/>
      <c r="R303" s="6"/>
      <c r="S303" s="6"/>
      <c r="T303" s="6"/>
      <c r="U303" s="6"/>
      <c r="V303" s="6"/>
      <c r="W303" s="6"/>
      <c r="X303" s="6"/>
      <c r="Y303" s="6"/>
      <c r="Z303" s="6"/>
      <c r="AA303" s="6"/>
      <c r="AB303" s="6"/>
      <c r="AC303" s="6"/>
      <c r="AD303" s="6"/>
      <c r="AE303" s="6"/>
      <c r="AF303" s="6"/>
      <c r="AG303" s="6"/>
    </row>
    <row r="304" spans="1:33" x14ac:dyDescent="0.25">
      <c r="A304" s="157">
        <f t="shared" si="10"/>
        <v>303</v>
      </c>
      <c r="B304" s="519" t="s">
        <v>4340</v>
      </c>
      <c r="C304" s="519" t="s">
        <v>4340</v>
      </c>
      <c r="D304" s="520" t="s">
        <v>5643</v>
      </c>
      <c r="E304" s="6"/>
      <c r="F304" s="7"/>
      <c r="G304" s="7" t="s">
        <v>628</v>
      </c>
      <c r="H304" s="7"/>
      <c r="I304" s="7" t="s">
        <v>3969</v>
      </c>
      <c r="J304" s="7" t="s">
        <v>5250</v>
      </c>
      <c r="K304" s="7"/>
      <c r="L304" s="7" t="s">
        <v>171</v>
      </c>
      <c r="M304" s="7">
        <f t="shared" si="11"/>
        <v>0</v>
      </c>
      <c r="N304" s="6"/>
      <c r="O304" s="6"/>
      <c r="P304" s="6"/>
      <c r="Q304" s="6"/>
      <c r="R304" s="6"/>
      <c r="S304" s="6"/>
      <c r="T304" s="6"/>
      <c r="U304" s="6"/>
      <c r="V304" s="6"/>
      <c r="W304" s="6"/>
      <c r="X304" s="6"/>
      <c r="Y304" s="6"/>
      <c r="Z304" s="6"/>
      <c r="AA304" s="6"/>
      <c r="AB304" s="6"/>
      <c r="AC304" s="6"/>
      <c r="AD304" s="6"/>
      <c r="AE304" s="6"/>
      <c r="AF304" s="6"/>
      <c r="AG304" s="6"/>
    </row>
    <row r="305" spans="1:33" x14ac:dyDescent="0.25">
      <c r="A305" s="157">
        <f t="shared" si="10"/>
        <v>304</v>
      </c>
      <c r="B305" s="519" t="s">
        <v>4341</v>
      </c>
      <c r="C305" s="519" t="s">
        <v>4341</v>
      </c>
      <c r="D305" s="520" t="s">
        <v>5816</v>
      </c>
      <c r="E305" s="6"/>
      <c r="F305" s="7"/>
      <c r="G305" s="7" t="s">
        <v>628</v>
      </c>
      <c r="H305" s="7"/>
      <c r="I305" s="7" t="s">
        <v>3969</v>
      </c>
      <c r="J305" s="7" t="s">
        <v>5251</v>
      </c>
      <c r="K305" s="7"/>
      <c r="L305" s="7" t="s">
        <v>171</v>
      </c>
      <c r="M305" s="7">
        <f t="shared" si="11"/>
        <v>0</v>
      </c>
      <c r="N305" s="6"/>
      <c r="O305" s="6"/>
      <c r="P305" s="6"/>
      <c r="Q305" s="6"/>
      <c r="R305" s="6"/>
      <c r="S305" s="6"/>
      <c r="T305" s="6"/>
      <c r="U305" s="6"/>
      <c r="V305" s="6"/>
      <c r="W305" s="6"/>
      <c r="X305" s="6"/>
      <c r="Y305" s="6"/>
      <c r="Z305" s="6"/>
      <c r="AA305" s="6"/>
      <c r="AB305" s="6"/>
      <c r="AC305" s="6"/>
      <c r="AD305" s="6"/>
      <c r="AE305" s="6"/>
      <c r="AF305" s="6"/>
      <c r="AG305" s="6"/>
    </row>
    <row r="306" spans="1:33" x14ac:dyDescent="0.25">
      <c r="A306" s="157">
        <f t="shared" si="10"/>
        <v>305</v>
      </c>
      <c r="B306" s="519" t="s">
        <v>4342</v>
      </c>
      <c r="C306" s="519" t="s">
        <v>4342</v>
      </c>
      <c r="D306" s="520" t="s">
        <v>5644</v>
      </c>
      <c r="E306" s="6"/>
      <c r="F306" s="7"/>
      <c r="G306" s="7" t="s">
        <v>628</v>
      </c>
      <c r="H306" s="7"/>
      <c r="I306" s="7" t="s">
        <v>3969</v>
      </c>
      <c r="J306" s="7" t="s">
        <v>5249</v>
      </c>
      <c r="K306" s="7"/>
      <c r="L306" s="7" t="s">
        <v>171</v>
      </c>
      <c r="M306" s="7">
        <f t="shared" si="11"/>
        <v>0</v>
      </c>
      <c r="N306" s="6"/>
      <c r="O306" s="6"/>
      <c r="P306" s="6"/>
      <c r="Q306" s="6"/>
      <c r="R306" s="6"/>
      <c r="S306" s="6"/>
      <c r="T306" s="6"/>
      <c r="U306" s="6"/>
      <c r="V306" s="6"/>
      <c r="W306" s="6"/>
      <c r="X306" s="6"/>
      <c r="Y306" s="6"/>
      <c r="Z306" s="6"/>
      <c r="AA306" s="6"/>
      <c r="AB306" s="6"/>
      <c r="AC306" s="6"/>
      <c r="AD306" s="6"/>
      <c r="AE306" s="6"/>
      <c r="AF306" s="6"/>
      <c r="AG306" s="6"/>
    </row>
    <row r="307" spans="1:33" x14ac:dyDescent="0.25">
      <c r="A307" s="157">
        <f t="shared" si="10"/>
        <v>306</v>
      </c>
      <c r="B307" s="519" t="s">
        <v>4343</v>
      </c>
      <c r="C307" s="519" t="s">
        <v>4343</v>
      </c>
      <c r="D307" s="520" t="s">
        <v>5645</v>
      </c>
      <c r="E307" s="6"/>
      <c r="F307" s="7"/>
      <c r="G307" s="7" t="s">
        <v>628</v>
      </c>
      <c r="H307" s="7"/>
      <c r="I307" s="7" t="s">
        <v>3969</v>
      </c>
      <c r="J307" s="7" t="s">
        <v>5252</v>
      </c>
      <c r="K307" s="7"/>
      <c r="L307" s="7" t="s">
        <v>171</v>
      </c>
      <c r="M307" s="7">
        <f t="shared" si="11"/>
        <v>0</v>
      </c>
      <c r="N307" s="6"/>
      <c r="O307" s="6"/>
      <c r="P307" s="6"/>
      <c r="Q307" s="6"/>
      <c r="R307" s="6"/>
      <c r="S307" s="6"/>
      <c r="T307" s="6"/>
      <c r="U307" s="6"/>
      <c r="V307" s="6"/>
      <c r="W307" s="6"/>
      <c r="X307" s="6"/>
      <c r="Y307" s="6"/>
      <c r="Z307" s="6"/>
      <c r="AA307" s="6"/>
      <c r="AB307" s="6"/>
      <c r="AC307" s="6"/>
      <c r="AD307" s="6"/>
      <c r="AE307" s="6"/>
      <c r="AF307" s="6"/>
      <c r="AG307" s="6"/>
    </row>
    <row r="308" spans="1:33" x14ac:dyDescent="0.25">
      <c r="A308" s="157">
        <f t="shared" si="10"/>
        <v>307</v>
      </c>
      <c r="B308" s="519" t="s">
        <v>4344</v>
      </c>
      <c r="C308" s="519" t="s">
        <v>4344</v>
      </c>
      <c r="D308" s="520" t="s">
        <v>5817</v>
      </c>
      <c r="E308" s="6"/>
      <c r="F308" s="7"/>
      <c r="G308" s="7" t="s">
        <v>628</v>
      </c>
      <c r="H308" s="7"/>
      <c r="I308" s="7" t="s">
        <v>3969</v>
      </c>
      <c r="J308" s="7" t="s">
        <v>5253</v>
      </c>
      <c r="K308" s="7"/>
      <c r="L308" s="7" t="s">
        <v>171</v>
      </c>
      <c r="M308" s="7">
        <f t="shared" si="11"/>
        <v>0</v>
      </c>
      <c r="N308" s="6"/>
      <c r="O308" s="6"/>
      <c r="P308" s="6"/>
      <c r="Q308" s="6"/>
      <c r="R308" s="6"/>
      <c r="S308" s="6"/>
      <c r="T308" s="6"/>
      <c r="U308" s="6"/>
      <c r="V308" s="6"/>
      <c r="W308" s="6"/>
      <c r="X308" s="6"/>
      <c r="Y308" s="6"/>
      <c r="Z308" s="6"/>
      <c r="AA308" s="6"/>
      <c r="AB308" s="6"/>
      <c r="AC308" s="6"/>
      <c r="AD308" s="6"/>
      <c r="AE308" s="6"/>
      <c r="AF308" s="6"/>
      <c r="AG308" s="6"/>
    </row>
    <row r="309" spans="1:33" x14ac:dyDescent="0.25">
      <c r="A309" s="157">
        <f t="shared" si="10"/>
        <v>308</v>
      </c>
      <c r="B309" s="519" t="s">
        <v>4345</v>
      </c>
      <c r="C309" s="519" t="s">
        <v>4345</v>
      </c>
      <c r="D309" s="520" t="s">
        <v>5646</v>
      </c>
      <c r="E309" s="6"/>
      <c r="F309" s="7"/>
      <c r="G309" s="7" t="s">
        <v>628</v>
      </c>
      <c r="H309" s="7"/>
      <c r="I309" s="7" t="s">
        <v>3970</v>
      </c>
      <c r="J309" s="7" t="s">
        <v>5250</v>
      </c>
      <c r="K309" s="7"/>
      <c r="L309" s="7" t="s">
        <v>171</v>
      </c>
      <c r="M309" s="7">
        <f t="shared" si="11"/>
        <v>0</v>
      </c>
      <c r="N309" s="6"/>
      <c r="O309" s="6"/>
      <c r="P309" s="6"/>
      <c r="Q309" s="6"/>
      <c r="R309" s="6"/>
      <c r="S309" s="6"/>
      <c r="T309" s="6"/>
      <c r="U309" s="6"/>
      <c r="V309" s="6"/>
      <c r="W309" s="6"/>
      <c r="X309" s="6"/>
      <c r="Y309" s="6"/>
      <c r="Z309" s="6"/>
      <c r="AA309" s="6"/>
      <c r="AB309" s="6"/>
      <c r="AC309" s="6"/>
      <c r="AD309" s="6"/>
      <c r="AE309" s="6"/>
      <c r="AF309" s="6"/>
      <c r="AG309" s="6"/>
    </row>
    <row r="310" spans="1:33" x14ac:dyDescent="0.25">
      <c r="A310" s="157">
        <f t="shared" si="10"/>
        <v>309</v>
      </c>
      <c r="B310" s="519" t="s">
        <v>4346</v>
      </c>
      <c r="C310" s="519" t="s">
        <v>4346</v>
      </c>
      <c r="D310" s="520" t="s">
        <v>5818</v>
      </c>
      <c r="E310" s="6"/>
      <c r="F310" s="7"/>
      <c r="G310" s="7" t="s">
        <v>628</v>
      </c>
      <c r="H310" s="7"/>
      <c r="I310" s="7" t="s">
        <v>3970</v>
      </c>
      <c r="J310" s="7" t="s">
        <v>5251</v>
      </c>
      <c r="K310" s="7"/>
      <c r="L310" s="7" t="s">
        <v>171</v>
      </c>
      <c r="M310" s="7">
        <f t="shared" si="11"/>
        <v>0</v>
      </c>
      <c r="N310" s="6"/>
      <c r="O310" s="6"/>
      <c r="P310" s="6"/>
      <c r="Q310" s="6"/>
      <c r="R310" s="6"/>
      <c r="S310" s="6"/>
      <c r="T310" s="6"/>
      <c r="U310" s="6"/>
      <c r="V310" s="6"/>
      <c r="W310" s="6"/>
      <c r="X310" s="6"/>
      <c r="Y310" s="6"/>
      <c r="Z310" s="6"/>
      <c r="AA310" s="6"/>
      <c r="AB310" s="6"/>
      <c r="AC310" s="6"/>
      <c r="AD310" s="6"/>
      <c r="AE310" s="6"/>
      <c r="AF310" s="6"/>
      <c r="AG310" s="6"/>
    </row>
    <row r="311" spans="1:33" x14ac:dyDescent="0.25">
      <c r="A311" s="157">
        <f t="shared" si="10"/>
        <v>310</v>
      </c>
      <c r="B311" s="519" t="s">
        <v>4347</v>
      </c>
      <c r="C311" s="519" t="s">
        <v>4347</v>
      </c>
      <c r="D311" s="520" t="s">
        <v>5819</v>
      </c>
      <c r="E311" s="6"/>
      <c r="F311" s="7"/>
      <c r="G311" s="7" t="s">
        <v>628</v>
      </c>
      <c r="H311" s="7"/>
      <c r="I311" s="7" t="s">
        <v>3970</v>
      </c>
      <c r="J311" s="7" t="s">
        <v>5249</v>
      </c>
      <c r="K311" s="7"/>
      <c r="L311" s="7" t="s">
        <v>171</v>
      </c>
      <c r="M311" s="7">
        <f t="shared" si="11"/>
        <v>0</v>
      </c>
      <c r="N311" s="6"/>
      <c r="O311" s="6"/>
      <c r="P311" s="6"/>
      <c r="Q311" s="6"/>
      <c r="R311" s="6"/>
      <c r="S311" s="6"/>
      <c r="T311" s="6"/>
      <c r="U311" s="6"/>
      <c r="V311" s="6"/>
      <c r="W311" s="6"/>
      <c r="X311" s="6"/>
      <c r="Y311" s="6"/>
      <c r="Z311" s="6"/>
      <c r="AA311" s="6"/>
      <c r="AB311" s="6"/>
      <c r="AC311" s="6"/>
      <c r="AD311" s="6"/>
      <c r="AE311" s="6"/>
      <c r="AF311" s="6"/>
      <c r="AG311" s="6"/>
    </row>
    <row r="312" spans="1:33" x14ac:dyDescent="0.25">
      <c r="A312" s="157">
        <f t="shared" si="10"/>
        <v>311</v>
      </c>
      <c r="B312" s="519" t="s">
        <v>4348</v>
      </c>
      <c r="C312" s="519" t="s">
        <v>4348</v>
      </c>
      <c r="D312" s="527" t="s">
        <v>5647</v>
      </c>
      <c r="E312" s="6"/>
      <c r="F312" s="7"/>
      <c r="G312" s="7" t="s">
        <v>628</v>
      </c>
      <c r="H312" s="7"/>
      <c r="I312" s="7" t="s">
        <v>3970</v>
      </c>
      <c r="J312" s="7" t="s">
        <v>5252</v>
      </c>
      <c r="K312" s="7"/>
      <c r="L312" s="7" t="s">
        <v>171</v>
      </c>
      <c r="M312" s="7">
        <f t="shared" si="11"/>
        <v>0</v>
      </c>
      <c r="N312" s="6"/>
      <c r="O312" s="6"/>
      <c r="P312" s="6"/>
      <c r="Q312" s="6"/>
      <c r="R312" s="6"/>
      <c r="S312" s="6"/>
      <c r="T312" s="6"/>
      <c r="U312" s="6"/>
      <c r="V312" s="6"/>
      <c r="W312" s="6"/>
      <c r="X312" s="6"/>
      <c r="Y312" s="6"/>
      <c r="Z312" s="6"/>
      <c r="AA312" s="6"/>
      <c r="AB312" s="6"/>
      <c r="AC312" s="6"/>
      <c r="AD312" s="6"/>
      <c r="AE312" s="6"/>
      <c r="AF312" s="6"/>
      <c r="AG312" s="6"/>
    </row>
    <row r="313" spans="1:33" x14ac:dyDescent="0.25">
      <c r="A313" s="157">
        <f t="shared" si="10"/>
        <v>312</v>
      </c>
      <c r="B313" s="519" t="s">
        <v>4349</v>
      </c>
      <c r="C313" s="519" t="s">
        <v>4349</v>
      </c>
      <c r="D313" s="520" t="s">
        <v>5648</v>
      </c>
      <c r="E313" s="6"/>
      <c r="F313" s="7"/>
      <c r="G313" s="7" t="s">
        <v>628</v>
      </c>
      <c r="H313" s="7"/>
      <c r="I313" s="7" t="s">
        <v>3970</v>
      </c>
      <c r="J313" s="7" t="s">
        <v>5253</v>
      </c>
      <c r="K313" s="7"/>
      <c r="L313" s="7" t="s">
        <v>171</v>
      </c>
      <c r="M313" s="7">
        <f t="shared" si="11"/>
        <v>0</v>
      </c>
      <c r="N313" s="6"/>
      <c r="O313" s="6"/>
      <c r="P313" s="6"/>
      <c r="Q313" s="6"/>
      <c r="R313" s="6"/>
      <c r="S313" s="6"/>
      <c r="T313" s="6"/>
      <c r="U313" s="6"/>
      <c r="V313" s="6"/>
      <c r="W313" s="6"/>
      <c r="X313" s="6"/>
      <c r="Y313" s="6"/>
      <c r="Z313" s="6"/>
      <c r="AA313" s="6"/>
      <c r="AB313" s="6"/>
      <c r="AC313" s="6"/>
      <c r="AD313" s="6"/>
      <c r="AE313" s="6"/>
      <c r="AF313" s="6"/>
      <c r="AG313" s="6"/>
    </row>
    <row r="314" spans="1:33" x14ac:dyDescent="0.25">
      <c r="A314" s="157">
        <f t="shared" si="10"/>
        <v>313</v>
      </c>
      <c r="B314" s="519" t="s">
        <v>4350</v>
      </c>
      <c r="C314" s="519" t="s">
        <v>4350</v>
      </c>
      <c r="D314" s="520" t="s">
        <v>5649</v>
      </c>
      <c r="E314" s="6"/>
      <c r="F314" s="7"/>
      <c r="G314" s="7" t="s">
        <v>628</v>
      </c>
      <c r="H314" s="7"/>
      <c r="I314" s="7" t="s">
        <v>3971</v>
      </c>
      <c r="J314" s="7" t="s">
        <v>5250</v>
      </c>
      <c r="K314" s="7"/>
      <c r="L314" s="7" t="s">
        <v>171</v>
      </c>
      <c r="M314" s="7">
        <f t="shared" si="11"/>
        <v>0</v>
      </c>
      <c r="N314" s="6"/>
      <c r="O314" s="6"/>
      <c r="P314" s="6"/>
      <c r="Q314" s="6"/>
      <c r="R314" s="6"/>
      <c r="S314" s="6"/>
      <c r="T314" s="6"/>
      <c r="U314" s="6"/>
      <c r="V314" s="6"/>
      <c r="W314" s="6"/>
      <c r="X314" s="6"/>
      <c r="Y314" s="6"/>
      <c r="Z314" s="6"/>
      <c r="AA314" s="6"/>
      <c r="AB314" s="6"/>
      <c r="AC314" s="6"/>
      <c r="AD314" s="6"/>
      <c r="AE314" s="6"/>
      <c r="AF314" s="6"/>
      <c r="AG314" s="6"/>
    </row>
    <row r="315" spans="1:33" x14ac:dyDescent="0.25">
      <c r="A315" s="157">
        <f t="shared" si="10"/>
        <v>314</v>
      </c>
      <c r="B315" s="519" t="s">
        <v>4351</v>
      </c>
      <c r="C315" s="519" t="s">
        <v>4351</v>
      </c>
      <c r="D315" s="520" t="s">
        <v>5820</v>
      </c>
      <c r="E315" s="6"/>
      <c r="F315" s="7"/>
      <c r="G315" s="7" t="s">
        <v>628</v>
      </c>
      <c r="H315" s="7"/>
      <c r="I315" s="7" t="s">
        <v>3971</v>
      </c>
      <c r="J315" s="7" t="s">
        <v>5251</v>
      </c>
      <c r="K315" s="7"/>
      <c r="L315" s="7" t="s">
        <v>171</v>
      </c>
      <c r="M315" s="7">
        <f t="shared" si="11"/>
        <v>0</v>
      </c>
      <c r="N315" s="6"/>
      <c r="O315" s="6"/>
      <c r="P315" s="6"/>
      <c r="Q315" s="6"/>
      <c r="R315" s="6"/>
      <c r="S315" s="6"/>
      <c r="T315" s="6"/>
      <c r="U315" s="6"/>
      <c r="V315" s="6"/>
      <c r="W315" s="6"/>
      <c r="X315" s="6"/>
      <c r="Y315" s="6"/>
      <c r="Z315" s="6"/>
      <c r="AA315" s="6"/>
      <c r="AB315" s="6"/>
      <c r="AC315" s="6"/>
      <c r="AD315" s="6"/>
      <c r="AE315" s="6"/>
      <c r="AF315" s="6"/>
      <c r="AG315" s="6"/>
    </row>
    <row r="316" spans="1:33" x14ac:dyDescent="0.25">
      <c r="A316" s="157">
        <f t="shared" si="10"/>
        <v>315</v>
      </c>
      <c r="B316" s="519" t="s">
        <v>4352</v>
      </c>
      <c r="C316" s="519" t="s">
        <v>4352</v>
      </c>
      <c r="D316" s="520" t="s">
        <v>5650</v>
      </c>
      <c r="E316" s="6"/>
      <c r="F316" s="7"/>
      <c r="G316" s="7" t="s">
        <v>628</v>
      </c>
      <c r="H316" s="7"/>
      <c r="I316" s="7" t="s">
        <v>3971</v>
      </c>
      <c r="J316" s="7" t="s">
        <v>5249</v>
      </c>
      <c r="K316" s="7"/>
      <c r="L316" s="7" t="s">
        <v>171</v>
      </c>
      <c r="M316" s="7">
        <f t="shared" si="11"/>
        <v>0</v>
      </c>
      <c r="N316" s="6"/>
      <c r="O316" s="6"/>
      <c r="P316" s="6"/>
      <c r="Q316" s="6"/>
      <c r="R316" s="6"/>
      <c r="S316" s="6"/>
      <c r="T316" s="6"/>
      <c r="U316" s="6"/>
      <c r="V316" s="6"/>
      <c r="W316" s="6"/>
      <c r="X316" s="6"/>
      <c r="Y316" s="6"/>
      <c r="Z316" s="6"/>
      <c r="AA316" s="6"/>
      <c r="AB316" s="6"/>
      <c r="AC316" s="6"/>
      <c r="AD316" s="6"/>
      <c r="AE316" s="6"/>
      <c r="AF316" s="6"/>
      <c r="AG316" s="6"/>
    </row>
    <row r="317" spans="1:33" x14ac:dyDescent="0.25">
      <c r="A317" s="157">
        <f t="shared" si="10"/>
        <v>316</v>
      </c>
      <c r="B317" s="519" t="s">
        <v>4353</v>
      </c>
      <c r="C317" s="519" t="s">
        <v>4353</v>
      </c>
      <c r="D317" s="520" t="s">
        <v>5821</v>
      </c>
      <c r="E317" s="6"/>
      <c r="F317" s="7"/>
      <c r="G317" s="7" t="s">
        <v>628</v>
      </c>
      <c r="H317" s="7"/>
      <c r="I317" s="7" t="s">
        <v>3971</v>
      </c>
      <c r="J317" s="7" t="s">
        <v>5252</v>
      </c>
      <c r="K317" s="7"/>
      <c r="L317" s="7" t="s">
        <v>171</v>
      </c>
      <c r="M317" s="7">
        <f t="shared" si="11"/>
        <v>0</v>
      </c>
      <c r="N317" s="6"/>
      <c r="O317" s="6"/>
      <c r="P317" s="6"/>
      <c r="Q317" s="6"/>
      <c r="R317" s="6"/>
      <c r="S317" s="6"/>
      <c r="T317" s="6"/>
      <c r="U317" s="6"/>
      <c r="V317" s="6"/>
      <c r="W317" s="6"/>
      <c r="X317" s="6"/>
      <c r="Y317" s="6"/>
      <c r="Z317" s="6"/>
      <c r="AA317" s="6"/>
      <c r="AB317" s="6"/>
      <c r="AC317" s="6"/>
      <c r="AD317" s="6"/>
      <c r="AE317" s="6"/>
      <c r="AF317" s="6"/>
      <c r="AG317" s="6"/>
    </row>
    <row r="318" spans="1:33" x14ac:dyDescent="0.25">
      <c r="A318" s="157">
        <f t="shared" si="10"/>
        <v>317</v>
      </c>
      <c r="B318" s="519" t="s">
        <v>4354</v>
      </c>
      <c r="C318" s="519" t="s">
        <v>4354</v>
      </c>
      <c r="D318" s="520" t="s">
        <v>5651</v>
      </c>
      <c r="E318" s="6"/>
      <c r="F318" s="7"/>
      <c r="G318" s="7" t="s">
        <v>628</v>
      </c>
      <c r="H318" s="7"/>
      <c r="I318" s="7" t="s">
        <v>3971</v>
      </c>
      <c r="J318" s="7" t="s">
        <v>5253</v>
      </c>
      <c r="K318" s="7"/>
      <c r="L318" s="7" t="s">
        <v>171</v>
      </c>
      <c r="M318" s="7">
        <f t="shared" si="11"/>
        <v>0</v>
      </c>
      <c r="N318" s="6"/>
      <c r="O318" s="6"/>
      <c r="P318" s="6"/>
      <c r="Q318" s="6"/>
      <c r="R318" s="6"/>
      <c r="S318" s="6"/>
      <c r="T318" s="6"/>
      <c r="U318" s="6"/>
      <c r="V318" s="6"/>
      <c r="W318" s="6"/>
      <c r="X318" s="6"/>
      <c r="Y318" s="6"/>
      <c r="Z318" s="6"/>
      <c r="AA318" s="6"/>
      <c r="AB318" s="6"/>
      <c r="AC318" s="6"/>
      <c r="AD318" s="6"/>
      <c r="AE318" s="6"/>
      <c r="AF318" s="6"/>
      <c r="AG318" s="6"/>
    </row>
    <row r="319" spans="1:33" x14ac:dyDescent="0.25">
      <c r="A319" s="157">
        <f t="shared" si="10"/>
        <v>318</v>
      </c>
      <c r="B319" s="519" t="s">
        <v>4355</v>
      </c>
      <c r="C319" s="519" t="s">
        <v>4355</v>
      </c>
      <c r="D319" s="520" t="s">
        <v>5652</v>
      </c>
      <c r="E319" s="6"/>
      <c r="F319" s="7"/>
      <c r="G319" s="7" t="s">
        <v>628</v>
      </c>
      <c r="H319" s="7"/>
      <c r="I319" s="7" t="s">
        <v>3972</v>
      </c>
      <c r="J319" s="7" t="s">
        <v>5250</v>
      </c>
      <c r="K319" s="7"/>
      <c r="L319" s="7" t="s">
        <v>171</v>
      </c>
      <c r="M319" s="7">
        <f t="shared" si="11"/>
        <v>0</v>
      </c>
      <c r="N319" s="6"/>
      <c r="O319" s="6"/>
      <c r="P319" s="6"/>
      <c r="Q319" s="6"/>
      <c r="R319" s="6"/>
      <c r="S319" s="6"/>
      <c r="T319" s="6"/>
      <c r="U319" s="6"/>
      <c r="V319" s="6"/>
      <c r="W319" s="6"/>
      <c r="X319" s="6"/>
      <c r="Y319" s="6"/>
      <c r="Z319" s="6"/>
      <c r="AA319" s="6"/>
      <c r="AB319" s="6"/>
      <c r="AC319" s="6"/>
      <c r="AD319" s="6"/>
      <c r="AE319" s="6"/>
      <c r="AF319" s="6"/>
      <c r="AG319" s="6"/>
    </row>
    <row r="320" spans="1:33" x14ac:dyDescent="0.25">
      <c r="A320" s="157">
        <f t="shared" si="10"/>
        <v>319</v>
      </c>
      <c r="B320" s="519" t="s">
        <v>4356</v>
      </c>
      <c r="C320" s="519" t="s">
        <v>4356</v>
      </c>
      <c r="D320" s="520" t="s">
        <v>5822</v>
      </c>
      <c r="E320" s="6"/>
      <c r="F320" s="7"/>
      <c r="G320" s="7" t="s">
        <v>628</v>
      </c>
      <c r="H320" s="7"/>
      <c r="I320" s="7" t="s">
        <v>3972</v>
      </c>
      <c r="J320" s="7" t="s">
        <v>5251</v>
      </c>
      <c r="K320" s="7"/>
      <c r="L320" s="7" t="s">
        <v>171</v>
      </c>
      <c r="M320" s="7">
        <f t="shared" si="11"/>
        <v>0</v>
      </c>
      <c r="N320" s="6"/>
      <c r="O320" s="6"/>
      <c r="P320" s="6"/>
      <c r="Q320" s="6"/>
      <c r="R320" s="6"/>
      <c r="S320" s="6"/>
      <c r="T320" s="6"/>
      <c r="U320" s="6"/>
      <c r="V320" s="6"/>
      <c r="W320" s="6"/>
      <c r="X320" s="6"/>
      <c r="Y320" s="6"/>
      <c r="Z320" s="6"/>
      <c r="AA320" s="6"/>
      <c r="AB320" s="6"/>
      <c r="AC320" s="6"/>
      <c r="AD320" s="6"/>
      <c r="AE320" s="6"/>
      <c r="AF320" s="6"/>
      <c r="AG320" s="6"/>
    </row>
    <row r="321" spans="1:33" x14ac:dyDescent="0.25">
      <c r="A321" s="157">
        <f t="shared" si="10"/>
        <v>320</v>
      </c>
      <c r="B321" s="519" t="s">
        <v>4357</v>
      </c>
      <c r="C321" s="519" t="s">
        <v>4357</v>
      </c>
      <c r="D321" s="520" t="s">
        <v>5823</v>
      </c>
      <c r="E321" s="6"/>
      <c r="F321" s="7"/>
      <c r="G321" s="7" t="s">
        <v>628</v>
      </c>
      <c r="H321" s="7"/>
      <c r="I321" s="7" t="s">
        <v>3972</v>
      </c>
      <c r="J321" s="7" t="s">
        <v>5249</v>
      </c>
      <c r="K321" s="7"/>
      <c r="L321" s="7" t="s">
        <v>171</v>
      </c>
      <c r="M321" s="7">
        <f t="shared" si="11"/>
        <v>0</v>
      </c>
      <c r="N321" s="6"/>
      <c r="O321" s="6"/>
      <c r="P321" s="6"/>
      <c r="Q321" s="6"/>
      <c r="R321" s="6"/>
      <c r="S321" s="6"/>
      <c r="T321" s="6"/>
      <c r="U321" s="6"/>
      <c r="V321" s="6"/>
      <c r="W321" s="6"/>
      <c r="X321" s="6"/>
      <c r="Y321" s="6"/>
      <c r="Z321" s="6"/>
      <c r="AA321" s="6"/>
      <c r="AB321" s="6"/>
      <c r="AC321" s="6"/>
      <c r="AD321" s="6"/>
      <c r="AE321" s="6"/>
      <c r="AF321" s="6"/>
      <c r="AG321" s="6"/>
    </row>
    <row r="322" spans="1:33" x14ac:dyDescent="0.25">
      <c r="A322" s="157">
        <f t="shared" si="10"/>
        <v>321</v>
      </c>
      <c r="B322" s="519" t="s">
        <v>4358</v>
      </c>
      <c r="C322" s="519" t="s">
        <v>4358</v>
      </c>
      <c r="D322" s="520" t="s">
        <v>5653</v>
      </c>
      <c r="E322" s="6"/>
      <c r="F322" s="7"/>
      <c r="G322" s="7" t="s">
        <v>628</v>
      </c>
      <c r="H322" s="7"/>
      <c r="I322" s="7" t="s">
        <v>3972</v>
      </c>
      <c r="J322" s="7" t="s">
        <v>5252</v>
      </c>
      <c r="K322" s="7"/>
      <c r="L322" s="7" t="s">
        <v>171</v>
      </c>
      <c r="M322" s="7">
        <f t="shared" si="11"/>
        <v>0</v>
      </c>
      <c r="N322" s="6"/>
      <c r="O322" s="6"/>
      <c r="P322" s="6"/>
      <c r="Q322" s="6"/>
      <c r="R322" s="6"/>
      <c r="S322" s="6"/>
      <c r="T322" s="6"/>
      <c r="U322" s="6"/>
      <c r="V322" s="6"/>
      <c r="W322" s="6"/>
      <c r="X322" s="6"/>
      <c r="Y322" s="6"/>
      <c r="Z322" s="6"/>
      <c r="AA322" s="6"/>
      <c r="AB322" s="6"/>
      <c r="AC322" s="6"/>
      <c r="AD322" s="6"/>
      <c r="AE322" s="6"/>
      <c r="AF322" s="6"/>
      <c r="AG322" s="6"/>
    </row>
    <row r="323" spans="1:33" x14ac:dyDescent="0.25">
      <c r="A323" s="157">
        <f t="shared" ref="A323:A386" si="12">IF(B323="","",1+A322)</f>
        <v>322</v>
      </c>
      <c r="B323" s="519" t="s">
        <v>4359</v>
      </c>
      <c r="C323" s="519" t="s">
        <v>4359</v>
      </c>
      <c r="D323" s="520" t="s">
        <v>5824</v>
      </c>
      <c r="E323" s="6"/>
      <c r="F323" s="7"/>
      <c r="G323" s="7" t="s">
        <v>628</v>
      </c>
      <c r="H323" s="7"/>
      <c r="I323" s="7" t="s">
        <v>3972</v>
      </c>
      <c r="J323" s="7" t="s">
        <v>5253</v>
      </c>
      <c r="K323" s="7"/>
      <c r="L323" s="7" t="s">
        <v>171</v>
      </c>
      <c r="M323" s="7">
        <f t="shared" ref="M323:M386" si="13">COUNTA(N323:AG323)</f>
        <v>0</v>
      </c>
      <c r="N323" s="6"/>
      <c r="O323" s="6"/>
      <c r="P323" s="6"/>
      <c r="Q323" s="6"/>
      <c r="R323" s="6"/>
      <c r="S323" s="6"/>
      <c r="T323" s="6"/>
      <c r="U323" s="6"/>
      <c r="V323" s="6"/>
      <c r="W323" s="6"/>
      <c r="X323" s="6"/>
      <c r="Y323" s="6"/>
      <c r="Z323" s="6"/>
      <c r="AA323" s="6"/>
      <c r="AB323" s="6"/>
      <c r="AC323" s="6"/>
      <c r="AD323" s="6"/>
      <c r="AE323" s="6"/>
      <c r="AF323" s="6"/>
      <c r="AG323" s="6"/>
    </row>
    <row r="324" spans="1:33" x14ac:dyDescent="0.25">
      <c r="A324" s="157">
        <f t="shared" si="12"/>
        <v>323</v>
      </c>
      <c r="B324" s="519" t="s">
        <v>4360</v>
      </c>
      <c r="C324" s="519" t="s">
        <v>4360</v>
      </c>
      <c r="D324" s="520" t="s">
        <v>5654</v>
      </c>
      <c r="E324" s="6"/>
      <c r="F324" s="7"/>
      <c r="G324" s="7" t="s">
        <v>628</v>
      </c>
      <c r="H324" s="7"/>
      <c r="I324" s="7" t="s">
        <v>3973</v>
      </c>
      <c r="J324" s="7" t="s">
        <v>5250</v>
      </c>
      <c r="K324" s="7"/>
      <c r="L324" s="7" t="s">
        <v>171</v>
      </c>
      <c r="M324" s="7">
        <f t="shared" si="13"/>
        <v>0</v>
      </c>
      <c r="N324" s="6"/>
      <c r="O324" s="6"/>
      <c r="P324" s="6"/>
      <c r="Q324" s="6"/>
      <c r="R324" s="6"/>
      <c r="S324" s="6"/>
      <c r="T324" s="6"/>
      <c r="U324" s="6"/>
      <c r="V324" s="6"/>
      <c r="W324" s="6"/>
      <c r="X324" s="6"/>
      <c r="Y324" s="6"/>
      <c r="Z324" s="6"/>
      <c r="AA324" s="6"/>
      <c r="AB324" s="6"/>
      <c r="AC324" s="6"/>
      <c r="AD324" s="6"/>
      <c r="AE324" s="6"/>
      <c r="AF324" s="6"/>
      <c r="AG324" s="6"/>
    </row>
    <row r="325" spans="1:33" x14ac:dyDescent="0.25">
      <c r="A325" s="157">
        <f t="shared" si="12"/>
        <v>324</v>
      </c>
      <c r="B325" s="519" t="s">
        <v>4361</v>
      </c>
      <c r="C325" s="519" t="s">
        <v>4361</v>
      </c>
      <c r="D325" s="520" t="s">
        <v>5655</v>
      </c>
      <c r="E325" s="6"/>
      <c r="F325" s="7"/>
      <c r="G325" s="7" t="s">
        <v>628</v>
      </c>
      <c r="H325" s="7"/>
      <c r="I325" s="7" t="s">
        <v>3973</v>
      </c>
      <c r="J325" s="7" t="s">
        <v>5251</v>
      </c>
      <c r="K325" s="7"/>
      <c r="L325" s="7" t="s">
        <v>171</v>
      </c>
      <c r="M325" s="7">
        <f t="shared" si="13"/>
        <v>0</v>
      </c>
      <c r="N325" s="6"/>
      <c r="O325" s="6"/>
      <c r="P325" s="6"/>
      <c r="Q325" s="6"/>
      <c r="R325" s="6"/>
      <c r="S325" s="6"/>
      <c r="T325" s="6"/>
      <c r="U325" s="6"/>
      <c r="V325" s="6"/>
      <c r="W325" s="6"/>
      <c r="X325" s="6"/>
      <c r="Y325" s="6"/>
      <c r="Z325" s="6"/>
      <c r="AA325" s="6"/>
      <c r="AB325" s="6"/>
      <c r="AC325" s="6"/>
      <c r="AD325" s="6"/>
      <c r="AE325" s="6"/>
      <c r="AF325" s="6"/>
      <c r="AG325" s="6"/>
    </row>
    <row r="326" spans="1:33" x14ac:dyDescent="0.25">
      <c r="A326" s="157">
        <f t="shared" si="12"/>
        <v>325</v>
      </c>
      <c r="B326" s="519" t="s">
        <v>4362</v>
      </c>
      <c r="C326" s="519" t="s">
        <v>4362</v>
      </c>
      <c r="D326" s="527" t="s">
        <v>5656</v>
      </c>
      <c r="E326" s="6"/>
      <c r="F326" s="7"/>
      <c r="G326" s="7" t="s">
        <v>628</v>
      </c>
      <c r="H326" s="7"/>
      <c r="I326" s="7" t="s">
        <v>3973</v>
      </c>
      <c r="J326" s="7" t="s">
        <v>5249</v>
      </c>
      <c r="K326" s="7"/>
      <c r="L326" s="7" t="s">
        <v>171</v>
      </c>
      <c r="M326" s="7">
        <f t="shared" si="13"/>
        <v>0</v>
      </c>
      <c r="N326" s="6"/>
      <c r="O326" s="6"/>
      <c r="P326" s="6"/>
      <c r="Q326" s="6"/>
      <c r="R326" s="6"/>
      <c r="S326" s="6"/>
      <c r="T326" s="6"/>
      <c r="U326" s="6"/>
      <c r="V326" s="6"/>
      <c r="W326" s="6"/>
      <c r="X326" s="6"/>
      <c r="Y326" s="6"/>
      <c r="Z326" s="6"/>
      <c r="AA326" s="6"/>
      <c r="AB326" s="6"/>
      <c r="AC326" s="6"/>
      <c r="AD326" s="6"/>
      <c r="AE326" s="6"/>
      <c r="AF326" s="6"/>
      <c r="AG326" s="6"/>
    </row>
    <row r="327" spans="1:33" x14ac:dyDescent="0.25">
      <c r="A327" s="157">
        <f t="shared" si="12"/>
        <v>326</v>
      </c>
      <c r="B327" s="519" t="s">
        <v>4363</v>
      </c>
      <c r="C327" s="519" t="s">
        <v>4363</v>
      </c>
      <c r="D327" s="528" t="s">
        <v>5657</v>
      </c>
      <c r="E327" s="6"/>
      <c r="F327" s="7"/>
      <c r="G327" s="7" t="s">
        <v>628</v>
      </c>
      <c r="H327" s="7"/>
      <c r="I327" s="7" t="s">
        <v>3973</v>
      </c>
      <c r="J327" s="7" t="s">
        <v>5252</v>
      </c>
      <c r="K327" s="7"/>
      <c r="L327" s="7" t="s">
        <v>171</v>
      </c>
      <c r="M327" s="7">
        <f t="shared" si="13"/>
        <v>0</v>
      </c>
      <c r="N327" s="6"/>
      <c r="O327" s="6"/>
      <c r="P327" s="6"/>
      <c r="Q327" s="6"/>
      <c r="R327" s="6"/>
      <c r="S327" s="6"/>
      <c r="T327" s="6"/>
      <c r="U327" s="6"/>
      <c r="V327" s="6"/>
      <c r="W327" s="6"/>
      <c r="X327" s="6"/>
      <c r="Y327" s="6"/>
      <c r="Z327" s="6"/>
      <c r="AA327" s="6"/>
      <c r="AB327" s="6"/>
      <c r="AC327" s="6"/>
      <c r="AD327" s="6"/>
      <c r="AE327" s="6"/>
      <c r="AF327" s="6"/>
      <c r="AG327" s="6"/>
    </row>
    <row r="328" spans="1:33" x14ac:dyDescent="0.25">
      <c r="A328" s="157">
        <f t="shared" si="12"/>
        <v>327</v>
      </c>
      <c r="B328" s="519" t="s">
        <v>4364</v>
      </c>
      <c r="C328" s="519" t="s">
        <v>4364</v>
      </c>
      <c r="D328" s="520" t="s">
        <v>5825</v>
      </c>
      <c r="E328" s="6"/>
      <c r="F328" s="7"/>
      <c r="G328" s="7" t="s">
        <v>628</v>
      </c>
      <c r="H328" s="7"/>
      <c r="I328" s="7" t="s">
        <v>3973</v>
      </c>
      <c r="J328" s="7" t="s">
        <v>5253</v>
      </c>
      <c r="K328" s="7"/>
      <c r="L328" s="7" t="s">
        <v>171</v>
      </c>
      <c r="M328" s="7">
        <f t="shared" si="13"/>
        <v>0</v>
      </c>
      <c r="N328" s="6"/>
      <c r="O328" s="6"/>
      <c r="P328" s="6"/>
      <c r="Q328" s="6"/>
      <c r="R328" s="6"/>
      <c r="S328" s="6"/>
      <c r="T328" s="6"/>
      <c r="U328" s="6"/>
      <c r="V328" s="6"/>
      <c r="W328" s="6"/>
      <c r="X328" s="6"/>
      <c r="Y328" s="6"/>
      <c r="Z328" s="6"/>
      <c r="AA328" s="6"/>
      <c r="AB328" s="6"/>
      <c r="AC328" s="6"/>
      <c r="AD328" s="6"/>
      <c r="AE328" s="6"/>
      <c r="AF328" s="6"/>
      <c r="AG328" s="6"/>
    </row>
    <row r="329" spans="1:33" x14ac:dyDescent="0.25">
      <c r="A329" s="157">
        <f t="shared" si="12"/>
        <v>328</v>
      </c>
      <c r="B329" s="519" t="s">
        <v>4365</v>
      </c>
      <c r="C329" s="519" t="s">
        <v>4365</v>
      </c>
      <c r="D329" s="520" t="s">
        <v>5658</v>
      </c>
      <c r="E329" s="6"/>
      <c r="F329" s="7"/>
      <c r="G329" s="7" t="s">
        <v>628</v>
      </c>
      <c r="H329" s="7"/>
      <c r="I329" s="7" t="s">
        <v>3974</v>
      </c>
      <c r="J329" s="7" t="s">
        <v>5250</v>
      </c>
      <c r="K329" s="7"/>
      <c r="L329" s="7" t="s">
        <v>171</v>
      </c>
      <c r="M329" s="7">
        <f t="shared" si="13"/>
        <v>0</v>
      </c>
      <c r="N329" s="6"/>
      <c r="O329" s="6"/>
      <c r="P329" s="6"/>
      <c r="Q329" s="6"/>
      <c r="R329" s="6"/>
      <c r="S329" s="6"/>
      <c r="T329" s="6"/>
      <c r="U329" s="6"/>
      <c r="V329" s="6"/>
      <c r="W329" s="6"/>
      <c r="X329" s="6"/>
      <c r="Y329" s="6"/>
      <c r="Z329" s="6"/>
      <c r="AA329" s="6"/>
      <c r="AB329" s="6"/>
      <c r="AC329" s="6"/>
      <c r="AD329" s="6"/>
      <c r="AE329" s="6"/>
      <c r="AF329" s="6"/>
      <c r="AG329" s="6"/>
    </row>
    <row r="330" spans="1:33" x14ac:dyDescent="0.25">
      <c r="A330" s="157">
        <f t="shared" si="12"/>
        <v>329</v>
      </c>
      <c r="B330" s="519" t="s">
        <v>4366</v>
      </c>
      <c r="C330" s="519" t="s">
        <v>4366</v>
      </c>
      <c r="D330" s="520" t="s">
        <v>5826</v>
      </c>
      <c r="E330" s="6"/>
      <c r="F330" s="7"/>
      <c r="G330" s="7" t="s">
        <v>628</v>
      </c>
      <c r="H330" s="7"/>
      <c r="I330" s="7" t="s">
        <v>3974</v>
      </c>
      <c r="J330" s="7" t="s">
        <v>5251</v>
      </c>
      <c r="K330" s="7"/>
      <c r="L330" s="7" t="s">
        <v>171</v>
      </c>
      <c r="M330" s="7">
        <f t="shared" si="13"/>
        <v>0</v>
      </c>
      <c r="N330" s="6"/>
      <c r="O330" s="6"/>
      <c r="P330" s="6"/>
      <c r="Q330" s="6"/>
      <c r="R330" s="6"/>
      <c r="S330" s="6"/>
      <c r="T330" s="6"/>
      <c r="U330" s="6"/>
      <c r="V330" s="6"/>
      <c r="W330" s="6"/>
      <c r="X330" s="6"/>
      <c r="Y330" s="6"/>
      <c r="Z330" s="6"/>
      <c r="AA330" s="6"/>
      <c r="AB330" s="6"/>
      <c r="AC330" s="6"/>
      <c r="AD330" s="6"/>
      <c r="AE330" s="6"/>
      <c r="AF330" s="6"/>
      <c r="AG330" s="6"/>
    </row>
    <row r="331" spans="1:33" x14ac:dyDescent="0.25">
      <c r="A331" s="157">
        <f t="shared" si="12"/>
        <v>330</v>
      </c>
      <c r="B331" s="519" t="s">
        <v>4367</v>
      </c>
      <c r="C331" s="519" t="s">
        <v>4367</v>
      </c>
      <c r="D331" s="520" t="s">
        <v>5659</v>
      </c>
      <c r="E331" s="6"/>
      <c r="F331" s="7"/>
      <c r="G331" s="7" t="s">
        <v>628</v>
      </c>
      <c r="H331" s="7"/>
      <c r="I331" s="7" t="s">
        <v>3974</v>
      </c>
      <c r="J331" s="7" t="s">
        <v>5249</v>
      </c>
      <c r="K331" s="7"/>
      <c r="L331" s="7" t="s">
        <v>171</v>
      </c>
      <c r="M331" s="7">
        <f t="shared" si="13"/>
        <v>0</v>
      </c>
      <c r="N331" s="6"/>
      <c r="O331" s="6"/>
      <c r="P331" s="6"/>
      <c r="Q331" s="6"/>
      <c r="R331" s="6"/>
      <c r="S331" s="6"/>
      <c r="T331" s="6"/>
      <c r="U331" s="6"/>
      <c r="V331" s="6"/>
      <c r="W331" s="6"/>
      <c r="X331" s="6"/>
      <c r="Y331" s="6"/>
      <c r="Z331" s="6"/>
      <c r="AA331" s="6"/>
      <c r="AB331" s="6"/>
      <c r="AC331" s="6"/>
      <c r="AD331" s="6"/>
      <c r="AE331" s="6"/>
      <c r="AF331" s="6"/>
      <c r="AG331" s="6"/>
    </row>
    <row r="332" spans="1:33" x14ac:dyDescent="0.25">
      <c r="A332" s="157">
        <f t="shared" si="12"/>
        <v>331</v>
      </c>
      <c r="B332" s="519" t="s">
        <v>4368</v>
      </c>
      <c r="C332" s="519" t="s">
        <v>4368</v>
      </c>
      <c r="D332" s="520" t="s">
        <v>5827</v>
      </c>
      <c r="E332" s="6"/>
      <c r="F332" s="7"/>
      <c r="G332" s="7" t="s">
        <v>628</v>
      </c>
      <c r="H332" s="7"/>
      <c r="I332" s="7" t="s">
        <v>3974</v>
      </c>
      <c r="J332" s="7" t="s">
        <v>5252</v>
      </c>
      <c r="K332" s="7"/>
      <c r="L332" s="7" t="s">
        <v>171</v>
      </c>
      <c r="M332" s="7">
        <f t="shared" si="13"/>
        <v>0</v>
      </c>
      <c r="N332" s="6"/>
      <c r="O332" s="6"/>
      <c r="P332" s="6"/>
      <c r="Q332" s="6"/>
      <c r="R332" s="6"/>
      <c r="S332" s="6"/>
      <c r="T332" s="6"/>
      <c r="U332" s="6"/>
      <c r="V332" s="6"/>
      <c r="W332" s="6"/>
      <c r="X332" s="6"/>
      <c r="Y332" s="6"/>
      <c r="Z332" s="6"/>
      <c r="AA332" s="6"/>
      <c r="AB332" s="6"/>
      <c r="AC332" s="6"/>
      <c r="AD332" s="6"/>
      <c r="AE332" s="6"/>
      <c r="AF332" s="6"/>
      <c r="AG332" s="6"/>
    </row>
    <row r="333" spans="1:33" x14ac:dyDescent="0.25">
      <c r="A333" s="157">
        <f t="shared" si="12"/>
        <v>332</v>
      </c>
      <c r="B333" s="519" t="s">
        <v>4369</v>
      </c>
      <c r="C333" s="519" t="s">
        <v>4369</v>
      </c>
      <c r="D333" s="520" t="s">
        <v>5828</v>
      </c>
      <c r="E333" s="6"/>
      <c r="F333" s="7"/>
      <c r="G333" s="7" t="s">
        <v>628</v>
      </c>
      <c r="H333" s="7"/>
      <c r="I333" s="7" t="s">
        <v>3974</v>
      </c>
      <c r="J333" s="7" t="s">
        <v>5253</v>
      </c>
      <c r="K333" s="7"/>
      <c r="L333" s="7" t="s">
        <v>171</v>
      </c>
      <c r="M333" s="7">
        <f t="shared" si="13"/>
        <v>0</v>
      </c>
      <c r="N333" s="6"/>
      <c r="O333" s="6"/>
      <c r="P333" s="6"/>
      <c r="Q333" s="6"/>
      <c r="R333" s="6"/>
      <c r="S333" s="6"/>
      <c r="T333" s="6"/>
      <c r="U333" s="6"/>
      <c r="V333" s="6"/>
      <c r="W333" s="6"/>
      <c r="X333" s="6"/>
      <c r="Y333" s="6"/>
      <c r="Z333" s="6"/>
      <c r="AA333" s="6"/>
      <c r="AB333" s="6"/>
      <c r="AC333" s="6"/>
      <c r="AD333" s="6"/>
      <c r="AE333" s="6"/>
      <c r="AF333" s="6"/>
      <c r="AG333" s="6"/>
    </row>
    <row r="334" spans="1:33" x14ac:dyDescent="0.25">
      <c r="A334" s="157">
        <f t="shared" si="12"/>
        <v>333</v>
      </c>
      <c r="B334" s="519" t="s">
        <v>4370</v>
      </c>
      <c r="C334" s="519" t="s">
        <v>4370</v>
      </c>
      <c r="D334" s="520" t="s">
        <v>5660</v>
      </c>
      <c r="E334" s="6"/>
      <c r="F334" s="7"/>
      <c r="G334" s="7" t="s">
        <v>628</v>
      </c>
      <c r="H334" s="7"/>
      <c r="I334" s="7" t="s">
        <v>3975</v>
      </c>
      <c r="J334" s="7" t="s">
        <v>5250</v>
      </c>
      <c r="K334" s="7"/>
      <c r="L334" s="7" t="s">
        <v>171</v>
      </c>
      <c r="M334" s="7">
        <f t="shared" si="13"/>
        <v>0</v>
      </c>
      <c r="N334" s="6"/>
      <c r="O334" s="6"/>
      <c r="P334" s="6"/>
      <c r="Q334" s="6"/>
      <c r="R334" s="6"/>
      <c r="S334" s="6"/>
      <c r="T334" s="6"/>
      <c r="U334" s="6"/>
      <c r="V334" s="6"/>
      <c r="W334" s="6"/>
      <c r="X334" s="6"/>
      <c r="Y334" s="6"/>
      <c r="Z334" s="6"/>
      <c r="AA334" s="6"/>
      <c r="AB334" s="6"/>
      <c r="AC334" s="6"/>
      <c r="AD334" s="6"/>
      <c r="AE334" s="6"/>
      <c r="AF334" s="6"/>
      <c r="AG334" s="6"/>
    </row>
    <row r="335" spans="1:33" x14ac:dyDescent="0.25">
      <c r="A335" s="157">
        <f t="shared" si="12"/>
        <v>334</v>
      </c>
      <c r="B335" s="519" t="s">
        <v>4371</v>
      </c>
      <c r="C335" s="519" t="s">
        <v>4371</v>
      </c>
      <c r="D335" s="520" t="s">
        <v>5661</v>
      </c>
      <c r="E335" s="6"/>
      <c r="F335" s="7"/>
      <c r="G335" s="7" t="s">
        <v>628</v>
      </c>
      <c r="H335" s="7"/>
      <c r="I335" s="7" t="s">
        <v>3975</v>
      </c>
      <c r="J335" s="7" t="s">
        <v>5251</v>
      </c>
      <c r="K335" s="7"/>
      <c r="L335" s="7" t="s">
        <v>171</v>
      </c>
      <c r="M335" s="7">
        <f t="shared" si="13"/>
        <v>0</v>
      </c>
      <c r="N335" s="6"/>
      <c r="O335" s="6"/>
      <c r="P335" s="6"/>
      <c r="Q335" s="6"/>
      <c r="R335" s="6"/>
      <c r="S335" s="6"/>
      <c r="T335" s="6"/>
      <c r="U335" s="6"/>
      <c r="V335" s="6"/>
      <c r="W335" s="6"/>
      <c r="X335" s="6"/>
      <c r="Y335" s="6"/>
      <c r="Z335" s="6"/>
      <c r="AA335" s="6"/>
      <c r="AB335" s="6"/>
      <c r="AC335" s="6"/>
      <c r="AD335" s="6"/>
      <c r="AE335" s="6"/>
      <c r="AF335" s="6"/>
      <c r="AG335" s="6"/>
    </row>
    <row r="336" spans="1:33" x14ac:dyDescent="0.25">
      <c r="A336" s="157">
        <f t="shared" si="12"/>
        <v>335</v>
      </c>
      <c r="B336" s="519" t="s">
        <v>4372</v>
      </c>
      <c r="C336" s="519" t="s">
        <v>4372</v>
      </c>
      <c r="D336" s="520" t="s">
        <v>5829</v>
      </c>
      <c r="E336" s="6"/>
      <c r="F336" s="7"/>
      <c r="G336" s="7" t="s">
        <v>628</v>
      </c>
      <c r="H336" s="7"/>
      <c r="I336" s="7" t="s">
        <v>3975</v>
      </c>
      <c r="J336" s="7" t="s">
        <v>5249</v>
      </c>
      <c r="K336" s="7"/>
      <c r="L336" s="7" t="s">
        <v>171</v>
      </c>
      <c r="M336" s="7">
        <f t="shared" si="13"/>
        <v>0</v>
      </c>
      <c r="N336" s="6"/>
      <c r="O336" s="6"/>
      <c r="P336" s="6"/>
      <c r="Q336" s="6"/>
      <c r="R336" s="6"/>
      <c r="S336" s="6"/>
      <c r="T336" s="6"/>
      <c r="U336" s="6"/>
      <c r="V336" s="6"/>
      <c r="W336" s="6"/>
      <c r="X336" s="6"/>
      <c r="Y336" s="6"/>
      <c r="Z336" s="6"/>
      <c r="AA336" s="6"/>
      <c r="AB336" s="6"/>
      <c r="AC336" s="6"/>
      <c r="AD336" s="6"/>
      <c r="AE336" s="6"/>
      <c r="AF336" s="6"/>
      <c r="AG336" s="6"/>
    </row>
    <row r="337" spans="1:33" x14ac:dyDescent="0.25">
      <c r="A337" s="157">
        <f t="shared" si="12"/>
        <v>336</v>
      </c>
      <c r="B337" s="519" t="s">
        <v>4373</v>
      </c>
      <c r="C337" s="519" t="s">
        <v>4373</v>
      </c>
      <c r="D337" s="520" t="s">
        <v>5662</v>
      </c>
      <c r="E337" s="6"/>
      <c r="F337" s="7"/>
      <c r="G337" s="7" t="s">
        <v>628</v>
      </c>
      <c r="H337" s="7"/>
      <c r="I337" s="7" t="s">
        <v>3975</v>
      </c>
      <c r="J337" s="7" t="s">
        <v>5252</v>
      </c>
      <c r="K337" s="7"/>
      <c r="L337" s="7" t="s">
        <v>171</v>
      </c>
      <c r="M337" s="7">
        <f t="shared" si="13"/>
        <v>0</v>
      </c>
      <c r="N337" s="6"/>
      <c r="O337" s="6"/>
      <c r="P337" s="6"/>
      <c r="Q337" s="6"/>
      <c r="R337" s="6"/>
      <c r="S337" s="6"/>
      <c r="T337" s="6"/>
      <c r="U337" s="6"/>
      <c r="V337" s="6"/>
      <c r="W337" s="6"/>
      <c r="X337" s="6"/>
      <c r="Y337" s="6"/>
      <c r="Z337" s="6"/>
      <c r="AA337" s="6"/>
      <c r="AB337" s="6"/>
      <c r="AC337" s="6"/>
      <c r="AD337" s="6"/>
      <c r="AE337" s="6"/>
      <c r="AF337" s="6"/>
      <c r="AG337" s="6"/>
    </row>
    <row r="338" spans="1:33" x14ac:dyDescent="0.25">
      <c r="A338" s="157">
        <f t="shared" si="12"/>
        <v>337</v>
      </c>
      <c r="B338" s="519" t="s">
        <v>4374</v>
      </c>
      <c r="C338" s="519" t="s">
        <v>4374</v>
      </c>
      <c r="D338" s="520" t="s">
        <v>5830</v>
      </c>
      <c r="E338" s="6"/>
      <c r="F338" s="7"/>
      <c r="G338" s="7" t="s">
        <v>628</v>
      </c>
      <c r="H338" s="7"/>
      <c r="I338" s="7" t="s">
        <v>3975</v>
      </c>
      <c r="J338" s="7" t="s">
        <v>5253</v>
      </c>
      <c r="K338" s="7"/>
      <c r="L338" s="7" t="s">
        <v>171</v>
      </c>
      <c r="M338" s="7">
        <f t="shared" si="13"/>
        <v>0</v>
      </c>
      <c r="N338" s="6"/>
      <c r="O338" s="6"/>
      <c r="P338" s="6"/>
      <c r="Q338" s="6"/>
      <c r="R338" s="6"/>
      <c r="S338" s="6"/>
      <c r="T338" s="6"/>
      <c r="U338" s="6"/>
      <c r="V338" s="6"/>
      <c r="W338" s="6"/>
      <c r="X338" s="6"/>
      <c r="Y338" s="6"/>
      <c r="Z338" s="6"/>
      <c r="AA338" s="6"/>
      <c r="AB338" s="6"/>
      <c r="AC338" s="6"/>
      <c r="AD338" s="6"/>
      <c r="AE338" s="6"/>
      <c r="AF338" s="6"/>
      <c r="AG338" s="6"/>
    </row>
    <row r="339" spans="1:33" x14ac:dyDescent="0.25">
      <c r="A339" s="157">
        <f t="shared" si="12"/>
        <v>338</v>
      </c>
      <c r="B339" s="519" t="s">
        <v>4375</v>
      </c>
      <c r="C339" s="519" t="s">
        <v>4375</v>
      </c>
      <c r="D339" s="520" t="s">
        <v>5663</v>
      </c>
      <c r="E339" s="6"/>
      <c r="F339" s="7"/>
      <c r="G339" s="7" t="s">
        <v>628</v>
      </c>
      <c r="H339" s="7"/>
      <c r="I339" s="7" t="s">
        <v>3976</v>
      </c>
      <c r="J339" s="7" t="s">
        <v>5250</v>
      </c>
      <c r="K339" s="7"/>
      <c r="L339" s="7" t="s">
        <v>171</v>
      </c>
      <c r="M339" s="7">
        <f t="shared" si="13"/>
        <v>0</v>
      </c>
      <c r="N339" s="6"/>
      <c r="O339" s="6"/>
      <c r="P339" s="6"/>
      <c r="Q339" s="6"/>
      <c r="R339" s="6"/>
      <c r="S339" s="6"/>
      <c r="T339" s="6"/>
      <c r="U339" s="6"/>
      <c r="V339" s="6"/>
      <c r="W339" s="6"/>
      <c r="X339" s="6"/>
      <c r="Y339" s="6"/>
      <c r="Z339" s="6"/>
      <c r="AA339" s="6"/>
      <c r="AB339" s="6"/>
      <c r="AC339" s="6"/>
      <c r="AD339" s="6"/>
      <c r="AE339" s="6"/>
      <c r="AF339" s="6"/>
      <c r="AG339" s="6"/>
    </row>
    <row r="340" spans="1:33" x14ac:dyDescent="0.25">
      <c r="A340" s="157">
        <f t="shared" si="12"/>
        <v>339</v>
      </c>
      <c r="B340" s="519" t="s">
        <v>4376</v>
      </c>
      <c r="C340" s="519" t="s">
        <v>4376</v>
      </c>
      <c r="D340" s="520" t="s">
        <v>5664</v>
      </c>
      <c r="E340" s="6"/>
      <c r="F340" s="7"/>
      <c r="G340" s="7" t="s">
        <v>628</v>
      </c>
      <c r="H340" s="7"/>
      <c r="I340" s="7" t="s">
        <v>3976</v>
      </c>
      <c r="J340" s="7" t="s">
        <v>5251</v>
      </c>
      <c r="K340" s="7"/>
      <c r="L340" s="7" t="s">
        <v>171</v>
      </c>
      <c r="M340" s="7">
        <f t="shared" si="13"/>
        <v>0</v>
      </c>
      <c r="N340" s="6"/>
      <c r="O340" s="6"/>
      <c r="P340" s="6"/>
      <c r="Q340" s="6"/>
      <c r="R340" s="6"/>
      <c r="S340" s="6"/>
      <c r="T340" s="6"/>
      <c r="U340" s="6"/>
      <c r="V340" s="6"/>
      <c r="W340" s="6"/>
      <c r="X340" s="6"/>
      <c r="Y340" s="6"/>
      <c r="Z340" s="6"/>
      <c r="AA340" s="6"/>
      <c r="AB340" s="6"/>
      <c r="AC340" s="6"/>
      <c r="AD340" s="6"/>
      <c r="AE340" s="6"/>
      <c r="AF340" s="6"/>
      <c r="AG340" s="6"/>
    </row>
    <row r="341" spans="1:33" x14ac:dyDescent="0.25">
      <c r="A341" s="157">
        <f t="shared" si="12"/>
        <v>340</v>
      </c>
      <c r="B341" s="519" t="s">
        <v>4377</v>
      </c>
      <c r="C341" s="519" t="s">
        <v>4377</v>
      </c>
      <c r="D341" s="520" t="s">
        <v>5831</v>
      </c>
      <c r="E341" s="6"/>
      <c r="F341" s="7"/>
      <c r="G341" s="7" t="s">
        <v>628</v>
      </c>
      <c r="H341" s="7"/>
      <c r="I341" s="7" t="s">
        <v>3976</v>
      </c>
      <c r="J341" s="7" t="s">
        <v>5249</v>
      </c>
      <c r="K341" s="7"/>
      <c r="L341" s="7" t="s">
        <v>171</v>
      </c>
      <c r="M341" s="7">
        <f t="shared" si="13"/>
        <v>0</v>
      </c>
      <c r="N341" s="6"/>
      <c r="O341" s="6"/>
      <c r="P341" s="6"/>
      <c r="Q341" s="6"/>
      <c r="R341" s="6"/>
      <c r="S341" s="6"/>
      <c r="T341" s="6"/>
      <c r="U341" s="6"/>
      <c r="V341" s="6"/>
      <c r="W341" s="6"/>
      <c r="X341" s="6"/>
      <c r="Y341" s="6"/>
      <c r="Z341" s="6"/>
      <c r="AA341" s="6"/>
      <c r="AB341" s="6"/>
      <c r="AC341" s="6"/>
      <c r="AD341" s="6"/>
      <c r="AE341" s="6"/>
      <c r="AF341" s="6"/>
      <c r="AG341" s="6"/>
    </row>
    <row r="342" spans="1:33" x14ac:dyDescent="0.25">
      <c r="A342" s="157">
        <f t="shared" si="12"/>
        <v>341</v>
      </c>
      <c r="B342" s="519" t="s">
        <v>3519</v>
      </c>
      <c r="C342" s="519" t="s">
        <v>3519</v>
      </c>
      <c r="D342" s="520" t="s">
        <v>5832</v>
      </c>
      <c r="E342" s="6"/>
      <c r="F342" s="7"/>
      <c r="G342" s="7" t="s">
        <v>628</v>
      </c>
      <c r="H342" s="7"/>
      <c r="I342" s="7" t="s">
        <v>3976</v>
      </c>
      <c r="J342" s="7" t="s">
        <v>5252</v>
      </c>
      <c r="K342" s="7"/>
      <c r="L342" s="7" t="s">
        <v>171</v>
      </c>
      <c r="M342" s="7">
        <f t="shared" si="13"/>
        <v>0</v>
      </c>
      <c r="N342" s="6"/>
      <c r="O342" s="6"/>
      <c r="P342" s="6"/>
      <c r="Q342" s="6"/>
      <c r="R342" s="6"/>
      <c r="S342" s="6"/>
      <c r="T342" s="6"/>
      <c r="U342" s="6"/>
      <c r="V342" s="6"/>
      <c r="W342" s="6"/>
      <c r="X342" s="6"/>
      <c r="Y342" s="6"/>
      <c r="Z342" s="6"/>
      <c r="AA342" s="6"/>
      <c r="AB342" s="6"/>
      <c r="AC342" s="6"/>
      <c r="AD342" s="6"/>
      <c r="AE342" s="6"/>
      <c r="AF342" s="6"/>
      <c r="AG342" s="6"/>
    </row>
    <row r="343" spans="1:33" x14ac:dyDescent="0.25">
      <c r="A343" s="157">
        <f t="shared" si="12"/>
        <v>342</v>
      </c>
      <c r="B343" s="519" t="s">
        <v>4378</v>
      </c>
      <c r="C343" s="519" t="s">
        <v>4378</v>
      </c>
      <c r="D343" s="520" t="s">
        <v>5833</v>
      </c>
      <c r="E343" s="6"/>
      <c r="F343" s="7"/>
      <c r="G343" s="7" t="s">
        <v>628</v>
      </c>
      <c r="H343" s="7"/>
      <c r="I343" s="7" t="s">
        <v>3976</v>
      </c>
      <c r="J343" s="7" t="s">
        <v>5253</v>
      </c>
      <c r="K343" s="7"/>
      <c r="L343" s="7" t="s">
        <v>171</v>
      </c>
      <c r="M343" s="7">
        <f t="shared" si="13"/>
        <v>0</v>
      </c>
      <c r="N343" s="6"/>
      <c r="O343" s="6"/>
      <c r="P343" s="6"/>
      <c r="Q343" s="6"/>
      <c r="R343" s="6"/>
      <c r="S343" s="6"/>
      <c r="T343" s="6"/>
      <c r="U343" s="6"/>
      <c r="V343" s="6"/>
      <c r="W343" s="6"/>
      <c r="X343" s="6"/>
      <c r="Y343" s="6"/>
      <c r="Z343" s="6"/>
      <c r="AA343" s="6"/>
      <c r="AB343" s="6"/>
      <c r="AC343" s="6"/>
      <c r="AD343" s="6"/>
      <c r="AE343" s="6"/>
      <c r="AF343" s="6"/>
      <c r="AG343" s="6"/>
    </row>
    <row r="344" spans="1:33" x14ac:dyDescent="0.25">
      <c r="A344" s="157">
        <f t="shared" si="12"/>
        <v>343</v>
      </c>
      <c r="B344" s="519" t="s">
        <v>5172</v>
      </c>
      <c r="C344" s="519" t="s">
        <v>270</v>
      </c>
      <c r="D344" s="520" t="s">
        <v>3857</v>
      </c>
      <c r="E344" s="6" t="s">
        <v>6019</v>
      </c>
      <c r="F344" s="7" t="s">
        <v>270</v>
      </c>
      <c r="G344" s="7" t="s">
        <v>1112</v>
      </c>
      <c r="H344" s="7"/>
      <c r="I344" s="7"/>
      <c r="J344" s="7"/>
      <c r="K344" s="7"/>
      <c r="L344" s="7"/>
      <c r="M344" s="7">
        <f t="shared" si="13"/>
        <v>0</v>
      </c>
      <c r="N344" s="6"/>
      <c r="O344" s="6"/>
      <c r="P344" s="6"/>
      <c r="Q344" s="6"/>
      <c r="R344" s="6"/>
      <c r="S344" s="6"/>
      <c r="T344" s="6"/>
      <c r="U344" s="6"/>
      <c r="V344" s="6"/>
      <c r="W344" s="6"/>
      <c r="X344" s="6"/>
      <c r="Y344" s="6"/>
      <c r="Z344" s="6"/>
      <c r="AA344" s="6"/>
      <c r="AB344" s="6"/>
      <c r="AC344" s="6"/>
      <c r="AD344" s="6"/>
      <c r="AE344" s="6"/>
      <c r="AF344" s="6"/>
      <c r="AG344" s="6"/>
    </row>
    <row r="345" spans="1:33" x14ac:dyDescent="0.25">
      <c r="A345" s="157">
        <f t="shared" si="12"/>
        <v>344</v>
      </c>
      <c r="B345" s="529" t="s">
        <v>4025</v>
      </c>
      <c r="C345" s="519" t="s">
        <v>4025</v>
      </c>
      <c r="D345" s="520" t="s">
        <v>5212</v>
      </c>
      <c r="E345" s="6"/>
      <c r="F345" s="7" t="s">
        <v>4023</v>
      </c>
      <c r="G345" s="7"/>
      <c r="H345" s="7"/>
      <c r="I345" s="7"/>
      <c r="J345" s="7"/>
      <c r="K345" s="7"/>
      <c r="L345" s="7"/>
      <c r="M345" s="7">
        <f t="shared" si="13"/>
        <v>0</v>
      </c>
      <c r="N345" s="6"/>
      <c r="O345" s="6"/>
      <c r="P345" s="6"/>
      <c r="Q345" s="6"/>
      <c r="R345" s="6"/>
      <c r="S345" s="6"/>
      <c r="T345" s="6"/>
      <c r="U345" s="6"/>
      <c r="V345" s="6"/>
      <c r="W345" s="6"/>
      <c r="X345" s="6"/>
      <c r="Y345" s="6"/>
      <c r="Z345" s="6"/>
      <c r="AA345" s="6"/>
      <c r="AB345" s="6"/>
      <c r="AC345" s="6"/>
      <c r="AD345" s="6"/>
      <c r="AE345" s="6"/>
      <c r="AF345" s="6"/>
      <c r="AG345" s="6"/>
    </row>
    <row r="346" spans="1:33" x14ac:dyDescent="0.25">
      <c r="A346" s="157">
        <f t="shared" si="12"/>
        <v>345</v>
      </c>
      <c r="B346" s="529" t="s">
        <v>4026</v>
      </c>
      <c r="C346" s="519" t="s">
        <v>4026</v>
      </c>
      <c r="D346" s="520" t="s">
        <v>5213</v>
      </c>
      <c r="E346" s="6"/>
      <c r="F346" s="7" t="s">
        <v>4023</v>
      </c>
      <c r="G346" s="7"/>
      <c r="H346" s="7"/>
      <c r="I346" s="7"/>
      <c r="J346" s="7"/>
      <c r="K346" s="7"/>
      <c r="L346" s="7"/>
      <c r="M346" s="7">
        <f t="shared" si="13"/>
        <v>0</v>
      </c>
      <c r="N346" s="6"/>
      <c r="O346" s="6"/>
      <c r="P346" s="6"/>
      <c r="Q346" s="6"/>
      <c r="R346" s="6"/>
      <c r="S346" s="6"/>
      <c r="T346" s="6"/>
      <c r="U346" s="6"/>
      <c r="V346" s="6"/>
      <c r="W346" s="6"/>
      <c r="X346" s="6"/>
      <c r="Y346" s="6"/>
      <c r="Z346" s="6"/>
      <c r="AA346" s="6"/>
      <c r="AB346" s="6"/>
      <c r="AC346" s="6"/>
      <c r="AD346" s="6"/>
      <c r="AE346" s="6"/>
      <c r="AF346" s="6"/>
      <c r="AG346" s="6"/>
    </row>
    <row r="347" spans="1:33" x14ac:dyDescent="0.25">
      <c r="A347" s="157">
        <f t="shared" si="12"/>
        <v>346</v>
      </c>
      <c r="B347" s="529" t="s">
        <v>4027</v>
      </c>
      <c r="C347" s="519" t="s">
        <v>4027</v>
      </c>
      <c r="D347" s="520" t="s">
        <v>5214</v>
      </c>
      <c r="E347" s="6"/>
      <c r="F347" s="7" t="s">
        <v>4023</v>
      </c>
      <c r="G347" s="7"/>
      <c r="H347" s="7"/>
      <c r="I347" s="7"/>
      <c r="J347" s="7"/>
      <c r="K347" s="7"/>
      <c r="L347" s="7"/>
      <c r="M347" s="7">
        <f t="shared" si="13"/>
        <v>0</v>
      </c>
      <c r="N347" s="6"/>
      <c r="O347" s="6"/>
      <c r="P347" s="6"/>
      <c r="Q347" s="6"/>
      <c r="R347" s="6"/>
      <c r="S347" s="6"/>
      <c r="T347" s="6"/>
      <c r="U347" s="6"/>
      <c r="V347" s="6"/>
      <c r="W347" s="6"/>
      <c r="X347" s="6"/>
      <c r="Y347" s="6"/>
      <c r="Z347" s="6"/>
      <c r="AA347" s="6"/>
      <c r="AB347" s="6"/>
      <c r="AC347" s="6"/>
      <c r="AD347" s="6"/>
      <c r="AE347" s="6"/>
      <c r="AF347" s="6"/>
      <c r="AG347" s="6"/>
    </row>
    <row r="348" spans="1:33" x14ac:dyDescent="0.25">
      <c r="A348" s="157">
        <f t="shared" si="12"/>
        <v>347</v>
      </c>
      <c r="B348" s="529" t="s">
        <v>4028</v>
      </c>
      <c r="C348" s="519" t="s">
        <v>4028</v>
      </c>
      <c r="D348" s="520" t="s">
        <v>5713</v>
      </c>
      <c r="E348" s="6"/>
      <c r="F348" s="7" t="s">
        <v>4023</v>
      </c>
      <c r="G348" s="7"/>
      <c r="H348" s="7"/>
      <c r="I348" s="7"/>
      <c r="J348" s="7"/>
      <c r="K348" s="7"/>
      <c r="L348" s="7"/>
      <c r="M348" s="7">
        <f t="shared" si="13"/>
        <v>0</v>
      </c>
      <c r="N348" s="6"/>
      <c r="O348" s="6"/>
      <c r="P348" s="6"/>
      <c r="Q348" s="6"/>
      <c r="R348" s="6"/>
      <c r="S348" s="6"/>
      <c r="T348" s="6"/>
      <c r="U348" s="6"/>
      <c r="V348" s="6"/>
      <c r="W348" s="6"/>
      <c r="X348" s="6"/>
      <c r="Y348" s="6"/>
      <c r="Z348" s="6"/>
      <c r="AA348" s="6"/>
      <c r="AB348" s="6"/>
      <c r="AC348" s="6"/>
      <c r="AD348" s="6"/>
      <c r="AE348" s="6"/>
      <c r="AF348" s="6"/>
      <c r="AG348" s="6"/>
    </row>
    <row r="349" spans="1:33" x14ac:dyDescent="0.25">
      <c r="A349" s="157">
        <f t="shared" si="12"/>
        <v>348</v>
      </c>
      <c r="B349" s="529" t="s">
        <v>4029</v>
      </c>
      <c r="C349" s="519" t="s">
        <v>4029</v>
      </c>
      <c r="D349" s="520" t="s">
        <v>5714</v>
      </c>
      <c r="E349" s="6"/>
      <c r="F349" s="7" t="s">
        <v>4023</v>
      </c>
      <c r="G349" s="7"/>
      <c r="H349" s="7"/>
      <c r="I349" s="7"/>
      <c r="J349" s="7"/>
      <c r="K349" s="7"/>
      <c r="L349" s="7"/>
      <c r="M349" s="7">
        <f t="shared" si="13"/>
        <v>0</v>
      </c>
      <c r="N349" s="6"/>
      <c r="O349" s="6"/>
      <c r="P349" s="6"/>
      <c r="Q349" s="6"/>
      <c r="R349" s="6"/>
      <c r="S349" s="6"/>
      <c r="T349" s="6"/>
      <c r="U349" s="6"/>
      <c r="V349" s="6"/>
      <c r="W349" s="6"/>
      <c r="X349" s="6"/>
      <c r="Y349" s="6"/>
      <c r="Z349" s="6"/>
      <c r="AA349" s="6"/>
      <c r="AB349" s="6"/>
      <c r="AC349" s="6"/>
      <c r="AD349" s="6"/>
      <c r="AE349" s="6"/>
      <c r="AF349" s="6"/>
      <c r="AG349" s="6"/>
    </row>
    <row r="350" spans="1:33" x14ac:dyDescent="0.25">
      <c r="A350" s="157">
        <f t="shared" si="12"/>
        <v>349</v>
      </c>
      <c r="B350" s="529" t="s">
        <v>4030</v>
      </c>
      <c r="C350" s="519" t="s">
        <v>4030</v>
      </c>
      <c r="D350" s="520" t="s">
        <v>5215</v>
      </c>
      <c r="E350" s="6"/>
      <c r="F350" s="7" t="s">
        <v>4023</v>
      </c>
      <c r="G350" s="7"/>
      <c r="H350" s="7"/>
      <c r="I350" s="7"/>
      <c r="J350" s="7"/>
      <c r="K350" s="7"/>
      <c r="L350" s="7"/>
      <c r="M350" s="7">
        <f t="shared" si="13"/>
        <v>0</v>
      </c>
      <c r="N350" s="6"/>
      <c r="O350" s="6"/>
      <c r="P350" s="6"/>
      <c r="Q350" s="6"/>
      <c r="R350" s="6"/>
      <c r="S350" s="6"/>
      <c r="T350" s="6"/>
      <c r="U350" s="6"/>
      <c r="V350" s="6"/>
      <c r="W350" s="6"/>
      <c r="X350" s="6"/>
      <c r="Y350" s="6"/>
      <c r="Z350" s="6"/>
      <c r="AA350" s="6"/>
      <c r="AB350" s="6"/>
      <c r="AC350" s="6"/>
      <c r="AD350" s="6"/>
      <c r="AE350" s="6"/>
      <c r="AF350" s="6"/>
      <c r="AG350" s="6"/>
    </row>
    <row r="351" spans="1:33" x14ac:dyDescent="0.25">
      <c r="A351" s="157">
        <f t="shared" si="12"/>
        <v>350</v>
      </c>
      <c r="B351" s="519" t="s">
        <v>4441</v>
      </c>
      <c r="C351" s="519" t="s">
        <v>4441</v>
      </c>
      <c r="D351" s="520" t="s">
        <v>5216</v>
      </c>
      <c r="E351" s="6"/>
      <c r="F351" s="7" t="s">
        <v>5232</v>
      </c>
      <c r="G351" s="7"/>
      <c r="H351" s="7"/>
      <c r="I351" s="7"/>
      <c r="J351" s="7"/>
      <c r="K351" s="7"/>
      <c r="L351" s="7"/>
      <c r="M351" s="7">
        <f t="shared" si="13"/>
        <v>0</v>
      </c>
      <c r="N351" s="6"/>
      <c r="O351" s="6"/>
      <c r="P351" s="6"/>
      <c r="Q351" s="6"/>
      <c r="R351" s="6"/>
      <c r="S351" s="6"/>
      <c r="T351" s="6"/>
      <c r="U351" s="6"/>
      <c r="V351" s="6"/>
      <c r="W351" s="6"/>
      <c r="X351" s="6"/>
      <c r="Y351" s="6"/>
      <c r="Z351" s="6"/>
      <c r="AA351" s="6"/>
      <c r="AB351" s="6"/>
      <c r="AC351" s="6"/>
      <c r="AD351" s="6"/>
      <c r="AE351" s="6"/>
      <c r="AF351" s="6"/>
      <c r="AG351" s="6"/>
    </row>
    <row r="352" spans="1:33" x14ac:dyDescent="0.25">
      <c r="A352" s="157">
        <f t="shared" si="12"/>
        <v>351</v>
      </c>
      <c r="B352" s="519" t="s">
        <v>4442</v>
      </c>
      <c r="C352" s="519" t="s">
        <v>4442</v>
      </c>
      <c r="D352" s="520" t="s">
        <v>5217</v>
      </c>
      <c r="E352" s="6"/>
      <c r="F352" s="7" t="s">
        <v>5232</v>
      </c>
      <c r="G352" s="7"/>
      <c r="H352" s="7"/>
      <c r="I352" s="7"/>
      <c r="J352" s="7"/>
      <c r="K352" s="7"/>
      <c r="L352" s="7"/>
      <c r="M352" s="7">
        <f t="shared" si="13"/>
        <v>0</v>
      </c>
      <c r="N352" s="6"/>
      <c r="O352" s="6"/>
      <c r="P352" s="6"/>
      <c r="Q352" s="6"/>
      <c r="R352" s="6"/>
      <c r="S352" s="6"/>
      <c r="T352" s="6"/>
      <c r="U352" s="6"/>
      <c r="V352" s="6"/>
      <c r="W352" s="6"/>
      <c r="X352" s="6"/>
      <c r="Y352" s="6"/>
      <c r="Z352" s="6"/>
      <c r="AA352" s="6"/>
      <c r="AB352" s="6"/>
      <c r="AC352" s="6"/>
      <c r="AD352" s="6"/>
      <c r="AE352" s="6"/>
      <c r="AF352" s="6"/>
      <c r="AG352" s="6"/>
    </row>
    <row r="353" spans="1:33" x14ac:dyDescent="0.25">
      <c r="A353" s="157">
        <f t="shared" si="12"/>
        <v>352</v>
      </c>
      <c r="B353" s="519" t="s">
        <v>4443</v>
      </c>
      <c r="C353" s="519" t="s">
        <v>4443</v>
      </c>
      <c r="D353" s="520" t="s">
        <v>5218</v>
      </c>
      <c r="E353" s="6"/>
      <c r="F353" s="7" t="s">
        <v>5232</v>
      </c>
      <c r="G353" s="7"/>
      <c r="H353" s="7"/>
      <c r="I353" s="7"/>
      <c r="J353" s="7"/>
      <c r="K353" s="7"/>
      <c r="L353" s="7"/>
      <c r="M353" s="7">
        <f t="shared" si="13"/>
        <v>0</v>
      </c>
      <c r="N353" s="6"/>
      <c r="O353" s="6"/>
      <c r="P353" s="6"/>
      <c r="Q353" s="6"/>
      <c r="R353" s="6"/>
      <c r="S353" s="6"/>
      <c r="T353" s="6"/>
      <c r="U353" s="6"/>
      <c r="V353" s="6"/>
      <c r="W353" s="6"/>
      <c r="X353" s="6"/>
      <c r="Y353" s="6"/>
      <c r="Z353" s="6"/>
      <c r="AA353" s="6"/>
      <c r="AB353" s="6"/>
      <c r="AC353" s="6"/>
      <c r="AD353" s="6"/>
      <c r="AE353" s="6"/>
      <c r="AF353" s="6"/>
      <c r="AG353" s="6"/>
    </row>
    <row r="354" spans="1:33" x14ac:dyDescent="0.25">
      <c r="A354" s="157">
        <f t="shared" si="12"/>
        <v>353</v>
      </c>
      <c r="B354" s="519" t="s">
        <v>4444</v>
      </c>
      <c r="C354" s="519" t="s">
        <v>4444</v>
      </c>
      <c r="D354" s="520" t="s">
        <v>5219</v>
      </c>
      <c r="E354" s="6"/>
      <c r="F354" s="7" t="s">
        <v>5232</v>
      </c>
      <c r="G354" s="7"/>
      <c r="H354" s="7"/>
      <c r="I354" s="7"/>
      <c r="J354" s="7"/>
      <c r="K354" s="7"/>
      <c r="L354" s="7"/>
      <c r="M354" s="7">
        <f t="shared" si="13"/>
        <v>0</v>
      </c>
      <c r="N354" s="6"/>
      <c r="O354" s="6"/>
      <c r="P354" s="6"/>
      <c r="Q354" s="6"/>
      <c r="R354" s="6"/>
      <c r="S354" s="6"/>
      <c r="T354" s="6"/>
      <c r="U354" s="6"/>
      <c r="V354" s="6"/>
      <c r="W354" s="6"/>
      <c r="X354" s="6"/>
      <c r="Y354" s="6"/>
      <c r="Z354" s="6"/>
      <c r="AA354" s="6"/>
      <c r="AB354" s="6"/>
      <c r="AC354" s="6"/>
      <c r="AD354" s="6"/>
      <c r="AE354" s="6"/>
      <c r="AF354" s="6"/>
      <c r="AG354" s="6"/>
    </row>
    <row r="355" spans="1:33" x14ac:dyDescent="0.25">
      <c r="A355" s="157">
        <f t="shared" si="12"/>
        <v>354</v>
      </c>
      <c r="B355" s="519" t="s">
        <v>4445</v>
      </c>
      <c r="C355" s="519" t="s">
        <v>4445</v>
      </c>
      <c r="D355" s="520" t="s">
        <v>5220</v>
      </c>
      <c r="E355" s="6"/>
      <c r="F355" s="7" t="s">
        <v>5232</v>
      </c>
      <c r="G355" s="7"/>
      <c r="H355" s="7"/>
      <c r="I355" s="7"/>
      <c r="J355" s="7"/>
      <c r="K355" s="7"/>
      <c r="L355" s="7"/>
      <c r="M355" s="7">
        <f t="shared" si="13"/>
        <v>0</v>
      </c>
      <c r="N355" s="6"/>
      <c r="O355" s="6"/>
      <c r="P355" s="6"/>
      <c r="Q355" s="6"/>
      <c r="R355" s="6"/>
      <c r="S355" s="6"/>
      <c r="T355" s="6"/>
      <c r="U355" s="6"/>
      <c r="V355" s="6"/>
      <c r="W355" s="6"/>
      <c r="X355" s="6"/>
      <c r="Y355" s="6"/>
      <c r="Z355" s="6"/>
      <c r="AA355" s="6"/>
      <c r="AB355" s="6"/>
      <c r="AC355" s="6"/>
      <c r="AD355" s="6"/>
      <c r="AE355" s="6"/>
      <c r="AF355" s="6"/>
      <c r="AG355" s="6"/>
    </row>
    <row r="356" spans="1:33" x14ac:dyDescent="0.25">
      <c r="A356" s="157">
        <f t="shared" si="12"/>
        <v>355</v>
      </c>
      <c r="B356" s="519" t="s">
        <v>4446</v>
      </c>
      <c r="C356" s="519" t="s">
        <v>4446</v>
      </c>
      <c r="D356" s="520" t="s">
        <v>5221</v>
      </c>
      <c r="E356" s="6"/>
      <c r="F356" s="7" t="s">
        <v>5232</v>
      </c>
      <c r="G356" s="7"/>
      <c r="H356" s="7"/>
      <c r="I356" s="7"/>
      <c r="J356" s="7"/>
      <c r="K356" s="7"/>
      <c r="L356" s="7"/>
      <c r="M356" s="7">
        <f t="shared" si="13"/>
        <v>0</v>
      </c>
      <c r="N356" s="6"/>
      <c r="O356" s="6"/>
      <c r="P356" s="6"/>
      <c r="Q356" s="6"/>
      <c r="R356" s="6"/>
      <c r="S356" s="6"/>
      <c r="T356" s="6"/>
      <c r="U356" s="6"/>
      <c r="V356" s="6"/>
      <c r="W356" s="6"/>
      <c r="X356" s="6"/>
      <c r="Y356" s="6"/>
      <c r="Z356" s="6"/>
      <c r="AA356" s="6"/>
      <c r="AB356" s="6"/>
      <c r="AC356" s="6"/>
      <c r="AD356" s="6"/>
      <c r="AE356" s="6"/>
      <c r="AF356" s="6"/>
      <c r="AG356" s="6"/>
    </row>
    <row r="357" spans="1:33" x14ac:dyDescent="0.25">
      <c r="A357" s="157">
        <f t="shared" si="12"/>
        <v>356</v>
      </c>
      <c r="B357" s="519" t="s">
        <v>4447</v>
      </c>
      <c r="C357" s="519" t="s">
        <v>4447</v>
      </c>
      <c r="D357" s="520" t="s">
        <v>5222</v>
      </c>
      <c r="E357" s="6"/>
      <c r="F357" s="7" t="s">
        <v>5232</v>
      </c>
      <c r="G357" s="7"/>
      <c r="H357" s="7"/>
      <c r="I357" s="7"/>
      <c r="J357" s="7"/>
      <c r="K357" s="7"/>
      <c r="L357" s="7"/>
      <c r="M357" s="7">
        <f t="shared" si="13"/>
        <v>0</v>
      </c>
      <c r="N357" s="6"/>
      <c r="O357" s="6"/>
      <c r="P357" s="6"/>
      <c r="Q357" s="6"/>
      <c r="R357" s="6"/>
      <c r="S357" s="6"/>
      <c r="T357" s="6"/>
      <c r="U357" s="6"/>
      <c r="V357" s="6"/>
      <c r="W357" s="6"/>
      <c r="X357" s="6"/>
      <c r="Y357" s="6"/>
      <c r="Z357" s="6"/>
      <c r="AA357" s="6"/>
      <c r="AB357" s="6"/>
      <c r="AC357" s="6"/>
      <c r="AD357" s="6"/>
      <c r="AE357" s="6"/>
      <c r="AF357" s="6"/>
      <c r="AG357" s="6"/>
    </row>
    <row r="358" spans="1:33" x14ac:dyDescent="0.25">
      <c r="A358" s="157">
        <f t="shared" si="12"/>
        <v>357</v>
      </c>
      <c r="B358" s="519" t="s">
        <v>4448</v>
      </c>
      <c r="C358" s="519" t="s">
        <v>4448</v>
      </c>
      <c r="D358" s="520" t="s">
        <v>5223</v>
      </c>
      <c r="E358" s="6"/>
      <c r="F358" s="7" t="s">
        <v>5232</v>
      </c>
      <c r="G358" s="7"/>
      <c r="H358" s="7"/>
      <c r="I358" s="7"/>
      <c r="J358" s="7"/>
      <c r="K358" s="7"/>
      <c r="L358" s="7"/>
      <c r="M358" s="7">
        <f t="shared" si="13"/>
        <v>0</v>
      </c>
      <c r="N358" s="6"/>
      <c r="O358" s="6"/>
      <c r="P358" s="6"/>
      <c r="Q358" s="6"/>
      <c r="R358" s="6"/>
      <c r="S358" s="6"/>
      <c r="T358" s="6"/>
      <c r="U358" s="6"/>
      <c r="V358" s="6"/>
      <c r="W358" s="6"/>
      <c r="X358" s="6"/>
      <c r="Y358" s="6"/>
      <c r="Z358" s="6"/>
      <c r="AA358" s="6"/>
      <c r="AB358" s="6"/>
      <c r="AC358" s="6"/>
      <c r="AD358" s="6"/>
      <c r="AE358" s="6"/>
      <c r="AF358" s="6"/>
      <c r="AG358" s="6"/>
    </row>
    <row r="359" spans="1:33" x14ac:dyDescent="0.25">
      <c r="A359" s="157">
        <f t="shared" si="12"/>
        <v>358</v>
      </c>
      <c r="B359" s="519" t="s">
        <v>4449</v>
      </c>
      <c r="C359" s="519" t="s">
        <v>4449</v>
      </c>
      <c r="D359" s="520" t="s">
        <v>5224</v>
      </c>
      <c r="E359" s="6"/>
      <c r="F359" s="7" t="s">
        <v>5232</v>
      </c>
      <c r="G359" s="7"/>
      <c r="H359" s="7"/>
      <c r="I359" s="7"/>
      <c r="J359" s="7"/>
      <c r="K359" s="7"/>
      <c r="L359" s="7"/>
      <c r="M359" s="7">
        <f t="shared" si="13"/>
        <v>0</v>
      </c>
      <c r="N359" s="6"/>
      <c r="O359" s="6"/>
      <c r="P359" s="6"/>
      <c r="Q359" s="6"/>
      <c r="R359" s="6"/>
      <c r="S359" s="6"/>
      <c r="T359" s="6"/>
      <c r="U359" s="6"/>
      <c r="V359" s="6"/>
      <c r="W359" s="6"/>
      <c r="X359" s="6"/>
      <c r="Y359" s="6"/>
      <c r="Z359" s="6"/>
      <c r="AA359" s="6"/>
      <c r="AB359" s="6"/>
      <c r="AC359" s="6"/>
      <c r="AD359" s="6"/>
      <c r="AE359" s="6"/>
      <c r="AF359" s="6"/>
      <c r="AG359" s="6"/>
    </row>
    <row r="360" spans="1:33" x14ac:dyDescent="0.25">
      <c r="A360" s="157">
        <f t="shared" si="12"/>
        <v>359</v>
      </c>
      <c r="B360" s="519" t="s">
        <v>4450</v>
      </c>
      <c r="C360" s="519" t="s">
        <v>4450</v>
      </c>
      <c r="D360" s="520" t="s">
        <v>5225</v>
      </c>
      <c r="E360" s="6"/>
      <c r="F360" s="7" t="s">
        <v>5232</v>
      </c>
      <c r="G360" s="7"/>
      <c r="H360" s="7"/>
      <c r="I360" s="7"/>
      <c r="J360" s="7"/>
      <c r="K360" s="7"/>
      <c r="L360" s="7"/>
      <c r="M360" s="7">
        <f t="shared" si="13"/>
        <v>0</v>
      </c>
      <c r="N360" s="6"/>
      <c r="O360" s="6"/>
      <c r="P360" s="6"/>
      <c r="Q360" s="6"/>
      <c r="R360" s="6"/>
      <c r="S360" s="6"/>
      <c r="T360" s="6"/>
      <c r="U360" s="6"/>
      <c r="V360" s="6"/>
      <c r="W360" s="6"/>
      <c r="X360" s="6"/>
      <c r="Y360" s="6"/>
      <c r="Z360" s="6"/>
      <c r="AA360" s="6"/>
      <c r="AB360" s="6"/>
      <c r="AC360" s="6"/>
      <c r="AD360" s="6"/>
      <c r="AE360" s="6"/>
      <c r="AF360" s="6"/>
      <c r="AG360" s="6"/>
    </row>
    <row r="361" spans="1:33" x14ac:dyDescent="0.25">
      <c r="A361" s="157">
        <f t="shared" si="12"/>
        <v>360</v>
      </c>
      <c r="B361" s="519" t="s">
        <v>4451</v>
      </c>
      <c r="C361" s="519" t="s">
        <v>4451</v>
      </c>
      <c r="D361" s="520" t="s">
        <v>5226</v>
      </c>
      <c r="E361" s="6"/>
      <c r="F361" s="7" t="s">
        <v>5232</v>
      </c>
      <c r="G361" s="7"/>
      <c r="H361" s="7"/>
      <c r="I361" s="7"/>
      <c r="J361" s="7"/>
      <c r="K361" s="7"/>
      <c r="L361" s="7"/>
      <c r="M361" s="7">
        <f t="shared" si="13"/>
        <v>0</v>
      </c>
      <c r="N361" s="6"/>
      <c r="O361" s="6"/>
      <c r="P361" s="6"/>
      <c r="Q361" s="6"/>
      <c r="R361" s="6"/>
      <c r="S361" s="6"/>
      <c r="T361" s="6"/>
      <c r="U361" s="6"/>
      <c r="V361" s="6"/>
      <c r="W361" s="6"/>
      <c r="X361" s="6"/>
      <c r="Y361" s="6"/>
      <c r="Z361" s="6"/>
      <c r="AA361" s="6"/>
      <c r="AB361" s="6"/>
      <c r="AC361" s="6"/>
      <c r="AD361" s="6"/>
      <c r="AE361" s="6"/>
      <c r="AF361" s="6"/>
      <c r="AG361" s="6"/>
    </row>
    <row r="362" spans="1:33" x14ac:dyDescent="0.25">
      <c r="A362" s="157">
        <f t="shared" si="12"/>
        <v>361</v>
      </c>
      <c r="B362" s="519" t="s">
        <v>4452</v>
      </c>
      <c r="C362" s="519" t="s">
        <v>4452</v>
      </c>
      <c r="D362" s="520" t="s">
        <v>5227</v>
      </c>
      <c r="E362" s="6"/>
      <c r="F362" s="7" t="s">
        <v>5232</v>
      </c>
      <c r="G362" s="7"/>
      <c r="H362" s="7"/>
      <c r="I362" s="7"/>
      <c r="J362" s="7"/>
      <c r="K362" s="7"/>
      <c r="L362" s="7"/>
      <c r="M362" s="7">
        <f t="shared" si="13"/>
        <v>0</v>
      </c>
      <c r="N362" s="6"/>
      <c r="O362" s="6"/>
      <c r="P362" s="6"/>
      <c r="Q362" s="6"/>
      <c r="R362" s="6"/>
      <c r="S362" s="6"/>
      <c r="T362" s="6"/>
      <c r="U362" s="6"/>
      <c r="V362" s="6"/>
      <c r="W362" s="6"/>
      <c r="X362" s="6"/>
      <c r="Y362" s="6"/>
      <c r="Z362" s="6"/>
      <c r="AA362" s="6"/>
      <c r="AB362" s="6"/>
      <c r="AC362" s="6"/>
      <c r="AD362" s="6"/>
      <c r="AE362" s="6"/>
      <c r="AF362" s="6"/>
      <c r="AG362" s="6"/>
    </row>
    <row r="363" spans="1:33" x14ac:dyDescent="0.25">
      <c r="A363" s="157">
        <f t="shared" si="12"/>
        <v>362</v>
      </c>
      <c r="B363" s="519" t="s">
        <v>4453</v>
      </c>
      <c r="C363" s="519" t="s">
        <v>4453</v>
      </c>
      <c r="D363" s="520" t="s">
        <v>5228</v>
      </c>
      <c r="E363" s="6"/>
      <c r="F363" s="7" t="s">
        <v>5232</v>
      </c>
      <c r="G363" s="7"/>
      <c r="H363" s="7"/>
      <c r="I363" s="7"/>
      <c r="J363" s="7"/>
      <c r="K363" s="7"/>
      <c r="L363" s="7"/>
      <c r="M363" s="7">
        <f t="shared" si="13"/>
        <v>0</v>
      </c>
      <c r="N363" s="6"/>
      <c r="O363" s="6"/>
      <c r="P363" s="6"/>
      <c r="Q363" s="6"/>
      <c r="R363" s="6"/>
      <c r="S363" s="6"/>
      <c r="T363" s="6"/>
      <c r="U363" s="6"/>
      <c r="V363" s="6"/>
      <c r="W363" s="6"/>
      <c r="X363" s="6"/>
      <c r="Y363" s="6"/>
      <c r="Z363" s="6"/>
      <c r="AA363" s="6"/>
      <c r="AB363" s="6"/>
      <c r="AC363" s="6"/>
      <c r="AD363" s="6"/>
      <c r="AE363" s="6"/>
      <c r="AF363" s="6"/>
      <c r="AG363" s="6"/>
    </row>
    <row r="364" spans="1:33" x14ac:dyDescent="0.25">
      <c r="A364" s="157">
        <f t="shared" si="12"/>
        <v>363</v>
      </c>
      <c r="B364" s="519" t="s">
        <v>4454</v>
      </c>
      <c r="C364" s="519" t="s">
        <v>4454</v>
      </c>
      <c r="D364" s="520" t="s">
        <v>5229</v>
      </c>
      <c r="E364" s="6"/>
      <c r="F364" s="7" t="s">
        <v>5232</v>
      </c>
      <c r="G364" s="7"/>
      <c r="H364" s="7"/>
      <c r="I364" s="7"/>
      <c r="J364" s="7"/>
      <c r="K364" s="7"/>
      <c r="L364" s="7"/>
      <c r="M364" s="7">
        <f t="shared" si="13"/>
        <v>0</v>
      </c>
      <c r="N364" s="6"/>
      <c r="O364" s="6"/>
      <c r="P364" s="6"/>
      <c r="Q364" s="6"/>
      <c r="R364" s="6"/>
      <c r="S364" s="6"/>
      <c r="T364" s="6"/>
      <c r="U364" s="6"/>
      <c r="V364" s="6"/>
      <c r="W364" s="6"/>
      <c r="X364" s="6"/>
      <c r="Y364" s="6"/>
      <c r="Z364" s="6"/>
      <c r="AA364" s="6"/>
      <c r="AB364" s="6"/>
      <c r="AC364" s="6"/>
      <c r="AD364" s="6"/>
      <c r="AE364" s="6"/>
      <c r="AF364" s="6"/>
      <c r="AG364" s="6"/>
    </row>
    <row r="365" spans="1:33" x14ac:dyDescent="0.25">
      <c r="A365" s="157">
        <f t="shared" si="12"/>
        <v>364</v>
      </c>
      <c r="B365" s="519" t="s">
        <v>4455</v>
      </c>
      <c r="C365" s="519" t="s">
        <v>4455</v>
      </c>
      <c r="D365" s="520" t="s">
        <v>5230</v>
      </c>
      <c r="E365" s="6"/>
      <c r="F365" s="7" t="s">
        <v>5232</v>
      </c>
      <c r="G365" s="7"/>
      <c r="H365" s="7"/>
      <c r="I365" s="7"/>
      <c r="J365" s="7"/>
      <c r="K365" s="7"/>
      <c r="L365" s="7"/>
      <c r="M365" s="7">
        <f t="shared" si="13"/>
        <v>0</v>
      </c>
      <c r="N365" s="6"/>
      <c r="O365" s="6"/>
      <c r="P365" s="6"/>
      <c r="Q365" s="6"/>
      <c r="R365" s="6"/>
      <c r="S365" s="6"/>
      <c r="T365" s="6"/>
      <c r="U365" s="6"/>
      <c r="V365" s="6"/>
      <c r="W365" s="6"/>
      <c r="X365" s="6"/>
      <c r="Y365" s="6"/>
      <c r="Z365" s="6"/>
      <c r="AA365" s="6"/>
      <c r="AB365" s="6"/>
      <c r="AC365" s="6"/>
      <c r="AD365" s="6"/>
      <c r="AE365" s="6"/>
      <c r="AF365" s="6"/>
      <c r="AG365" s="6"/>
    </row>
    <row r="366" spans="1:33" x14ac:dyDescent="0.25">
      <c r="A366" s="157">
        <f t="shared" si="12"/>
        <v>365</v>
      </c>
      <c r="B366" s="519" t="s">
        <v>4456</v>
      </c>
      <c r="C366" s="519" t="s">
        <v>4456</v>
      </c>
      <c r="D366" s="520" t="s">
        <v>5231</v>
      </c>
      <c r="E366" s="6"/>
      <c r="F366" s="7" t="s">
        <v>5232</v>
      </c>
      <c r="G366" s="7"/>
      <c r="H366" s="7"/>
      <c r="I366" s="7"/>
      <c r="J366" s="7"/>
      <c r="K366" s="7"/>
      <c r="L366" s="7"/>
      <c r="M366" s="7">
        <f t="shared" si="13"/>
        <v>0</v>
      </c>
      <c r="N366" s="6"/>
      <c r="O366" s="6"/>
      <c r="P366" s="6"/>
      <c r="Q366" s="6"/>
      <c r="R366" s="6"/>
      <c r="S366" s="6"/>
      <c r="T366" s="6"/>
      <c r="U366" s="6"/>
      <c r="V366" s="6"/>
      <c r="W366" s="6"/>
      <c r="X366" s="6"/>
      <c r="Y366" s="6"/>
      <c r="Z366" s="6"/>
      <c r="AA366" s="6"/>
      <c r="AB366" s="6"/>
      <c r="AC366" s="6"/>
      <c r="AD366" s="6"/>
      <c r="AE366" s="6"/>
      <c r="AF366" s="6"/>
      <c r="AG366" s="6"/>
    </row>
    <row r="367" spans="1:33" x14ac:dyDescent="0.25">
      <c r="A367" s="157">
        <f t="shared" si="12"/>
        <v>366</v>
      </c>
      <c r="B367" s="519" t="s">
        <v>4457</v>
      </c>
      <c r="C367" s="519" t="s">
        <v>4457</v>
      </c>
      <c r="D367" s="520" t="s">
        <v>5233</v>
      </c>
      <c r="E367" s="6"/>
      <c r="F367" s="7" t="s">
        <v>5245</v>
      </c>
      <c r="G367" s="7" t="s">
        <v>623</v>
      </c>
      <c r="H367" s="7"/>
      <c r="I367" s="7"/>
      <c r="J367" s="7"/>
      <c r="K367" s="7"/>
      <c r="L367" s="7"/>
      <c r="M367" s="7">
        <f t="shared" si="13"/>
        <v>0</v>
      </c>
      <c r="N367" s="6"/>
      <c r="O367" s="6"/>
      <c r="P367" s="6"/>
      <c r="Q367" s="6"/>
      <c r="R367" s="6"/>
      <c r="S367" s="6"/>
      <c r="T367" s="6"/>
      <c r="U367" s="6"/>
      <c r="V367" s="6"/>
      <c r="W367" s="6"/>
      <c r="X367" s="6"/>
      <c r="Y367" s="6"/>
      <c r="Z367" s="6"/>
      <c r="AA367" s="6"/>
      <c r="AB367" s="6"/>
      <c r="AC367" s="6"/>
      <c r="AD367" s="6"/>
      <c r="AE367" s="6"/>
      <c r="AF367" s="6"/>
      <c r="AG367" s="6"/>
    </row>
    <row r="368" spans="1:33" x14ac:dyDescent="0.25">
      <c r="A368" s="157">
        <f t="shared" si="12"/>
        <v>367</v>
      </c>
      <c r="B368" s="519" t="s">
        <v>4458</v>
      </c>
      <c r="C368" s="519" t="s">
        <v>4458</v>
      </c>
      <c r="D368" s="520" t="s">
        <v>5234</v>
      </c>
      <c r="E368" s="6"/>
      <c r="F368" s="7" t="s">
        <v>5245</v>
      </c>
      <c r="G368" s="7" t="s">
        <v>623</v>
      </c>
      <c r="H368" s="7"/>
      <c r="I368" s="7"/>
      <c r="J368" s="7"/>
      <c r="K368" s="7"/>
      <c r="L368" s="7"/>
      <c r="M368" s="7">
        <f t="shared" si="13"/>
        <v>0</v>
      </c>
      <c r="N368" s="6"/>
      <c r="O368" s="6"/>
      <c r="P368" s="6"/>
      <c r="Q368" s="6"/>
      <c r="R368" s="6"/>
      <c r="S368" s="6"/>
      <c r="T368" s="6"/>
      <c r="U368" s="6"/>
      <c r="V368" s="6"/>
      <c r="W368" s="6"/>
      <c r="X368" s="6"/>
      <c r="Y368" s="6"/>
      <c r="Z368" s="6"/>
      <c r="AA368" s="6"/>
      <c r="AB368" s="6"/>
      <c r="AC368" s="6"/>
      <c r="AD368" s="6"/>
      <c r="AE368" s="6"/>
      <c r="AF368" s="6"/>
      <c r="AG368" s="6"/>
    </row>
    <row r="369" spans="1:33" x14ac:dyDescent="0.25">
      <c r="A369" s="157">
        <f t="shared" si="12"/>
        <v>368</v>
      </c>
      <c r="B369" s="519" t="s">
        <v>4459</v>
      </c>
      <c r="C369" s="519" t="s">
        <v>4459</v>
      </c>
      <c r="D369" s="520" t="s">
        <v>5235</v>
      </c>
      <c r="E369" s="6"/>
      <c r="F369" s="7" t="s">
        <v>5245</v>
      </c>
      <c r="G369" s="7" t="s">
        <v>623</v>
      </c>
      <c r="H369" s="7"/>
      <c r="I369" s="7"/>
      <c r="J369" s="7"/>
      <c r="K369" s="7"/>
      <c r="L369" s="7"/>
      <c r="M369" s="7">
        <f t="shared" si="13"/>
        <v>0</v>
      </c>
      <c r="N369" s="6"/>
      <c r="O369" s="6"/>
      <c r="P369" s="6"/>
      <c r="Q369" s="6"/>
      <c r="R369" s="6"/>
      <c r="S369" s="6"/>
      <c r="T369" s="6"/>
      <c r="U369" s="6"/>
      <c r="V369" s="6"/>
      <c r="W369" s="6"/>
      <c r="X369" s="6"/>
      <c r="Y369" s="6"/>
      <c r="Z369" s="6"/>
      <c r="AA369" s="6"/>
      <c r="AB369" s="6"/>
      <c r="AC369" s="6"/>
      <c r="AD369" s="6"/>
      <c r="AE369" s="6"/>
      <c r="AF369" s="6"/>
      <c r="AG369" s="6"/>
    </row>
    <row r="370" spans="1:33" x14ac:dyDescent="0.25">
      <c r="A370" s="157">
        <f t="shared" si="12"/>
        <v>369</v>
      </c>
      <c r="B370" s="519" t="s">
        <v>4460</v>
      </c>
      <c r="C370" s="519" t="s">
        <v>4460</v>
      </c>
      <c r="D370" s="520" t="s">
        <v>5715</v>
      </c>
      <c r="E370" s="6"/>
      <c r="F370" s="7" t="s">
        <v>5245</v>
      </c>
      <c r="G370" s="7" t="s">
        <v>623</v>
      </c>
      <c r="H370" s="7"/>
      <c r="I370" s="7"/>
      <c r="J370" s="7"/>
      <c r="K370" s="7"/>
      <c r="L370" s="7"/>
      <c r="M370" s="7">
        <f t="shared" si="13"/>
        <v>0</v>
      </c>
      <c r="N370" s="6"/>
      <c r="O370" s="6"/>
      <c r="P370" s="6"/>
      <c r="Q370" s="6"/>
      <c r="R370" s="6"/>
      <c r="S370" s="6"/>
      <c r="T370" s="6"/>
      <c r="U370" s="6"/>
      <c r="V370" s="6"/>
      <c r="W370" s="6"/>
      <c r="X370" s="6"/>
      <c r="Y370" s="6"/>
      <c r="Z370" s="6"/>
      <c r="AA370" s="6"/>
      <c r="AB370" s="6"/>
      <c r="AC370" s="6"/>
      <c r="AD370" s="6"/>
      <c r="AE370" s="6"/>
      <c r="AF370" s="6"/>
      <c r="AG370" s="6"/>
    </row>
    <row r="371" spans="1:33" x14ac:dyDescent="0.25">
      <c r="A371" s="157">
        <f t="shared" si="12"/>
        <v>370</v>
      </c>
      <c r="B371" s="519" t="s">
        <v>4461</v>
      </c>
      <c r="C371" s="519" t="s">
        <v>4461</v>
      </c>
      <c r="D371" s="520" t="s">
        <v>5236</v>
      </c>
      <c r="E371" s="6"/>
      <c r="F371" s="7" t="s">
        <v>5245</v>
      </c>
      <c r="G371" s="7" t="s">
        <v>623</v>
      </c>
      <c r="H371" s="7"/>
      <c r="I371" s="7"/>
      <c r="J371" s="7"/>
      <c r="K371" s="7"/>
      <c r="L371" s="7"/>
      <c r="M371" s="7">
        <f t="shared" si="13"/>
        <v>0</v>
      </c>
      <c r="N371" s="6"/>
      <c r="O371" s="6"/>
      <c r="P371" s="6"/>
      <c r="Q371" s="6"/>
      <c r="R371" s="6"/>
      <c r="S371" s="6"/>
      <c r="T371" s="6"/>
      <c r="U371" s="6"/>
      <c r="V371" s="6"/>
      <c r="W371" s="6"/>
      <c r="X371" s="6"/>
      <c r="Y371" s="6"/>
      <c r="Z371" s="6"/>
      <c r="AA371" s="6"/>
      <c r="AB371" s="6"/>
      <c r="AC371" s="6"/>
      <c r="AD371" s="6"/>
      <c r="AE371" s="6"/>
      <c r="AF371" s="6"/>
      <c r="AG371" s="6"/>
    </row>
    <row r="372" spans="1:33" x14ac:dyDescent="0.25">
      <c r="A372" s="157">
        <f t="shared" si="12"/>
        <v>371</v>
      </c>
      <c r="B372" s="519" t="s">
        <v>4462</v>
      </c>
      <c r="C372" s="519" t="s">
        <v>4462</v>
      </c>
      <c r="D372" s="520" t="s">
        <v>5716</v>
      </c>
      <c r="E372" s="6"/>
      <c r="F372" s="7" t="s">
        <v>5245</v>
      </c>
      <c r="G372" s="7" t="s">
        <v>623</v>
      </c>
      <c r="H372" s="7"/>
      <c r="I372" s="7"/>
      <c r="J372" s="7"/>
      <c r="K372" s="7"/>
      <c r="L372" s="7"/>
      <c r="M372" s="7">
        <f t="shared" si="13"/>
        <v>0</v>
      </c>
      <c r="N372" s="6"/>
      <c r="O372" s="6"/>
      <c r="P372" s="6"/>
      <c r="Q372" s="6"/>
      <c r="R372" s="6"/>
      <c r="S372" s="6"/>
      <c r="T372" s="6"/>
      <c r="U372" s="6"/>
      <c r="V372" s="6"/>
      <c r="W372" s="6"/>
      <c r="X372" s="6"/>
      <c r="Y372" s="6"/>
      <c r="Z372" s="6"/>
      <c r="AA372" s="6"/>
      <c r="AB372" s="6"/>
      <c r="AC372" s="6"/>
      <c r="AD372" s="6"/>
      <c r="AE372" s="6"/>
      <c r="AF372" s="6"/>
      <c r="AG372" s="6"/>
    </row>
    <row r="373" spans="1:33" x14ac:dyDescent="0.25">
      <c r="A373" s="157">
        <f t="shared" si="12"/>
        <v>372</v>
      </c>
      <c r="B373" s="519" t="s">
        <v>4463</v>
      </c>
      <c r="C373" s="519" t="s">
        <v>4463</v>
      </c>
      <c r="D373" s="520" t="s">
        <v>5237</v>
      </c>
      <c r="E373" s="6"/>
      <c r="F373" s="7" t="s">
        <v>5245</v>
      </c>
      <c r="G373" s="7" t="s">
        <v>623</v>
      </c>
      <c r="H373" s="7"/>
      <c r="I373" s="7"/>
      <c r="J373" s="7"/>
      <c r="K373" s="7"/>
      <c r="L373" s="7"/>
      <c r="M373" s="7">
        <f t="shared" si="13"/>
        <v>0</v>
      </c>
      <c r="N373" s="6"/>
      <c r="O373" s="6"/>
      <c r="P373" s="6"/>
      <c r="Q373" s="6"/>
      <c r="R373" s="6"/>
      <c r="S373" s="6"/>
      <c r="T373" s="6"/>
      <c r="U373" s="6"/>
      <c r="V373" s="6"/>
      <c r="W373" s="6"/>
      <c r="X373" s="6"/>
      <c r="Y373" s="6"/>
      <c r="Z373" s="6"/>
      <c r="AA373" s="6"/>
      <c r="AB373" s="6"/>
      <c r="AC373" s="6"/>
      <c r="AD373" s="6"/>
      <c r="AE373" s="6"/>
      <c r="AF373" s="6"/>
      <c r="AG373" s="6"/>
    </row>
    <row r="374" spans="1:33" x14ac:dyDescent="0.25">
      <c r="A374" s="157">
        <f t="shared" si="12"/>
        <v>373</v>
      </c>
      <c r="B374" s="519" t="s">
        <v>4464</v>
      </c>
      <c r="C374" s="519" t="s">
        <v>4464</v>
      </c>
      <c r="D374" s="520" t="s">
        <v>5238</v>
      </c>
      <c r="E374" s="6"/>
      <c r="F374" s="7" t="s">
        <v>5245</v>
      </c>
      <c r="G374" s="7" t="s">
        <v>623</v>
      </c>
      <c r="H374" s="7"/>
      <c r="I374" s="7"/>
      <c r="J374" s="7"/>
      <c r="K374" s="7"/>
      <c r="L374" s="7"/>
      <c r="M374" s="7">
        <f t="shared" si="13"/>
        <v>0</v>
      </c>
      <c r="N374" s="6"/>
      <c r="O374" s="6"/>
      <c r="P374" s="6"/>
      <c r="Q374" s="6"/>
      <c r="R374" s="6"/>
      <c r="S374" s="6"/>
      <c r="T374" s="6"/>
      <c r="U374" s="6"/>
      <c r="V374" s="6"/>
      <c r="W374" s="6"/>
      <c r="X374" s="6"/>
      <c r="Y374" s="6"/>
      <c r="Z374" s="6"/>
      <c r="AA374" s="6"/>
      <c r="AB374" s="6"/>
      <c r="AC374" s="6"/>
      <c r="AD374" s="6"/>
      <c r="AE374" s="6"/>
      <c r="AF374" s="6"/>
      <c r="AG374" s="6"/>
    </row>
    <row r="375" spans="1:33" x14ac:dyDescent="0.25">
      <c r="A375" s="157">
        <f t="shared" si="12"/>
        <v>374</v>
      </c>
      <c r="B375" s="519" t="s">
        <v>4465</v>
      </c>
      <c r="C375" s="519" t="s">
        <v>4465</v>
      </c>
      <c r="D375" s="520" t="s">
        <v>5239</v>
      </c>
      <c r="E375" s="6"/>
      <c r="F375" s="7" t="s">
        <v>5245</v>
      </c>
      <c r="G375" s="7" t="s">
        <v>623</v>
      </c>
      <c r="H375" s="7"/>
      <c r="I375" s="7"/>
      <c r="J375" s="7"/>
      <c r="K375" s="7"/>
      <c r="L375" s="7"/>
      <c r="M375" s="7">
        <f t="shared" si="13"/>
        <v>0</v>
      </c>
      <c r="N375" s="6"/>
      <c r="O375" s="6"/>
      <c r="P375" s="6"/>
      <c r="Q375" s="6"/>
      <c r="R375" s="6"/>
      <c r="S375" s="6"/>
      <c r="T375" s="6"/>
      <c r="U375" s="6"/>
      <c r="V375" s="6"/>
      <c r="W375" s="6"/>
      <c r="X375" s="6"/>
      <c r="Y375" s="6"/>
      <c r="Z375" s="6"/>
      <c r="AA375" s="6"/>
      <c r="AB375" s="6"/>
      <c r="AC375" s="6"/>
      <c r="AD375" s="6"/>
      <c r="AE375" s="6"/>
      <c r="AF375" s="6"/>
      <c r="AG375" s="6"/>
    </row>
    <row r="376" spans="1:33" x14ac:dyDescent="0.25">
      <c r="A376" s="157">
        <f t="shared" si="12"/>
        <v>375</v>
      </c>
      <c r="B376" s="519" t="s">
        <v>4466</v>
      </c>
      <c r="C376" s="519" t="s">
        <v>4466</v>
      </c>
      <c r="D376" s="520" t="s">
        <v>5240</v>
      </c>
      <c r="E376" s="6"/>
      <c r="F376" s="7" t="s">
        <v>5245</v>
      </c>
      <c r="G376" s="7" t="s">
        <v>623</v>
      </c>
      <c r="H376" s="7"/>
      <c r="I376" s="7"/>
      <c r="J376" s="7"/>
      <c r="K376" s="7"/>
      <c r="L376" s="7"/>
      <c r="M376" s="7">
        <f t="shared" si="13"/>
        <v>0</v>
      </c>
      <c r="N376" s="6"/>
      <c r="O376" s="6"/>
      <c r="P376" s="6"/>
      <c r="Q376" s="6"/>
      <c r="R376" s="6"/>
      <c r="S376" s="6"/>
      <c r="T376" s="6"/>
      <c r="U376" s="6"/>
      <c r="V376" s="6"/>
      <c r="W376" s="6"/>
      <c r="X376" s="6"/>
      <c r="Y376" s="6"/>
      <c r="Z376" s="6"/>
      <c r="AA376" s="6"/>
      <c r="AB376" s="6"/>
      <c r="AC376" s="6"/>
      <c r="AD376" s="6"/>
      <c r="AE376" s="6"/>
      <c r="AF376" s="6"/>
      <c r="AG376" s="6"/>
    </row>
    <row r="377" spans="1:33" x14ac:dyDescent="0.25">
      <c r="A377" s="157">
        <f t="shared" si="12"/>
        <v>376</v>
      </c>
      <c r="B377" s="519" t="s">
        <v>4467</v>
      </c>
      <c r="C377" s="519" t="s">
        <v>4467</v>
      </c>
      <c r="D377" s="520" t="s">
        <v>5241</v>
      </c>
      <c r="E377" s="6"/>
      <c r="F377" s="7" t="s">
        <v>5245</v>
      </c>
      <c r="G377" s="7" t="s">
        <v>623</v>
      </c>
      <c r="H377" s="7"/>
      <c r="I377" s="7"/>
      <c r="J377" s="7"/>
      <c r="K377" s="7"/>
      <c r="L377" s="7"/>
      <c r="M377" s="7">
        <f t="shared" si="13"/>
        <v>0</v>
      </c>
      <c r="N377" s="6"/>
      <c r="O377" s="6"/>
      <c r="P377" s="6"/>
      <c r="Q377" s="6"/>
      <c r="R377" s="6"/>
      <c r="S377" s="6"/>
      <c r="T377" s="6"/>
      <c r="U377" s="6"/>
      <c r="V377" s="6"/>
      <c r="W377" s="6"/>
      <c r="X377" s="6"/>
      <c r="Y377" s="6"/>
      <c r="Z377" s="6"/>
      <c r="AA377" s="6"/>
      <c r="AB377" s="6"/>
      <c r="AC377" s="6"/>
      <c r="AD377" s="6"/>
      <c r="AE377" s="6"/>
      <c r="AF377" s="6"/>
      <c r="AG377" s="6"/>
    </row>
    <row r="378" spans="1:33" x14ac:dyDescent="0.25">
      <c r="A378" s="157">
        <f t="shared" si="12"/>
        <v>377</v>
      </c>
      <c r="B378" s="519" t="s">
        <v>4468</v>
      </c>
      <c r="C378" s="519" t="s">
        <v>4468</v>
      </c>
      <c r="D378" s="520" t="s">
        <v>5242</v>
      </c>
      <c r="E378" s="6"/>
      <c r="F378" s="7" t="s">
        <v>5245</v>
      </c>
      <c r="G378" s="7" t="s">
        <v>623</v>
      </c>
      <c r="H378" s="7"/>
      <c r="I378" s="7"/>
      <c r="J378" s="7"/>
      <c r="K378" s="7"/>
      <c r="L378" s="7"/>
      <c r="M378" s="7">
        <f t="shared" si="13"/>
        <v>0</v>
      </c>
      <c r="N378" s="6"/>
      <c r="O378" s="6"/>
      <c r="P378" s="6"/>
      <c r="Q378" s="6"/>
      <c r="R378" s="6"/>
      <c r="S378" s="6"/>
      <c r="T378" s="6"/>
      <c r="U378" s="6"/>
      <c r="V378" s="6"/>
      <c r="W378" s="6"/>
      <c r="X378" s="6"/>
      <c r="Y378" s="6"/>
      <c r="Z378" s="6"/>
      <c r="AA378" s="6"/>
      <c r="AB378" s="6"/>
      <c r="AC378" s="6"/>
      <c r="AD378" s="6"/>
      <c r="AE378" s="6"/>
      <c r="AF378" s="6"/>
      <c r="AG378" s="6"/>
    </row>
    <row r="379" spans="1:33" x14ac:dyDescent="0.25">
      <c r="A379" s="157">
        <f t="shared" si="12"/>
        <v>378</v>
      </c>
      <c r="B379" s="519" t="s">
        <v>4469</v>
      </c>
      <c r="C379" s="519" t="s">
        <v>4469</v>
      </c>
      <c r="D379" s="520" t="s">
        <v>5717</v>
      </c>
      <c r="E379" s="6"/>
      <c r="F379" s="7" t="s">
        <v>5245</v>
      </c>
      <c r="G379" s="7" t="s">
        <v>623</v>
      </c>
      <c r="H379" s="7"/>
      <c r="I379" s="7"/>
      <c r="J379" s="7"/>
      <c r="K379" s="7"/>
      <c r="L379" s="7"/>
      <c r="M379" s="7">
        <f t="shared" si="13"/>
        <v>0</v>
      </c>
      <c r="N379" s="6"/>
      <c r="O379" s="6"/>
      <c r="P379" s="6"/>
      <c r="Q379" s="6"/>
      <c r="R379" s="6"/>
      <c r="S379" s="6"/>
      <c r="T379" s="6"/>
      <c r="U379" s="6"/>
      <c r="V379" s="6"/>
      <c r="W379" s="6"/>
      <c r="X379" s="6"/>
      <c r="Y379" s="6"/>
      <c r="Z379" s="6"/>
      <c r="AA379" s="6"/>
      <c r="AB379" s="6"/>
      <c r="AC379" s="6"/>
      <c r="AD379" s="6"/>
      <c r="AE379" s="6"/>
      <c r="AF379" s="6"/>
      <c r="AG379" s="6"/>
    </row>
    <row r="380" spans="1:33" x14ac:dyDescent="0.25">
      <c r="A380" s="157">
        <f t="shared" si="12"/>
        <v>379</v>
      </c>
      <c r="B380" s="519" t="s">
        <v>4470</v>
      </c>
      <c r="C380" s="519" t="s">
        <v>4470</v>
      </c>
      <c r="D380" s="520" t="s">
        <v>5243</v>
      </c>
      <c r="E380" s="6"/>
      <c r="F380" s="7" t="s">
        <v>5245</v>
      </c>
      <c r="G380" s="7" t="s">
        <v>623</v>
      </c>
      <c r="H380" s="7"/>
      <c r="I380" s="7"/>
      <c r="J380" s="7"/>
      <c r="K380" s="7"/>
      <c r="L380" s="7"/>
      <c r="M380" s="7">
        <f t="shared" si="13"/>
        <v>0</v>
      </c>
      <c r="N380" s="6"/>
      <c r="O380" s="6"/>
      <c r="P380" s="6"/>
      <c r="Q380" s="6"/>
      <c r="R380" s="6"/>
      <c r="S380" s="6"/>
      <c r="T380" s="6"/>
      <c r="U380" s="6"/>
      <c r="V380" s="6"/>
      <c r="W380" s="6"/>
      <c r="X380" s="6"/>
      <c r="Y380" s="6"/>
      <c r="Z380" s="6"/>
      <c r="AA380" s="6"/>
      <c r="AB380" s="6"/>
      <c r="AC380" s="6"/>
      <c r="AD380" s="6"/>
      <c r="AE380" s="6"/>
      <c r="AF380" s="6"/>
      <c r="AG380" s="6"/>
    </row>
    <row r="381" spans="1:33" x14ac:dyDescent="0.25">
      <c r="A381" s="157">
        <f t="shared" si="12"/>
        <v>380</v>
      </c>
      <c r="B381" s="519" t="s">
        <v>4471</v>
      </c>
      <c r="C381" s="519" t="s">
        <v>4471</v>
      </c>
      <c r="D381" s="520" t="s">
        <v>5718</v>
      </c>
      <c r="E381" s="6"/>
      <c r="F381" s="7" t="s">
        <v>5245</v>
      </c>
      <c r="G381" s="7" t="s">
        <v>623</v>
      </c>
      <c r="H381" s="7"/>
      <c r="I381" s="7"/>
      <c r="J381" s="7"/>
      <c r="K381" s="7"/>
      <c r="L381" s="7"/>
      <c r="M381" s="7">
        <f t="shared" si="13"/>
        <v>0</v>
      </c>
      <c r="N381" s="6"/>
      <c r="O381" s="6"/>
      <c r="P381" s="6"/>
      <c r="Q381" s="6"/>
      <c r="R381" s="6"/>
      <c r="S381" s="6"/>
      <c r="T381" s="6"/>
      <c r="U381" s="6"/>
      <c r="V381" s="6"/>
      <c r="W381" s="6"/>
      <c r="X381" s="6"/>
      <c r="Y381" s="6"/>
      <c r="Z381" s="6"/>
      <c r="AA381" s="6"/>
      <c r="AB381" s="6"/>
      <c r="AC381" s="6"/>
      <c r="AD381" s="6"/>
      <c r="AE381" s="6"/>
      <c r="AF381" s="6"/>
      <c r="AG381" s="6"/>
    </row>
    <row r="382" spans="1:33" x14ac:dyDescent="0.25">
      <c r="A382" s="157">
        <f t="shared" si="12"/>
        <v>381</v>
      </c>
      <c r="B382" s="519" t="s">
        <v>4472</v>
      </c>
      <c r="C382" s="519" t="s">
        <v>4472</v>
      </c>
      <c r="D382" s="520" t="s">
        <v>5244</v>
      </c>
      <c r="E382" s="6"/>
      <c r="F382" s="7" t="s">
        <v>5245</v>
      </c>
      <c r="G382" s="7" t="s">
        <v>623</v>
      </c>
      <c r="H382" s="7"/>
      <c r="I382" s="7"/>
      <c r="J382" s="7"/>
      <c r="K382" s="7"/>
      <c r="L382" s="7"/>
      <c r="M382" s="7">
        <f t="shared" si="13"/>
        <v>0</v>
      </c>
      <c r="N382" s="6"/>
      <c r="O382" s="6"/>
      <c r="P382" s="6"/>
      <c r="Q382" s="6"/>
      <c r="R382" s="6"/>
      <c r="S382" s="6"/>
      <c r="T382" s="6"/>
      <c r="U382" s="6"/>
      <c r="V382" s="6"/>
      <c r="W382" s="6"/>
      <c r="X382" s="6"/>
      <c r="Y382" s="6"/>
      <c r="Z382" s="6"/>
      <c r="AA382" s="6"/>
      <c r="AB382" s="6"/>
      <c r="AC382" s="6"/>
      <c r="AD382" s="6"/>
      <c r="AE382" s="6"/>
      <c r="AF382" s="6"/>
      <c r="AG382" s="6"/>
    </row>
    <row r="383" spans="1:33" x14ac:dyDescent="0.25">
      <c r="A383" s="157">
        <f t="shared" si="12"/>
        <v>382</v>
      </c>
      <c r="B383" s="519" t="s">
        <v>4513</v>
      </c>
      <c r="C383" s="519" t="s">
        <v>4513</v>
      </c>
      <c r="D383" s="520" t="s">
        <v>5267</v>
      </c>
      <c r="E383" s="6"/>
      <c r="F383" s="7" t="s">
        <v>5248</v>
      </c>
      <c r="G383" s="7" t="s">
        <v>627</v>
      </c>
      <c r="H383" s="7" t="s">
        <v>6158</v>
      </c>
      <c r="I383" s="7"/>
      <c r="J383" s="7"/>
      <c r="K383" s="7"/>
      <c r="L383" s="7"/>
      <c r="M383" s="7">
        <f t="shared" si="13"/>
        <v>0</v>
      </c>
      <c r="N383" s="6"/>
      <c r="O383" s="6"/>
      <c r="P383" s="6"/>
      <c r="Q383" s="6"/>
      <c r="R383" s="6"/>
      <c r="S383" s="6"/>
      <c r="T383" s="6"/>
      <c r="U383" s="6"/>
      <c r="V383" s="6"/>
      <c r="W383" s="6"/>
      <c r="X383" s="6"/>
      <c r="Y383" s="6"/>
      <c r="Z383" s="6"/>
      <c r="AA383" s="6"/>
      <c r="AB383" s="6"/>
      <c r="AC383" s="6"/>
      <c r="AD383" s="6"/>
      <c r="AE383" s="6"/>
      <c r="AF383" s="6"/>
      <c r="AG383" s="6"/>
    </row>
    <row r="384" spans="1:33" x14ac:dyDescent="0.25">
      <c r="A384" s="157">
        <f t="shared" si="12"/>
        <v>383</v>
      </c>
      <c r="B384" s="519" t="s">
        <v>4514</v>
      </c>
      <c r="C384" s="519" t="s">
        <v>4514</v>
      </c>
      <c r="D384" s="520" t="s">
        <v>5268</v>
      </c>
      <c r="E384" s="6"/>
      <c r="F384" s="7" t="s">
        <v>5248</v>
      </c>
      <c r="G384" s="7" t="s">
        <v>627</v>
      </c>
      <c r="H384" s="7"/>
      <c r="I384" s="7"/>
      <c r="J384" s="7"/>
      <c r="K384" s="7"/>
      <c r="L384" s="7"/>
      <c r="M384" s="7">
        <f t="shared" si="13"/>
        <v>0</v>
      </c>
      <c r="N384" s="6"/>
      <c r="O384" s="6"/>
      <c r="P384" s="6"/>
      <c r="Q384" s="6"/>
      <c r="R384" s="6"/>
      <c r="S384" s="6"/>
      <c r="T384" s="6"/>
      <c r="U384" s="6"/>
      <c r="V384" s="6"/>
      <c r="W384" s="6"/>
      <c r="X384" s="6"/>
      <c r="Y384" s="6"/>
      <c r="Z384" s="6"/>
      <c r="AA384" s="6"/>
      <c r="AB384" s="6"/>
      <c r="AC384" s="6"/>
      <c r="AD384" s="6"/>
      <c r="AE384" s="6"/>
      <c r="AF384" s="6"/>
      <c r="AG384" s="6"/>
    </row>
    <row r="385" spans="1:33" x14ac:dyDescent="0.25">
      <c r="A385" s="157">
        <f t="shared" si="12"/>
        <v>384</v>
      </c>
      <c r="B385" s="519" t="s">
        <v>4515</v>
      </c>
      <c r="C385" s="519" t="s">
        <v>4515</v>
      </c>
      <c r="D385" s="520" t="s">
        <v>5269</v>
      </c>
      <c r="E385" s="6"/>
      <c r="F385" s="7" t="s">
        <v>5248</v>
      </c>
      <c r="G385" s="7" t="s">
        <v>627</v>
      </c>
      <c r="H385" s="7" t="s">
        <v>6156</v>
      </c>
      <c r="I385" s="7"/>
      <c r="J385" s="7"/>
      <c r="K385" s="7"/>
      <c r="L385" s="7"/>
      <c r="M385" s="7">
        <f t="shared" si="13"/>
        <v>0</v>
      </c>
      <c r="N385" s="6"/>
      <c r="O385" s="6"/>
      <c r="P385" s="6"/>
      <c r="Q385" s="6"/>
      <c r="R385" s="6"/>
      <c r="S385" s="6"/>
      <c r="T385" s="6"/>
      <c r="U385" s="6"/>
      <c r="V385" s="6"/>
      <c r="W385" s="6"/>
      <c r="X385" s="6"/>
      <c r="Y385" s="6"/>
      <c r="Z385" s="6"/>
      <c r="AA385" s="6"/>
      <c r="AB385" s="6"/>
      <c r="AC385" s="6"/>
      <c r="AD385" s="6"/>
      <c r="AE385" s="6"/>
      <c r="AF385" s="6"/>
      <c r="AG385" s="6"/>
    </row>
    <row r="386" spans="1:33" x14ac:dyDescent="0.25">
      <c r="A386" s="157">
        <f t="shared" si="12"/>
        <v>385</v>
      </c>
      <c r="B386" s="519" t="s">
        <v>4516</v>
      </c>
      <c r="C386" s="519" t="s">
        <v>4516</v>
      </c>
      <c r="D386" s="520" t="s">
        <v>5270</v>
      </c>
      <c r="E386" s="6"/>
      <c r="F386" s="7" t="s">
        <v>5248</v>
      </c>
      <c r="G386" s="7" t="s">
        <v>627</v>
      </c>
      <c r="H386" s="7"/>
      <c r="I386" s="7"/>
      <c r="J386" s="7"/>
      <c r="K386" s="7"/>
      <c r="L386" s="7"/>
      <c r="M386" s="7">
        <f t="shared" si="13"/>
        <v>0</v>
      </c>
      <c r="N386" s="6"/>
      <c r="O386" s="6"/>
      <c r="P386" s="6"/>
      <c r="Q386" s="6"/>
      <c r="R386" s="6"/>
      <c r="S386" s="6"/>
      <c r="T386" s="6"/>
      <c r="U386" s="6"/>
      <c r="V386" s="6"/>
      <c r="W386" s="6"/>
      <c r="X386" s="6"/>
      <c r="Y386" s="6"/>
      <c r="Z386" s="6"/>
      <c r="AA386" s="6"/>
      <c r="AB386" s="6"/>
      <c r="AC386" s="6"/>
      <c r="AD386" s="6"/>
      <c r="AE386" s="6"/>
      <c r="AF386" s="6"/>
      <c r="AG386" s="6"/>
    </row>
    <row r="387" spans="1:33" x14ac:dyDescent="0.25">
      <c r="A387" s="157">
        <f t="shared" ref="A387:A450" si="14">IF(B387="","",1+A386)</f>
        <v>386</v>
      </c>
      <c r="B387" s="519" t="s">
        <v>4517</v>
      </c>
      <c r="C387" s="519" t="s">
        <v>4517</v>
      </c>
      <c r="D387" s="520" t="s">
        <v>5271</v>
      </c>
      <c r="E387" s="6" t="s">
        <v>5868</v>
      </c>
      <c r="F387" s="7" t="s">
        <v>5248</v>
      </c>
      <c r="G387" s="7" t="s">
        <v>627</v>
      </c>
      <c r="H387" s="7"/>
      <c r="I387" s="7"/>
      <c r="J387" s="7"/>
      <c r="K387" s="7"/>
      <c r="L387" s="7"/>
      <c r="M387" s="7">
        <f t="shared" ref="M387:M450" si="15">COUNTA(N387:AG387)</f>
        <v>0</v>
      </c>
      <c r="N387" s="6"/>
      <c r="O387" s="6"/>
      <c r="P387" s="6"/>
      <c r="Q387" s="6"/>
      <c r="R387" s="6"/>
      <c r="S387" s="6"/>
      <c r="T387" s="6"/>
      <c r="U387" s="6"/>
      <c r="V387" s="6"/>
      <c r="W387" s="6"/>
      <c r="X387" s="6"/>
      <c r="Y387" s="6"/>
      <c r="Z387" s="6"/>
      <c r="AA387" s="6"/>
      <c r="AB387" s="6"/>
      <c r="AC387" s="6"/>
      <c r="AD387" s="6"/>
      <c r="AE387" s="6"/>
      <c r="AF387" s="6"/>
      <c r="AG387" s="6"/>
    </row>
    <row r="388" spans="1:33" x14ac:dyDescent="0.25">
      <c r="A388" s="157">
        <f t="shared" si="14"/>
        <v>387</v>
      </c>
      <c r="B388" s="519" t="s">
        <v>4518</v>
      </c>
      <c r="C388" s="519" t="s">
        <v>4518</v>
      </c>
      <c r="D388" s="520" t="s">
        <v>5272</v>
      </c>
      <c r="E388" s="6"/>
      <c r="F388" s="7" t="s">
        <v>5248</v>
      </c>
      <c r="G388" s="7" t="s">
        <v>627</v>
      </c>
      <c r="H388" s="7" t="s">
        <v>6157</v>
      </c>
      <c r="I388" s="7"/>
      <c r="J388" s="7"/>
      <c r="K388" s="7"/>
      <c r="L388" s="7"/>
      <c r="M388" s="7">
        <f t="shared" si="15"/>
        <v>0</v>
      </c>
      <c r="N388" s="6"/>
      <c r="O388" s="6"/>
      <c r="P388" s="6"/>
      <c r="Q388" s="6"/>
      <c r="R388" s="6"/>
      <c r="S388" s="6"/>
      <c r="T388" s="6"/>
      <c r="U388" s="6"/>
      <c r="V388" s="6"/>
      <c r="W388" s="6"/>
      <c r="X388" s="6"/>
      <c r="Y388" s="6"/>
      <c r="Z388" s="6"/>
      <c r="AA388" s="6"/>
      <c r="AB388" s="6"/>
      <c r="AC388" s="6"/>
      <c r="AD388" s="6"/>
      <c r="AE388" s="6"/>
      <c r="AF388" s="6"/>
      <c r="AG388" s="6"/>
    </row>
    <row r="389" spans="1:33" x14ac:dyDescent="0.25">
      <c r="A389" s="157">
        <f t="shared" si="14"/>
        <v>388</v>
      </c>
      <c r="B389" s="519" t="s">
        <v>4519</v>
      </c>
      <c r="C389" s="519" t="s">
        <v>4519</v>
      </c>
      <c r="D389" s="520" t="s">
        <v>5719</v>
      </c>
      <c r="E389" s="6"/>
      <c r="F389" s="7" t="s">
        <v>5248</v>
      </c>
      <c r="G389" s="7" t="s">
        <v>627</v>
      </c>
      <c r="H389" s="7" t="s">
        <v>4009</v>
      </c>
      <c r="I389" s="7"/>
      <c r="J389" s="7"/>
      <c r="K389" s="7"/>
      <c r="L389" s="7"/>
      <c r="M389" s="7">
        <f t="shared" si="15"/>
        <v>0</v>
      </c>
      <c r="N389" s="6"/>
      <c r="O389" s="6"/>
      <c r="P389" s="6"/>
      <c r="Q389" s="6"/>
      <c r="R389" s="6"/>
      <c r="S389" s="6"/>
      <c r="T389" s="6"/>
      <c r="U389" s="6"/>
      <c r="V389" s="6"/>
      <c r="W389" s="6"/>
      <c r="X389" s="6"/>
      <c r="Y389" s="6"/>
      <c r="Z389" s="6"/>
      <c r="AA389" s="6"/>
      <c r="AB389" s="6"/>
      <c r="AC389" s="6"/>
      <c r="AD389" s="6"/>
      <c r="AE389" s="6"/>
      <c r="AF389" s="6"/>
      <c r="AG389" s="6"/>
    </row>
    <row r="390" spans="1:33" x14ac:dyDescent="0.25">
      <c r="A390" s="157">
        <f t="shared" si="14"/>
        <v>389</v>
      </c>
      <c r="B390" s="519" t="s">
        <v>4520</v>
      </c>
      <c r="C390" s="519" t="s">
        <v>4520</v>
      </c>
      <c r="D390" s="520" t="s">
        <v>5720</v>
      </c>
      <c r="E390" s="6"/>
      <c r="F390" s="7" t="s">
        <v>5248</v>
      </c>
      <c r="G390" s="7" t="s">
        <v>627</v>
      </c>
      <c r="H390" s="7" t="s">
        <v>6161</v>
      </c>
      <c r="I390" s="7"/>
      <c r="J390" s="7"/>
      <c r="K390" s="7"/>
      <c r="L390" s="7"/>
      <c r="M390" s="7">
        <f t="shared" si="15"/>
        <v>0</v>
      </c>
      <c r="N390" s="6"/>
      <c r="O390" s="6"/>
      <c r="P390" s="6"/>
      <c r="Q390" s="6"/>
      <c r="R390" s="6"/>
      <c r="S390" s="6"/>
      <c r="T390" s="6"/>
      <c r="U390" s="6"/>
      <c r="V390" s="6"/>
      <c r="W390" s="6"/>
      <c r="X390" s="6"/>
      <c r="Y390" s="6"/>
      <c r="Z390" s="6"/>
      <c r="AA390" s="6"/>
      <c r="AB390" s="6"/>
      <c r="AC390" s="6"/>
      <c r="AD390" s="6"/>
      <c r="AE390" s="6"/>
      <c r="AF390" s="6"/>
      <c r="AG390" s="6"/>
    </row>
    <row r="391" spans="1:33" x14ac:dyDescent="0.25">
      <c r="A391" s="157">
        <f t="shared" si="14"/>
        <v>390</v>
      </c>
      <c r="B391" s="519" t="s">
        <v>4521</v>
      </c>
      <c r="C391" s="519" t="s">
        <v>4521</v>
      </c>
      <c r="D391" s="520" t="s">
        <v>5273</v>
      </c>
      <c r="E391" s="6"/>
      <c r="F391" s="7" t="s">
        <v>5248</v>
      </c>
      <c r="G391" s="7" t="s">
        <v>627</v>
      </c>
      <c r="H391" s="7"/>
      <c r="I391" s="7"/>
      <c r="J391" s="7"/>
      <c r="K391" s="7"/>
      <c r="L391" s="7"/>
      <c r="M391" s="7">
        <f t="shared" si="15"/>
        <v>0</v>
      </c>
      <c r="N391" s="6"/>
      <c r="O391" s="6"/>
      <c r="P391" s="6"/>
      <c r="Q391" s="6"/>
      <c r="R391" s="6"/>
      <c r="S391" s="6"/>
      <c r="T391" s="6"/>
      <c r="U391" s="6"/>
      <c r="V391" s="6"/>
      <c r="W391" s="6"/>
      <c r="X391" s="6"/>
      <c r="Y391" s="6"/>
      <c r="Z391" s="6"/>
      <c r="AA391" s="6"/>
      <c r="AB391" s="6"/>
      <c r="AC391" s="6"/>
      <c r="AD391" s="6"/>
      <c r="AE391" s="6"/>
      <c r="AF391" s="6"/>
      <c r="AG391" s="6"/>
    </row>
    <row r="392" spans="1:33" x14ac:dyDescent="0.25">
      <c r="A392" s="157">
        <f t="shared" si="14"/>
        <v>391</v>
      </c>
      <c r="B392" s="519" t="s">
        <v>4522</v>
      </c>
      <c r="C392" s="519" t="s">
        <v>4522</v>
      </c>
      <c r="D392" s="520" t="s">
        <v>5274</v>
      </c>
      <c r="E392" s="6"/>
      <c r="F392" s="7" t="s">
        <v>5248</v>
      </c>
      <c r="G392" s="7" t="s">
        <v>627</v>
      </c>
      <c r="H392" s="7" t="s">
        <v>6157</v>
      </c>
      <c r="I392" s="7"/>
      <c r="J392" s="7"/>
      <c r="K392" s="7"/>
      <c r="L392" s="7"/>
      <c r="M392" s="7">
        <f t="shared" si="15"/>
        <v>0</v>
      </c>
      <c r="N392" s="6"/>
      <c r="O392" s="6"/>
      <c r="P392" s="6"/>
      <c r="Q392" s="6"/>
      <c r="R392" s="6"/>
      <c r="S392" s="6"/>
      <c r="T392" s="6"/>
      <c r="U392" s="6"/>
      <c r="V392" s="6"/>
      <c r="W392" s="6"/>
      <c r="X392" s="6"/>
      <c r="Y392" s="6"/>
      <c r="Z392" s="6"/>
      <c r="AA392" s="6"/>
      <c r="AB392" s="6"/>
      <c r="AC392" s="6"/>
      <c r="AD392" s="6"/>
      <c r="AE392" s="6"/>
      <c r="AF392" s="6"/>
      <c r="AG392" s="6"/>
    </row>
    <row r="393" spans="1:33" x14ac:dyDescent="0.25">
      <c r="A393" s="157">
        <f t="shared" si="14"/>
        <v>392</v>
      </c>
      <c r="B393" s="519" t="s">
        <v>4523</v>
      </c>
      <c r="C393" s="519" t="s">
        <v>4523</v>
      </c>
      <c r="D393" s="520" t="s">
        <v>5275</v>
      </c>
      <c r="E393" s="6"/>
      <c r="F393" s="7" t="s">
        <v>5248</v>
      </c>
      <c r="G393" s="7" t="s">
        <v>627</v>
      </c>
      <c r="H393" s="7"/>
      <c r="I393" s="7"/>
      <c r="J393" s="7"/>
      <c r="K393" s="7"/>
      <c r="L393" s="7"/>
      <c r="M393" s="7">
        <f t="shared" si="15"/>
        <v>0</v>
      </c>
      <c r="N393" s="6"/>
      <c r="O393" s="6"/>
      <c r="P393" s="6"/>
      <c r="Q393" s="6"/>
      <c r="R393" s="6"/>
      <c r="S393" s="6"/>
      <c r="T393" s="6"/>
      <c r="U393" s="6"/>
      <c r="V393" s="6"/>
      <c r="W393" s="6"/>
      <c r="X393" s="6"/>
      <c r="Y393" s="6"/>
      <c r="Z393" s="6"/>
      <c r="AA393" s="6"/>
      <c r="AB393" s="6"/>
      <c r="AC393" s="6"/>
      <c r="AD393" s="6"/>
      <c r="AE393" s="6"/>
      <c r="AF393" s="6"/>
      <c r="AG393" s="6"/>
    </row>
    <row r="394" spans="1:33" x14ac:dyDescent="0.25">
      <c r="A394" s="157">
        <f t="shared" si="14"/>
        <v>393</v>
      </c>
      <c r="B394" s="519" t="s">
        <v>4524</v>
      </c>
      <c r="C394" s="519" t="s">
        <v>4524</v>
      </c>
      <c r="D394" s="520" t="s">
        <v>5276</v>
      </c>
      <c r="E394" s="6"/>
      <c r="F394" s="7" t="s">
        <v>5248</v>
      </c>
      <c r="G394" s="7" t="s">
        <v>627</v>
      </c>
      <c r="H394" s="7" t="s">
        <v>6158</v>
      </c>
      <c r="I394" s="7"/>
      <c r="J394" s="7"/>
      <c r="K394" s="7"/>
      <c r="L394" s="7"/>
      <c r="M394" s="7">
        <f t="shared" si="15"/>
        <v>0</v>
      </c>
      <c r="N394" s="6"/>
      <c r="O394" s="6"/>
      <c r="P394" s="6"/>
      <c r="Q394" s="6"/>
      <c r="R394" s="6"/>
      <c r="S394" s="6"/>
      <c r="T394" s="6"/>
      <c r="U394" s="6"/>
      <c r="V394" s="6"/>
      <c r="W394" s="6"/>
      <c r="X394" s="6"/>
      <c r="Y394" s="6"/>
      <c r="Z394" s="6"/>
      <c r="AA394" s="6"/>
      <c r="AB394" s="6"/>
      <c r="AC394" s="6"/>
      <c r="AD394" s="6"/>
      <c r="AE394" s="6"/>
      <c r="AF394" s="6"/>
      <c r="AG394" s="6"/>
    </row>
    <row r="395" spans="1:33" x14ac:dyDescent="0.25">
      <c r="A395" s="157">
        <f t="shared" si="14"/>
        <v>394</v>
      </c>
      <c r="B395" s="519" t="s">
        <v>4525</v>
      </c>
      <c r="C395" s="519" t="s">
        <v>4525</v>
      </c>
      <c r="D395" s="520" t="s">
        <v>5277</v>
      </c>
      <c r="E395" s="6"/>
      <c r="F395" s="7" t="s">
        <v>5248</v>
      </c>
      <c r="G395" s="7" t="s">
        <v>627</v>
      </c>
      <c r="H395" s="7"/>
      <c r="I395" s="7"/>
      <c r="J395" s="7"/>
      <c r="K395" s="7"/>
      <c r="L395" s="7"/>
      <c r="M395" s="7">
        <f t="shared" si="15"/>
        <v>0</v>
      </c>
      <c r="N395" s="6"/>
      <c r="O395" s="6"/>
      <c r="P395" s="6"/>
      <c r="Q395" s="6"/>
      <c r="R395" s="6"/>
      <c r="S395" s="6"/>
      <c r="T395" s="6"/>
      <c r="U395" s="6"/>
      <c r="V395" s="6"/>
      <c r="W395" s="6"/>
      <c r="X395" s="6"/>
      <c r="Y395" s="6"/>
      <c r="Z395" s="6"/>
      <c r="AA395" s="6"/>
      <c r="AB395" s="6"/>
      <c r="AC395" s="6"/>
      <c r="AD395" s="6"/>
      <c r="AE395" s="6"/>
      <c r="AF395" s="6"/>
      <c r="AG395" s="6"/>
    </row>
    <row r="396" spans="1:33" x14ac:dyDescent="0.25">
      <c r="A396" s="157">
        <f t="shared" si="14"/>
        <v>395</v>
      </c>
      <c r="B396" s="519" t="s">
        <v>4526</v>
      </c>
      <c r="C396" s="519" t="s">
        <v>4526</v>
      </c>
      <c r="D396" s="520" t="s">
        <v>5278</v>
      </c>
      <c r="E396" s="6"/>
      <c r="F396" s="7" t="s">
        <v>5248</v>
      </c>
      <c r="G396" s="7" t="s">
        <v>627</v>
      </c>
      <c r="H396" s="7"/>
      <c r="I396" s="7"/>
      <c r="J396" s="7"/>
      <c r="K396" s="7"/>
      <c r="L396" s="7"/>
      <c r="M396" s="7">
        <f t="shared" si="15"/>
        <v>0</v>
      </c>
      <c r="N396" s="6"/>
      <c r="O396" s="6"/>
      <c r="P396" s="6"/>
      <c r="Q396" s="6"/>
      <c r="R396" s="6"/>
      <c r="S396" s="6"/>
      <c r="T396" s="6"/>
      <c r="U396" s="6"/>
      <c r="V396" s="6"/>
      <c r="W396" s="6"/>
      <c r="X396" s="6"/>
      <c r="Y396" s="6"/>
      <c r="Z396" s="6"/>
      <c r="AA396" s="6"/>
      <c r="AB396" s="6"/>
      <c r="AC396" s="6"/>
      <c r="AD396" s="6"/>
      <c r="AE396" s="6"/>
      <c r="AF396" s="6"/>
      <c r="AG396" s="6"/>
    </row>
    <row r="397" spans="1:33" x14ac:dyDescent="0.25">
      <c r="A397" s="157">
        <f t="shared" si="14"/>
        <v>396</v>
      </c>
      <c r="B397" s="519" t="s">
        <v>4527</v>
      </c>
      <c r="C397" s="519" t="s">
        <v>4527</v>
      </c>
      <c r="D397" s="520" t="s">
        <v>5721</v>
      </c>
      <c r="E397" s="6"/>
      <c r="F397" s="7" t="s">
        <v>5248</v>
      </c>
      <c r="G397" s="7" t="s">
        <v>627</v>
      </c>
      <c r="H397" s="7"/>
      <c r="I397" s="7"/>
      <c r="J397" s="7"/>
      <c r="K397" s="7"/>
      <c r="L397" s="7"/>
      <c r="M397" s="7">
        <f t="shared" si="15"/>
        <v>0</v>
      </c>
      <c r="N397" s="6"/>
      <c r="O397" s="6"/>
      <c r="P397" s="6"/>
      <c r="Q397" s="6"/>
      <c r="R397" s="6"/>
      <c r="S397" s="6"/>
      <c r="T397" s="6"/>
      <c r="U397" s="6"/>
      <c r="V397" s="6"/>
      <c r="W397" s="6"/>
      <c r="X397" s="6"/>
      <c r="Y397" s="6"/>
      <c r="Z397" s="6"/>
      <c r="AA397" s="6"/>
      <c r="AB397" s="6"/>
      <c r="AC397" s="6"/>
      <c r="AD397" s="6"/>
      <c r="AE397" s="6"/>
      <c r="AF397" s="6"/>
      <c r="AG397" s="6"/>
    </row>
    <row r="398" spans="1:33" x14ac:dyDescent="0.25">
      <c r="A398" s="157">
        <f t="shared" si="14"/>
        <v>397</v>
      </c>
      <c r="B398" s="519" t="s">
        <v>4528</v>
      </c>
      <c r="C398" s="519" t="s">
        <v>4528</v>
      </c>
      <c r="D398" s="520" t="s">
        <v>5279</v>
      </c>
      <c r="E398" s="6"/>
      <c r="F398" s="7" t="s">
        <v>5248</v>
      </c>
      <c r="G398" s="7" t="s">
        <v>627</v>
      </c>
      <c r="H398" s="7" t="s">
        <v>6162</v>
      </c>
      <c r="I398" s="7"/>
      <c r="J398" s="7"/>
      <c r="K398" s="7"/>
      <c r="L398" s="7"/>
      <c r="M398" s="7">
        <f t="shared" si="15"/>
        <v>0</v>
      </c>
      <c r="N398" s="6"/>
      <c r="O398" s="6"/>
      <c r="P398" s="6"/>
      <c r="Q398" s="6"/>
      <c r="R398" s="6"/>
      <c r="S398" s="6"/>
      <c r="T398" s="6"/>
      <c r="U398" s="6"/>
      <c r="V398" s="6"/>
      <c r="W398" s="6"/>
      <c r="X398" s="6"/>
      <c r="Y398" s="6"/>
      <c r="Z398" s="6"/>
      <c r="AA398" s="6"/>
      <c r="AB398" s="6"/>
      <c r="AC398" s="6"/>
      <c r="AD398" s="6"/>
      <c r="AE398" s="6"/>
      <c r="AF398" s="6"/>
      <c r="AG398" s="6"/>
    </row>
    <row r="399" spans="1:33" x14ac:dyDescent="0.25">
      <c r="A399" s="157">
        <f t="shared" si="14"/>
        <v>398</v>
      </c>
      <c r="B399" s="519" t="s">
        <v>4529</v>
      </c>
      <c r="C399" s="519" t="s">
        <v>4529</v>
      </c>
      <c r="D399" s="520" t="s">
        <v>5280</v>
      </c>
      <c r="E399" s="6"/>
      <c r="F399" s="7" t="s">
        <v>5248</v>
      </c>
      <c r="G399" s="7" t="s">
        <v>627</v>
      </c>
      <c r="H399" s="7"/>
      <c r="I399" s="7"/>
      <c r="J399" s="7"/>
      <c r="K399" s="7"/>
      <c r="L399" s="7"/>
      <c r="M399" s="7">
        <f t="shared" si="15"/>
        <v>0</v>
      </c>
      <c r="N399" s="6"/>
      <c r="O399" s="6"/>
      <c r="P399" s="6"/>
      <c r="Q399" s="6"/>
      <c r="R399" s="6"/>
      <c r="S399" s="6"/>
      <c r="T399" s="6"/>
      <c r="U399" s="6"/>
      <c r="V399" s="6"/>
      <c r="W399" s="6"/>
      <c r="X399" s="6"/>
      <c r="Y399" s="6"/>
      <c r="Z399" s="6"/>
      <c r="AA399" s="6"/>
      <c r="AB399" s="6"/>
      <c r="AC399" s="6"/>
      <c r="AD399" s="6"/>
      <c r="AE399" s="6"/>
      <c r="AF399" s="6"/>
      <c r="AG399" s="6"/>
    </row>
    <row r="400" spans="1:33" x14ac:dyDescent="0.25">
      <c r="A400" s="157">
        <f t="shared" si="14"/>
        <v>399</v>
      </c>
      <c r="B400" s="519" t="s">
        <v>4530</v>
      </c>
      <c r="C400" s="519" t="s">
        <v>4530</v>
      </c>
      <c r="D400" s="520" t="s">
        <v>5281</v>
      </c>
      <c r="E400" s="6"/>
      <c r="F400" s="7" t="s">
        <v>5248</v>
      </c>
      <c r="G400" s="7" t="s">
        <v>627</v>
      </c>
      <c r="H400" s="7" t="s">
        <v>6159</v>
      </c>
      <c r="I400" s="7"/>
      <c r="J400" s="7"/>
      <c r="K400" s="7"/>
      <c r="L400" s="7"/>
      <c r="M400" s="7">
        <f t="shared" si="15"/>
        <v>0</v>
      </c>
      <c r="N400" s="6"/>
      <c r="O400" s="6"/>
      <c r="P400" s="6"/>
      <c r="Q400" s="6"/>
      <c r="R400" s="6"/>
      <c r="S400" s="6"/>
      <c r="T400" s="6"/>
      <c r="U400" s="6"/>
      <c r="V400" s="6"/>
      <c r="W400" s="6"/>
      <c r="X400" s="6"/>
      <c r="Y400" s="6"/>
      <c r="Z400" s="6"/>
      <c r="AA400" s="6"/>
      <c r="AB400" s="6"/>
      <c r="AC400" s="6"/>
      <c r="AD400" s="6"/>
      <c r="AE400" s="6"/>
      <c r="AF400" s="6"/>
      <c r="AG400" s="6"/>
    </row>
    <row r="401" spans="1:33" x14ac:dyDescent="0.25">
      <c r="A401" s="157">
        <f t="shared" si="14"/>
        <v>400</v>
      </c>
      <c r="B401" s="519" t="s">
        <v>4531</v>
      </c>
      <c r="C401" s="519" t="s">
        <v>4531</v>
      </c>
      <c r="D401" s="520" t="s">
        <v>5282</v>
      </c>
      <c r="E401" s="6"/>
      <c r="F401" s="7" t="s">
        <v>5248</v>
      </c>
      <c r="G401" s="7" t="s">
        <v>627</v>
      </c>
      <c r="H401" s="7" t="s">
        <v>6156</v>
      </c>
      <c r="I401" s="7"/>
      <c r="J401" s="7"/>
      <c r="K401" s="7"/>
      <c r="L401" s="7"/>
      <c r="M401" s="7">
        <f t="shared" si="15"/>
        <v>0</v>
      </c>
      <c r="N401" s="6"/>
      <c r="O401" s="6"/>
      <c r="P401" s="6"/>
      <c r="Q401" s="6"/>
      <c r="R401" s="6"/>
      <c r="S401" s="6"/>
      <c r="T401" s="6"/>
      <c r="U401" s="6"/>
      <c r="V401" s="6"/>
      <c r="W401" s="6"/>
      <c r="X401" s="6"/>
      <c r="Y401" s="6"/>
      <c r="Z401" s="6"/>
      <c r="AA401" s="6"/>
      <c r="AB401" s="6"/>
      <c r="AC401" s="6"/>
      <c r="AD401" s="6"/>
      <c r="AE401" s="6"/>
      <c r="AF401" s="6"/>
      <c r="AG401" s="6"/>
    </row>
    <row r="402" spans="1:33" x14ac:dyDescent="0.25">
      <c r="A402" s="157">
        <f t="shared" si="14"/>
        <v>401</v>
      </c>
      <c r="B402" s="519" t="s">
        <v>4532</v>
      </c>
      <c r="C402" s="519" t="s">
        <v>4532</v>
      </c>
      <c r="D402" s="520" t="s">
        <v>5283</v>
      </c>
      <c r="E402" s="6"/>
      <c r="F402" s="7" t="s">
        <v>5248</v>
      </c>
      <c r="G402" s="7" t="s">
        <v>627</v>
      </c>
      <c r="H402" s="7" t="s">
        <v>6160</v>
      </c>
      <c r="I402" s="7"/>
      <c r="J402" s="7"/>
      <c r="K402" s="7"/>
      <c r="L402" s="7"/>
      <c r="M402" s="7">
        <f t="shared" si="15"/>
        <v>0</v>
      </c>
      <c r="N402" s="6"/>
      <c r="O402" s="6"/>
      <c r="P402" s="6"/>
      <c r="Q402" s="6"/>
      <c r="R402" s="6"/>
      <c r="S402" s="6"/>
      <c r="T402" s="6"/>
      <c r="U402" s="6"/>
      <c r="V402" s="6"/>
      <c r="W402" s="6"/>
      <c r="X402" s="6"/>
      <c r="Y402" s="6"/>
      <c r="Z402" s="6"/>
      <c r="AA402" s="6"/>
      <c r="AB402" s="6"/>
      <c r="AC402" s="6"/>
      <c r="AD402" s="6"/>
      <c r="AE402" s="6"/>
      <c r="AF402" s="6"/>
      <c r="AG402" s="6"/>
    </row>
    <row r="403" spans="1:33" x14ac:dyDescent="0.25">
      <c r="A403" s="157">
        <f t="shared" si="14"/>
        <v>402</v>
      </c>
      <c r="B403" s="519" t="s">
        <v>4533</v>
      </c>
      <c r="C403" s="519" t="s">
        <v>4533</v>
      </c>
      <c r="D403" s="520" t="s">
        <v>5284</v>
      </c>
      <c r="E403" s="6"/>
      <c r="F403" s="7" t="s">
        <v>5248</v>
      </c>
      <c r="G403" s="7" t="s">
        <v>627</v>
      </c>
      <c r="H403" s="7"/>
      <c r="I403" s="7"/>
      <c r="J403" s="7"/>
      <c r="K403" s="7"/>
      <c r="L403" s="7"/>
      <c r="M403" s="7">
        <f t="shared" si="15"/>
        <v>0</v>
      </c>
      <c r="N403" s="6"/>
      <c r="O403" s="6"/>
      <c r="P403" s="6"/>
      <c r="Q403" s="6"/>
      <c r="R403" s="6"/>
      <c r="S403" s="6"/>
      <c r="T403" s="6"/>
      <c r="U403" s="6"/>
      <c r="V403" s="6"/>
      <c r="W403" s="6"/>
      <c r="X403" s="6"/>
      <c r="Y403" s="6"/>
      <c r="Z403" s="6"/>
      <c r="AA403" s="6"/>
      <c r="AB403" s="6"/>
      <c r="AC403" s="6"/>
      <c r="AD403" s="6"/>
      <c r="AE403" s="6"/>
      <c r="AF403" s="6"/>
      <c r="AG403" s="6"/>
    </row>
    <row r="404" spans="1:33" x14ac:dyDescent="0.25">
      <c r="A404" s="157">
        <f t="shared" si="14"/>
        <v>403</v>
      </c>
      <c r="B404" s="519" t="s">
        <v>4534</v>
      </c>
      <c r="C404" s="519" t="s">
        <v>4534</v>
      </c>
      <c r="D404" s="520" t="s">
        <v>5722</v>
      </c>
      <c r="E404" s="6"/>
      <c r="F404" s="7" t="s">
        <v>5248</v>
      </c>
      <c r="G404" s="7" t="s">
        <v>627</v>
      </c>
      <c r="H404" s="7" t="s">
        <v>6160</v>
      </c>
      <c r="I404" s="7"/>
      <c r="J404" s="7"/>
      <c r="K404" s="7"/>
      <c r="L404" s="7"/>
      <c r="M404" s="7">
        <f t="shared" si="15"/>
        <v>0</v>
      </c>
      <c r="N404" s="6"/>
      <c r="O404" s="6"/>
      <c r="P404" s="6"/>
      <c r="Q404" s="6"/>
      <c r="R404" s="6"/>
      <c r="S404" s="6"/>
      <c r="T404" s="6"/>
      <c r="U404" s="6"/>
      <c r="V404" s="6"/>
      <c r="W404" s="6"/>
      <c r="X404" s="6"/>
      <c r="Y404" s="6"/>
      <c r="Z404" s="6"/>
      <c r="AA404" s="6"/>
      <c r="AB404" s="6"/>
      <c r="AC404" s="6"/>
      <c r="AD404" s="6"/>
      <c r="AE404" s="6"/>
      <c r="AF404" s="6"/>
      <c r="AG404" s="6"/>
    </row>
    <row r="405" spans="1:33" x14ac:dyDescent="0.25">
      <c r="A405" s="157">
        <f t="shared" si="14"/>
        <v>404</v>
      </c>
      <c r="B405" s="519" t="s">
        <v>4535</v>
      </c>
      <c r="C405" s="519" t="s">
        <v>4535</v>
      </c>
      <c r="D405" s="520" t="s">
        <v>5285</v>
      </c>
      <c r="E405" s="6"/>
      <c r="F405" s="7" t="s">
        <v>5248</v>
      </c>
      <c r="G405" s="7" t="s">
        <v>627</v>
      </c>
      <c r="H405" s="7" t="s">
        <v>6156</v>
      </c>
      <c r="I405" s="7"/>
      <c r="J405" s="7"/>
      <c r="K405" s="7"/>
      <c r="L405" s="7"/>
      <c r="M405" s="7">
        <f t="shared" si="15"/>
        <v>0</v>
      </c>
      <c r="N405" s="6"/>
      <c r="O405" s="6"/>
      <c r="P405" s="6"/>
      <c r="Q405" s="6"/>
      <c r="R405" s="6"/>
      <c r="S405" s="6"/>
      <c r="T405" s="6"/>
      <c r="U405" s="6"/>
      <c r="V405" s="6"/>
      <c r="W405" s="6"/>
      <c r="X405" s="6"/>
      <c r="Y405" s="6"/>
      <c r="Z405" s="6"/>
      <c r="AA405" s="6"/>
      <c r="AB405" s="6"/>
      <c r="AC405" s="6"/>
      <c r="AD405" s="6"/>
      <c r="AE405" s="6"/>
      <c r="AF405" s="6"/>
      <c r="AG405" s="6"/>
    </row>
    <row r="406" spans="1:33" x14ac:dyDescent="0.25">
      <c r="A406" s="157">
        <f t="shared" si="14"/>
        <v>405</v>
      </c>
      <c r="B406" s="519" t="s">
        <v>4536</v>
      </c>
      <c r="C406" s="519" t="s">
        <v>4536</v>
      </c>
      <c r="D406" s="520" t="s">
        <v>5286</v>
      </c>
      <c r="E406" s="6"/>
      <c r="F406" s="7" t="s">
        <v>5248</v>
      </c>
      <c r="G406" s="7" t="s">
        <v>627</v>
      </c>
      <c r="H406" s="7" t="s">
        <v>6158</v>
      </c>
      <c r="I406" s="7"/>
      <c r="J406" s="7"/>
      <c r="K406" s="7"/>
      <c r="L406" s="7"/>
      <c r="M406" s="7">
        <f t="shared" si="15"/>
        <v>0</v>
      </c>
      <c r="N406" s="6"/>
      <c r="O406" s="6"/>
      <c r="P406" s="6"/>
      <c r="Q406" s="6"/>
      <c r="R406" s="6"/>
      <c r="S406" s="6"/>
      <c r="T406" s="6"/>
      <c r="U406" s="6"/>
      <c r="V406" s="6"/>
      <c r="W406" s="6"/>
      <c r="X406" s="6"/>
      <c r="Y406" s="6"/>
      <c r="Z406" s="6"/>
      <c r="AA406" s="6"/>
      <c r="AB406" s="6"/>
      <c r="AC406" s="6"/>
      <c r="AD406" s="6"/>
      <c r="AE406" s="6"/>
      <c r="AF406" s="6"/>
      <c r="AG406" s="6"/>
    </row>
    <row r="407" spans="1:33" x14ac:dyDescent="0.25">
      <c r="A407" s="157">
        <f t="shared" si="14"/>
        <v>406</v>
      </c>
      <c r="B407" s="519" t="s">
        <v>4537</v>
      </c>
      <c r="C407" s="519" t="s">
        <v>4537</v>
      </c>
      <c r="D407" s="520" t="s">
        <v>5287</v>
      </c>
      <c r="E407" s="6"/>
      <c r="F407" s="7" t="s">
        <v>5248</v>
      </c>
      <c r="G407" s="7" t="s">
        <v>627</v>
      </c>
      <c r="H407" s="7" t="s">
        <v>6157</v>
      </c>
      <c r="I407" s="7"/>
      <c r="J407" s="7"/>
      <c r="K407" s="7"/>
      <c r="L407" s="7"/>
      <c r="M407" s="7">
        <f t="shared" si="15"/>
        <v>0</v>
      </c>
      <c r="N407" s="6"/>
      <c r="O407" s="6"/>
      <c r="P407" s="6"/>
      <c r="Q407" s="6"/>
      <c r="R407" s="6"/>
      <c r="S407" s="6"/>
      <c r="T407" s="6"/>
      <c r="U407" s="6"/>
      <c r="V407" s="6"/>
      <c r="W407" s="6"/>
      <c r="X407" s="6"/>
      <c r="Y407" s="6"/>
      <c r="Z407" s="6"/>
      <c r="AA407" s="6"/>
      <c r="AB407" s="6"/>
      <c r="AC407" s="6"/>
      <c r="AD407" s="6"/>
      <c r="AE407" s="6"/>
      <c r="AF407" s="6"/>
      <c r="AG407" s="6"/>
    </row>
    <row r="408" spans="1:33" x14ac:dyDescent="0.25">
      <c r="A408" s="157">
        <f t="shared" si="14"/>
        <v>407</v>
      </c>
      <c r="B408" s="519" t="s">
        <v>4538</v>
      </c>
      <c r="C408" s="519" t="s">
        <v>4538</v>
      </c>
      <c r="D408" s="520" t="s">
        <v>5288</v>
      </c>
      <c r="E408" s="6"/>
      <c r="F408" s="7" t="s">
        <v>5248</v>
      </c>
      <c r="G408" s="7" t="s">
        <v>627</v>
      </c>
      <c r="H408" s="7" t="s">
        <v>6160</v>
      </c>
      <c r="I408" s="7"/>
      <c r="J408" s="7"/>
      <c r="K408" s="7"/>
      <c r="L408" s="7"/>
      <c r="M408" s="7">
        <f t="shared" si="15"/>
        <v>0</v>
      </c>
      <c r="N408" s="6"/>
      <c r="O408" s="6"/>
      <c r="P408" s="6"/>
      <c r="Q408" s="6"/>
      <c r="R408" s="6"/>
      <c r="S408" s="6"/>
      <c r="T408" s="6"/>
      <c r="U408" s="6"/>
      <c r="V408" s="6"/>
      <c r="W408" s="6"/>
      <c r="X408" s="6"/>
      <c r="Y408" s="6"/>
      <c r="Z408" s="6"/>
      <c r="AA408" s="6"/>
      <c r="AB408" s="6"/>
      <c r="AC408" s="6"/>
      <c r="AD408" s="6"/>
      <c r="AE408" s="6"/>
      <c r="AF408" s="6"/>
      <c r="AG408" s="6"/>
    </row>
    <row r="409" spans="1:33" x14ac:dyDescent="0.25">
      <c r="A409" s="157">
        <f t="shared" si="14"/>
        <v>408</v>
      </c>
      <c r="B409" s="519" t="s">
        <v>4539</v>
      </c>
      <c r="C409" s="519" t="s">
        <v>4539</v>
      </c>
      <c r="D409" s="520" t="s">
        <v>5289</v>
      </c>
      <c r="E409" s="6"/>
      <c r="F409" s="7" t="s">
        <v>5248</v>
      </c>
      <c r="G409" s="7" t="s">
        <v>627</v>
      </c>
      <c r="H409" s="7"/>
      <c r="I409" s="7"/>
      <c r="J409" s="7"/>
      <c r="K409" s="7"/>
      <c r="L409" s="7"/>
      <c r="M409" s="7">
        <f t="shared" si="15"/>
        <v>0</v>
      </c>
      <c r="N409" s="6"/>
      <c r="O409" s="6"/>
      <c r="P409" s="6"/>
      <c r="Q409" s="6"/>
      <c r="R409" s="6"/>
      <c r="S409" s="6"/>
      <c r="T409" s="6"/>
      <c r="U409" s="6"/>
      <c r="V409" s="6"/>
      <c r="W409" s="6"/>
      <c r="X409" s="6"/>
      <c r="Y409" s="6"/>
      <c r="Z409" s="6"/>
      <c r="AA409" s="6"/>
      <c r="AB409" s="6"/>
      <c r="AC409" s="6"/>
      <c r="AD409" s="6"/>
      <c r="AE409" s="6"/>
      <c r="AF409" s="6"/>
      <c r="AG409" s="6"/>
    </row>
    <row r="410" spans="1:33" x14ac:dyDescent="0.25">
      <c r="A410" s="157">
        <f t="shared" si="14"/>
        <v>409</v>
      </c>
      <c r="B410" s="519" t="s">
        <v>4540</v>
      </c>
      <c r="C410" s="519" t="s">
        <v>4540</v>
      </c>
      <c r="D410" s="520" t="s">
        <v>5290</v>
      </c>
      <c r="E410" s="6"/>
      <c r="F410" s="7" t="s">
        <v>5248</v>
      </c>
      <c r="G410" s="7" t="s">
        <v>627</v>
      </c>
      <c r="H410" s="7" t="s">
        <v>6163</v>
      </c>
      <c r="I410" s="7"/>
      <c r="J410" s="7"/>
      <c r="K410" s="7"/>
      <c r="L410" s="7"/>
      <c r="M410" s="7">
        <f t="shared" si="15"/>
        <v>0</v>
      </c>
      <c r="N410" s="6"/>
      <c r="O410" s="6"/>
      <c r="P410" s="6"/>
      <c r="Q410" s="6"/>
      <c r="R410" s="6"/>
      <c r="S410" s="6"/>
      <c r="T410" s="6"/>
      <c r="U410" s="6"/>
      <c r="V410" s="6"/>
      <c r="W410" s="6"/>
      <c r="X410" s="6"/>
      <c r="Y410" s="6"/>
      <c r="Z410" s="6"/>
      <c r="AA410" s="6"/>
      <c r="AB410" s="6"/>
      <c r="AC410" s="6"/>
      <c r="AD410" s="6"/>
      <c r="AE410" s="6"/>
      <c r="AF410" s="6"/>
      <c r="AG410" s="6"/>
    </row>
    <row r="411" spans="1:33" x14ac:dyDescent="0.25">
      <c r="A411" s="157">
        <f t="shared" si="14"/>
        <v>410</v>
      </c>
      <c r="B411" s="519" t="s">
        <v>4541</v>
      </c>
      <c r="C411" s="519" t="s">
        <v>4541</v>
      </c>
      <c r="D411" s="520" t="s">
        <v>5291</v>
      </c>
      <c r="E411" s="6"/>
      <c r="F411" s="7" t="s">
        <v>5248</v>
      </c>
      <c r="G411" s="7" t="s">
        <v>627</v>
      </c>
      <c r="H411" s="7" t="s">
        <v>6159</v>
      </c>
      <c r="I411" s="7"/>
      <c r="J411" s="7"/>
      <c r="K411" s="7"/>
      <c r="L411" s="7"/>
      <c r="M411" s="7">
        <f t="shared" si="15"/>
        <v>0</v>
      </c>
      <c r="N411" s="6"/>
      <c r="O411" s="6"/>
      <c r="P411" s="6"/>
      <c r="Q411" s="6"/>
      <c r="R411" s="6"/>
      <c r="S411" s="6"/>
      <c r="T411" s="6"/>
      <c r="U411" s="6"/>
      <c r="V411" s="6"/>
      <c r="W411" s="6"/>
      <c r="X411" s="6"/>
      <c r="Y411" s="6"/>
      <c r="Z411" s="6"/>
      <c r="AA411" s="6"/>
      <c r="AB411" s="6"/>
      <c r="AC411" s="6"/>
      <c r="AD411" s="6"/>
      <c r="AE411" s="6"/>
      <c r="AF411" s="6"/>
      <c r="AG411" s="6"/>
    </row>
    <row r="412" spans="1:33" x14ac:dyDescent="0.25">
      <c r="A412" s="157">
        <f t="shared" si="14"/>
        <v>411</v>
      </c>
      <c r="B412" s="519" t="s">
        <v>4542</v>
      </c>
      <c r="C412" s="519" t="s">
        <v>4542</v>
      </c>
      <c r="D412" s="520" t="s">
        <v>5723</v>
      </c>
      <c r="E412" s="6"/>
      <c r="F412" s="7" t="s">
        <v>5248</v>
      </c>
      <c r="G412" s="7" t="s">
        <v>627</v>
      </c>
      <c r="H412" s="7" t="s">
        <v>4007</v>
      </c>
      <c r="I412" s="7"/>
      <c r="J412" s="7"/>
      <c r="K412" s="7"/>
      <c r="L412" s="7"/>
      <c r="M412" s="7">
        <f t="shared" si="15"/>
        <v>0</v>
      </c>
      <c r="N412" s="6"/>
      <c r="O412" s="6"/>
      <c r="P412" s="6"/>
      <c r="Q412" s="6"/>
      <c r="R412" s="6"/>
      <c r="S412" s="6"/>
      <c r="T412" s="6"/>
      <c r="U412" s="6"/>
      <c r="V412" s="6"/>
      <c r="W412" s="6"/>
      <c r="X412" s="6"/>
      <c r="Y412" s="6"/>
      <c r="Z412" s="6"/>
      <c r="AA412" s="6"/>
      <c r="AB412" s="6"/>
      <c r="AC412" s="6"/>
      <c r="AD412" s="6"/>
      <c r="AE412" s="6"/>
      <c r="AF412" s="6"/>
      <c r="AG412" s="6"/>
    </row>
    <row r="413" spans="1:33" x14ac:dyDescent="0.25">
      <c r="A413" s="157">
        <f t="shared" si="14"/>
        <v>412</v>
      </c>
      <c r="B413" s="519" t="s">
        <v>4543</v>
      </c>
      <c r="C413" s="519" t="s">
        <v>4543</v>
      </c>
      <c r="D413" s="520" t="s">
        <v>5292</v>
      </c>
      <c r="E413" s="6"/>
      <c r="F413" s="7" t="s">
        <v>5248</v>
      </c>
      <c r="G413" s="7" t="s">
        <v>627</v>
      </c>
      <c r="H413" s="7" t="s">
        <v>6156</v>
      </c>
      <c r="I413" s="7"/>
      <c r="J413" s="7"/>
      <c r="K413" s="7"/>
      <c r="L413" s="7"/>
      <c r="M413" s="7">
        <f t="shared" si="15"/>
        <v>0</v>
      </c>
      <c r="N413" s="6"/>
      <c r="O413" s="6"/>
      <c r="P413" s="6"/>
      <c r="Q413" s="6"/>
      <c r="R413" s="6"/>
      <c r="S413" s="6"/>
      <c r="T413" s="6"/>
      <c r="U413" s="6"/>
      <c r="V413" s="6"/>
      <c r="W413" s="6"/>
      <c r="X413" s="6"/>
      <c r="Y413" s="6"/>
      <c r="Z413" s="6"/>
      <c r="AA413" s="6"/>
      <c r="AB413" s="6"/>
      <c r="AC413" s="6"/>
      <c r="AD413" s="6"/>
      <c r="AE413" s="6"/>
      <c r="AF413" s="6"/>
      <c r="AG413" s="6"/>
    </row>
    <row r="414" spans="1:33" x14ac:dyDescent="0.25">
      <c r="A414" s="157">
        <f t="shared" si="14"/>
        <v>413</v>
      </c>
      <c r="B414" s="519" t="s">
        <v>4544</v>
      </c>
      <c r="C414" s="519" t="s">
        <v>4544</v>
      </c>
      <c r="D414" s="520" t="s">
        <v>5724</v>
      </c>
      <c r="E414" s="6"/>
      <c r="F414" s="7" t="s">
        <v>5248</v>
      </c>
      <c r="G414" s="7" t="s">
        <v>627</v>
      </c>
      <c r="H414" s="7" t="s">
        <v>6159</v>
      </c>
      <c r="I414" s="7"/>
      <c r="J414" s="7"/>
      <c r="K414" s="7"/>
      <c r="L414" s="7"/>
      <c r="M414" s="7">
        <f t="shared" si="15"/>
        <v>0</v>
      </c>
      <c r="N414" s="6"/>
      <c r="O414" s="6"/>
      <c r="P414" s="6"/>
      <c r="Q414" s="6"/>
      <c r="R414" s="6"/>
      <c r="S414" s="6"/>
      <c r="T414" s="6"/>
      <c r="U414" s="6"/>
      <c r="V414" s="6"/>
      <c r="W414" s="6"/>
      <c r="X414" s="6"/>
      <c r="Y414" s="6"/>
      <c r="Z414" s="6"/>
      <c r="AA414" s="6"/>
      <c r="AB414" s="6"/>
      <c r="AC414" s="6"/>
      <c r="AD414" s="6"/>
      <c r="AE414" s="6"/>
      <c r="AF414" s="6"/>
      <c r="AG414" s="6"/>
    </row>
    <row r="415" spans="1:33" x14ac:dyDescent="0.25">
      <c r="A415" s="157">
        <f t="shared" si="14"/>
        <v>414</v>
      </c>
      <c r="B415" s="519" t="s">
        <v>5326</v>
      </c>
      <c r="C415" s="519" t="s">
        <v>270</v>
      </c>
      <c r="D415" s="525" t="s">
        <v>3857</v>
      </c>
      <c r="E415" s="6" t="s">
        <v>6048</v>
      </c>
      <c r="F415" s="7" t="s">
        <v>270</v>
      </c>
      <c r="G415" s="7" t="s">
        <v>628</v>
      </c>
      <c r="H415" s="7"/>
      <c r="I415" s="7"/>
      <c r="J415" s="7"/>
      <c r="K415" s="7"/>
      <c r="L415" s="7"/>
      <c r="M415" s="7">
        <f t="shared" si="15"/>
        <v>0</v>
      </c>
      <c r="N415" s="6"/>
      <c r="O415" s="6"/>
      <c r="P415" s="6"/>
      <c r="Q415" s="6"/>
      <c r="R415" s="6"/>
      <c r="S415" s="6"/>
      <c r="T415" s="6"/>
      <c r="U415" s="6"/>
      <c r="V415" s="6"/>
      <c r="W415" s="6"/>
      <c r="X415" s="6"/>
      <c r="Y415" s="6"/>
      <c r="Z415" s="6"/>
      <c r="AA415" s="6"/>
      <c r="AB415" s="6"/>
      <c r="AC415" s="6"/>
      <c r="AD415" s="6"/>
      <c r="AE415" s="6"/>
      <c r="AF415" s="6"/>
      <c r="AG415" s="6"/>
    </row>
    <row r="416" spans="1:33" x14ac:dyDescent="0.25">
      <c r="A416" s="157">
        <f t="shared" si="14"/>
        <v>415</v>
      </c>
      <c r="B416" s="519" t="s">
        <v>5327</v>
      </c>
      <c r="C416" s="519" t="s">
        <v>270</v>
      </c>
      <c r="D416" s="525" t="s">
        <v>3857</v>
      </c>
      <c r="E416" s="6" t="s">
        <v>6020</v>
      </c>
      <c r="F416" s="7" t="s">
        <v>270</v>
      </c>
      <c r="G416" s="7" t="s">
        <v>626</v>
      </c>
      <c r="H416" s="7"/>
      <c r="I416" s="7"/>
      <c r="J416" s="7"/>
      <c r="K416" s="7"/>
      <c r="L416" s="7"/>
      <c r="M416" s="7">
        <f t="shared" si="15"/>
        <v>0</v>
      </c>
      <c r="N416" s="6"/>
      <c r="O416" s="6"/>
      <c r="P416" s="6"/>
      <c r="Q416" s="6"/>
      <c r="R416" s="6"/>
      <c r="S416" s="6"/>
      <c r="T416" s="6"/>
      <c r="U416" s="6"/>
      <c r="V416" s="6"/>
      <c r="W416" s="6"/>
      <c r="X416" s="6"/>
      <c r="Y416" s="6"/>
      <c r="Z416" s="6"/>
      <c r="AA416" s="6"/>
      <c r="AB416" s="6"/>
      <c r="AC416" s="6"/>
      <c r="AD416" s="6"/>
      <c r="AE416" s="6"/>
      <c r="AF416" s="6"/>
      <c r="AG416" s="6"/>
    </row>
    <row r="417" spans="1:33" x14ac:dyDescent="0.25">
      <c r="A417" s="157">
        <f t="shared" si="14"/>
        <v>416</v>
      </c>
      <c r="B417" s="519" t="s">
        <v>5328</v>
      </c>
      <c r="C417" s="519" t="s">
        <v>270</v>
      </c>
      <c r="D417" s="525" t="s">
        <v>3857</v>
      </c>
      <c r="E417" s="6" t="s">
        <v>6049</v>
      </c>
      <c r="F417" s="7" t="s">
        <v>270</v>
      </c>
      <c r="G417" s="7" t="s">
        <v>620</v>
      </c>
      <c r="H417" s="7"/>
      <c r="I417" s="7"/>
      <c r="J417" s="7"/>
      <c r="K417" s="7"/>
      <c r="L417" s="7"/>
      <c r="M417" s="7">
        <f t="shared" si="15"/>
        <v>0</v>
      </c>
      <c r="N417" s="6"/>
      <c r="O417" s="6"/>
      <c r="P417" s="6"/>
      <c r="Q417" s="6"/>
      <c r="R417" s="6"/>
      <c r="S417" s="6"/>
      <c r="T417" s="6"/>
      <c r="U417" s="6"/>
      <c r="V417" s="6"/>
      <c r="W417" s="6"/>
      <c r="X417" s="6"/>
      <c r="Y417" s="6"/>
      <c r="Z417" s="6"/>
      <c r="AA417" s="6"/>
      <c r="AB417" s="6"/>
      <c r="AC417" s="6"/>
      <c r="AD417" s="6"/>
      <c r="AE417" s="6"/>
      <c r="AF417" s="6"/>
      <c r="AG417" s="6"/>
    </row>
    <row r="418" spans="1:33" x14ac:dyDescent="0.25">
      <c r="A418" s="157">
        <f t="shared" si="14"/>
        <v>417</v>
      </c>
      <c r="B418" s="519" t="s">
        <v>5329</v>
      </c>
      <c r="C418" s="519" t="s">
        <v>270</v>
      </c>
      <c r="D418" s="525" t="s">
        <v>3857</v>
      </c>
      <c r="E418" s="6" t="s">
        <v>6050</v>
      </c>
      <c r="F418" s="7" t="s">
        <v>270</v>
      </c>
      <c r="G418" s="7" t="s">
        <v>621</v>
      </c>
      <c r="H418" s="7"/>
      <c r="I418" s="7"/>
      <c r="J418" s="7"/>
      <c r="K418" s="7"/>
      <c r="L418" s="7"/>
      <c r="M418" s="7">
        <f t="shared" si="15"/>
        <v>0</v>
      </c>
      <c r="N418" s="6"/>
      <c r="O418" s="6"/>
      <c r="P418" s="6"/>
      <c r="Q418" s="6"/>
      <c r="R418" s="6"/>
      <c r="S418" s="6"/>
      <c r="T418" s="6"/>
      <c r="U418" s="6"/>
      <c r="V418" s="6"/>
      <c r="W418" s="6"/>
      <c r="X418" s="6"/>
      <c r="Y418" s="6"/>
      <c r="Z418" s="6"/>
      <c r="AA418" s="6"/>
      <c r="AB418" s="6"/>
      <c r="AC418" s="6"/>
      <c r="AD418" s="6"/>
      <c r="AE418" s="6"/>
      <c r="AF418" s="6"/>
      <c r="AG418" s="6"/>
    </row>
    <row r="419" spans="1:33" x14ac:dyDescent="0.25">
      <c r="A419" s="157">
        <f t="shared" si="14"/>
        <v>418</v>
      </c>
      <c r="B419" s="519" t="s">
        <v>5330</v>
      </c>
      <c r="C419" s="519" t="s">
        <v>270</v>
      </c>
      <c r="D419" s="525" t="s">
        <v>3857</v>
      </c>
      <c r="E419" s="6" t="s">
        <v>6021</v>
      </c>
      <c r="F419" s="7" t="s">
        <v>270</v>
      </c>
      <c r="G419" s="7" t="s">
        <v>624</v>
      </c>
      <c r="H419" s="7"/>
      <c r="I419" s="7"/>
      <c r="J419" s="7"/>
      <c r="K419" s="7"/>
      <c r="L419" s="7"/>
      <c r="M419" s="7">
        <f t="shared" si="15"/>
        <v>0</v>
      </c>
      <c r="N419" s="6"/>
      <c r="O419" s="6"/>
      <c r="P419" s="6"/>
      <c r="Q419" s="6"/>
      <c r="R419" s="6"/>
      <c r="S419" s="6"/>
      <c r="T419" s="6"/>
      <c r="U419" s="6"/>
      <c r="V419" s="6"/>
      <c r="W419" s="6"/>
      <c r="X419" s="6"/>
      <c r="Y419" s="6"/>
      <c r="Z419" s="6"/>
      <c r="AA419" s="6"/>
      <c r="AB419" s="6"/>
      <c r="AC419" s="6"/>
      <c r="AD419" s="6"/>
      <c r="AE419" s="6"/>
      <c r="AF419" s="6"/>
      <c r="AG419" s="6"/>
    </row>
    <row r="420" spans="1:33" x14ac:dyDescent="0.25">
      <c r="A420" s="157">
        <f t="shared" si="14"/>
        <v>419</v>
      </c>
      <c r="B420" s="519" t="s">
        <v>5331</v>
      </c>
      <c r="C420" s="519" t="s">
        <v>270</v>
      </c>
      <c r="D420" s="525" t="s">
        <v>3857</v>
      </c>
      <c r="E420" s="6" t="s">
        <v>6022</v>
      </c>
      <c r="F420" s="7" t="s">
        <v>270</v>
      </c>
      <c r="G420" s="7" t="s">
        <v>1113</v>
      </c>
      <c r="H420" s="7"/>
      <c r="I420" s="7"/>
      <c r="J420" s="7"/>
      <c r="K420" s="7"/>
      <c r="L420" s="7"/>
      <c r="M420" s="7">
        <f t="shared" si="15"/>
        <v>0</v>
      </c>
      <c r="N420" s="6"/>
      <c r="O420" s="6"/>
      <c r="P420" s="6"/>
      <c r="Q420" s="6"/>
      <c r="R420" s="6"/>
      <c r="S420" s="6"/>
      <c r="T420" s="6"/>
      <c r="U420" s="6"/>
      <c r="V420" s="6"/>
      <c r="W420" s="6"/>
      <c r="X420" s="6"/>
      <c r="Y420" s="6"/>
      <c r="Z420" s="6"/>
      <c r="AA420" s="6"/>
      <c r="AB420" s="6"/>
      <c r="AC420" s="6"/>
      <c r="AD420" s="6"/>
      <c r="AE420" s="6"/>
      <c r="AF420" s="6"/>
      <c r="AG420" s="6"/>
    </row>
    <row r="421" spans="1:33" x14ac:dyDescent="0.25">
      <c r="A421" s="157">
        <f t="shared" si="14"/>
        <v>420</v>
      </c>
      <c r="B421" s="519" t="s">
        <v>5353</v>
      </c>
      <c r="C421" s="519" t="s">
        <v>3929</v>
      </c>
      <c r="D421" s="520" t="s">
        <v>5516</v>
      </c>
      <c r="E421" s="6"/>
      <c r="F421" s="7"/>
      <c r="G421" s="7" t="s">
        <v>623</v>
      </c>
      <c r="H421" s="7"/>
      <c r="I421" s="7"/>
      <c r="J421" s="7"/>
      <c r="K421" s="7"/>
      <c r="L421" s="7"/>
      <c r="M421" s="7">
        <f t="shared" si="15"/>
        <v>0</v>
      </c>
      <c r="N421" s="6"/>
      <c r="O421" s="6"/>
      <c r="P421" s="6"/>
      <c r="Q421" s="6"/>
      <c r="R421" s="6"/>
      <c r="S421" s="6"/>
      <c r="T421" s="6"/>
      <c r="U421" s="6"/>
      <c r="V421" s="6"/>
      <c r="W421" s="6"/>
      <c r="X421" s="6"/>
      <c r="Y421" s="6"/>
      <c r="Z421" s="6"/>
      <c r="AA421" s="6"/>
      <c r="AB421" s="6"/>
      <c r="AC421" s="6"/>
      <c r="AD421" s="6"/>
      <c r="AE421" s="6"/>
      <c r="AF421" s="6"/>
      <c r="AG421" s="6"/>
    </row>
    <row r="422" spans="1:33" x14ac:dyDescent="0.25">
      <c r="A422" s="157">
        <f t="shared" si="14"/>
        <v>421</v>
      </c>
      <c r="B422" s="519" t="s">
        <v>5357</v>
      </c>
      <c r="C422" s="519" t="s">
        <v>3515</v>
      </c>
      <c r="D422" s="525" t="s">
        <v>3857</v>
      </c>
      <c r="E422" s="6"/>
      <c r="F422" s="7"/>
      <c r="G422" s="7" t="s">
        <v>1113</v>
      </c>
      <c r="H422" s="7"/>
      <c r="I422" s="7"/>
      <c r="J422" s="7"/>
      <c r="K422" s="7"/>
      <c r="L422" s="7"/>
      <c r="M422" s="7">
        <f t="shared" si="15"/>
        <v>4</v>
      </c>
      <c r="N422" s="160" t="s">
        <v>4026</v>
      </c>
      <c r="O422" s="160" t="s">
        <v>4027</v>
      </c>
      <c r="P422" s="160" t="s">
        <v>4028</v>
      </c>
      <c r="Q422" s="160" t="s">
        <v>4029</v>
      </c>
      <c r="R422" s="160"/>
      <c r="S422" s="160"/>
      <c r="T422" s="6"/>
      <c r="U422" s="6"/>
      <c r="V422" s="6"/>
      <c r="W422" s="6"/>
      <c r="X422" s="6"/>
      <c r="Y422" s="6"/>
      <c r="Z422" s="6"/>
      <c r="AA422" s="6"/>
      <c r="AB422" s="6"/>
      <c r="AC422" s="6"/>
      <c r="AD422" s="6"/>
      <c r="AE422" s="6"/>
      <c r="AF422" s="6"/>
      <c r="AG422" s="6"/>
    </row>
    <row r="423" spans="1:33" x14ac:dyDescent="0.25">
      <c r="A423" s="157">
        <f t="shared" si="14"/>
        <v>422</v>
      </c>
      <c r="B423" s="519" t="s">
        <v>5358</v>
      </c>
      <c r="C423" s="519" t="s">
        <v>3515</v>
      </c>
      <c r="D423" s="525" t="s">
        <v>3857</v>
      </c>
      <c r="E423" s="6"/>
      <c r="F423" s="7"/>
      <c r="G423" s="7" t="s">
        <v>624</v>
      </c>
      <c r="H423" s="7"/>
      <c r="I423" s="7"/>
      <c r="J423" s="7"/>
      <c r="K423" s="7"/>
      <c r="L423" s="7"/>
      <c r="M423" s="7">
        <f t="shared" si="15"/>
        <v>4</v>
      </c>
      <c r="N423" s="160" t="s">
        <v>4025</v>
      </c>
      <c r="O423" s="160" t="s">
        <v>4026</v>
      </c>
      <c r="P423" s="160" t="s">
        <v>4027</v>
      </c>
      <c r="Q423" s="160" t="s">
        <v>4030</v>
      </c>
      <c r="R423" s="6"/>
      <c r="S423" s="6"/>
      <c r="T423" s="6"/>
      <c r="U423" s="6"/>
      <c r="V423" s="6"/>
      <c r="W423" s="6"/>
      <c r="X423" s="6"/>
      <c r="Y423" s="6"/>
      <c r="Z423" s="6"/>
      <c r="AA423" s="6"/>
      <c r="AB423" s="6"/>
      <c r="AC423" s="6"/>
      <c r="AD423" s="6"/>
      <c r="AE423" s="6"/>
      <c r="AF423" s="6"/>
      <c r="AG423" s="6"/>
    </row>
    <row r="424" spans="1:33" x14ac:dyDescent="0.25">
      <c r="A424" s="157">
        <f t="shared" si="14"/>
        <v>423</v>
      </c>
      <c r="B424" s="519" t="s">
        <v>5379</v>
      </c>
      <c r="C424" s="519" t="s">
        <v>5379</v>
      </c>
      <c r="D424" s="525" t="s">
        <v>5834</v>
      </c>
      <c r="E424" s="6"/>
      <c r="F424" s="7"/>
      <c r="G424" s="7" t="s">
        <v>620</v>
      </c>
      <c r="H424" s="7"/>
      <c r="I424" s="7" t="s">
        <v>3987</v>
      </c>
      <c r="J424" s="524" t="s">
        <v>5323</v>
      </c>
      <c r="K424" s="7"/>
      <c r="L424" s="7" t="s">
        <v>587</v>
      </c>
      <c r="M424" s="7">
        <f t="shared" si="15"/>
        <v>0</v>
      </c>
      <c r="N424" s="6"/>
      <c r="O424" s="6"/>
      <c r="P424" s="6"/>
      <c r="Q424" s="6"/>
      <c r="R424" s="6"/>
      <c r="S424" s="6"/>
      <c r="T424" s="6"/>
      <c r="U424" s="6"/>
      <c r="V424" s="6"/>
      <c r="W424" s="6"/>
      <c r="X424" s="6"/>
      <c r="Y424" s="6"/>
      <c r="Z424" s="6"/>
      <c r="AA424" s="6"/>
      <c r="AB424" s="6"/>
      <c r="AC424" s="6"/>
      <c r="AD424" s="6"/>
      <c r="AE424" s="6"/>
      <c r="AF424" s="6"/>
      <c r="AG424" s="6"/>
    </row>
    <row r="425" spans="1:33" x14ac:dyDescent="0.25">
      <c r="A425" s="157">
        <f t="shared" si="14"/>
        <v>424</v>
      </c>
      <c r="B425" s="519" t="s">
        <v>5381</v>
      </c>
      <c r="C425" s="519" t="s">
        <v>5381</v>
      </c>
      <c r="D425" s="525" t="s">
        <v>5835</v>
      </c>
      <c r="E425" s="6"/>
      <c r="F425" s="7"/>
      <c r="G425" s="7" t="s">
        <v>620</v>
      </c>
      <c r="H425" s="7"/>
      <c r="I425" s="7" t="s">
        <v>3987</v>
      </c>
      <c r="J425" s="524" t="s">
        <v>5324</v>
      </c>
      <c r="K425" s="7"/>
      <c r="L425" s="7" t="s">
        <v>587</v>
      </c>
      <c r="M425" s="7">
        <f t="shared" si="15"/>
        <v>0</v>
      </c>
      <c r="N425" s="6"/>
      <c r="O425" s="6"/>
      <c r="P425" s="6"/>
      <c r="Q425" s="6"/>
      <c r="R425" s="6"/>
      <c r="S425" s="6"/>
      <c r="T425" s="6"/>
      <c r="U425" s="6"/>
      <c r="V425" s="6"/>
      <c r="W425" s="6"/>
      <c r="X425" s="6"/>
      <c r="Y425" s="6"/>
      <c r="Z425" s="6"/>
      <c r="AA425" s="6"/>
      <c r="AB425" s="6"/>
      <c r="AC425" s="6"/>
      <c r="AD425" s="6"/>
      <c r="AE425" s="6"/>
      <c r="AF425" s="6"/>
      <c r="AG425" s="6"/>
    </row>
    <row r="426" spans="1:33" x14ac:dyDescent="0.25">
      <c r="A426" s="157">
        <f t="shared" si="14"/>
        <v>425</v>
      </c>
      <c r="B426" s="519" t="s">
        <v>5380</v>
      </c>
      <c r="C426" s="519" t="s">
        <v>5380</v>
      </c>
      <c r="D426" s="525" t="s">
        <v>5836</v>
      </c>
      <c r="E426" s="6"/>
      <c r="F426" s="7"/>
      <c r="G426" s="7" t="s">
        <v>620</v>
      </c>
      <c r="H426" s="7"/>
      <c r="I426" s="7" t="s">
        <v>3987</v>
      </c>
      <c r="J426" s="524" t="s">
        <v>5254</v>
      </c>
      <c r="K426" s="7"/>
      <c r="L426" s="7" t="s">
        <v>587</v>
      </c>
      <c r="M426" s="7">
        <f t="shared" si="15"/>
        <v>0</v>
      </c>
      <c r="N426" s="6"/>
      <c r="O426" s="6"/>
      <c r="P426" s="6"/>
      <c r="Q426" s="6"/>
      <c r="R426" s="6"/>
      <c r="S426" s="6"/>
      <c r="T426" s="6"/>
      <c r="U426" s="6"/>
      <c r="V426" s="6"/>
      <c r="W426" s="6"/>
      <c r="X426" s="6"/>
      <c r="Y426" s="6"/>
      <c r="Z426" s="6"/>
      <c r="AA426" s="6"/>
      <c r="AB426" s="6"/>
      <c r="AC426" s="6"/>
      <c r="AD426" s="6"/>
      <c r="AE426" s="6"/>
      <c r="AF426" s="6"/>
      <c r="AG426" s="6"/>
    </row>
    <row r="427" spans="1:33" x14ac:dyDescent="0.25">
      <c r="A427" s="157">
        <f t="shared" si="14"/>
        <v>426</v>
      </c>
      <c r="B427" s="519" t="s">
        <v>5382</v>
      </c>
      <c r="C427" s="519" t="s">
        <v>5382</v>
      </c>
      <c r="D427" s="525" t="s">
        <v>5837</v>
      </c>
      <c r="E427" s="6"/>
      <c r="F427" s="7"/>
      <c r="G427" s="7" t="s">
        <v>620</v>
      </c>
      <c r="H427" s="7"/>
      <c r="I427" s="7" t="s">
        <v>3987</v>
      </c>
      <c r="J427" s="524" t="s">
        <v>5255</v>
      </c>
      <c r="K427" s="7"/>
      <c r="L427" s="7" t="s">
        <v>587</v>
      </c>
      <c r="M427" s="7">
        <f t="shared" si="15"/>
        <v>0</v>
      </c>
      <c r="N427" s="6"/>
      <c r="O427" s="6"/>
      <c r="P427" s="6"/>
      <c r="Q427" s="6"/>
      <c r="R427" s="6"/>
      <c r="S427" s="6"/>
      <c r="T427" s="6"/>
      <c r="U427" s="6"/>
      <c r="V427" s="6"/>
      <c r="W427" s="6"/>
      <c r="X427" s="6"/>
      <c r="Y427" s="6"/>
      <c r="Z427" s="6"/>
      <c r="AA427" s="6"/>
      <c r="AB427" s="6"/>
      <c r="AC427" s="6"/>
      <c r="AD427" s="6"/>
      <c r="AE427" s="6"/>
      <c r="AF427" s="6"/>
      <c r="AG427" s="6"/>
    </row>
    <row r="428" spans="1:33" x14ac:dyDescent="0.25">
      <c r="A428" s="157">
        <f t="shared" si="14"/>
        <v>427</v>
      </c>
      <c r="B428" s="519" t="s">
        <v>5383</v>
      </c>
      <c r="C428" s="519" t="s">
        <v>4237</v>
      </c>
      <c r="D428" s="520" t="s">
        <v>6144</v>
      </c>
      <c r="E428" s="6"/>
      <c r="F428" s="7"/>
      <c r="G428" s="7" t="s">
        <v>620</v>
      </c>
      <c r="H428" s="7"/>
      <c r="I428" s="7" t="s">
        <v>3987</v>
      </c>
      <c r="J428" s="524" t="s">
        <v>5256</v>
      </c>
      <c r="K428" s="7"/>
      <c r="L428" s="7" t="s">
        <v>587</v>
      </c>
      <c r="M428" s="7">
        <f t="shared" si="15"/>
        <v>0</v>
      </c>
      <c r="N428" s="6"/>
      <c r="O428" s="6"/>
      <c r="P428" s="6"/>
      <c r="Q428" s="6"/>
      <c r="R428" s="6"/>
      <c r="S428" s="6"/>
      <c r="T428" s="6"/>
      <c r="U428" s="6"/>
      <c r="V428" s="6"/>
      <c r="W428" s="6"/>
      <c r="X428" s="6"/>
      <c r="Y428" s="6"/>
      <c r="Z428" s="6"/>
      <c r="AA428" s="6"/>
      <c r="AB428" s="6"/>
      <c r="AC428" s="6"/>
      <c r="AD428" s="6"/>
      <c r="AE428" s="6"/>
      <c r="AF428" s="6"/>
      <c r="AG428" s="6"/>
    </row>
    <row r="429" spans="1:33" x14ac:dyDescent="0.25">
      <c r="A429" s="157">
        <f t="shared" si="14"/>
        <v>428</v>
      </c>
      <c r="B429" s="519" t="s">
        <v>5384</v>
      </c>
      <c r="C429" s="519" t="s">
        <v>5384</v>
      </c>
      <c r="D429" s="525" t="s">
        <v>5838</v>
      </c>
      <c r="E429" s="6"/>
      <c r="F429" s="7"/>
      <c r="G429" s="7" t="s">
        <v>620</v>
      </c>
      <c r="H429" s="7"/>
      <c r="I429" s="7" t="s">
        <v>3987</v>
      </c>
      <c r="J429" s="524" t="s">
        <v>5257</v>
      </c>
      <c r="K429" s="7"/>
      <c r="L429" s="7" t="s">
        <v>587</v>
      </c>
      <c r="M429" s="7">
        <f t="shared" si="15"/>
        <v>0</v>
      </c>
      <c r="N429" s="6"/>
      <c r="O429" s="6"/>
      <c r="P429" s="6"/>
      <c r="Q429" s="6"/>
      <c r="R429" s="6"/>
      <c r="S429" s="6"/>
      <c r="T429" s="6"/>
      <c r="U429" s="6"/>
      <c r="V429" s="6"/>
      <c r="W429" s="6"/>
      <c r="X429" s="6"/>
      <c r="Y429" s="6"/>
      <c r="Z429" s="6"/>
      <c r="AA429" s="6"/>
      <c r="AB429" s="6"/>
      <c r="AC429" s="6"/>
      <c r="AD429" s="6"/>
      <c r="AE429" s="6"/>
      <c r="AF429" s="6"/>
      <c r="AG429" s="6"/>
    </row>
    <row r="430" spans="1:33" x14ac:dyDescent="0.25">
      <c r="A430" s="157">
        <f t="shared" si="14"/>
        <v>429</v>
      </c>
      <c r="B430" s="519" t="s">
        <v>5385</v>
      </c>
      <c r="C430" s="519" t="s">
        <v>5385</v>
      </c>
      <c r="D430" s="525" t="s">
        <v>5839</v>
      </c>
      <c r="E430" s="6"/>
      <c r="F430" s="7"/>
      <c r="G430" s="7" t="s">
        <v>1113</v>
      </c>
      <c r="H430" s="7"/>
      <c r="I430" s="7" t="s">
        <v>4020</v>
      </c>
      <c r="J430" s="7" t="s">
        <v>5307</v>
      </c>
      <c r="K430" s="7"/>
      <c r="L430" s="7" t="s">
        <v>587</v>
      </c>
      <c r="M430" s="7">
        <f t="shared" si="15"/>
        <v>0</v>
      </c>
      <c r="N430" s="6"/>
      <c r="O430" s="6"/>
      <c r="P430" s="6"/>
      <c r="Q430" s="6"/>
      <c r="R430" s="6"/>
      <c r="S430" s="6"/>
      <c r="T430" s="6"/>
      <c r="U430" s="6"/>
      <c r="V430" s="6"/>
      <c r="W430" s="6"/>
      <c r="X430" s="6"/>
      <c r="Y430" s="6"/>
      <c r="Z430" s="6"/>
      <c r="AA430" s="6"/>
      <c r="AB430" s="6"/>
      <c r="AC430" s="6"/>
      <c r="AD430" s="6"/>
      <c r="AE430" s="6"/>
      <c r="AF430" s="6"/>
      <c r="AG430" s="6"/>
    </row>
    <row r="431" spans="1:33" x14ac:dyDescent="0.25">
      <c r="A431" s="157">
        <f t="shared" si="14"/>
        <v>430</v>
      </c>
      <c r="B431" s="519" t="s">
        <v>5386</v>
      </c>
      <c r="C431" s="519" t="s">
        <v>5386</v>
      </c>
      <c r="D431" s="525" t="s">
        <v>5840</v>
      </c>
      <c r="E431" s="6"/>
      <c r="F431" s="7"/>
      <c r="G431" s="7" t="s">
        <v>1113</v>
      </c>
      <c r="H431" s="7"/>
      <c r="I431" s="7" t="s">
        <v>4020</v>
      </c>
      <c r="J431" s="7" t="s">
        <v>5308</v>
      </c>
      <c r="K431" s="7"/>
      <c r="L431" s="7" t="s">
        <v>587</v>
      </c>
      <c r="M431" s="7">
        <f t="shared" si="15"/>
        <v>0</v>
      </c>
      <c r="N431" s="6"/>
      <c r="O431" s="6"/>
      <c r="P431" s="6"/>
      <c r="Q431" s="6"/>
      <c r="R431" s="6"/>
      <c r="S431" s="6"/>
      <c r="T431" s="6"/>
      <c r="U431" s="6"/>
      <c r="V431" s="6"/>
      <c r="W431" s="6"/>
      <c r="X431" s="6"/>
      <c r="Y431" s="6"/>
      <c r="Z431" s="6"/>
      <c r="AA431" s="6"/>
      <c r="AB431" s="6"/>
      <c r="AC431" s="6"/>
      <c r="AD431" s="6"/>
      <c r="AE431" s="6"/>
      <c r="AF431" s="6"/>
      <c r="AG431" s="6"/>
    </row>
    <row r="432" spans="1:33" x14ac:dyDescent="0.25">
      <c r="A432" s="157">
        <f t="shared" si="14"/>
        <v>431</v>
      </c>
      <c r="B432" s="519" t="s">
        <v>5387</v>
      </c>
      <c r="C432" s="519" t="s">
        <v>5387</v>
      </c>
      <c r="D432" s="525" t="s">
        <v>5841</v>
      </c>
      <c r="E432" s="6"/>
      <c r="F432" s="7"/>
      <c r="G432" s="7" t="s">
        <v>1113</v>
      </c>
      <c r="H432" s="7"/>
      <c r="I432" s="7" t="s">
        <v>4020</v>
      </c>
      <c r="J432" s="7" t="s">
        <v>5309</v>
      </c>
      <c r="K432" s="7"/>
      <c r="L432" s="7" t="s">
        <v>587</v>
      </c>
      <c r="M432" s="7">
        <f t="shared" si="15"/>
        <v>0</v>
      </c>
      <c r="N432" s="6"/>
      <c r="O432" s="6"/>
      <c r="P432" s="6"/>
      <c r="Q432" s="6"/>
      <c r="R432" s="6"/>
      <c r="S432" s="6"/>
      <c r="T432" s="6"/>
      <c r="U432" s="6"/>
      <c r="V432" s="6"/>
      <c r="W432" s="6"/>
      <c r="X432" s="6"/>
      <c r="Y432" s="6"/>
      <c r="Z432" s="6"/>
      <c r="AA432" s="6"/>
      <c r="AB432" s="6"/>
      <c r="AC432" s="6"/>
      <c r="AD432" s="6"/>
      <c r="AE432" s="6"/>
      <c r="AF432" s="6"/>
      <c r="AG432" s="6"/>
    </row>
    <row r="433" spans="1:33" x14ac:dyDescent="0.25">
      <c r="A433" s="157">
        <f t="shared" si="14"/>
        <v>432</v>
      </c>
      <c r="B433" s="519" t="s">
        <v>5388</v>
      </c>
      <c r="C433" s="519" t="s">
        <v>5388</v>
      </c>
      <c r="D433" s="525" t="s">
        <v>5842</v>
      </c>
      <c r="E433" s="6"/>
      <c r="F433" s="7"/>
      <c r="G433" s="7" t="s">
        <v>1113</v>
      </c>
      <c r="H433" s="7"/>
      <c r="I433" s="7" t="s">
        <v>4020</v>
      </c>
      <c r="J433" s="7" t="s">
        <v>5310</v>
      </c>
      <c r="K433" s="7"/>
      <c r="L433" s="7" t="s">
        <v>587</v>
      </c>
      <c r="M433" s="7">
        <f t="shared" si="15"/>
        <v>0</v>
      </c>
      <c r="N433" s="6"/>
      <c r="O433" s="6"/>
      <c r="P433" s="6"/>
      <c r="Q433" s="6"/>
      <c r="R433" s="6"/>
      <c r="S433" s="6"/>
      <c r="T433" s="6"/>
      <c r="U433" s="6"/>
      <c r="V433" s="6"/>
      <c r="W433" s="6"/>
      <c r="X433" s="6"/>
      <c r="Y433" s="6"/>
      <c r="Z433" s="6"/>
      <c r="AA433" s="6"/>
      <c r="AB433" s="6"/>
      <c r="AC433" s="6"/>
      <c r="AD433" s="6"/>
      <c r="AE433" s="6"/>
      <c r="AF433" s="6"/>
      <c r="AG433" s="6"/>
    </row>
    <row r="434" spans="1:33" x14ac:dyDescent="0.25">
      <c r="A434" s="157">
        <f t="shared" si="14"/>
        <v>433</v>
      </c>
      <c r="B434" s="519" t="s">
        <v>5389</v>
      </c>
      <c r="C434" s="519" t="s">
        <v>5389</v>
      </c>
      <c r="D434" s="525" t="s">
        <v>5843</v>
      </c>
      <c r="E434" s="6"/>
      <c r="F434" s="7"/>
      <c r="G434" s="7" t="s">
        <v>1113</v>
      </c>
      <c r="H434" s="7"/>
      <c r="I434" s="7" t="s">
        <v>4020</v>
      </c>
      <c r="J434" s="7" t="s">
        <v>5311</v>
      </c>
      <c r="K434" s="7"/>
      <c r="L434" s="7" t="s">
        <v>587</v>
      </c>
      <c r="M434" s="7">
        <f t="shared" si="15"/>
        <v>0</v>
      </c>
      <c r="N434" s="6"/>
      <c r="O434" s="6"/>
      <c r="P434" s="6"/>
      <c r="Q434" s="6"/>
      <c r="R434" s="6"/>
      <c r="S434" s="6"/>
      <c r="T434" s="6"/>
      <c r="U434" s="6"/>
      <c r="V434" s="6"/>
      <c r="W434" s="6"/>
      <c r="X434" s="6"/>
      <c r="Y434" s="6"/>
      <c r="Z434" s="6"/>
      <c r="AA434" s="6"/>
      <c r="AB434" s="6"/>
      <c r="AC434" s="6"/>
      <c r="AD434" s="6"/>
      <c r="AE434" s="6"/>
      <c r="AF434" s="6"/>
      <c r="AG434" s="6"/>
    </row>
    <row r="435" spans="1:33" x14ac:dyDescent="0.25">
      <c r="A435" s="157">
        <f t="shared" si="14"/>
        <v>434</v>
      </c>
      <c r="B435" s="519" t="s">
        <v>6051</v>
      </c>
      <c r="C435" s="519" t="s">
        <v>5465</v>
      </c>
      <c r="D435" s="520" t="s">
        <v>5844</v>
      </c>
      <c r="E435" s="6"/>
      <c r="F435" s="7"/>
      <c r="G435" s="7" t="s">
        <v>620</v>
      </c>
      <c r="H435" s="7"/>
      <c r="I435" s="7"/>
      <c r="J435" s="7"/>
      <c r="K435" s="7"/>
      <c r="L435" s="7"/>
      <c r="M435" s="7">
        <f t="shared" si="15"/>
        <v>0</v>
      </c>
      <c r="N435" s="6"/>
      <c r="O435" s="6"/>
      <c r="P435" s="6"/>
      <c r="Q435" s="6"/>
      <c r="R435" s="6"/>
      <c r="S435" s="6"/>
      <c r="T435" s="6"/>
      <c r="U435" s="6"/>
      <c r="V435" s="6"/>
      <c r="W435" s="6"/>
      <c r="X435" s="6"/>
      <c r="Y435" s="6"/>
      <c r="Z435" s="6"/>
      <c r="AA435" s="6"/>
      <c r="AB435" s="6"/>
      <c r="AC435" s="6"/>
      <c r="AD435" s="6"/>
      <c r="AE435" s="6"/>
      <c r="AF435" s="6"/>
      <c r="AG435" s="6"/>
    </row>
    <row r="436" spans="1:33" x14ac:dyDescent="0.25">
      <c r="A436" s="157">
        <f t="shared" si="14"/>
        <v>435</v>
      </c>
      <c r="B436" s="519" t="s">
        <v>5517</v>
      </c>
      <c r="C436" s="519" t="s">
        <v>5517</v>
      </c>
      <c r="D436" s="520" t="s">
        <v>5518</v>
      </c>
      <c r="E436" s="6"/>
      <c r="F436" s="7"/>
      <c r="G436" s="7" t="s">
        <v>623</v>
      </c>
      <c r="H436" s="7"/>
      <c r="I436" s="7"/>
      <c r="J436" s="7"/>
      <c r="K436" s="7"/>
      <c r="L436" s="7"/>
      <c r="M436" s="7">
        <f t="shared" si="15"/>
        <v>0</v>
      </c>
      <c r="N436" s="6"/>
      <c r="O436" s="6"/>
      <c r="P436" s="6"/>
      <c r="Q436" s="6"/>
      <c r="R436" s="6"/>
      <c r="S436" s="6"/>
      <c r="T436" s="6"/>
      <c r="U436" s="6"/>
      <c r="V436" s="6"/>
      <c r="W436" s="6"/>
      <c r="X436" s="6"/>
      <c r="Y436" s="6"/>
      <c r="Z436" s="6"/>
      <c r="AA436" s="6"/>
      <c r="AB436" s="6"/>
      <c r="AC436" s="6"/>
      <c r="AD436" s="6"/>
      <c r="AE436" s="6"/>
      <c r="AF436" s="6"/>
      <c r="AG436" s="6"/>
    </row>
    <row r="437" spans="1:33" x14ac:dyDescent="0.25">
      <c r="A437" s="157">
        <f t="shared" si="14"/>
        <v>436</v>
      </c>
      <c r="B437" s="519" t="s">
        <v>5519</v>
      </c>
      <c r="C437" s="519" t="s">
        <v>5519</v>
      </c>
      <c r="D437" s="520" t="s">
        <v>5520</v>
      </c>
      <c r="E437" s="6"/>
      <c r="F437" s="7"/>
      <c r="G437" s="7" t="s">
        <v>623</v>
      </c>
      <c r="H437" s="7"/>
      <c r="I437" s="7"/>
      <c r="J437" s="7"/>
      <c r="K437" s="7"/>
      <c r="L437" s="7"/>
      <c r="M437" s="7">
        <f t="shared" si="15"/>
        <v>0</v>
      </c>
      <c r="N437" s="6"/>
      <c r="O437" s="6"/>
      <c r="P437" s="6"/>
      <c r="Q437" s="6"/>
      <c r="R437" s="6"/>
      <c r="S437" s="6"/>
      <c r="T437" s="6"/>
      <c r="U437" s="6"/>
      <c r="V437" s="6"/>
      <c r="W437" s="6"/>
      <c r="X437" s="6"/>
      <c r="Y437" s="6"/>
      <c r="Z437" s="6"/>
      <c r="AA437" s="6"/>
      <c r="AB437" s="6"/>
      <c r="AC437" s="6"/>
      <c r="AD437" s="6"/>
      <c r="AE437" s="6"/>
      <c r="AF437" s="6"/>
      <c r="AG437" s="6"/>
    </row>
    <row r="438" spans="1:33" x14ac:dyDescent="0.25">
      <c r="A438" s="157">
        <f t="shared" si="14"/>
        <v>437</v>
      </c>
      <c r="B438" s="519" t="s">
        <v>5522</v>
      </c>
      <c r="C438" s="519" t="s">
        <v>5522</v>
      </c>
      <c r="D438" s="520" t="s">
        <v>5523</v>
      </c>
      <c r="E438" s="6"/>
      <c r="F438" s="7"/>
      <c r="G438" s="7" t="s">
        <v>623</v>
      </c>
      <c r="H438" s="7"/>
      <c r="I438" s="7"/>
      <c r="J438" s="7"/>
      <c r="K438" s="7"/>
      <c r="L438" s="7"/>
      <c r="M438" s="7">
        <f t="shared" si="15"/>
        <v>0</v>
      </c>
      <c r="N438" s="6"/>
      <c r="O438" s="6"/>
      <c r="P438" s="6"/>
      <c r="Q438" s="6"/>
      <c r="R438" s="6"/>
      <c r="S438" s="6"/>
      <c r="T438" s="6"/>
      <c r="U438" s="6"/>
      <c r="V438" s="6"/>
      <c r="W438" s="6"/>
      <c r="X438" s="6"/>
      <c r="Y438" s="6"/>
      <c r="Z438" s="6"/>
      <c r="AA438" s="6"/>
      <c r="AB438" s="6"/>
      <c r="AC438" s="6"/>
      <c r="AD438" s="6"/>
      <c r="AE438" s="6"/>
      <c r="AF438" s="6"/>
      <c r="AG438" s="6"/>
    </row>
    <row r="439" spans="1:33" x14ac:dyDescent="0.25">
      <c r="A439" s="157">
        <f t="shared" si="14"/>
        <v>438</v>
      </c>
      <c r="B439" s="519" t="s">
        <v>5540</v>
      </c>
      <c r="C439" s="519" t="s">
        <v>5540</v>
      </c>
      <c r="D439" s="520" t="s">
        <v>5541</v>
      </c>
      <c r="E439" s="6"/>
      <c r="F439" s="7"/>
      <c r="G439" s="7" t="s">
        <v>1113</v>
      </c>
      <c r="H439" s="7"/>
      <c r="I439" s="7"/>
      <c r="J439" s="7"/>
      <c r="K439" s="7"/>
      <c r="L439" s="7"/>
      <c r="M439" s="7">
        <f t="shared" si="15"/>
        <v>0</v>
      </c>
      <c r="N439" s="6"/>
      <c r="O439" s="6"/>
      <c r="P439" s="6"/>
      <c r="Q439" s="6"/>
      <c r="R439" s="6"/>
      <c r="S439" s="6"/>
      <c r="T439" s="6"/>
      <c r="U439" s="6"/>
      <c r="V439" s="6"/>
      <c r="W439" s="6"/>
      <c r="X439" s="6"/>
      <c r="Y439" s="6"/>
      <c r="Z439" s="6"/>
      <c r="AA439" s="6"/>
      <c r="AB439" s="6"/>
      <c r="AC439" s="6"/>
      <c r="AD439" s="6"/>
      <c r="AE439" s="6"/>
      <c r="AF439" s="6"/>
      <c r="AG439" s="6"/>
    </row>
    <row r="440" spans="1:33" x14ac:dyDescent="0.25">
      <c r="A440" s="157">
        <f t="shared" si="14"/>
        <v>439</v>
      </c>
      <c r="B440" s="523" t="s">
        <v>4496</v>
      </c>
      <c r="C440" s="519" t="s">
        <v>4496</v>
      </c>
      <c r="D440" s="519" t="s">
        <v>5578</v>
      </c>
      <c r="E440" s="6"/>
      <c r="F440" s="7"/>
      <c r="G440" s="7" t="s">
        <v>624</v>
      </c>
      <c r="H440" s="7"/>
      <c r="I440" s="7"/>
      <c r="J440" s="7"/>
      <c r="K440" s="7"/>
      <c r="L440" s="7"/>
      <c r="M440" s="7">
        <f t="shared" si="15"/>
        <v>0</v>
      </c>
      <c r="N440" s="6"/>
      <c r="O440" s="6"/>
      <c r="P440" s="6"/>
      <c r="Q440" s="6"/>
      <c r="R440" s="6"/>
      <c r="S440" s="6"/>
      <c r="T440" s="6"/>
      <c r="U440" s="6"/>
      <c r="V440" s="6"/>
      <c r="W440" s="6"/>
      <c r="X440" s="6"/>
      <c r="Y440" s="6"/>
      <c r="Z440" s="6"/>
      <c r="AA440" s="6"/>
      <c r="AB440" s="6"/>
      <c r="AC440" s="6"/>
      <c r="AD440" s="6"/>
      <c r="AE440" s="6"/>
      <c r="AF440" s="6"/>
      <c r="AG440" s="6"/>
    </row>
    <row r="441" spans="1:33" x14ac:dyDescent="0.25">
      <c r="A441" s="157">
        <f t="shared" si="14"/>
        <v>440</v>
      </c>
      <c r="B441" s="523" t="s">
        <v>4497</v>
      </c>
      <c r="C441" s="519" t="s">
        <v>4497</v>
      </c>
      <c r="D441" s="519" t="s">
        <v>5579</v>
      </c>
      <c r="E441" s="6"/>
      <c r="F441" s="7"/>
      <c r="G441" s="7" t="s">
        <v>624</v>
      </c>
      <c r="H441" s="7"/>
      <c r="I441" s="7"/>
      <c r="J441" s="7"/>
      <c r="K441" s="7"/>
      <c r="L441" s="7"/>
      <c r="M441" s="7">
        <f t="shared" si="15"/>
        <v>0</v>
      </c>
      <c r="N441" s="6"/>
      <c r="O441" s="6"/>
      <c r="P441" s="6"/>
      <c r="Q441" s="6"/>
      <c r="R441" s="6"/>
      <c r="S441" s="6"/>
      <c r="T441" s="6"/>
      <c r="U441" s="6"/>
      <c r="V441" s="6"/>
      <c r="W441" s="6"/>
      <c r="X441" s="6"/>
      <c r="Y441" s="6"/>
      <c r="Z441" s="6"/>
      <c r="AA441" s="6"/>
      <c r="AB441" s="6"/>
      <c r="AC441" s="6"/>
      <c r="AD441" s="6"/>
      <c r="AE441" s="6"/>
      <c r="AF441" s="6"/>
      <c r="AG441" s="6"/>
    </row>
    <row r="442" spans="1:33" x14ac:dyDescent="0.25">
      <c r="A442" s="157">
        <f t="shared" si="14"/>
        <v>441</v>
      </c>
      <c r="B442" s="523" t="s">
        <v>4498</v>
      </c>
      <c r="C442" s="519" t="s">
        <v>4498</v>
      </c>
      <c r="D442" s="519" t="s">
        <v>5580</v>
      </c>
      <c r="E442" s="6"/>
      <c r="F442" s="7"/>
      <c r="G442" s="7" t="s">
        <v>624</v>
      </c>
      <c r="H442" s="7"/>
      <c r="I442" s="7"/>
      <c r="J442" s="7"/>
      <c r="K442" s="7"/>
      <c r="L442" s="7"/>
      <c r="M442" s="7">
        <f t="shared" si="15"/>
        <v>0</v>
      </c>
      <c r="N442" s="6"/>
      <c r="O442" s="6"/>
      <c r="P442" s="6"/>
      <c r="Q442" s="6"/>
      <c r="R442" s="6"/>
      <c r="S442" s="6"/>
      <c r="T442" s="6"/>
      <c r="U442" s="6"/>
      <c r="V442" s="6"/>
      <c r="W442" s="6"/>
      <c r="X442" s="6"/>
      <c r="Y442" s="6"/>
      <c r="Z442" s="6"/>
      <c r="AA442" s="6"/>
      <c r="AB442" s="6"/>
      <c r="AC442" s="6"/>
      <c r="AD442" s="6"/>
      <c r="AE442" s="6"/>
      <c r="AF442" s="6"/>
      <c r="AG442" s="6"/>
    </row>
    <row r="443" spans="1:33" x14ac:dyDescent="0.25">
      <c r="A443" s="157">
        <f t="shared" si="14"/>
        <v>442</v>
      </c>
      <c r="B443" s="523" t="s">
        <v>4499</v>
      </c>
      <c r="C443" s="519" t="s">
        <v>4499</v>
      </c>
      <c r="D443" s="523" t="s">
        <v>5581</v>
      </c>
      <c r="E443" s="6"/>
      <c r="F443" s="7"/>
      <c r="G443" s="7" t="s">
        <v>624</v>
      </c>
      <c r="H443" s="7"/>
      <c r="I443" s="7"/>
      <c r="J443" s="7"/>
      <c r="K443" s="7"/>
      <c r="L443" s="7"/>
      <c r="M443" s="7">
        <f t="shared" si="15"/>
        <v>0</v>
      </c>
      <c r="N443" s="6"/>
      <c r="O443" s="6"/>
      <c r="P443" s="6"/>
      <c r="Q443" s="6"/>
      <c r="R443" s="6"/>
      <c r="S443" s="6"/>
      <c r="T443" s="6"/>
      <c r="U443" s="6"/>
      <c r="V443" s="6"/>
      <c r="W443" s="6"/>
      <c r="X443" s="6"/>
      <c r="Y443" s="6"/>
      <c r="Z443" s="6"/>
      <c r="AA443" s="6"/>
      <c r="AB443" s="6"/>
      <c r="AC443" s="6"/>
      <c r="AD443" s="6"/>
      <c r="AE443" s="6"/>
      <c r="AF443" s="6"/>
      <c r="AG443" s="6"/>
    </row>
    <row r="444" spans="1:33" x14ac:dyDescent="0.25">
      <c r="A444" s="157">
        <f t="shared" si="14"/>
        <v>443</v>
      </c>
      <c r="B444" s="523" t="s">
        <v>4500</v>
      </c>
      <c r="C444" s="519" t="s">
        <v>4500</v>
      </c>
      <c r="D444" s="523" t="s">
        <v>5582</v>
      </c>
      <c r="E444" s="6"/>
      <c r="F444" s="7"/>
      <c r="G444" s="7" t="s">
        <v>624</v>
      </c>
      <c r="H444" s="7"/>
      <c r="I444" s="7"/>
      <c r="J444" s="7"/>
      <c r="K444" s="7"/>
      <c r="L444" s="7"/>
      <c r="M444" s="7">
        <f t="shared" si="15"/>
        <v>0</v>
      </c>
      <c r="N444" s="6"/>
      <c r="O444" s="6"/>
      <c r="P444" s="6"/>
      <c r="Q444" s="6"/>
      <c r="R444" s="6"/>
      <c r="S444" s="6"/>
      <c r="T444" s="6"/>
      <c r="U444" s="6"/>
      <c r="V444" s="6"/>
      <c r="W444" s="6"/>
      <c r="X444" s="6"/>
      <c r="Y444" s="6"/>
      <c r="Z444" s="6"/>
      <c r="AA444" s="6"/>
      <c r="AB444" s="6"/>
      <c r="AC444" s="6"/>
      <c r="AD444" s="6"/>
      <c r="AE444" s="6"/>
      <c r="AF444" s="6"/>
      <c r="AG444" s="6"/>
    </row>
    <row r="445" spans="1:33" x14ac:dyDescent="0.25">
      <c r="A445" s="157">
        <f t="shared" si="14"/>
        <v>444</v>
      </c>
      <c r="B445" s="523" t="s">
        <v>4501</v>
      </c>
      <c r="C445" s="519" t="s">
        <v>4501</v>
      </c>
      <c r="D445" s="523" t="s">
        <v>5415</v>
      </c>
      <c r="E445" s="6"/>
      <c r="F445" s="7"/>
      <c r="G445" s="7" t="s">
        <v>624</v>
      </c>
      <c r="H445" s="7"/>
      <c r="I445" s="7"/>
      <c r="J445" s="7"/>
      <c r="K445" s="7"/>
      <c r="L445" s="7"/>
      <c r="M445" s="7">
        <f t="shared" si="15"/>
        <v>0</v>
      </c>
      <c r="N445" s="6"/>
      <c r="O445" s="6"/>
      <c r="P445" s="6"/>
      <c r="Q445" s="6"/>
      <c r="R445" s="6"/>
      <c r="S445" s="6"/>
      <c r="T445" s="6"/>
      <c r="U445" s="6"/>
      <c r="V445" s="6"/>
      <c r="W445" s="6"/>
      <c r="X445" s="6"/>
      <c r="Y445" s="6"/>
      <c r="Z445" s="6"/>
      <c r="AA445" s="6"/>
      <c r="AB445" s="6"/>
      <c r="AC445" s="6"/>
      <c r="AD445" s="6"/>
      <c r="AE445" s="6"/>
      <c r="AF445" s="6"/>
      <c r="AG445" s="6"/>
    </row>
    <row r="446" spans="1:33" x14ac:dyDescent="0.25">
      <c r="A446" s="157">
        <f t="shared" si="14"/>
        <v>445</v>
      </c>
      <c r="B446" s="522" t="s">
        <v>4502</v>
      </c>
      <c r="C446" s="519" t="s">
        <v>4502</v>
      </c>
      <c r="D446" s="519" t="s">
        <v>5583</v>
      </c>
      <c r="E446" s="6"/>
      <c r="F446" s="7"/>
      <c r="G446" s="7" t="s">
        <v>624</v>
      </c>
      <c r="H446" s="7"/>
      <c r="I446" s="7"/>
      <c r="J446" s="7"/>
      <c r="K446" s="7"/>
      <c r="L446" s="7"/>
      <c r="M446" s="7">
        <f t="shared" si="15"/>
        <v>0</v>
      </c>
      <c r="N446" s="6"/>
      <c r="O446" s="6"/>
      <c r="P446" s="6"/>
      <c r="Q446" s="6"/>
      <c r="R446" s="6"/>
      <c r="S446" s="6"/>
      <c r="T446" s="6"/>
      <c r="U446" s="6"/>
      <c r="V446" s="6"/>
      <c r="W446" s="6"/>
      <c r="X446" s="6"/>
      <c r="Y446" s="6"/>
      <c r="Z446" s="6"/>
      <c r="AA446" s="6"/>
      <c r="AB446" s="6"/>
      <c r="AC446" s="6"/>
      <c r="AD446" s="6"/>
      <c r="AE446" s="6"/>
      <c r="AF446" s="6"/>
      <c r="AG446" s="6"/>
    </row>
    <row r="447" spans="1:33" x14ac:dyDescent="0.25">
      <c r="A447" s="157">
        <f t="shared" si="14"/>
        <v>446</v>
      </c>
      <c r="B447" s="523" t="s">
        <v>4503</v>
      </c>
      <c r="C447" s="519" t="s">
        <v>4503</v>
      </c>
      <c r="D447" s="523" t="s">
        <v>5584</v>
      </c>
      <c r="E447" s="6"/>
      <c r="F447" s="7"/>
      <c r="G447" s="7" t="s">
        <v>624</v>
      </c>
      <c r="H447" s="7"/>
      <c r="I447" s="7"/>
      <c r="J447" s="7"/>
      <c r="K447" s="7"/>
      <c r="L447" s="7"/>
      <c r="M447" s="7">
        <f t="shared" si="15"/>
        <v>0</v>
      </c>
      <c r="N447" s="6"/>
      <c r="O447" s="6"/>
      <c r="P447" s="6"/>
      <c r="Q447" s="6"/>
      <c r="R447" s="6"/>
      <c r="S447" s="6"/>
      <c r="T447" s="6"/>
      <c r="U447" s="6"/>
      <c r="V447" s="6"/>
      <c r="W447" s="6"/>
      <c r="X447" s="6"/>
      <c r="Y447" s="6"/>
      <c r="Z447" s="6"/>
      <c r="AA447" s="6"/>
      <c r="AB447" s="6"/>
      <c r="AC447" s="6"/>
      <c r="AD447" s="6"/>
      <c r="AE447" s="6"/>
      <c r="AF447" s="6"/>
      <c r="AG447" s="6"/>
    </row>
    <row r="448" spans="1:33" x14ac:dyDescent="0.25">
      <c r="A448" s="157">
        <f t="shared" si="14"/>
        <v>447</v>
      </c>
      <c r="B448" s="523" t="s">
        <v>3942</v>
      </c>
      <c r="C448" s="519" t="s">
        <v>3942</v>
      </c>
      <c r="D448" s="522" t="s">
        <v>5725</v>
      </c>
      <c r="E448" s="6"/>
      <c r="F448" s="7"/>
      <c r="G448" s="7" t="s">
        <v>624</v>
      </c>
      <c r="H448" s="7"/>
      <c r="I448" s="7"/>
      <c r="J448" s="7"/>
      <c r="K448" s="7"/>
      <c r="L448" s="7"/>
      <c r="M448" s="7">
        <f t="shared" si="15"/>
        <v>0</v>
      </c>
      <c r="N448" s="6"/>
      <c r="O448" s="6"/>
      <c r="P448" s="6"/>
      <c r="Q448" s="6"/>
      <c r="R448" s="6"/>
      <c r="S448" s="6"/>
      <c r="T448" s="6"/>
      <c r="U448" s="6"/>
      <c r="V448" s="6"/>
      <c r="W448" s="6"/>
      <c r="X448" s="6"/>
      <c r="Y448" s="6"/>
      <c r="Z448" s="6"/>
      <c r="AA448" s="6"/>
      <c r="AB448" s="6"/>
      <c r="AC448" s="6"/>
      <c r="AD448" s="6"/>
      <c r="AE448" s="6"/>
      <c r="AF448" s="6"/>
      <c r="AG448" s="6"/>
    </row>
    <row r="449" spans="1:33" x14ac:dyDescent="0.25">
      <c r="A449" s="157">
        <f t="shared" si="14"/>
        <v>448</v>
      </c>
      <c r="B449" s="523" t="s">
        <v>4504</v>
      </c>
      <c r="C449" s="519" t="s">
        <v>4504</v>
      </c>
      <c r="D449" s="523" t="s">
        <v>5586</v>
      </c>
      <c r="E449" s="6"/>
      <c r="F449" s="7"/>
      <c r="G449" s="7" t="s">
        <v>624</v>
      </c>
      <c r="H449" s="7"/>
      <c r="I449" s="7"/>
      <c r="J449" s="7"/>
      <c r="K449" s="7"/>
      <c r="L449" s="7"/>
      <c r="M449" s="7">
        <f t="shared" si="15"/>
        <v>0</v>
      </c>
      <c r="N449" s="6"/>
      <c r="O449" s="6"/>
      <c r="P449" s="6"/>
      <c r="Q449" s="6"/>
      <c r="R449" s="6"/>
      <c r="S449" s="6"/>
      <c r="T449" s="6"/>
      <c r="U449" s="6"/>
      <c r="V449" s="6"/>
      <c r="W449" s="6"/>
      <c r="X449" s="6"/>
      <c r="Y449" s="6"/>
      <c r="Z449" s="6"/>
      <c r="AA449" s="6"/>
      <c r="AB449" s="6"/>
      <c r="AC449" s="6"/>
      <c r="AD449" s="6"/>
      <c r="AE449" s="6"/>
      <c r="AF449" s="6"/>
      <c r="AG449" s="6"/>
    </row>
    <row r="450" spans="1:33" x14ac:dyDescent="0.25">
      <c r="A450" s="157">
        <f t="shared" si="14"/>
        <v>449</v>
      </c>
      <c r="B450" s="523" t="s">
        <v>3956</v>
      </c>
      <c r="C450" s="519" t="s">
        <v>3956</v>
      </c>
      <c r="D450" s="523" t="s">
        <v>5585</v>
      </c>
      <c r="E450" s="6"/>
      <c r="F450" s="7"/>
      <c r="G450" s="7" t="s">
        <v>624</v>
      </c>
      <c r="H450" s="7"/>
      <c r="I450" s="7"/>
      <c r="J450" s="7"/>
      <c r="K450" s="7"/>
      <c r="L450" s="7"/>
      <c r="M450" s="7">
        <f t="shared" si="15"/>
        <v>0</v>
      </c>
      <c r="N450" s="6"/>
      <c r="O450" s="6"/>
      <c r="P450" s="6"/>
      <c r="Q450" s="6"/>
      <c r="R450" s="6"/>
      <c r="S450" s="6"/>
      <c r="T450" s="6"/>
      <c r="U450" s="6"/>
      <c r="V450" s="6"/>
      <c r="W450" s="6"/>
      <c r="X450" s="6"/>
      <c r="Y450" s="6"/>
      <c r="Z450" s="6"/>
      <c r="AA450" s="6"/>
      <c r="AB450" s="6"/>
      <c r="AC450" s="6"/>
      <c r="AD450" s="6"/>
      <c r="AE450" s="6"/>
      <c r="AF450" s="6"/>
      <c r="AG450" s="6"/>
    </row>
    <row r="451" spans="1:33" x14ac:dyDescent="0.25">
      <c r="A451" s="157">
        <f t="shared" ref="A451:A481" si="16">IF(B451="","",1+A450)</f>
        <v>450</v>
      </c>
      <c r="B451" s="530" t="s">
        <v>4007</v>
      </c>
      <c r="C451" s="530" t="s">
        <v>4007</v>
      </c>
      <c r="D451" s="519" t="s">
        <v>5845</v>
      </c>
      <c r="E451" s="6"/>
      <c r="F451" s="7"/>
      <c r="G451" s="7" t="s">
        <v>627</v>
      </c>
      <c r="H451" s="7"/>
      <c r="I451" s="7"/>
      <c r="J451" s="7"/>
      <c r="K451" s="7"/>
      <c r="L451" s="7"/>
      <c r="M451" s="7">
        <f t="shared" ref="M451:M481" si="17">COUNTA(N451:AG451)</f>
        <v>0</v>
      </c>
      <c r="N451" s="6"/>
      <c r="O451" s="6"/>
      <c r="P451" s="6"/>
      <c r="Q451" s="6"/>
      <c r="R451" s="6"/>
      <c r="S451" s="6"/>
      <c r="T451" s="6"/>
      <c r="U451" s="6"/>
      <c r="V451" s="6"/>
      <c r="W451" s="6"/>
      <c r="X451" s="6"/>
      <c r="Y451" s="6"/>
      <c r="Z451" s="6"/>
      <c r="AA451" s="6"/>
      <c r="AB451" s="6"/>
      <c r="AC451" s="6"/>
      <c r="AD451" s="6"/>
      <c r="AE451" s="6"/>
      <c r="AF451" s="6"/>
      <c r="AG451" s="6"/>
    </row>
    <row r="452" spans="1:33" x14ac:dyDescent="0.25">
      <c r="A452" s="157">
        <f t="shared" si="16"/>
        <v>451</v>
      </c>
      <c r="B452" s="530" t="s">
        <v>4008</v>
      </c>
      <c r="C452" s="530" t="s">
        <v>4008</v>
      </c>
      <c r="D452" s="519" t="s">
        <v>5846</v>
      </c>
      <c r="E452" s="6"/>
      <c r="F452" s="7"/>
      <c r="G452" s="7" t="s">
        <v>627</v>
      </c>
      <c r="H452" s="7"/>
      <c r="I452" s="7"/>
      <c r="J452" s="7"/>
      <c r="K452" s="7"/>
      <c r="L452" s="7"/>
      <c r="M452" s="7">
        <f t="shared" si="17"/>
        <v>0</v>
      </c>
      <c r="N452" s="6"/>
      <c r="O452" s="6"/>
      <c r="P452" s="6"/>
      <c r="Q452" s="6"/>
      <c r="R452" s="6"/>
      <c r="S452" s="6"/>
      <c r="T452" s="6"/>
      <c r="U452" s="6"/>
      <c r="V452" s="6"/>
      <c r="W452" s="6"/>
      <c r="X452" s="6"/>
      <c r="Y452" s="6"/>
      <c r="Z452" s="6"/>
      <c r="AA452" s="6"/>
      <c r="AB452" s="6"/>
      <c r="AC452" s="6"/>
      <c r="AD452" s="6"/>
      <c r="AE452" s="6"/>
      <c r="AF452" s="6"/>
      <c r="AG452" s="6"/>
    </row>
    <row r="453" spans="1:33" x14ac:dyDescent="0.25">
      <c r="A453" s="157">
        <f t="shared" si="16"/>
        <v>452</v>
      </c>
      <c r="B453" s="522" t="s">
        <v>4009</v>
      </c>
      <c r="C453" s="522" t="s">
        <v>4009</v>
      </c>
      <c r="D453" s="519" t="s">
        <v>5847</v>
      </c>
      <c r="E453" s="6"/>
      <c r="F453" s="7"/>
      <c r="G453" s="7" t="s">
        <v>627</v>
      </c>
      <c r="H453" s="7"/>
      <c r="I453" s="7"/>
      <c r="J453" s="7"/>
      <c r="K453" s="7"/>
      <c r="L453" s="7"/>
      <c r="M453" s="7">
        <f t="shared" si="17"/>
        <v>0</v>
      </c>
      <c r="N453" s="6"/>
      <c r="O453" s="6"/>
      <c r="P453" s="6"/>
      <c r="Q453" s="6"/>
      <c r="R453" s="6"/>
      <c r="S453" s="6"/>
      <c r="T453" s="6"/>
      <c r="U453" s="6"/>
      <c r="V453" s="6"/>
      <c r="W453" s="6"/>
      <c r="X453" s="6"/>
      <c r="Y453" s="6"/>
      <c r="Z453" s="6"/>
      <c r="AA453" s="6"/>
      <c r="AB453" s="6"/>
      <c r="AC453" s="6"/>
      <c r="AD453" s="6"/>
      <c r="AE453" s="6"/>
      <c r="AF453" s="6"/>
      <c r="AG453" s="6"/>
    </row>
    <row r="454" spans="1:33" x14ac:dyDescent="0.25">
      <c r="A454" s="157">
        <f t="shared" si="16"/>
        <v>453</v>
      </c>
      <c r="B454" s="530" t="s">
        <v>5616</v>
      </c>
      <c r="C454" s="530" t="s">
        <v>5616</v>
      </c>
      <c r="D454" s="519" t="s">
        <v>5617</v>
      </c>
      <c r="E454" s="6"/>
      <c r="F454" s="7"/>
      <c r="G454" s="7" t="s">
        <v>627</v>
      </c>
      <c r="H454" s="7"/>
      <c r="I454" s="7" t="s">
        <v>5641</v>
      </c>
      <c r="J454" s="7" t="s">
        <v>5293</v>
      </c>
      <c r="K454" s="7"/>
      <c r="L454" s="7" t="s">
        <v>5642</v>
      </c>
      <c r="M454" s="7">
        <f t="shared" si="17"/>
        <v>0</v>
      </c>
      <c r="N454" s="6"/>
      <c r="O454" s="6"/>
      <c r="P454" s="6"/>
      <c r="Q454" s="6"/>
      <c r="R454" s="6"/>
      <c r="S454" s="6"/>
      <c r="T454" s="6"/>
      <c r="U454" s="6"/>
      <c r="V454" s="6"/>
      <c r="W454" s="6"/>
      <c r="X454" s="6"/>
      <c r="Y454" s="6"/>
      <c r="Z454" s="6"/>
      <c r="AA454" s="6"/>
      <c r="AB454" s="6"/>
      <c r="AC454" s="6"/>
      <c r="AD454" s="6"/>
      <c r="AE454" s="6"/>
      <c r="AF454" s="6"/>
      <c r="AG454" s="6"/>
    </row>
    <row r="455" spans="1:33" x14ac:dyDescent="0.25">
      <c r="A455" s="157">
        <f t="shared" si="16"/>
        <v>454</v>
      </c>
      <c r="B455" s="530" t="s">
        <v>5628</v>
      </c>
      <c r="C455" s="530" t="s">
        <v>5628</v>
      </c>
      <c r="D455" s="519" t="s">
        <v>5848</v>
      </c>
      <c r="E455" s="6"/>
      <c r="F455" s="7"/>
      <c r="G455" s="7" t="s">
        <v>627</v>
      </c>
      <c r="H455" s="7"/>
      <c r="I455" s="7" t="s">
        <v>5641</v>
      </c>
      <c r="J455" s="7" t="s">
        <v>5294</v>
      </c>
      <c r="K455" s="7"/>
      <c r="L455" s="7" t="s">
        <v>5642</v>
      </c>
      <c r="M455" s="7">
        <f t="shared" si="17"/>
        <v>0</v>
      </c>
      <c r="N455" s="6"/>
      <c r="O455" s="6"/>
      <c r="P455" s="6"/>
      <c r="Q455" s="6"/>
      <c r="R455" s="6"/>
      <c r="S455" s="6"/>
      <c r="T455" s="6"/>
      <c r="U455" s="6"/>
      <c r="V455" s="6"/>
      <c r="W455" s="6"/>
      <c r="X455" s="6"/>
      <c r="Y455" s="6"/>
      <c r="Z455" s="6"/>
      <c r="AA455" s="6"/>
      <c r="AB455" s="6"/>
      <c r="AC455" s="6"/>
      <c r="AD455" s="6"/>
      <c r="AE455" s="6"/>
      <c r="AF455" s="6"/>
      <c r="AG455" s="6"/>
    </row>
    <row r="456" spans="1:33" x14ac:dyDescent="0.25">
      <c r="A456" s="157">
        <f t="shared" si="16"/>
        <v>455</v>
      </c>
      <c r="B456" s="522" t="s">
        <v>5618</v>
      </c>
      <c r="C456" s="522" t="s">
        <v>5618</v>
      </c>
      <c r="D456" s="519" t="s">
        <v>5849</v>
      </c>
      <c r="E456" s="6"/>
      <c r="F456" s="7"/>
      <c r="G456" s="7" t="s">
        <v>627</v>
      </c>
      <c r="H456" s="7"/>
      <c r="I456" s="7" t="s">
        <v>5641</v>
      </c>
      <c r="J456" s="7" t="s">
        <v>5295</v>
      </c>
      <c r="K456" s="7"/>
      <c r="L456" s="7" t="s">
        <v>5642</v>
      </c>
      <c r="M456" s="7">
        <f t="shared" si="17"/>
        <v>0</v>
      </c>
      <c r="N456" s="6"/>
      <c r="O456" s="6"/>
      <c r="P456" s="6"/>
      <c r="Q456" s="6"/>
      <c r="R456" s="6"/>
      <c r="S456" s="6"/>
      <c r="T456" s="6"/>
      <c r="U456" s="6"/>
      <c r="V456" s="6"/>
      <c r="W456" s="6"/>
      <c r="X456" s="6"/>
      <c r="Y456" s="6"/>
      <c r="Z456" s="6"/>
      <c r="AA456" s="6"/>
      <c r="AB456" s="6"/>
      <c r="AC456" s="6"/>
      <c r="AD456" s="6"/>
      <c r="AE456" s="6"/>
      <c r="AF456" s="6"/>
      <c r="AG456" s="6"/>
    </row>
    <row r="457" spans="1:33" x14ac:dyDescent="0.25">
      <c r="A457" s="157">
        <f t="shared" si="16"/>
        <v>456</v>
      </c>
      <c r="B457" s="530" t="s">
        <v>5630</v>
      </c>
      <c r="C457" s="530" t="s">
        <v>5630</v>
      </c>
      <c r="D457" s="519" t="s">
        <v>5619</v>
      </c>
      <c r="E457" s="6"/>
      <c r="F457" s="7"/>
      <c r="G457" s="7" t="s">
        <v>627</v>
      </c>
      <c r="H457" s="7"/>
      <c r="I457" s="7" t="s">
        <v>5641</v>
      </c>
      <c r="J457" s="7" t="s">
        <v>5296</v>
      </c>
      <c r="K457" s="7"/>
      <c r="L457" s="7" t="s">
        <v>5642</v>
      </c>
      <c r="M457" s="7">
        <f t="shared" si="17"/>
        <v>0</v>
      </c>
      <c r="N457" s="6"/>
      <c r="O457" s="6"/>
      <c r="P457" s="6"/>
      <c r="Q457" s="6"/>
      <c r="R457" s="6"/>
      <c r="S457" s="6"/>
      <c r="T457" s="6"/>
      <c r="U457" s="6"/>
      <c r="V457" s="6"/>
      <c r="W457" s="6"/>
      <c r="X457" s="6"/>
      <c r="Y457" s="6"/>
      <c r="Z457" s="6"/>
      <c r="AA457" s="6"/>
      <c r="AB457" s="6"/>
      <c r="AC457" s="6"/>
      <c r="AD457" s="6"/>
      <c r="AE457" s="6"/>
      <c r="AF457" s="6"/>
      <c r="AG457" s="6"/>
    </row>
    <row r="458" spans="1:33" x14ac:dyDescent="0.25">
      <c r="A458" s="157">
        <f t="shared" si="16"/>
        <v>457</v>
      </c>
      <c r="B458" s="530" t="s">
        <v>5629</v>
      </c>
      <c r="C458" s="530" t="s">
        <v>5629</v>
      </c>
      <c r="D458" s="519" t="s">
        <v>5850</v>
      </c>
      <c r="E458" s="6"/>
      <c r="F458" s="7"/>
      <c r="G458" s="7" t="s">
        <v>627</v>
      </c>
      <c r="H458" s="7"/>
      <c r="I458" s="7" t="s">
        <v>5641</v>
      </c>
      <c r="J458" s="7" t="s">
        <v>5297</v>
      </c>
      <c r="K458" s="7"/>
      <c r="L458" s="7" t="s">
        <v>5642</v>
      </c>
      <c r="M458" s="7">
        <f t="shared" si="17"/>
        <v>0</v>
      </c>
      <c r="N458" s="6"/>
      <c r="O458" s="6"/>
      <c r="P458" s="6"/>
      <c r="Q458" s="6"/>
      <c r="R458" s="6"/>
      <c r="S458" s="6"/>
      <c r="T458" s="6"/>
      <c r="U458" s="6"/>
      <c r="V458" s="6"/>
      <c r="W458" s="6"/>
      <c r="X458" s="6"/>
      <c r="Y458" s="6"/>
      <c r="Z458" s="6"/>
      <c r="AA458" s="6"/>
      <c r="AB458" s="6"/>
      <c r="AC458" s="6"/>
      <c r="AD458" s="6"/>
      <c r="AE458" s="6"/>
      <c r="AF458" s="6"/>
      <c r="AG458" s="6"/>
    </row>
    <row r="459" spans="1:33" x14ac:dyDescent="0.25">
      <c r="A459" s="157">
        <f t="shared" si="16"/>
        <v>458</v>
      </c>
      <c r="B459" s="530" t="s">
        <v>5620</v>
      </c>
      <c r="C459" s="530" t="s">
        <v>5620</v>
      </c>
      <c r="D459" s="519" t="s">
        <v>5638</v>
      </c>
      <c r="E459" s="6"/>
      <c r="F459" s="7"/>
      <c r="G459" s="7" t="s">
        <v>627</v>
      </c>
      <c r="H459" s="7"/>
      <c r="I459" s="7" t="s">
        <v>5640</v>
      </c>
      <c r="J459" s="7" t="s">
        <v>5293</v>
      </c>
      <c r="K459" s="7"/>
      <c r="L459" s="7" t="s">
        <v>5642</v>
      </c>
      <c r="M459" s="7">
        <f t="shared" si="17"/>
        <v>0</v>
      </c>
      <c r="N459" s="6"/>
      <c r="O459" s="6"/>
      <c r="P459" s="6"/>
      <c r="Q459" s="6"/>
      <c r="R459" s="6"/>
      <c r="S459" s="6"/>
      <c r="T459" s="6"/>
      <c r="U459" s="6"/>
      <c r="V459" s="6"/>
      <c r="W459" s="6"/>
      <c r="X459" s="6"/>
      <c r="Y459" s="6"/>
      <c r="Z459" s="6"/>
      <c r="AA459" s="6"/>
      <c r="AB459" s="6"/>
      <c r="AC459" s="6"/>
      <c r="AD459" s="6"/>
      <c r="AE459" s="6"/>
      <c r="AF459" s="6"/>
      <c r="AG459" s="6"/>
    </row>
    <row r="460" spans="1:33" x14ac:dyDescent="0.25">
      <c r="A460" s="157">
        <f t="shared" si="16"/>
        <v>459</v>
      </c>
      <c r="B460" s="522" t="s">
        <v>5621</v>
      </c>
      <c r="C460" s="530" t="s">
        <v>5621</v>
      </c>
      <c r="D460" s="519" t="s">
        <v>5623</v>
      </c>
      <c r="E460" s="6"/>
      <c r="F460" s="7"/>
      <c r="G460" s="7" t="s">
        <v>627</v>
      </c>
      <c r="H460" s="7"/>
      <c r="I460" s="7" t="s">
        <v>5640</v>
      </c>
      <c r="J460" s="7" t="s">
        <v>5294</v>
      </c>
      <c r="K460" s="7"/>
      <c r="L460" s="7" t="s">
        <v>5642</v>
      </c>
      <c r="M460" s="7">
        <f t="shared" si="17"/>
        <v>0</v>
      </c>
      <c r="N460" s="6"/>
      <c r="O460" s="6"/>
      <c r="P460" s="6"/>
      <c r="Q460" s="6"/>
      <c r="R460" s="6"/>
      <c r="S460" s="6"/>
      <c r="T460" s="6"/>
      <c r="U460" s="6"/>
      <c r="V460" s="6"/>
      <c r="W460" s="6"/>
      <c r="X460" s="6"/>
      <c r="Y460" s="6"/>
      <c r="Z460" s="6"/>
      <c r="AA460" s="6"/>
      <c r="AB460" s="6"/>
      <c r="AC460" s="6"/>
      <c r="AD460" s="6"/>
      <c r="AE460" s="6"/>
      <c r="AF460" s="6"/>
      <c r="AG460" s="6"/>
    </row>
    <row r="461" spans="1:33" x14ac:dyDescent="0.25">
      <c r="A461" s="157">
        <f t="shared" si="16"/>
        <v>460</v>
      </c>
      <c r="B461" s="530" t="s">
        <v>5631</v>
      </c>
      <c r="C461" s="530" t="s">
        <v>5631</v>
      </c>
      <c r="D461" s="402" t="s">
        <v>5851</v>
      </c>
      <c r="E461" s="6"/>
      <c r="F461" s="7"/>
      <c r="G461" s="7" t="s">
        <v>627</v>
      </c>
      <c r="H461" s="7"/>
      <c r="I461" s="7" t="s">
        <v>5640</v>
      </c>
      <c r="J461" s="7" t="s">
        <v>5295</v>
      </c>
      <c r="K461" s="7"/>
      <c r="L461" s="7" t="s">
        <v>5642</v>
      </c>
      <c r="M461" s="7">
        <f t="shared" si="17"/>
        <v>0</v>
      </c>
      <c r="N461" s="6"/>
      <c r="O461" s="6"/>
      <c r="P461" s="6"/>
      <c r="Q461" s="6"/>
      <c r="R461" s="6"/>
      <c r="S461" s="6"/>
      <c r="T461" s="6"/>
      <c r="U461" s="6"/>
      <c r="V461" s="6"/>
      <c r="W461" s="6"/>
      <c r="X461" s="6"/>
      <c r="Y461" s="6"/>
      <c r="Z461" s="6"/>
      <c r="AA461" s="6"/>
      <c r="AB461" s="6"/>
      <c r="AC461" s="6"/>
      <c r="AD461" s="6"/>
      <c r="AE461" s="6"/>
      <c r="AF461" s="6"/>
      <c r="AG461" s="6"/>
    </row>
    <row r="462" spans="1:33" x14ac:dyDescent="0.25">
      <c r="A462" s="157">
        <f t="shared" si="16"/>
        <v>461</v>
      </c>
      <c r="B462" s="530" t="s">
        <v>5632</v>
      </c>
      <c r="C462" s="530" t="s">
        <v>5632</v>
      </c>
      <c r="D462" s="519" t="s">
        <v>5622</v>
      </c>
      <c r="E462" s="6"/>
      <c r="F462" s="7"/>
      <c r="G462" s="7" t="s">
        <v>627</v>
      </c>
      <c r="H462" s="7"/>
      <c r="I462" s="7" t="s">
        <v>5640</v>
      </c>
      <c r="J462" s="7" t="s">
        <v>5296</v>
      </c>
      <c r="K462" s="7"/>
      <c r="L462" s="7" t="s">
        <v>5642</v>
      </c>
      <c r="M462" s="7">
        <f t="shared" si="17"/>
        <v>0</v>
      </c>
      <c r="N462" s="6"/>
      <c r="O462" s="6"/>
      <c r="P462" s="6"/>
      <c r="Q462" s="6"/>
      <c r="R462" s="6"/>
      <c r="S462" s="6"/>
      <c r="T462" s="6"/>
      <c r="U462" s="6"/>
      <c r="V462" s="6"/>
      <c r="W462" s="6"/>
      <c r="X462" s="6"/>
      <c r="Y462" s="6"/>
      <c r="Z462" s="6"/>
      <c r="AA462" s="6"/>
      <c r="AB462" s="6"/>
      <c r="AC462" s="6"/>
      <c r="AD462" s="6"/>
      <c r="AE462" s="6"/>
      <c r="AF462" s="6"/>
      <c r="AG462" s="6"/>
    </row>
    <row r="463" spans="1:33" x14ac:dyDescent="0.25">
      <c r="A463" s="157">
        <f t="shared" si="16"/>
        <v>462</v>
      </c>
      <c r="B463" s="530" t="s">
        <v>5633</v>
      </c>
      <c r="C463" s="530" t="s">
        <v>5633</v>
      </c>
      <c r="D463" s="402" t="s">
        <v>5852</v>
      </c>
      <c r="E463" s="6"/>
      <c r="F463" s="7"/>
      <c r="G463" s="7" t="s">
        <v>627</v>
      </c>
      <c r="H463" s="7"/>
      <c r="I463" s="7" t="s">
        <v>5640</v>
      </c>
      <c r="J463" s="7" t="s">
        <v>5297</v>
      </c>
      <c r="K463" s="7"/>
      <c r="L463" s="7" t="s">
        <v>5642</v>
      </c>
      <c r="M463" s="7">
        <f t="shared" si="17"/>
        <v>0</v>
      </c>
      <c r="N463" s="6"/>
      <c r="O463" s="6"/>
      <c r="P463" s="6"/>
      <c r="Q463" s="6"/>
      <c r="R463" s="6"/>
      <c r="S463" s="6"/>
      <c r="T463" s="6"/>
      <c r="U463" s="6"/>
      <c r="V463" s="6"/>
      <c r="W463" s="6"/>
      <c r="X463" s="6"/>
      <c r="Y463" s="6"/>
      <c r="Z463" s="6"/>
      <c r="AA463" s="6"/>
      <c r="AB463" s="6"/>
      <c r="AC463" s="6"/>
      <c r="AD463" s="6"/>
      <c r="AE463" s="6"/>
      <c r="AF463" s="6"/>
      <c r="AG463" s="6"/>
    </row>
    <row r="464" spans="1:33" x14ac:dyDescent="0.25">
      <c r="A464" s="157">
        <f t="shared" si="16"/>
        <v>463</v>
      </c>
      <c r="B464" s="530" t="s">
        <v>5626</v>
      </c>
      <c r="C464" s="530" t="s">
        <v>5626</v>
      </c>
      <c r="D464" s="402" t="s">
        <v>5627</v>
      </c>
      <c r="E464" s="6"/>
      <c r="F464" s="7"/>
      <c r="G464" s="7" t="s">
        <v>627</v>
      </c>
      <c r="H464" s="7"/>
      <c r="I464" s="7" t="s">
        <v>5639</v>
      </c>
      <c r="J464" s="7" t="s">
        <v>5293</v>
      </c>
      <c r="K464" s="7"/>
      <c r="L464" s="7" t="s">
        <v>5642</v>
      </c>
      <c r="M464" s="7">
        <f t="shared" si="17"/>
        <v>0</v>
      </c>
      <c r="N464" s="6"/>
      <c r="O464" s="6"/>
      <c r="P464" s="6"/>
      <c r="Q464" s="6"/>
      <c r="R464" s="6"/>
      <c r="S464" s="6"/>
      <c r="T464" s="6"/>
      <c r="U464" s="6"/>
      <c r="V464" s="6"/>
      <c r="W464" s="6"/>
      <c r="X464" s="6"/>
      <c r="Y464" s="6"/>
      <c r="Z464" s="6"/>
      <c r="AA464" s="6"/>
      <c r="AB464" s="6"/>
      <c r="AC464" s="6"/>
      <c r="AD464" s="6"/>
      <c r="AE464" s="6"/>
      <c r="AF464" s="6"/>
      <c r="AG464" s="6"/>
    </row>
    <row r="465" spans="1:33" x14ac:dyDescent="0.25">
      <c r="A465" s="157">
        <f t="shared" si="16"/>
        <v>464</v>
      </c>
      <c r="B465" s="530" t="s">
        <v>5634</v>
      </c>
      <c r="C465" s="530" t="s">
        <v>5634</v>
      </c>
      <c r="D465" s="402" t="s">
        <v>5625</v>
      </c>
      <c r="E465" s="6"/>
      <c r="F465" s="7"/>
      <c r="G465" s="7" t="s">
        <v>627</v>
      </c>
      <c r="H465" s="7"/>
      <c r="I465" s="7" t="s">
        <v>5639</v>
      </c>
      <c r="J465" s="7" t="s">
        <v>5294</v>
      </c>
      <c r="K465" s="7"/>
      <c r="L465" s="7" t="s">
        <v>5642</v>
      </c>
      <c r="M465" s="7">
        <f t="shared" si="17"/>
        <v>0</v>
      </c>
      <c r="N465" s="6"/>
      <c r="O465" s="6"/>
      <c r="P465" s="6"/>
      <c r="Q465" s="6"/>
      <c r="R465" s="6"/>
      <c r="S465" s="6"/>
      <c r="T465" s="6"/>
      <c r="U465" s="6"/>
      <c r="V465" s="6"/>
      <c r="W465" s="6"/>
      <c r="X465" s="6"/>
      <c r="Y465" s="6"/>
      <c r="Z465" s="6"/>
      <c r="AA465" s="6"/>
      <c r="AB465" s="6"/>
      <c r="AC465" s="6"/>
      <c r="AD465" s="6"/>
      <c r="AE465" s="6"/>
      <c r="AF465" s="6"/>
      <c r="AG465" s="6"/>
    </row>
    <row r="466" spans="1:33" x14ac:dyDescent="0.25">
      <c r="A466" s="157">
        <f t="shared" si="16"/>
        <v>465</v>
      </c>
      <c r="B466" s="530" t="s">
        <v>5635</v>
      </c>
      <c r="C466" s="530" t="s">
        <v>5635</v>
      </c>
      <c r="D466" s="402" t="s">
        <v>5853</v>
      </c>
      <c r="E466" s="6"/>
      <c r="F466" s="7"/>
      <c r="G466" s="7" t="s">
        <v>627</v>
      </c>
      <c r="H466" s="7"/>
      <c r="I466" s="7" t="s">
        <v>5639</v>
      </c>
      <c r="J466" s="7" t="s">
        <v>5295</v>
      </c>
      <c r="K466" s="7"/>
      <c r="L466" s="7" t="s">
        <v>5642</v>
      </c>
      <c r="M466" s="7">
        <f t="shared" si="17"/>
        <v>0</v>
      </c>
      <c r="N466" s="6"/>
      <c r="O466" s="6"/>
      <c r="P466" s="6"/>
      <c r="Q466" s="6"/>
      <c r="R466" s="6"/>
      <c r="S466" s="6"/>
      <c r="T466" s="6"/>
      <c r="U466" s="6"/>
      <c r="V466" s="6"/>
      <c r="W466" s="6"/>
      <c r="X466" s="6"/>
      <c r="Y466" s="6"/>
      <c r="Z466" s="6"/>
      <c r="AA466" s="6"/>
      <c r="AB466" s="6"/>
      <c r="AC466" s="6"/>
      <c r="AD466" s="6"/>
      <c r="AE466" s="6"/>
      <c r="AF466" s="6"/>
      <c r="AG466" s="6"/>
    </row>
    <row r="467" spans="1:33" x14ac:dyDescent="0.25">
      <c r="A467" s="157">
        <f t="shared" si="16"/>
        <v>466</v>
      </c>
      <c r="B467" s="530" t="s">
        <v>5636</v>
      </c>
      <c r="C467" s="530" t="s">
        <v>5636</v>
      </c>
      <c r="D467" s="402" t="s">
        <v>5624</v>
      </c>
      <c r="E467" s="6"/>
      <c r="F467" s="7"/>
      <c r="G467" s="7" t="s">
        <v>627</v>
      </c>
      <c r="H467" s="7"/>
      <c r="I467" s="7" t="s">
        <v>5639</v>
      </c>
      <c r="J467" s="7" t="s">
        <v>5296</v>
      </c>
      <c r="K467" s="7"/>
      <c r="L467" s="7" t="s">
        <v>5642</v>
      </c>
      <c r="M467" s="7">
        <f t="shared" si="17"/>
        <v>0</v>
      </c>
      <c r="N467" s="6"/>
      <c r="O467" s="6"/>
      <c r="P467" s="6"/>
      <c r="Q467" s="6"/>
      <c r="R467" s="6"/>
      <c r="S467" s="6"/>
      <c r="T467" s="6"/>
      <c r="U467" s="6"/>
      <c r="V467" s="6"/>
      <c r="W467" s="6"/>
      <c r="X467" s="6"/>
      <c r="Y467" s="6"/>
      <c r="Z467" s="6"/>
      <c r="AA467" s="6"/>
      <c r="AB467" s="6"/>
      <c r="AC467" s="6"/>
      <c r="AD467" s="6"/>
      <c r="AE467" s="6"/>
      <c r="AF467" s="6"/>
      <c r="AG467" s="6"/>
    </row>
    <row r="468" spans="1:33" x14ac:dyDescent="0.25">
      <c r="A468" s="157">
        <f t="shared" si="16"/>
        <v>467</v>
      </c>
      <c r="B468" s="530" t="s">
        <v>5637</v>
      </c>
      <c r="C468" s="530" t="s">
        <v>5637</v>
      </c>
      <c r="D468" s="402" t="s">
        <v>5854</v>
      </c>
      <c r="E468" s="6"/>
      <c r="F468" s="7"/>
      <c r="G468" s="7" t="s">
        <v>627</v>
      </c>
      <c r="H468" s="7"/>
      <c r="I468" s="7" t="s">
        <v>5639</v>
      </c>
      <c r="J468" s="7" t="s">
        <v>5297</v>
      </c>
      <c r="K468" s="7"/>
      <c r="L468" s="7" t="s">
        <v>5642</v>
      </c>
      <c r="M468" s="7">
        <f t="shared" si="17"/>
        <v>0</v>
      </c>
      <c r="N468" s="6"/>
      <c r="O468" s="6"/>
      <c r="P468" s="6"/>
      <c r="Q468" s="6"/>
      <c r="R468" s="6"/>
      <c r="S468" s="6"/>
      <c r="T468" s="6"/>
      <c r="U468" s="6"/>
      <c r="V468" s="6"/>
      <c r="W468" s="6"/>
      <c r="X468" s="6"/>
      <c r="Y468" s="6"/>
      <c r="Z468" s="6"/>
      <c r="AA468" s="6"/>
      <c r="AB468" s="6"/>
      <c r="AC468" s="6"/>
      <c r="AD468" s="6"/>
      <c r="AE468" s="6"/>
      <c r="AF468" s="6"/>
      <c r="AG468" s="6"/>
    </row>
    <row r="469" spans="1:33" x14ac:dyDescent="0.25">
      <c r="A469" s="157">
        <f t="shared" si="16"/>
        <v>468</v>
      </c>
      <c r="B469" s="6" t="s">
        <v>5666</v>
      </c>
      <c r="C469" s="6" t="s">
        <v>5666</v>
      </c>
      <c r="D469" s="402" t="s">
        <v>5855</v>
      </c>
      <c r="E469" s="6"/>
      <c r="F469" s="7"/>
      <c r="G469" s="7" t="s">
        <v>628</v>
      </c>
      <c r="H469" s="7"/>
      <c r="I469" s="7" t="s">
        <v>5665</v>
      </c>
      <c r="J469" s="7" t="s">
        <v>5250</v>
      </c>
      <c r="K469" s="7"/>
      <c r="L469" s="7" t="s">
        <v>171</v>
      </c>
      <c r="M469" s="7">
        <f t="shared" si="17"/>
        <v>0</v>
      </c>
      <c r="N469" s="6"/>
      <c r="O469" s="6"/>
      <c r="P469" s="6"/>
      <c r="Q469" s="6"/>
      <c r="R469" s="6"/>
      <c r="S469" s="6"/>
      <c r="T469" s="6"/>
      <c r="U469" s="6"/>
      <c r="V469" s="6"/>
      <c r="W469" s="6"/>
      <c r="X469" s="6"/>
      <c r="Y469" s="6"/>
      <c r="Z469" s="6"/>
      <c r="AA469" s="6"/>
      <c r="AB469" s="6"/>
      <c r="AC469" s="6"/>
      <c r="AD469" s="6"/>
      <c r="AE469" s="6"/>
      <c r="AF469" s="6"/>
      <c r="AG469" s="6"/>
    </row>
    <row r="470" spans="1:33" x14ac:dyDescent="0.25">
      <c r="A470" s="157">
        <f t="shared" si="16"/>
        <v>469</v>
      </c>
      <c r="B470" s="530" t="s">
        <v>5667</v>
      </c>
      <c r="C470" s="530" t="s">
        <v>5667</v>
      </c>
      <c r="D470" s="402" t="s">
        <v>5856</v>
      </c>
      <c r="E470" s="6"/>
      <c r="F470" s="7"/>
      <c r="G470" s="7" t="s">
        <v>628</v>
      </c>
      <c r="H470" s="7"/>
      <c r="I470" s="7" t="s">
        <v>5665</v>
      </c>
      <c r="J470" s="7" t="s">
        <v>5251</v>
      </c>
      <c r="K470" s="7"/>
      <c r="L470" s="7" t="s">
        <v>171</v>
      </c>
      <c r="M470" s="7">
        <f t="shared" si="17"/>
        <v>0</v>
      </c>
      <c r="N470" s="6"/>
      <c r="O470" s="6"/>
      <c r="P470" s="6"/>
      <c r="Q470" s="6"/>
      <c r="R470" s="6"/>
      <c r="S470" s="6"/>
      <c r="T470" s="6"/>
      <c r="U470" s="6"/>
      <c r="V470" s="6"/>
      <c r="W470" s="6"/>
      <c r="X470" s="6"/>
      <c r="Y470" s="6"/>
      <c r="Z470" s="6"/>
      <c r="AA470" s="6"/>
      <c r="AB470" s="6"/>
      <c r="AC470" s="6"/>
      <c r="AD470" s="6"/>
      <c r="AE470" s="6"/>
      <c r="AF470" s="6"/>
      <c r="AG470" s="6"/>
    </row>
    <row r="471" spans="1:33" x14ac:dyDescent="0.25">
      <c r="A471" s="157">
        <f t="shared" si="16"/>
        <v>470</v>
      </c>
      <c r="B471" s="531" t="s">
        <v>5668</v>
      </c>
      <c r="C471" s="531" t="s">
        <v>5668</v>
      </c>
      <c r="D471" s="402" t="s">
        <v>5857</v>
      </c>
      <c r="E471" s="6"/>
      <c r="F471" s="7"/>
      <c r="G471" s="7" t="s">
        <v>628</v>
      </c>
      <c r="H471" s="7"/>
      <c r="I471" s="7" t="s">
        <v>5665</v>
      </c>
      <c r="J471" s="7" t="s">
        <v>5249</v>
      </c>
      <c r="K471" s="7"/>
      <c r="L471" s="7" t="s">
        <v>171</v>
      </c>
      <c r="M471" s="7">
        <f t="shared" si="17"/>
        <v>0</v>
      </c>
      <c r="N471" s="6"/>
      <c r="O471" s="6"/>
      <c r="P471" s="6"/>
      <c r="Q471" s="6"/>
      <c r="R471" s="6"/>
      <c r="S471" s="6"/>
      <c r="T471" s="6"/>
      <c r="U471" s="6"/>
      <c r="V471" s="6"/>
      <c r="W471" s="6"/>
      <c r="X471" s="6"/>
      <c r="Y471" s="6"/>
      <c r="Z471" s="6"/>
      <c r="AA471" s="6"/>
      <c r="AB471" s="6"/>
      <c r="AC471" s="6"/>
      <c r="AD471" s="6"/>
      <c r="AE471" s="6"/>
      <c r="AF471" s="6"/>
      <c r="AG471" s="6"/>
    </row>
    <row r="472" spans="1:33" x14ac:dyDescent="0.25">
      <c r="A472" s="157">
        <f t="shared" si="16"/>
        <v>471</v>
      </c>
      <c r="B472" s="530" t="s">
        <v>5669</v>
      </c>
      <c r="C472" s="530" t="s">
        <v>5669</v>
      </c>
      <c r="D472" s="402" t="s">
        <v>5858</v>
      </c>
      <c r="E472" s="6"/>
      <c r="F472" s="7"/>
      <c r="G472" s="7" t="s">
        <v>628</v>
      </c>
      <c r="H472" s="7"/>
      <c r="I472" s="7" t="s">
        <v>5665</v>
      </c>
      <c r="J472" s="7" t="s">
        <v>5252</v>
      </c>
      <c r="K472" s="7"/>
      <c r="L472" s="7" t="s">
        <v>171</v>
      </c>
      <c r="M472" s="7">
        <f t="shared" si="17"/>
        <v>0</v>
      </c>
      <c r="N472" s="6"/>
      <c r="O472" s="6"/>
      <c r="P472" s="6"/>
      <c r="Q472" s="6"/>
      <c r="R472" s="6"/>
      <c r="S472" s="6"/>
      <c r="T472" s="6"/>
      <c r="U472" s="6"/>
      <c r="V472" s="6"/>
      <c r="W472" s="6"/>
      <c r="X472" s="6"/>
      <c r="Y472" s="6"/>
      <c r="Z472" s="6"/>
      <c r="AA472" s="6"/>
      <c r="AB472" s="6"/>
      <c r="AC472" s="6"/>
      <c r="AD472" s="6"/>
      <c r="AE472" s="6"/>
      <c r="AF472" s="6"/>
      <c r="AG472" s="6"/>
    </row>
    <row r="473" spans="1:33" x14ac:dyDescent="0.25">
      <c r="A473" s="157">
        <f t="shared" si="16"/>
        <v>472</v>
      </c>
      <c r="B473" s="530" t="s">
        <v>5671</v>
      </c>
      <c r="C473" s="530" t="s">
        <v>5671</v>
      </c>
      <c r="D473" s="402" t="s">
        <v>5670</v>
      </c>
      <c r="E473" s="6"/>
      <c r="F473" s="7"/>
      <c r="G473" s="7" t="s">
        <v>628</v>
      </c>
      <c r="H473" s="7"/>
      <c r="I473" s="7" t="s">
        <v>5665</v>
      </c>
      <c r="J473" s="7" t="s">
        <v>5253</v>
      </c>
      <c r="K473" s="7"/>
      <c r="L473" s="7" t="s">
        <v>171</v>
      </c>
      <c r="M473" s="7">
        <f t="shared" si="17"/>
        <v>0</v>
      </c>
      <c r="N473" s="6"/>
      <c r="O473" s="6"/>
      <c r="P473" s="6"/>
      <c r="Q473" s="6"/>
      <c r="R473" s="6"/>
      <c r="S473" s="6"/>
      <c r="T473" s="6"/>
      <c r="U473" s="6"/>
      <c r="V473" s="6"/>
      <c r="W473" s="6"/>
      <c r="X473" s="6"/>
      <c r="Y473" s="6"/>
      <c r="Z473" s="6"/>
      <c r="AA473" s="6"/>
      <c r="AB473" s="6"/>
      <c r="AC473" s="6"/>
      <c r="AD473" s="6"/>
      <c r="AE473" s="6"/>
      <c r="AF473" s="6"/>
      <c r="AG473" s="6"/>
    </row>
    <row r="474" spans="1:33" x14ac:dyDescent="0.25">
      <c r="A474" s="157">
        <f t="shared" si="16"/>
        <v>473</v>
      </c>
      <c r="B474" s="6" t="s">
        <v>4505</v>
      </c>
      <c r="C474" s="6" t="s">
        <v>4505</v>
      </c>
      <c r="D474" s="519" t="s">
        <v>5872</v>
      </c>
      <c r="E474" s="6"/>
      <c r="F474" s="7" t="s">
        <v>3882</v>
      </c>
      <c r="G474" s="7" t="s">
        <v>626</v>
      </c>
      <c r="H474" s="7"/>
      <c r="I474" s="7"/>
      <c r="J474" s="7"/>
      <c r="K474" s="7"/>
      <c r="L474" s="7"/>
      <c r="M474" s="7">
        <f t="shared" si="17"/>
        <v>0</v>
      </c>
      <c r="N474" s="6"/>
      <c r="O474" s="6"/>
      <c r="P474" s="6"/>
      <c r="Q474" s="6"/>
      <c r="R474" s="6"/>
      <c r="S474" s="6"/>
      <c r="T474" s="6"/>
      <c r="U474" s="6"/>
      <c r="V474" s="6"/>
      <c r="W474" s="6"/>
      <c r="X474" s="6"/>
      <c r="Y474" s="6"/>
      <c r="Z474" s="6"/>
      <c r="AA474" s="6"/>
      <c r="AB474" s="6"/>
      <c r="AC474" s="6"/>
      <c r="AD474" s="6"/>
      <c r="AE474" s="6"/>
      <c r="AF474" s="6"/>
      <c r="AG474" s="6"/>
    </row>
    <row r="475" spans="1:33" x14ac:dyDescent="0.25">
      <c r="A475" s="157">
        <f t="shared" si="16"/>
        <v>474</v>
      </c>
      <c r="B475" s="6" t="s">
        <v>4506</v>
      </c>
      <c r="C475" s="6" t="s">
        <v>4506</v>
      </c>
      <c r="D475" s="519" t="s">
        <v>5873</v>
      </c>
      <c r="E475" s="6"/>
      <c r="F475" s="7" t="s">
        <v>3882</v>
      </c>
      <c r="G475" s="7" t="s">
        <v>626</v>
      </c>
      <c r="H475" s="7"/>
      <c r="I475" s="7"/>
      <c r="J475" s="7"/>
      <c r="K475" s="7"/>
      <c r="L475" s="7"/>
      <c r="M475" s="7">
        <f t="shared" si="17"/>
        <v>0</v>
      </c>
      <c r="N475" s="6"/>
      <c r="O475" s="6"/>
      <c r="P475" s="6"/>
      <c r="Q475" s="6"/>
      <c r="R475" s="6"/>
      <c r="S475" s="6"/>
      <c r="T475" s="6"/>
      <c r="U475" s="6"/>
      <c r="V475" s="6"/>
      <c r="W475" s="6"/>
      <c r="X475" s="6"/>
      <c r="Y475" s="6"/>
      <c r="Z475" s="6"/>
      <c r="AA475" s="6"/>
      <c r="AB475" s="6"/>
      <c r="AC475" s="6"/>
      <c r="AD475" s="6"/>
      <c r="AE475" s="6"/>
      <c r="AF475" s="6"/>
      <c r="AG475" s="6"/>
    </row>
    <row r="476" spans="1:33" x14ac:dyDescent="0.25">
      <c r="A476" s="157">
        <f t="shared" si="16"/>
        <v>475</v>
      </c>
      <c r="B476" s="6" t="s">
        <v>4507</v>
      </c>
      <c r="C476" s="6" t="s">
        <v>4507</v>
      </c>
      <c r="D476" s="519" t="s">
        <v>5874</v>
      </c>
      <c r="E476" s="6"/>
      <c r="F476" s="7" t="s">
        <v>3882</v>
      </c>
      <c r="G476" s="7" t="s">
        <v>626</v>
      </c>
      <c r="H476" s="7"/>
      <c r="I476" s="7"/>
      <c r="J476" s="7"/>
      <c r="K476" s="7"/>
      <c r="L476" s="7"/>
      <c r="M476" s="7">
        <f t="shared" si="17"/>
        <v>0</v>
      </c>
      <c r="N476" s="6"/>
      <c r="O476" s="6"/>
      <c r="P476" s="6"/>
      <c r="Q476" s="6"/>
      <c r="R476" s="6"/>
      <c r="S476" s="6"/>
      <c r="T476" s="6"/>
      <c r="U476" s="6"/>
      <c r="V476" s="6"/>
      <c r="W476" s="6"/>
      <c r="X476" s="6"/>
      <c r="Y476" s="6"/>
      <c r="Z476" s="6"/>
      <c r="AA476" s="6"/>
      <c r="AB476" s="6"/>
      <c r="AC476" s="6"/>
      <c r="AD476" s="6"/>
      <c r="AE476" s="6"/>
      <c r="AF476" s="6"/>
      <c r="AG476" s="6"/>
    </row>
    <row r="477" spans="1:33" x14ac:dyDescent="0.25">
      <c r="A477" s="157">
        <f t="shared" si="16"/>
        <v>476</v>
      </c>
      <c r="B477" s="6" t="s">
        <v>4508</v>
      </c>
      <c r="C477" s="6" t="s">
        <v>4508</v>
      </c>
      <c r="D477" s="519" t="s">
        <v>5875</v>
      </c>
      <c r="E477" s="6"/>
      <c r="F477" s="7" t="s">
        <v>3882</v>
      </c>
      <c r="G477" s="7" t="s">
        <v>626</v>
      </c>
      <c r="H477" s="7"/>
      <c r="I477" s="7"/>
      <c r="J477" s="7"/>
      <c r="K477" s="7"/>
      <c r="L477" s="7"/>
      <c r="M477" s="7">
        <f t="shared" si="17"/>
        <v>0</v>
      </c>
      <c r="N477" s="6"/>
      <c r="O477" s="6"/>
      <c r="P477" s="6"/>
      <c r="Q477" s="6"/>
      <c r="R477" s="6"/>
      <c r="S477" s="6"/>
      <c r="T477" s="6"/>
      <c r="U477" s="6"/>
      <c r="V477" s="6"/>
      <c r="W477" s="6"/>
      <c r="X477" s="6"/>
      <c r="Y477" s="6"/>
      <c r="Z477" s="6"/>
      <c r="AA477" s="6"/>
      <c r="AB477" s="6"/>
      <c r="AC477" s="6"/>
      <c r="AD477" s="6"/>
      <c r="AE477" s="6"/>
      <c r="AF477" s="6"/>
      <c r="AG477" s="6"/>
    </row>
    <row r="478" spans="1:33" x14ac:dyDescent="0.25">
      <c r="A478" s="157">
        <f t="shared" si="16"/>
        <v>477</v>
      </c>
      <c r="B478" s="6" t="s">
        <v>4509</v>
      </c>
      <c r="C478" s="6" t="s">
        <v>4509</v>
      </c>
      <c r="D478" s="519" t="s">
        <v>5876</v>
      </c>
      <c r="E478" s="6"/>
      <c r="F478" s="7" t="s">
        <v>3882</v>
      </c>
      <c r="G478" s="7" t="s">
        <v>626</v>
      </c>
      <c r="H478" s="7"/>
      <c r="I478" s="7"/>
      <c r="J478" s="7"/>
      <c r="K478" s="7"/>
      <c r="L478" s="7"/>
      <c r="M478" s="7">
        <f t="shared" si="17"/>
        <v>0</v>
      </c>
      <c r="N478" s="6"/>
      <c r="O478" s="6"/>
      <c r="P478" s="6"/>
      <c r="Q478" s="6"/>
      <c r="R478" s="6"/>
      <c r="S478" s="6"/>
      <c r="T478" s="6"/>
      <c r="U478" s="6"/>
      <c r="V478" s="6"/>
      <c r="W478" s="6"/>
      <c r="X478" s="6"/>
      <c r="Y478" s="6"/>
      <c r="Z478" s="6"/>
      <c r="AA478" s="6"/>
      <c r="AB478" s="6"/>
      <c r="AC478" s="6"/>
      <c r="AD478" s="6"/>
      <c r="AE478" s="6"/>
      <c r="AF478" s="6"/>
      <c r="AG478" s="6"/>
    </row>
    <row r="479" spans="1:33" x14ac:dyDescent="0.25">
      <c r="A479" s="157">
        <f t="shared" si="16"/>
        <v>478</v>
      </c>
      <c r="B479" s="6" t="s">
        <v>4510</v>
      </c>
      <c r="C479" s="6" t="s">
        <v>4510</v>
      </c>
      <c r="D479" s="519" t="s">
        <v>5877</v>
      </c>
      <c r="E479" s="6"/>
      <c r="F479" s="7" t="s">
        <v>3882</v>
      </c>
      <c r="G479" s="7" t="s">
        <v>626</v>
      </c>
      <c r="H479" s="7"/>
      <c r="I479" s="7"/>
      <c r="J479" s="7"/>
      <c r="K479" s="7"/>
      <c r="L479" s="7"/>
      <c r="M479" s="7">
        <f t="shared" si="17"/>
        <v>0</v>
      </c>
      <c r="N479" s="6"/>
      <c r="O479" s="6"/>
      <c r="P479" s="6"/>
      <c r="Q479" s="6"/>
      <c r="R479" s="6"/>
      <c r="S479" s="6"/>
      <c r="T479" s="6"/>
      <c r="U479" s="6"/>
      <c r="V479" s="6"/>
      <c r="W479" s="6"/>
      <c r="X479" s="6"/>
      <c r="Y479" s="6"/>
      <c r="Z479" s="6"/>
      <c r="AA479" s="6"/>
      <c r="AB479" s="6"/>
      <c r="AC479" s="6"/>
      <c r="AD479" s="6"/>
      <c r="AE479" s="6"/>
      <c r="AF479" s="6"/>
      <c r="AG479" s="6"/>
    </row>
    <row r="480" spans="1:33" x14ac:dyDescent="0.25">
      <c r="A480" s="157">
        <f t="shared" si="16"/>
        <v>479</v>
      </c>
      <c r="B480" s="6" t="s">
        <v>4511</v>
      </c>
      <c r="C480" s="6" t="s">
        <v>4511</v>
      </c>
      <c r="D480" s="519" t="s">
        <v>5878</v>
      </c>
      <c r="E480" s="6"/>
      <c r="F480" s="7" t="s">
        <v>3882</v>
      </c>
      <c r="G480" s="7" t="s">
        <v>626</v>
      </c>
      <c r="H480" s="7"/>
      <c r="I480" s="7"/>
      <c r="J480" s="7"/>
      <c r="K480" s="7"/>
      <c r="L480" s="7"/>
      <c r="M480" s="7">
        <f t="shared" si="17"/>
        <v>0</v>
      </c>
      <c r="N480" s="6"/>
      <c r="O480" s="6"/>
      <c r="P480" s="6"/>
      <c r="Q480" s="6"/>
      <c r="R480" s="6"/>
      <c r="S480" s="6"/>
      <c r="T480" s="6"/>
      <c r="U480" s="6"/>
      <c r="V480" s="6"/>
      <c r="W480" s="6"/>
      <c r="X480" s="6"/>
      <c r="Y480" s="6"/>
      <c r="Z480" s="6"/>
      <c r="AA480" s="6"/>
      <c r="AB480" s="6"/>
      <c r="AC480" s="6"/>
      <c r="AD480" s="6"/>
      <c r="AE480" s="6"/>
      <c r="AF480" s="6"/>
      <c r="AG480" s="6"/>
    </row>
    <row r="481" spans="1:33" x14ac:dyDescent="0.25">
      <c r="A481" s="157">
        <f t="shared" si="16"/>
        <v>480</v>
      </c>
      <c r="B481" s="6" t="s">
        <v>4512</v>
      </c>
      <c r="C481" s="6" t="s">
        <v>4512</v>
      </c>
      <c r="D481" s="519" t="s">
        <v>5879</v>
      </c>
      <c r="E481" s="6"/>
      <c r="F481" s="7" t="s">
        <v>3882</v>
      </c>
      <c r="G481" s="7" t="s">
        <v>626</v>
      </c>
      <c r="H481" s="7"/>
      <c r="I481" s="7"/>
      <c r="J481" s="7"/>
      <c r="K481" s="7"/>
      <c r="L481" s="7"/>
      <c r="M481" s="7">
        <f t="shared" si="17"/>
        <v>0</v>
      </c>
      <c r="N481" s="6"/>
      <c r="O481" s="6"/>
      <c r="P481" s="6"/>
      <c r="Q481" s="6"/>
      <c r="R481" s="6"/>
      <c r="S481" s="6"/>
      <c r="T481" s="6"/>
      <c r="U481" s="6"/>
      <c r="V481" s="6"/>
      <c r="W481" s="6"/>
      <c r="X481" s="6"/>
      <c r="Y481" s="6"/>
      <c r="Z481" s="6"/>
      <c r="AA481" s="6"/>
      <c r="AB481" s="6"/>
      <c r="AC481" s="6"/>
      <c r="AD481" s="6"/>
      <c r="AE481" s="6"/>
      <c r="AF481" s="6"/>
      <c r="AG481" s="6"/>
    </row>
    <row r="482" spans="1:33" x14ac:dyDescent="0.25">
      <c r="B482" s="633" t="s">
        <v>7153</v>
      </c>
      <c r="C482" s="633" t="s">
        <v>7153</v>
      </c>
      <c r="G482" s="7" t="s">
        <v>623</v>
      </c>
      <c r="I482" s="7" t="s">
        <v>3994</v>
      </c>
      <c r="J482" s="7" t="s">
        <v>5264</v>
      </c>
    </row>
    <row r="483" spans="1:33" x14ac:dyDescent="0.25">
      <c r="B483" s="633" t="s">
        <v>7153</v>
      </c>
      <c r="C483" s="633" t="s">
        <v>7153</v>
      </c>
      <c r="G483" s="7" t="s">
        <v>623</v>
      </c>
      <c r="I483" s="7" t="s">
        <v>3994</v>
      </c>
      <c r="J483" s="7" t="s">
        <v>5265</v>
      </c>
    </row>
    <row r="484" spans="1:33" x14ac:dyDescent="0.25">
      <c r="B484" s="633" t="s">
        <v>7153</v>
      </c>
      <c r="C484" s="633" t="s">
        <v>7153</v>
      </c>
      <c r="G484" s="7" t="s">
        <v>623</v>
      </c>
      <c r="I484" s="7" t="s">
        <v>3994</v>
      </c>
      <c r="J484" s="7" t="s">
        <v>5266</v>
      </c>
    </row>
  </sheetData>
  <autoFilter ref="A1:V481"/>
  <conditionalFormatting sqref="B314:B318">
    <cfRule type="duplicateValues" dxfId="2" priority="2"/>
  </conditionalFormatting>
  <conditionalFormatting sqref="C314:C318">
    <cfRule type="duplicateValues" dxfId="1" priority="1"/>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5"/>
  <dimension ref="A1"/>
  <sheetViews>
    <sheetView workbookViewId="0">
      <selection activeCell="N1" sqref="N1:AY1048576"/>
    </sheetView>
  </sheetViews>
  <sheetFormatPr defaultRowHeight="15" x14ac:dyDescent="0.25"/>
  <cols>
    <col min="2" max="2" width="29.5703125" customWidth="1"/>
    <col min="4" max="4" width="26" customWidth="1"/>
  </cols>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6"/>
  <dimension ref="A1:F45"/>
  <sheetViews>
    <sheetView topLeftCell="D1" zoomScale="115" zoomScaleNormal="115" workbookViewId="0">
      <selection activeCell="E22" sqref="E22"/>
    </sheetView>
  </sheetViews>
  <sheetFormatPr defaultRowHeight="15" outlineLevelCol="1" x14ac:dyDescent="0.25"/>
  <cols>
    <col min="1" max="1" width="25.140625" bestFit="1" customWidth="1"/>
    <col min="2" max="2" width="32.5703125" bestFit="1" customWidth="1"/>
    <col min="3" max="3" width="255.7109375" bestFit="1" customWidth="1"/>
    <col min="4" max="4" width="36.85546875" customWidth="1"/>
    <col min="5" max="5" width="29.42578125" bestFit="1" customWidth="1" outlineLevel="1"/>
    <col min="6" max="6" width="91" bestFit="1" customWidth="1" outlineLevel="1"/>
  </cols>
  <sheetData>
    <row r="1" spans="1:6" x14ac:dyDescent="0.25">
      <c r="A1" s="1344" t="s">
        <v>4126</v>
      </c>
      <c r="B1" s="1344" t="s">
        <v>4127</v>
      </c>
      <c r="C1" s="1344" t="s">
        <v>4128</v>
      </c>
      <c r="D1" s="1344" t="s">
        <v>4128</v>
      </c>
      <c r="E1" s="1345" t="s">
        <v>4429</v>
      </c>
      <c r="F1" s="1342" t="s">
        <v>6017</v>
      </c>
    </row>
    <row r="2" spans="1:6" x14ac:dyDescent="0.25">
      <c r="A2" s="1344"/>
      <c r="B2" s="1344"/>
      <c r="C2" s="1344"/>
      <c r="D2" s="1344"/>
      <c r="E2" s="1346"/>
      <c r="F2" s="1343"/>
    </row>
    <row r="3" spans="1:6" x14ac:dyDescent="0.25">
      <c r="A3" t="s">
        <v>3862</v>
      </c>
      <c r="B3" t="s">
        <v>4031</v>
      </c>
      <c r="C3" t="s">
        <v>4032</v>
      </c>
      <c r="D3" t="s">
        <v>4033</v>
      </c>
      <c r="E3" s="279" t="s">
        <v>4031</v>
      </c>
      <c r="F3" s="278"/>
    </row>
    <row r="4" spans="1:6" x14ac:dyDescent="0.25">
      <c r="A4" t="s">
        <v>2159</v>
      </c>
      <c r="B4" t="s">
        <v>4031</v>
      </c>
      <c r="C4" t="s">
        <v>4034</v>
      </c>
      <c r="D4" t="s">
        <v>4035</v>
      </c>
      <c r="E4" s="279" t="s">
        <v>4031</v>
      </c>
      <c r="F4" s="6" t="s">
        <v>6018</v>
      </c>
    </row>
    <row r="5" spans="1:6" x14ac:dyDescent="0.25">
      <c r="A5" t="s">
        <v>2160</v>
      </c>
      <c r="B5" t="s">
        <v>4031</v>
      </c>
      <c r="C5" t="s">
        <v>4036</v>
      </c>
      <c r="D5" t="s">
        <v>4037</v>
      </c>
      <c r="E5" s="279" t="s">
        <v>4031</v>
      </c>
      <c r="F5" s="6" t="s">
        <v>6001</v>
      </c>
    </row>
    <row r="6" spans="1:6" x14ac:dyDescent="0.25">
      <c r="A6" t="s">
        <v>2161</v>
      </c>
      <c r="B6" t="s">
        <v>4031</v>
      </c>
      <c r="C6" t="s">
        <v>4038</v>
      </c>
      <c r="D6" t="s">
        <v>4039</v>
      </c>
      <c r="E6" s="279" t="s">
        <v>4031</v>
      </c>
      <c r="F6" s="6" t="s">
        <v>6002</v>
      </c>
    </row>
    <row r="7" spans="1:6" x14ac:dyDescent="0.25">
      <c r="A7" t="s">
        <v>4040</v>
      </c>
      <c r="B7" t="s">
        <v>4031</v>
      </c>
      <c r="C7" t="s">
        <v>4041</v>
      </c>
      <c r="D7" t="s">
        <v>4042</v>
      </c>
      <c r="E7" s="279" t="s">
        <v>4031</v>
      </c>
      <c r="F7" s="6"/>
    </row>
    <row r="8" spans="1:6" x14ac:dyDescent="0.25">
      <c r="A8" t="s">
        <v>4043</v>
      </c>
      <c r="B8" t="s">
        <v>4031</v>
      </c>
      <c r="C8" t="s">
        <v>4044</v>
      </c>
      <c r="D8" t="s">
        <v>4045</v>
      </c>
      <c r="E8" s="279" t="s">
        <v>4031</v>
      </c>
      <c r="F8" s="6"/>
    </row>
    <row r="9" spans="1:6" x14ac:dyDescent="0.25">
      <c r="A9" t="s">
        <v>2162</v>
      </c>
      <c r="B9" t="s">
        <v>4046</v>
      </c>
      <c r="C9" t="s">
        <v>4047</v>
      </c>
      <c r="D9" t="s">
        <v>4048</v>
      </c>
      <c r="E9" s="279" t="s">
        <v>5997</v>
      </c>
      <c r="F9" s="6"/>
    </row>
    <row r="10" spans="1:6" x14ac:dyDescent="0.25">
      <c r="A10" t="s">
        <v>4049</v>
      </c>
      <c r="B10" t="s">
        <v>4031</v>
      </c>
      <c r="C10" t="s">
        <v>4050</v>
      </c>
      <c r="D10" t="s">
        <v>4051</v>
      </c>
      <c r="E10" s="279" t="s">
        <v>4031</v>
      </c>
      <c r="F10" s="6" t="s">
        <v>6003</v>
      </c>
    </row>
    <row r="11" spans="1:6" x14ac:dyDescent="0.25">
      <c r="A11" t="s">
        <v>2163</v>
      </c>
      <c r="B11" t="s">
        <v>4031</v>
      </c>
      <c r="C11" t="s">
        <v>4052</v>
      </c>
      <c r="D11" t="s">
        <v>4053</v>
      </c>
      <c r="E11" s="279" t="s">
        <v>4031</v>
      </c>
      <c r="F11" s="6"/>
    </row>
    <row r="12" spans="1:6" x14ac:dyDescent="0.25">
      <c r="A12" t="s">
        <v>2164</v>
      </c>
      <c r="B12" t="s">
        <v>4031</v>
      </c>
      <c r="C12" t="s">
        <v>4054</v>
      </c>
      <c r="D12" t="s">
        <v>4055</v>
      </c>
      <c r="E12" s="279" t="s">
        <v>4031</v>
      </c>
      <c r="F12" s="6" t="s">
        <v>6004</v>
      </c>
    </row>
    <row r="13" spans="1:6" x14ac:dyDescent="0.25">
      <c r="A13" t="s">
        <v>2165</v>
      </c>
      <c r="B13" t="s">
        <v>4056</v>
      </c>
      <c r="C13" t="s">
        <v>4057</v>
      </c>
      <c r="D13" t="s">
        <v>4058</v>
      </c>
      <c r="E13" s="279" t="s">
        <v>5998</v>
      </c>
      <c r="F13" s="6"/>
    </row>
    <row r="14" spans="1:6" x14ac:dyDescent="0.25">
      <c r="A14" t="s">
        <v>2166</v>
      </c>
      <c r="B14" t="s">
        <v>4059</v>
      </c>
      <c r="C14" t="s">
        <v>4060</v>
      </c>
      <c r="D14" t="s">
        <v>4061</v>
      </c>
      <c r="E14" s="279" t="s">
        <v>5999</v>
      </c>
      <c r="F14" s="6"/>
    </row>
    <row r="15" spans="1:6" x14ac:dyDescent="0.25">
      <c r="A15" t="s">
        <v>2167</v>
      </c>
      <c r="B15" t="s">
        <v>4031</v>
      </c>
      <c r="C15" t="s">
        <v>4062</v>
      </c>
      <c r="D15" t="s">
        <v>4063</v>
      </c>
      <c r="E15" s="279" t="s">
        <v>4031</v>
      </c>
      <c r="F15" s="6"/>
    </row>
    <row r="16" spans="1:6" x14ac:dyDescent="0.25">
      <c r="A16" t="s">
        <v>1038</v>
      </c>
      <c r="B16" t="s">
        <v>4031</v>
      </c>
      <c r="C16" t="s">
        <v>4064</v>
      </c>
      <c r="D16" t="s">
        <v>4065</v>
      </c>
      <c r="E16" s="279" t="s">
        <v>4031</v>
      </c>
      <c r="F16" s="6"/>
    </row>
    <row r="17" spans="1:6" x14ac:dyDescent="0.25">
      <c r="A17" t="s">
        <v>2168</v>
      </c>
      <c r="B17" t="s">
        <v>4066</v>
      </c>
      <c r="C17" t="s">
        <v>4067</v>
      </c>
      <c r="D17" t="s">
        <v>4068</v>
      </c>
      <c r="E17" t="s">
        <v>4066</v>
      </c>
      <c r="F17" s="6" t="s">
        <v>6005</v>
      </c>
    </row>
    <row r="18" spans="1:6" x14ac:dyDescent="0.25">
      <c r="A18" t="s">
        <v>2169</v>
      </c>
      <c r="B18" t="s">
        <v>4069</v>
      </c>
      <c r="C18" t="s">
        <v>4070</v>
      </c>
      <c r="D18" t="s">
        <v>4071</v>
      </c>
      <c r="E18" t="s">
        <v>4069</v>
      </c>
      <c r="F18" s="6"/>
    </row>
    <row r="19" spans="1:6" x14ac:dyDescent="0.25">
      <c r="A19" t="s">
        <v>2170</v>
      </c>
      <c r="B19" t="s">
        <v>4072</v>
      </c>
      <c r="C19" t="s">
        <v>4073</v>
      </c>
      <c r="D19" t="s">
        <v>4074</v>
      </c>
      <c r="E19" s="279" t="s">
        <v>6000</v>
      </c>
      <c r="F19" s="6"/>
    </row>
    <row r="20" spans="1:6" x14ac:dyDescent="0.25">
      <c r="A20" t="s">
        <v>2171</v>
      </c>
      <c r="B20" t="s">
        <v>4031</v>
      </c>
      <c r="C20" t="s">
        <v>4075</v>
      </c>
      <c r="D20" t="s">
        <v>4076</v>
      </c>
      <c r="E20" s="279" t="s">
        <v>4031</v>
      </c>
      <c r="F20" s="6"/>
    </row>
    <row r="21" spans="1:6" x14ac:dyDescent="0.25">
      <c r="A21" t="s">
        <v>2172</v>
      </c>
      <c r="B21" t="s">
        <v>4031</v>
      </c>
      <c r="C21" t="s">
        <v>4077</v>
      </c>
      <c r="D21" t="s">
        <v>4078</v>
      </c>
      <c r="E21" s="279" t="s">
        <v>4031</v>
      </c>
      <c r="F21" s="6"/>
    </row>
    <row r="22" spans="1:6" x14ac:dyDescent="0.25">
      <c r="A22" t="s">
        <v>2173</v>
      </c>
      <c r="B22" t="s">
        <v>4031</v>
      </c>
      <c r="C22" t="s">
        <v>4079</v>
      </c>
      <c r="D22" s="208"/>
      <c r="E22" s="279" t="s">
        <v>4031</v>
      </c>
      <c r="F22" s="6" t="s">
        <v>6006</v>
      </c>
    </row>
    <row r="23" spans="1:6" x14ac:dyDescent="0.25">
      <c r="A23" t="s">
        <v>2174</v>
      </c>
      <c r="B23" t="s">
        <v>4031</v>
      </c>
      <c r="C23" t="s">
        <v>4080</v>
      </c>
      <c r="D23" t="s">
        <v>4081</v>
      </c>
      <c r="E23" s="279" t="s">
        <v>4031</v>
      </c>
      <c r="F23" s="6"/>
    </row>
    <row r="24" spans="1:6" x14ac:dyDescent="0.25">
      <c r="A24" t="s">
        <v>2175</v>
      </c>
      <c r="B24" t="s">
        <v>4031</v>
      </c>
      <c r="C24" t="s">
        <v>4082</v>
      </c>
      <c r="D24" t="s">
        <v>4083</v>
      </c>
      <c r="E24" s="279" t="s">
        <v>4031</v>
      </c>
      <c r="F24" s="6"/>
    </row>
    <row r="25" spans="1:6" x14ac:dyDescent="0.25">
      <c r="A25" t="s">
        <v>2176</v>
      </c>
      <c r="B25" t="s">
        <v>4031</v>
      </c>
      <c r="C25" t="s">
        <v>4084</v>
      </c>
      <c r="D25" t="s">
        <v>4085</v>
      </c>
      <c r="E25" s="279" t="s">
        <v>4031</v>
      </c>
      <c r="F25" s="6" t="s">
        <v>4430</v>
      </c>
    </row>
    <row r="26" spans="1:6" x14ac:dyDescent="0.25">
      <c r="A26" t="s">
        <v>2177</v>
      </c>
      <c r="B26" t="s">
        <v>4031</v>
      </c>
      <c r="C26" t="s">
        <v>4086</v>
      </c>
      <c r="D26" s="208"/>
      <c r="E26" s="279" t="s">
        <v>4031</v>
      </c>
      <c r="F26" s="6" t="s">
        <v>6007</v>
      </c>
    </row>
    <row r="27" spans="1:6" x14ac:dyDescent="0.25">
      <c r="A27" t="s">
        <v>2178</v>
      </c>
      <c r="B27" t="s">
        <v>4031</v>
      </c>
      <c r="C27" t="s">
        <v>4087</v>
      </c>
      <c r="D27" t="s">
        <v>4088</v>
      </c>
      <c r="E27" s="279" t="s">
        <v>4031</v>
      </c>
      <c r="F27" s="6"/>
    </row>
    <row r="28" spans="1:6" x14ac:dyDescent="0.25">
      <c r="A28" t="s">
        <v>2179</v>
      </c>
      <c r="B28" t="s">
        <v>4031</v>
      </c>
      <c r="C28" t="s">
        <v>4089</v>
      </c>
      <c r="D28" t="s">
        <v>4090</v>
      </c>
      <c r="E28" s="279" t="s">
        <v>4031</v>
      </c>
      <c r="F28" s="6" t="s">
        <v>6008</v>
      </c>
    </row>
    <row r="29" spans="1:6" x14ac:dyDescent="0.25">
      <c r="A29" t="s">
        <v>2180</v>
      </c>
      <c r="B29" t="s">
        <v>4091</v>
      </c>
      <c r="C29" t="s">
        <v>4092</v>
      </c>
      <c r="D29" t="s">
        <v>4093</v>
      </c>
      <c r="E29" t="s">
        <v>4091</v>
      </c>
      <c r="F29" s="6" t="s">
        <v>6009</v>
      </c>
    </row>
    <row r="30" spans="1:6" x14ac:dyDescent="0.25">
      <c r="A30" t="s">
        <v>2181</v>
      </c>
      <c r="B30" t="s">
        <v>4031</v>
      </c>
      <c r="C30" t="s">
        <v>4094</v>
      </c>
      <c r="D30" t="s">
        <v>4095</v>
      </c>
      <c r="E30" s="279" t="s">
        <v>4031</v>
      </c>
      <c r="F30" s="6"/>
    </row>
    <row r="31" spans="1:6" x14ac:dyDescent="0.25">
      <c r="A31" t="s">
        <v>2182</v>
      </c>
      <c r="B31" t="s">
        <v>4031</v>
      </c>
      <c r="C31" t="s">
        <v>4096</v>
      </c>
      <c r="D31" t="s">
        <v>4097</v>
      </c>
      <c r="E31" s="279" t="s">
        <v>4031</v>
      </c>
      <c r="F31" s="6" t="s">
        <v>6010</v>
      </c>
    </row>
    <row r="32" spans="1:6" x14ac:dyDescent="0.25">
      <c r="A32" t="s">
        <v>2183</v>
      </c>
      <c r="B32" t="s">
        <v>4031</v>
      </c>
      <c r="C32" t="s">
        <v>4098</v>
      </c>
      <c r="D32" t="s">
        <v>4099</v>
      </c>
      <c r="E32" s="279" t="s">
        <v>4031</v>
      </c>
      <c r="F32" s="6"/>
    </row>
    <row r="33" spans="1:6" x14ac:dyDescent="0.25">
      <c r="A33" t="s">
        <v>2184</v>
      </c>
      <c r="B33" t="s">
        <v>4031</v>
      </c>
      <c r="C33" t="s">
        <v>4100</v>
      </c>
      <c r="D33" t="s">
        <v>4101</v>
      </c>
      <c r="E33" s="279" t="s">
        <v>4031</v>
      </c>
      <c r="F33" s="6" t="s">
        <v>6011</v>
      </c>
    </row>
    <row r="34" spans="1:6" x14ac:dyDescent="0.25">
      <c r="A34" t="s">
        <v>2185</v>
      </c>
      <c r="B34" t="s">
        <v>4031</v>
      </c>
      <c r="C34" t="s">
        <v>4102</v>
      </c>
      <c r="D34" t="s">
        <v>4103</v>
      </c>
      <c r="E34" s="279" t="s">
        <v>4031</v>
      </c>
      <c r="F34" s="6" t="s">
        <v>6012</v>
      </c>
    </row>
    <row r="35" spans="1:6" x14ac:dyDescent="0.25">
      <c r="A35" t="s">
        <v>2186</v>
      </c>
      <c r="B35" t="s">
        <v>4031</v>
      </c>
      <c r="C35" t="s">
        <v>4104</v>
      </c>
      <c r="D35" t="s">
        <v>4105</v>
      </c>
      <c r="E35" s="279" t="s">
        <v>4031</v>
      </c>
      <c r="F35" s="6"/>
    </row>
    <row r="36" spans="1:6" x14ac:dyDescent="0.25">
      <c r="A36" t="s">
        <v>2187</v>
      </c>
      <c r="B36" t="s">
        <v>4031</v>
      </c>
      <c r="C36" t="s">
        <v>4106</v>
      </c>
      <c r="D36" t="s">
        <v>4107</v>
      </c>
      <c r="E36" s="279" t="s">
        <v>4031</v>
      </c>
      <c r="F36" s="6"/>
    </row>
    <row r="37" spans="1:6" x14ac:dyDescent="0.25">
      <c r="A37" t="s">
        <v>2188</v>
      </c>
      <c r="B37" t="s">
        <v>4031</v>
      </c>
      <c r="C37" t="s">
        <v>4108</v>
      </c>
      <c r="D37" t="s">
        <v>4109</v>
      </c>
      <c r="E37" s="279" t="s">
        <v>4031</v>
      </c>
      <c r="F37" s="6"/>
    </row>
    <row r="38" spans="1:6" x14ac:dyDescent="0.25">
      <c r="A38" t="s">
        <v>2189</v>
      </c>
      <c r="B38" t="s">
        <v>4031</v>
      </c>
      <c r="C38" t="s">
        <v>4110</v>
      </c>
      <c r="D38" t="s">
        <v>4111</v>
      </c>
      <c r="E38" s="279" t="s">
        <v>4031</v>
      </c>
      <c r="F38" s="6"/>
    </row>
    <row r="39" spans="1:6" x14ac:dyDescent="0.25">
      <c r="A39" t="s">
        <v>2190</v>
      </c>
      <c r="B39" t="s">
        <v>4031</v>
      </c>
      <c r="C39" t="s">
        <v>4112</v>
      </c>
      <c r="D39" t="s">
        <v>4113</v>
      </c>
      <c r="E39" s="279" t="s">
        <v>4031</v>
      </c>
      <c r="F39" s="6" t="s">
        <v>6013</v>
      </c>
    </row>
    <row r="40" spans="1:6" x14ac:dyDescent="0.25">
      <c r="A40" t="s">
        <v>2191</v>
      </c>
      <c r="B40" t="s">
        <v>4046</v>
      </c>
      <c r="C40" t="s">
        <v>4114</v>
      </c>
      <c r="D40" t="s">
        <v>4115</v>
      </c>
      <c r="E40" s="279" t="s">
        <v>5997</v>
      </c>
      <c r="F40" s="6"/>
    </row>
    <row r="41" spans="1:6" x14ac:dyDescent="0.25">
      <c r="A41" t="s">
        <v>2192</v>
      </c>
      <c r="B41" t="s">
        <v>4056</v>
      </c>
      <c r="C41" t="s">
        <v>4116</v>
      </c>
      <c r="D41" t="s">
        <v>4117</v>
      </c>
      <c r="E41" s="279" t="s">
        <v>5998</v>
      </c>
      <c r="F41" s="6" t="s">
        <v>6014</v>
      </c>
    </row>
    <row r="42" spans="1:6" x14ac:dyDescent="0.25">
      <c r="A42" t="s">
        <v>2193</v>
      </c>
      <c r="B42" t="s">
        <v>4031</v>
      </c>
      <c r="C42" t="s">
        <v>4118</v>
      </c>
      <c r="D42" t="s">
        <v>4119</v>
      </c>
      <c r="E42" s="279" t="s">
        <v>4031</v>
      </c>
      <c r="F42" s="6"/>
    </row>
    <row r="43" spans="1:6" x14ac:dyDescent="0.25">
      <c r="A43" t="s">
        <v>2194</v>
      </c>
      <c r="B43" t="s">
        <v>4031</v>
      </c>
      <c r="C43" t="s">
        <v>4120</v>
      </c>
      <c r="D43" t="s">
        <v>4121</v>
      </c>
      <c r="E43" s="279" t="s">
        <v>4031</v>
      </c>
      <c r="F43" s="6" t="s">
        <v>6015</v>
      </c>
    </row>
    <row r="44" spans="1:6" x14ac:dyDescent="0.25">
      <c r="A44" t="s">
        <v>2195</v>
      </c>
      <c r="B44" t="s">
        <v>4056</v>
      </c>
      <c r="C44" t="s">
        <v>4122</v>
      </c>
      <c r="D44" t="s">
        <v>4123</v>
      </c>
      <c r="E44" s="279" t="s">
        <v>5998</v>
      </c>
      <c r="F44" s="6"/>
    </row>
    <row r="45" spans="1:6" x14ac:dyDescent="0.25">
      <c r="A45" t="s">
        <v>2196</v>
      </c>
      <c r="B45" t="s">
        <v>4031</v>
      </c>
      <c r="C45" t="s">
        <v>4124</v>
      </c>
      <c r="D45" t="s">
        <v>4125</v>
      </c>
      <c r="E45" s="279" t="s">
        <v>4031</v>
      </c>
      <c r="F45" s="6" t="s">
        <v>6016</v>
      </c>
    </row>
  </sheetData>
  <mergeCells count="6">
    <mergeCell ref="F1:F2"/>
    <mergeCell ref="C1:C2"/>
    <mergeCell ref="B1:B2"/>
    <mergeCell ref="A1:A2"/>
    <mergeCell ref="E1:E2"/>
    <mergeCell ref="D1:D2"/>
  </mergeCells>
  <conditionalFormatting sqref="F4:F45">
    <cfRule type="expression" dxfId="0" priority="1">
      <formula>F4=""</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G130"/>
  <sheetViews>
    <sheetView workbookViewId="0">
      <selection activeCell="E10" sqref="E10"/>
    </sheetView>
  </sheetViews>
  <sheetFormatPr defaultRowHeight="15" x14ac:dyDescent="0.25"/>
  <cols>
    <col min="2" max="2" width="16.7109375" bestFit="1" customWidth="1"/>
    <col min="3" max="3" width="28.7109375" bestFit="1" customWidth="1"/>
    <col min="4" max="4" width="39.28515625" bestFit="1" customWidth="1"/>
    <col min="5" max="5" width="14.85546875" bestFit="1" customWidth="1"/>
    <col min="6" max="6" width="19.28515625" bestFit="1" customWidth="1"/>
    <col min="7" max="7" width="71.5703125" bestFit="1" customWidth="1"/>
  </cols>
  <sheetData>
    <row r="1" spans="1:7" x14ac:dyDescent="0.25">
      <c r="B1" s="558" t="s">
        <v>4985</v>
      </c>
      <c r="C1" s="558" t="s">
        <v>0</v>
      </c>
      <c r="D1" s="558" t="s">
        <v>4545</v>
      </c>
      <c r="E1" s="558" t="s">
        <v>4140</v>
      </c>
      <c r="F1" s="558" t="s">
        <v>4546</v>
      </c>
      <c r="G1" s="558" t="s">
        <v>3404</v>
      </c>
    </row>
    <row r="2" spans="1:7" x14ac:dyDescent="0.25">
      <c r="A2" s="10">
        <f>IF(C2="","",1)</f>
        <v>1</v>
      </c>
      <c r="B2" s="6" t="s">
        <v>4986</v>
      </c>
      <c r="C2" s="6" t="s">
        <v>4547</v>
      </c>
      <c r="D2" s="6" t="s">
        <v>4548</v>
      </c>
      <c r="E2" s="6" t="s">
        <v>4549</v>
      </c>
      <c r="F2" s="6" t="s">
        <v>4550</v>
      </c>
      <c r="G2" s="6" t="s">
        <v>4551</v>
      </c>
    </row>
    <row r="3" spans="1:7" x14ac:dyDescent="0.25">
      <c r="A3" s="10">
        <f>IF(C3="","",A2+1)</f>
        <v>2</v>
      </c>
      <c r="B3" s="6" t="s">
        <v>4986</v>
      </c>
      <c r="C3" s="6" t="s">
        <v>4552</v>
      </c>
      <c r="D3" s="6" t="s">
        <v>4553</v>
      </c>
      <c r="E3" s="6" t="s">
        <v>4434</v>
      </c>
      <c r="F3" s="6" t="s">
        <v>4394</v>
      </c>
      <c r="G3" s="6" t="s">
        <v>4554</v>
      </c>
    </row>
    <row r="4" spans="1:7" x14ac:dyDescent="0.25">
      <c r="A4" s="10">
        <f t="shared" ref="A4:A67" si="0">IF(C4="","",A3+1)</f>
        <v>3</v>
      </c>
      <c r="B4" s="6" t="s">
        <v>4986</v>
      </c>
      <c r="C4" s="6" t="s">
        <v>4555</v>
      </c>
      <c r="D4" s="6" t="s">
        <v>4556</v>
      </c>
      <c r="E4" s="6" t="s">
        <v>4557</v>
      </c>
      <c r="F4" s="6" t="s">
        <v>4258</v>
      </c>
      <c r="G4" s="6" t="s">
        <v>4558</v>
      </c>
    </row>
    <row r="5" spans="1:7" x14ac:dyDescent="0.25">
      <c r="A5" s="10">
        <f t="shared" si="0"/>
        <v>4</v>
      </c>
      <c r="B5" s="6" t="s">
        <v>4986</v>
      </c>
      <c r="C5" s="6" t="s">
        <v>4559</v>
      </c>
      <c r="D5" s="6" t="s">
        <v>4560</v>
      </c>
      <c r="E5" s="6" t="s">
        <v>4561</v>
      </c>
      <c r="F5" s="6" t="s">
        <v>4562</v>
      </c>
      <c r="G5" s="6" t="s">
        <v>4563</v>
      </c>
    </row>
    <row r="6" spans="1:7" x14ac:dyDescent="0.25">
      <c r="A6" s="10">
        <f t="shared" si="0"/>
        <v>5</v>
      </c>
      <c r="B6" s="6" t="s">
        <v>4986</v>
      </c>
      <c r="C6" s="6" t="s">
        <v>4564</v>
      </c>
      <c r="D6" s="6" t="s">
        <v>4565</v>
      </c>
      <c r="E6" s="6" t="s">
        <v>4549</v>
      </c>
      <c r="F6" s="6" t="s">
        <v>4566</v>
      </c>
      <c r="G6" s="6" t="s">
        <v>4567</v>
      </c>
    </row>
    <row r="7" spans="1:7" x14ac:dyDescent="0.25">
      <c r="A7" s="10">
        <f t="shared" si="0"/>
        <v>6</v>
      </c>
      <c r="B7" s="6" t="s">
        <v>4986</v>
      </c>
      <c r="C7" s="6" t="s">
        <v>4568</v>
      </c>
      <c r="D7" s="6" t="s">
        <v>4569</v>
      </c>
      <c r="E7" s="6" t="s">
        <v>4570</v>
      </c>
      <c r="F7" s="6" t="s">
        <v>3769</v>
      </c>
      <c r="G7" s="6" t="s">
        <v>4571</v>
      </c>
    </row>
    <row r="8" spans="1:7" x14ac:dyDescent="0.25">
      <c r="A8" s="10">
        <f t="shared" si="0"/>
        <v>7</v>
      </c>
      <c r="B8" s="6" t="s">
        <v>4986</v>
      </c>
      <c r="C8" s="6" t="s">
        <v>4572</v>
      </c>
      <c r="D8" s="6" t="s">
        <v>4573</v>
      </c>
      <c r="E8" s="6" t="s">
        <v>4561</v>
      </c>
      <c r="F8" s="6" t="s">
        <v>4562</v>
      </c>
      <c r="G8" s="6" t="s">
        <v>4574</v>
      </c>
    </row>
    <row r="9" spans="1:7" x14ac:dyDescent="0.25">
      <c r="A9" s="10">
        <f t="shared" si="0"/>
        <v>8</v>
      </c>
      <c r="B9" s="6" t="s">
        <v>4986</v>
      </c>
      <c r="C9" s="6" t="s">
        <v>4575</v>
      </c>
      <c r="D9" s="6" t="s">
        <v>4576</v>
      </c>
      <c r="E9" s="6" t="s">
        <v>4570</v>
      </c>
      <c r="F9" s="6" t="s">
        <v>4394</v>
      </c>
      <c r="G9" s="6" t="s">
        <v>4577</v>
      </c>
    </row>
    <row r="10" spans="1:7" x14ac:dyDescent="0.25">
      <c r="A10" s="10">
        <f t="shared" si="0"/>
        <v>9</v>
      </c>
      <c r="B10" s="6" t="s">
        <v>4986</v>
      </c>
      <c r="C10" s="6" t="s">
        <v>4578</v>
      </c>
      <c r="D10" s="6" t="s">
        <v>4579</v>
      </c>
      <c r="E10" s="6" t="s">
        <v>4570</v>
      </c>
      <c r="F10" s="6" t="s">
        <v>4580</v>
      </c>
      <c r="G10" s="6" t="s">
        <v>4581</v>
      </c>
    </row>
    <row r="11" spans="1:7" x14ac:dyDescent="0.25">
      <c r="A11" s="10">
        <f t="shared" si="0"/>
        <v>10</v>
      </c>
      <c r="B11" s="6" t="s">
        <v>4986</v>
      </c>
      <c r="C11" s="6" t="s">
        <v>4582</v>
      </c>
      <c r="D11" s="6" t="s">
        <v>4583</v>
      </c>
      <c r="E11" s="6" t="s">
        <v>4435</v>
      </c>
      <c r="F11" s="6" t="s">
        <v>4394</v>
      </c>
      <c r="G11" s="6" t="s">
        <v>4584</v>
      </c>
    </row>
    <row r="12" spans="1:7" x14ac:dyDescent="0.25">
      <c r="A12" s="10">
        <f t="shared" si="0"/>
        <v>11</v>
      </c>
      <c r="B12" s="6" t="s">
        <v>4986</v>
      </c>
      <c r="C12" s="6" t="s">
        <v>4585</v>
      </c>
      <c r="D12" s="6" t="s">
        <v>4586</v>
      </c>
      <c r="E12" s="6" t="s">
        <v>4434</v>
      </c>
      <c r="F12" s="6" t="s">
        <v>4587</v>
      </c>
      <c r="G12" s="6" t="s">
        <v>4588</v>
      </c>
    </row>
    <row r="13" spans="1:7" x14ac:dyDescent="0.25">
      <c r="A13" s="10">
        <f t="shared" si="0"/>
        <v>12</v>
      </c>
      <c r="B13" s="6" t="s">
        <v>4986</v>
      </c>
      <c r="C13" s="6" t="s">
        <v>4589</v>
      </c>
      <c r="D13" s="6" t="s">
        <v>4590</v>
      </c>
      <c r="E13" s="6" t="s">
        <v>4591</v>
      </c>
      <c r="F13" s="6" t="s">
        <v>3769</v>
      </c>
      <c r="G13" s="6" t="s">
        <v>4592</v>
      </c>
    </row>
    <row r="14" spans="1:7" x14ac:dyDescent="0.25">
      <c r="A14" s="10">
        <f t="shared" si="0"/>
        <v>13</v>
      </c>
      <c r="B14" s="6" t="s">
        <v>4986</v>
      </c>
      <c r="C14" s="6" t="s">
        <v>4593</v>
      </c>
      <c r="D14" s="6" t="s">
        <v>4594</v>
      </c>
      <c r="E14" s="6" t="s">
        <v>4434</v>
      </c>
      <c r="F14" s="6" t="s">
        <v>4566</v>
      </c>
      <c r="G14" s="6" t="s">
        <v>4595</v>
      </c>
    </row>
    <row r="15" spans="1:7" x14ac:dyDescent="0.25">
      <c r="A15" s="10">
        <f t="shared" si="0"/>
        <v>14</v>
      </c>
      <c r="B15" s="6" t="s">
        <v>4986</v>
      </c>
      <c r="C15" s="6" t="s">
        <v>4596</v>
      </c>
      <c r="D15" s="6" t="s">
        <v>4597</v>
      </c>
      <c r="E15" s="6" t="s">
        <v>4570</v>
      </c>
      <c r="F15" s="6" t="s">
        <v>4598</v>
      </c>
      <c r="G15" s="6" t="s">
        <v>4599</v>
      </c>
    </row>
    <row r="16" spans="1:7" x14ac:dyDescent="0.25">
      <c r="A16" s="10">
        <f t="shared" si="0"/>
        <v>15</v>
      </c>
      <c r="B16" s="6" t="s">
        <v>4986</v>
      </c>
      <c r="C16" s="6" t="s">
        <v>4600</v>
      </c>
      <c r="D16" s="6" t="s">
        <v>4601</v>
      </c>
      <c r="E16" s="6" t="s">
        <v>4602</v>
      </c>
      <c r="F16" s="6" t="s">
        <v>4562</v>
      </c>
      <c r="G16" s="6" t="s">
        <v>4603</v>
      </c>
    </row>
    <row r="17" spans="1:7" x14ac:dyDescent="0.25">
      <c r="A17" s="10">
        <f t="shared" si="0"/>
        <v>16</v>
      </c>
      <c r="B17" s="6" t="s">
        <v>4986</v>
      </c>
      <c r="C17" s="6" t="s">
        <v>4604</v>
      </c>
      <c r="D17" s="6" t="s">
        <v>4605</v>
      </c>
      <c r="E17" s="6" t="s">
        <v>4606</v>
      </c>
      <c r="F17" s="6" t="s">
        <v>3769</v>
      </c>
      <c r="G17" s="6" t="s">
        <v>4607</v>
      </c>
    </row>
    <row r="18" spans="1:7" x14ac:dyDescent="0.25">
      <c r="A18" s="10">
        <f t="shared" si="0"/>
        <v>17</v>
      </c>
      <c r="B18" s="6" t="s">
        <v>4986</v>
      </c>
      <c r="C18" s="6" t="s">
        <v>4608</v>
      </c>
      <c r="D18" s="6" t="s">
        <v>4609</v>
      </c>
      <c r="E18" s="6" t="s">
        <v>4557</v>
      </c>
      <c r="F18" s="6" t="s">
        <v>4566</v>
      </c>
      <c r="G18" s="6" t="s">
        <v>4610</v>
      </c>
    </row>
    <row r="19" spans="1:7" x14ac:dyDescent="0.25">
      <c r="A19" s="10">
        <f t="shared" si="0"/>
        <v>18</v>
      </c>
      <c r="B19" s="6" t="s">
        <v>4986</v>
      </c>
      <c r="C19" s="6" t="s">
        <v>4611</v>
      </c>
      <c r="D19" s="6" t="s">
        <v>4612</v>
      </c>
      <c r="E19" s="6" t="s">
        <v>4561</v>
      </c>
      <c r="F19" s="6" t="s">
        <v>614</v>
      </c>
      <c r="G19" s="6" t="s">
        <v>4613</v>
      </c>
    </row>
    <row r="20" spans="1:7" x14ac:dyDescent="0.25">
      <c r="A20" s="10">
        <f t="shared" si="0"/>
        <v>19</v>
      </c>
      <c r="B20" s="6" t="s">
        <v>4986</v>
      </c>
      <c r="C20" s="6" t="s">
        <v>4614</v>
      </c>
      <c r="D20" s="6" t="s">
        <v>4615</v>
      </c>
      <c r="E20" s="6" t="s">
        <v>4602</v>
      </c>
      <c r="F20" s="6" t="s">
        <v>4562</v>
      </c>
      <c r="G20" s="6" t="s">
        <v>4616</v>
      </c>
    </row>
    <row r="21" spans="1:7" x14ac:dyDescent="0.25">
      <c r="A21" s="10">
        <f t="shared" si="0"/>
        <v>20</v>
      </c>
      <c r="B21" s="6" t="s">
        <v>4986</v>
      </c>
      <c r="C21" s="6" t="s">
        <v>4617</v>
      </c>
      <c r="D21" s="6" t="s">
        <v>4618</v>
      </c>
      <c r="E21" s="6" t="s">
        <v>4570</v>
      </c>
      <c r="F21" s="6" t="s">
        <v>614</v>
      </c>
      <c r="G21" s="6" t="s">
        <v>4619</v>
      </c>
    </row>
    <row r="22" spans="1:7" x14ac:dyDescent="0.25">
      <c r="A22" s="10">
        <f t="shared" si="0"/>
        <v>21</v>
      </c>
      <c r="B22" s="6" t="s">
        <v>4986</v>
      </c>
      <c r="C22" s="6" t="s">
        <v>4620</v>
      </c>
      <c r="D22" s="6" t="s">
        <v>4621</v>
      </c>
      <c r="E22" s="6" t="s">
        <v>4570</v>
      </c>
      <c r="F22" s="6" t="s">
        <v>122</v>
      </c>
      <c r="G22" s="6" t="s">
        <v>4622</v>
      </c>
    </row>
    <row r="23" spans="1:7" x14ac:dyDescent="0.25">
      <c r="A23" s="10">
        <f t="shared" si="0"/>
        <v>22</v>
      </c>
      <c r="B23" s="6" t="s">
        <v>4986</v>
      </c>
      <c r="C23" s="6" t="s">
        <v>4623</v>
      </c>
      <c r="D23" s="6" t="s">
        <v>4624</v>
      </c>
      <c r="E23" s="6" t="s">
        <v>4549</v>
      </c>
      <c r="F23" s="6" t="s">
        <v>4566</v>
      </c>
      <c r="G23" s="6" t="s">
        <v>4625</v>
      </c>
    </row>
    <row r="24" spans="1:7" x14ac:dyDescent="0.25">
      <c r="A24" s="10">
        <f t="shared" si="0"/>
        <v>23</v>
      </c>
      <c r="B24" s="6" t="s">
        <v>4986</v>
      </c>
      <c r="C24" s="6" t="s">
        <v>4626</v>
      </c>
      <c r="D24" s="6" t="s">
        <v>4627</v>
      </c>
      <c r="E24" s="6" t="s">
        <v>4570</v>
      </c>
      <c r="F24" s="6" t="s">
        <v>4394</v>
      </c>
      <c r="G24" s="6" t="s">
        <v>4628</v>
      </c>
    </row>
    <row r="25" spans="1:7" x14ac:dyDescent="0.25">
      <c r="A25" s="10">
        <f t="shared" si="0"/>
        <v>24</v>
      </c>
      <c r="B25" s="6" t="s">
        <v>4986</v>
      </c>
      <c r="C25" s="6" t="s">
        <v>4629</v>
      </c>
      <c r="D25" s="6" t="s">
        <v>4630</v>
      </c>
      <c r="E25" s="6" t="s">
        <v>4435</v>
      </c>
      <c r="F25" s="6" t="s">
        <v>4394</v>
      </c>
      <c r="G25" s="6" t="s">
        <v>4631</v>
      </c>
    </row>
    <row r="26" spans="1:7" x14ac:dyDescent="0.25">
      <c r="A26" s="10">
        <f t="shared" si="0"/>
        <v>25</v>
      </c>
      <c r="B26" s="6" t="s">
        <v>4986</v>
      </c>
      <c r="C26" s="6" t="s">
        <v>4632</v>
      </c>
      <c r="D26" s="6" t="s">
        <v>4633</v>
      </c>
      <c r="E26" s="6" t="s">
        <v>4434</v>
      </c>
      <c r="F26" s="6" t="s">
        <v>4394</v>
      </c>
      <c r="G26" s="6" t="s">
        <v>4634</v>
      </c>
    </row>
    <row r="27" spans="1:7" x14ac:dyDescent="0.25">
      <c r="A27" s="10">
        <f t="shared" si="0"/>
        <v>26</v>
      </c>
      <c r="B27" s="6" t="s">
        <v>4986</v>
      </c>
      <c r="C27" s="6" t="s">
        <v>4635</v>
      </c>
      <c r="D27" s="6" t="s">
        <v>4636</v>
      </c>
      <c r="E27" s="6" t="s">
        <v>4606</v>
      </c>
      <c r="F27" s="6" t="s">
        <v>4637</v>
      </c>
      <c r="G27" s="6" t="s">
        <v>4638</v>
      </c>
    </row>
    <row r="28" spans="1:7" x14ac:dyDescent="0.25">
      <c r="A28" s="10">
        <f t="shared" si="0"/>
        <v>27</v>
      </c>
      <c r="B28" s="6" t="s">
        <v>4986</v>
      </c>
      <c r="C28" s="6" t="s">
        <v>4639</v>
      </c>
      <c r="D28" s="6" t="s">
        <v>4640</v>
      </c>
      <c r="E28" s="6" t="s">
        <v>4549</v>
      </c>
      <c r="F28" s="6" t="s">
        <v>4641</v>
      </c>
      <c r="G28" s="6" t="s">
        <v>4642</v>
      </c>
    </row>
    <row r="29" spans="1:7" x14ac:dyDescent="0.25">
      <c r="A29" s="10">
        <f t="shared" si="0"/>
        <v>28</v>
      </c>
      <c r="B29" s="6" t="s">
        <v>4986</v>
      </c>
      <c r="C29" s="6" t="s">
        <v>4643</v>
      </c>
      <c r="D29" s="6" t="s">
        <v>4644</v>
      </c>
      <c r="E29" s="6" t="s">
        <v>4435</v>
      </c>
      <c r="F29" s="6" t="s">
        <v>614</v>
      </c>
      <c r="G29" s="6" t="s">
        <v>4645</v>
      </c>
    </row>
    <row r="30" spans="1:7" x14ac:dyDescent="0.25">
      <c r="A30" s="10">
        <f t="shared" si="0"/>
        <v>29</v>
      </c>
      <c r="B30" s="6" t="s">
        <v>4986</v>
      </c>
      <c r="C30" s="6" t="s">
        <v>4646</v>
      </c>
      <c r="D30" s="6" t="s">
        <v>4647</v>
      </c>
      <c r="E30" s="6" t="s">
        <v>4606</v>
      </c>
      <c r="F30" s="6" t="s">
        <v>4587</v>
      </c>
      <c r="G30" s="6" t="s">
        <v>4648</v>
      </c>
    </row>
    <row r="31" spans="1:7" x14ac:dyDescent="0.25">
      <c r="A31" s="10">
        <f t="shared" si="0"/>
        <v>30</v>
      </c>
      <c r="B31" s="6" t="s">
        <v>4986</v>
      </c>
      <c r="C31" s="6" t="s">
        <v>4649</v>
      </c>
      <c r="D31" s="6" t="s">
        <v>4650</v>
      </c>
      <c r="E31" s="6" t="s">
        <v>4561</v>
      </c>
      <c r="F31" s="6" t="s">
        <v>4566</v>
      </c>
      <c r="G31" s="6" t="s">
        <v>4651</v>
      </c>
    </row>
    <row r="32" spans="1:7" x14ac:dyDescent="0.25">
      <c r="A32" s="10">
        <f t="shared" si="0"/>
        <v>31</v>
      </c>
      <c r="B32" s="6" t="s">
        <v>4986</v>
      </c>
      <c r="C32" s="6" t="s">
        <v>4652</v>
      </c>
      <c r="D32" s="6" t="s">
        <v>4653</v>
      </c>
      <c r="E32" s="6" t="s">
        <v>4561</v>
      </c>
      <c r="F32" s="6" t="s">
        <v>4256</v>
      </c>
      <c r="G32" s="6" t="s">
        <v>4654</v>
      </c>
    </row>
    <row r="33" spans="1:7" x14ac:dyDescent="0.25">
      <c r="A33" s="10">
        <f t="shared" si="0"/>
        <v>32</v>
      </c>
      <c r="B33" s="6" t="s">
        <v>4986</v>
      </c>
      <c r="C33" s="6" t="s">
        <v>4655</v>
      </c>
      <c r="D33" s="6" t="s">
        <v>4656</v>
      </c>
      <c r="E33" s="6" t="s">
        <v>4435</v>
      </c>
      <c r="F33" s="6" t="s">
        <v>4258</v>
      </c>
      <c r="G33" s="6" t="s">
        <v>4657</v>
      </c>
    </row>
    <row r="34" spans="1:7" x14ac:dyDescent="0.25">
      <c r="A34" s="10">
        <f t="shared" si="0"/>
        <v>33</v>
      </c>
      <c r="B34" s="6" t="s">
        <v>4986</v>
      </c>
      <c r="C34" s="6" t="s">
        <v>4658</v>
      </c>
      <c r="D34" s="6" t="s">
        <v>4659</v>
      </c>
      <c r="E34" s="6" t="s">
        <v>4591</v>
      </c>
      <c r="F34" s="6" t="s">
        <v>4258</v>
      </c>
      <c r="G34" s="6" t="s">
        <v>4660</v>
      </c>
    </row>
    <row r="35" spans="1:7" x14ac:dyDescent="0.25">
      <c r="A35" s="10">
        <f t="shared" si="0"/>
        <v>34</v>
      </c>
      <c r="B35" s="6" t="s">
        <v>4986</v>
      </c>
      <c r="C35" s="6" t="s">
        <v>4661</v>
      </c>
      <c r="D35" s="6" t="s">
        <v>4662</v>
      </c>
      <c r="E35" s="6" t="s">
        <v>4606</v>
      </c>
      <c r="F35" s="6" t="s">
        <v>4562</v>
      </c>
      <c r="G35" s="6" t="s">
        <v>4663</v>
      </c>
    </row>
    <row r="36" spans="1:7" x14ac:dyDescent="0.25">
      <c r="A36" s="10">
        <f t="shared" si="0"/>
        <v>35</v>
      </c>
      <c r="B36" s="6" t="s">
        <v>4986</v>
      </c>
      <c r="C36" s="6" t="s">
        <v>4664</v>
      </c>
      <c r="D36" s="6" t="s">
        <v>4665</v>
      </c>
      <c r="E36" s="6" t="s">
        <v>4591</v>
      </c>
      <c r="F36" s="6" t="s">
        <v>4258</v>
      </c>
      <c r="G36" s="6" t="s">
        <v>4666</v>
      </c>
    </row>
    <row r="37" spans="1:7" x14ac:dyDescent="0.25">
      <c r="A37" s="10">
        <f t="shared" si="0"/>
        <v>36</v>
      </c>
      <c r="B37" s="6" t="s">
        <v>4986</v>
      </c>
      <c r="C37" s="6" t="s">
        <v>4667</v>
      </c>
      <c r="D37" s="6" t="s">
        <v>4668</v>
      </c>
      <c r="E37" s="6" t="s">
        <v>4561</v>
      </c>
      <c r="F37" s="6" t="s">
        <v>4256</v>
      </c>
      <c r="G37" s="6" t="s">
        <v>4669</v>
      </c>
    </row>
    <row r="38" spans="1:7" x14ac:dyDescent="0.25">
      <c r="A38" s="10">
        <f t="shared" si="0"/>
        <v>37</v>
      </c>
      <c r="B38" s="6" t="s">
        <v>4986</v>
      </c>
      <c r="C38" s="6" t="s">
        <v>4670</v>
      </c>
      <c r="D38" s="6" t="s">
        <v>4671</v>
      </c>
      <c r="E38" s="6" t="s">
        <v>4435</v>
      </c>
      <c r="F38" s="6" t="s">
        <v>4672</v>
      </c>
      <c r="G38" s="6" t="s">
        <v>4673</v>
      </c>
    </row>
    <row r="39" spans="1:7" x14ac:dyDescent="0.25">
      <c r="A39" s="10">
        <f t="shared" si="0"/>
        <v>38</v>
      </c>
      <c r="B39" s="6" t="s">
        <v>4987</v>
      </c>
      <c r="C39" s="6" t="s">
        <v>4674</v>
      </c>
      <c r="D39" s="6" t="s">
        <v>4675</v>
      </c>
      <c r="E39" s="6" t="s">
        <v>4435</v>
      </c>
      <c r="F39" s="6" t="s">
        <v>614</v>
      </c>
      <c r="G39" s="6" t="s">
        <v>4676</v>
      </c>
    </row>
    <row r="40" spans="1:7" x14ac:dyDescent="0.25">
      <c r="A40" s="10">
        <f t="shared" si="0"/>
        <v>39</v>
      </c>
      <c r="B40" s="6" t="s">
        <v>4987</v>
      </c>
      <c r="C40" s="6" t="s">
        <v>4677</v>
      </c>
      <c r="D40" s="6" t="s">
        <v>4678</v>
      </c>
      <c r="E40" s="6" t="s">
        <v>4435</v>
      </c>
      <c r="F40" s="6" t="s">
        <v>4394</v>
      </c>
      <c r="G40" s="6" t="s">
        <v>4679</v>
      </c>
    </row>
    <row r="41" spans="1:7" x14ac:dyDescent="0.25">
      <c r="A41" s="10">
        <f t="shared" si="0"/>
        <v>40</v>
      </c>
      <c r="B41" s="6" t="s">
        <v>4987</v>
      </c>
      <c r="C41" s="6" t="s">
        <v>4680</v>
      </c>
      <c r="D41" s="6" t="s">
        <v>4681</v>
      </c>
      <c r="E41" s="6" t="s">
        <v>4435</v>
      </c>
      <c r="F41" s="6" t="s">
        <v>4394</v>
      </c>
      <c r="G41" s="6" t="s">
        <v>4682</v>
      </c>
    </row>
    <row r="42" spans="1:7" x14ac:dyDescent="0.25">
      <c r="A42" s="10">
        <f t="shared" si="0"/>
        <v>41</v>
      </c>
      <c r="B42" s="6" t="s">
        <v>4987</v>
      </c>
      <c r="C42" s="6" t="s">
        <v>4683</v>
      </c>
      <c r="D42" s="6" t="s">
        <v>4684</v>
      </c>
      <c r="E42" s="6" t="s">
        <v>4591</v>
      </c>
      <c r="F42" s="6" t="s">
        <v>4580</v>
      </c>
      <c r="G42" s="6" t="s">
        <v>4685</v>
      </c>
    </row>
    <row r="43" spans="1:7" x14ac:dyDescent="0.25">
      <c r="A43" s="10">
        <f t="shared" si="0"/>
        <v>42</v>
      </c>
      <c r="B43" s="6" t="s">
        <v>4987</v>
      </c>
      <c r="C43" s="6" t="s">
        <v>4686</v>
      </c>
      <c r="D43" s="6" t="s">
        <v>4687</v>
      </c>
      <c r="E43" s="6" t="s">
        <v>4561</v>
      </c>
      <c r="F43" s="6" t="s">
        <v>4258</v>
      </c>
      <c r="G43" s="6" t="s">
        <v>4688</v>
      </c>
    </row>
    <row r="44" spans="1:7" x14ac:dyDescent="0.25">
      <c r="A44" s="10">
        <f t="shared" si="0"/>
        <v>43</v>
      </c>
      <c r="B44" s="6" t="s">
        <v>4987</v>
      </c>
      <c r="C44" s="6" t="s">
        <v>4689</v>
      </c>
      <c r="D44" s="6" t="s">
        <v>4690</v>
      </c>
      <c r="E44" s="6" t="s">
        <v>4591</v>
      </c>
      <c r="F44" s="6" t="s">
        <v>4672</v>
      </c>
      <c r="G44" s="6" t="s">
        <v>4691</v>
      </c>
    </row>
    <row r="45" spans="1:7" x14ac:dyDescent="0.25">
      <c r="A45" s="10">
        <f t="shared" si="0"/>
        <v>44</v>
      </c>
      <c r="B45" s="6" t="s">
        <v>4987</v>
      </c>
      <c r="C45" s="6" t="s">
        <v>4692</v>
      </c>
      <c r="D45" s="6" t="s">
        <v>4693</v>
      </c>
      <c r="E45" s="6" t="s">
        <v>4591</v>
      </c>
      <c r="F45" s="6" t="s">
        <v>4258</v>
      </c>
      <c r="G45" s="6" t="s">
        <v>4694</v>
      </c>
    </row>
    <row r="46" spans="1:7" x14ac:dyDescent="0.25">
      <c r="A46" s="10">
        <f t="shared" si="0"/>
        <v>45</v>
      </c>
      <c r="B46" s="6" t="s">
        <v>4987</v>
      </c>
      <c r="C46" s="6" t="s">
        <v>4695</v>
      </c>
      <c r="D46" s="6" t="s">
        <v>4696</v>
      </c>
      <c r="E46" s="6" t="s">
        <v>4557</v>
      </c>
      <c r="F46" s="6" t="s">
        <v>4258</v>
      </c>
      <c r="G46" s="6" t="s">
        <v>4697</v>
      </c>
    </row>
    <row r="47" spans="1:7" x14ac:dyDescent="0.25">
      <c r="A47" s="10">
        <f t="shared" si="0"/>
        <v>46</v>
      </c>
      <c r="B47" s="6" t="s">
        <v>4987</v>
      </c>
      <c r="C47" s="6" t="s">
        <v>4698</v>
      </c>
      <c r="D47" s="6" t="s">
        <v>4699</v>
      </c>
      <c r="E47" s="6" t="s">
        <v>4549</v>
      </c>
      <c r="F47" s="6" t="s">
        <v>4566</v>
      </c>
      <c r="G47" s="6" t="s">
        <v>4700</v>
      </c>
    </row>
    <row r="48" spans="1:7" x14ac:dyDescent="0.25">
      <c r="A48" s="10">
        <f t="shared" si="0"/>
        <v>47</v>
      </c>
      <c r="B48" s="6" t="s">
        <v>4987</v>
      </c>
      <c r="C48" s="6" t="s">
        <v>4701</v>
      </c>
      <c r="D48" s="6" t="s">
        <v>4702</v>
      </c>
      <c r="E48" s="6" t="s">
        <v>4435</v>
      </c>
      <c r="F48" s="6" t="s">
        <v>4394</v>
      </c>
      <c r="G48" s="6" t="s">
        <v>4703</v>
      </c>
    </row>
    <row r="49" spans="1:7" x14ac:dyDescent="0.25">
      <c r="A49" s="10">
        <f t="shared" si="0"/>
        <v>48</v>
      </c>
      <c r="B49" s="6" t="s">
        <v>4987</v>
      </c>
      <c r="C49" s="6" t="s">
        <v>4704</v>
      </c>
      <c r="D49" s="6" t="s">
        <v>4705</v>
      </c>
      <c r="E49" s="6" t="s">
        <v>4606</v>
      </c>
      <c r="F49" s="6" t="s">
        <v>4706</v>
      </c>
      <c r="G49" s="6" t="s">
        <v>4707</v>
      </c>
    </row>
    <row r="50" spans="1:7" x14ac:dyDescent="0.25">
      <c r="A50" s="10">
        <f t="shared" si="0"/>
        <v>49</v>
      </c>
      <c r="B50" s="6" t="s">
        <v>4987</v>
      </c>
      <c r="C50" s="6" t="s">
        <v>4708</v>
      </c>
      <c r="D50" s="6" t="s">
        <v>4709</v>
      </c>
      <c r="E50" s="6" t="s">
        <v>4561</v>
      </c>
      <c r="F50" s="6" t="s">
        <v>4566</v>
      </c>
      <c r="G50" s="6" t="s">
        <v>4710</v>
      </c>
    </row>
    <row r="51" spans="1:7" x14ac:dyDescent="0.25">
      <c r="A51" s="10">
        <f t="shared" si="0"/>
        <v>50</v>
      </c>
      <c r="B51" s="6" t="s">
        <v>4987</v>
      </c>
      <c r="C51" s="6" t="s">
        <v>4711</v>
      </c>
      <c r="D51" s="6" t="s">
        <v>4712</v>
      </c>
      <c r="E51" s="6" t="s">
        <v>4549</v>
      </c>
      <c r="F51" s="6" t="s">
        <v>4566</v>
      </c>
      <c r="G51" s="6" t="s">
        <v>4713</v>
      </c>
    </row>
    <row r="52" spans="1:7" x14ac:dyDescent="0.25">
      <c r="A52" s="10">
        <f t="shared" si="0"/>
        <v>51</v>
      </c>
      <c r="B52" s="6" t="s">
        <v>4987</v>
      </c>
      <c r="C52" s="6" t="s">
        <v>4714</v>
      </c>
      <c r="D52" s="6" t="s">
        <v>4715</v>
      </c>
      <c r="E52" s="6" t="s">
        <v>4435</v>
      </c>
      <c r="F52" s="6" t="s">
        <v>614</v>
      </c>
      <c r="G52" s="6" t="s">
        <v>4716</v>
      </c>
    </row>
    <row r="53" spans="1:7" x14ac:dyDescent="0.25">
      <c r="A53" s="10">
        <f t="shared" si="0"/>
        <v>52</v>
      </c>
      <c r="B53" s="6" t="s">
        <v>4987</v>
      </c>
      <c r="C53" s="6" t="s">
        <v>4717</v>
      </c>
      <c r="D53" s="6" t="s">
        <v>4718</v>
      </c>
      <c r="E53" s="6" t="s">
        <v>4602</v>
      </c>
      <c r="F53" s="6" t="s">
        <v>4562</v>
      </c>
      <c r="G53" s="6" t="s">
        <v>4719</v>
      </c>
    </row>
    <row r="54" spans="1:7" x14ac:dyDescent="0.25">
      <c r="A54" s="10">
        <f t="shared" si="0"/>
        <v>53</v>
      </c>
      <c r="B54" s="6" t="s">
        <v>4987</v>
      </c>
      <c r="C54" s="6" t="s">
        <v>4720</v>
      </c>
      <c r="D54" s="6" t="s">
        <v>4721</v>
      </c>
      <c r="E54" s="6" t="s">
        <v>4570</v>
      </c>
      <c r="F54" s="6" t="s">
        <v>4587</v>
      </c>
      <c r="G54" s="6" t="s">
        <v>4722</v>
      </c>
    </row>
    <row r="55" spans="1:7" x14ac:dyDescent="0.25">
      <c r="A55" s="10">
        <f t="shared" si="0"/>
        <v>54</v>
      </c>
      <c r="B55" s="6" t="s">
        <v>4987</v>
      </c>
      <c r="C55" s="6" t="s">
        <v>4723</v>
      </c>
      <c r="D55" s="6" t="s">
        <v>4724</v>
      </c>
      <c r="E55" s="6" t="s">
        <v>4591</v>
      </c>
      <c r="F55" s="6" t="s">
        <v>122</v>
      </c>
      <c r="G55" s="6" t="s">
        <v>4725</v>
      </c>
    </row>
    <row r="56" spans="1:7" x14ac:dyDescent="0.25">
      <c r="A56" s="10">
        <f t="shared" si="0"/>
        <v>55</v>
      </c>
      <c r="B56" s="6" t="s">
        <v>4987</v>
      </c>
      <c r="C56" s="6" t="s">
        <v>4726</v>
      </c>
      <c r="D56" s="6" t="s">
        <v>4727</v>
      </c>
      <c r="E56" s="6" t="s">
        <v>4602</v>
      </c>
      <c r="F56" s="6" t="s">
        <v>4562</v>
      </c>
      <c r="G56" s="6" t="s">
        <v>4728</v>
      </c>
    </row>
    <row r="57" spans="1:7" x14ac:dyDescent="0.25">
      <c r="A57" s="10">
        <f t="shared" si="0"/>
        <v>56</v>
      </c>
      <c r="B57" s="6" t="s">
        <v>4987</v>
      </c>
      <c r="C57" s="6" t="s">
        <v>4729</v>
      </c>
      <c r="D57" s="6" t="s">
        <v>4730</v>
      </c>
      <c r="E57" s="6" t="s">
        <v>4591</v>
      </c>
      <c r="F57" s="6" t="s">
        <v>4394</v>
      </c>
      <c r="G57" s="6" t="s">
        <v>4731</v>
      </c>
    </row>
    <row r="58" spans="1:7" x14ac:dyDescent="0.25">
      <c r="A58" s="10">
        <f t="shared" si="0"/>
        <v>57</v>
      </c>
      <c r="B58" s="6" t="s">
        <v>4987</v>
      </c>
      <c r="C58" s="6" t="s">
        <v>4732</v>
      </c>
      <c r="D58" s="6" t="s">
        <v>4733</v>
      </c>
      <c r="E58" s="6" t="s">
        <v>4434</v>
      </c>
      <c r="F58" s="6" t="s">
        <v>4394</v>
      </c>
      <c r="G58" s="6" t="s">
        <v>4734</v>
      </c>
    </row>
    <row r="59" spans="1:7" x14ac:dyDescent="0.25">
      <c r="A59" s="10">
        <f t="shared" si="0"/>
        <v>58</v>
      </c>
      <c r="B59" s="6" t="s">
        <v>4987</v>
      </c>
      <c r="C59" s="6" t="s">
        <v>4735</v>
      </c>
      <c r="D59" s="6" t="s">
        <v>4736</v>
      </c>
      <c r="E59" s="6" t="s">
        <v>4561</v>
      </c>
      <c r="F59" s="6" t="s">
        <v>4562</v>
      </c>
      <c r="G59" s="6" t="s">
        <v>4737</v>
      </c>
    </row>
    <row r="60" spans="1:7" x14ac:dyDescent="0.25">
      <c r="A60" s="10">
        <f t="shared" si="0"/>
        <v>59</v>
      </c>
      <c r="B60" s="6" t="s">
        <v>4987</v>
      </c>
      <c r="C60" s="6" t="s">
        <v>4738</v>
      </c>
      <c r="D60" s="6" t="s">
        <v>4739</v>
      </c>
      <c r="E60" s="6" t="s">
        <v>4606</v>
      </c>
      <c r="F60" s="6" t="s">
        <v>4258</v>
      </c>
      <c r="G60" s="6" t="s">
        <v>4740</v>
      </c>
    </row>
    <row r="61" spans="1:7" x14ac:dyDescent="0.25">
      <c r="A61" s="10">
        <f t="shared" si="0"/>
        <v>60</v>
      </c>
      <c r="B61" s="6" t="s">
        <v>4987</v>
      </c>
      <c r="C61" s="6" t="s">
        <v>4741</v>
      </c>
      <c r="D61" s="6" t="s">
        <v>4742</v>
      </c>
      <c r="E61" s="6" t="s">
        <v>4591</v>
      </c>
      <c r="F61" s="6" t="s">
        <v>4743</v>
      </c>
      <c r="G61" s="6" t="s">
        <v>4744</v>
      </c>
    </row>
    <row r="62" spans="1:7" x14ac:dyDescent="0.25">
      <c r="A62" s="10">
        <f t="shared" si="0"/>
        <v>61</v>
      </c>
      <c r="B62" s="6" t="s">
        <v>4987</v>
      </c>
      <c r="C62" s="6" t="s">
        <v>4745</v>
      </c>
      <c r="D62" s="6" t="s">
        <v>4746</v>
      </c>
      <c r="E62" s="6" t="s">
        <v>4549</v>
      </c>
      <c r="F62" s="6" t="s">
        <v>4394</v>
      </c>
      <c r="G62" s="6" t="s">
        <v>4747</v>
      </c>
    </row>
    <row r="63" spans="1:7" x14ac:dyDescent="0.25">
      <c r="A63" s="10">
        <f t="shared" si="0"/>
        <v>62</v>
      </c>
      <c r="B63" s="6" t="s">
        <v>4987</v>
      </c>
      <c r="C63" s="6" t="s">
        <v>4748</v>
      </c>
      <c r="D63" s="6" t="s">
        <v>4749</v>
      </c>
      <c r="E63" s="6" t="s">
        <v>4434</v>
      </c>
      <c r="F63" s="6" t="s">
        <v>4750</v>
      </c>
      <c r="G63" s="6" t="s">
        <v>4751</v>
      </c>
    </row>
    <row r="64" spans="1:7" x14ac:dyDescent="0.25">
      <c r="A64" s="10">
        <f t="shared" si="0"/>
        <v>63</v>
      </c>
      <c r="B64" s="6" t="s">
        <v>4988</v>
      </c>
      <c r="C64" s="6" t="s">
        <v>4752</v>
      </c>
      <c r="D64" s="6" t="s">
        <v>4753</v>
      </c>
      <c r="E64" s="6" t="s">
        <v>4591</v>
      </c>
      <c r="F64" s="6" t="s">
        <v>122</v>
      </c>
      <c r="G64" s="6" t="s">
        <v>4754</v>
      </c>
    </row>
    <row r="65" spans="1:7" x14ac:dyDescent="0.25">
      <c r="A65" s="10">
        <f t="shared" si="0"/>
        <v>64</v>
      </c>
      <c r="B65" s="6" t="s">
        <v>4988</v>
      </c>
      <c r="C65" s="6" t="s">
        <v>4755</v>
      </c>
      <c r="D65" s="6" t="s">
        <v>4756</v>
      </c>
      <c r="E65" s="6" t="s">
        <v>4591</v>
      </c>
      <c r="F65" s="6" t="s">
        <v>4757</v>
      </c>
      <c r="G65" s="6" t="s">
        <v>4758</v>
      </c>
    </row>
    <row r="66" spans="1:7" x14ac:dyDescent="0.25">
      <c r="A66" s="10">
        <f t="shared" si="0"/>
        <v>65</v>
      </c>
      <c r="B66" s="6" t="s">
        <v>4988</v>
      </c>
      <c r="C66" s="6" t="s">
        <v>4759</v>
      </c>
      <c r="D66" s="6" t="s">
        <v>4760</v>
      </c>
      <c r="E66" s="6" t="s">
        <v>4591</v>
      </c>
      <c r="F66" s="6" t="s">
        <v>4258</v>
      </c>
      <c r="G66" s="6" t="s">
        <v>4761</v>
      </c>
    </row>
    <row r="67" spans="1:7" x14ac:dyDescent="0.25">
      <c r="A67" s="10">
        <f t="shared" si="0"/>
        <v>66</v>
      </c>
      <c r="B67" s="6" t="s">
        <v>4988</v>
      </c>
      <c r="C67" s="6" t="s">
        <v>4762</v>
      </c>
      <c r="D67" s="6" t="s">
        <v>4763</v>
      </c>
      <c r="E67" s="6" t="s">
        <v>4591</v>
      </c>
      <c r="F67" s="6" t="s">
        <v>4394</v>
      </c>
      <c r="G67" s="6" t="s">
        <v>4764</v>
      </c>
    </row>
    <row r="68" spans="1:7" x14ac:dyDescent="0.25">
      <c r="A68" s="10">
        <f t="shared" ref="A68:A130" si="1">IF(C68="","",A67+1)</f>
        <v>67</v>
      </c>
      <c r="B68" s="6" t="s">
        <v>4988</v>
      </c>
      <c r="C68" s="6" t="s">
        <v>4765</v>
      </c>
      <c r="D68" s="6" t="s">
        <v>4766</v>
      </c>
      <c r="E68" s="6" t="s">
        <v>4591</v>
      </c>
      <c r="F68" s="6" t="s">
        <v>4767</v>
      </c>
      <c r="G68" s="6" t="s">
        <v>4768</v>
      </c>
    </row>
    <row r="69" spans="1:7" x14ac:dyDescent="0.25">
      <c r="A69" s="10">
        <f t="shared" si="1"/>
        <v>68</v>
      </c>
      <c r="B69" s="6" t="s">
        <v>4988</v>
      </c>
      <c r="C69" s="6" t="s">
        <v>4769</v>
      </c>
      <c r="D69" s="6" t="s">
        <v>4770</v>
      </c>
      <c r="E69" s="6" t="s">
        <v>4591</v>
      </c>
      <c r="F69" s="6" t="s">
        <v>4258</v>
      </c>
      <c r="G69" s="6" t="s">
        <v>4771</v>
      </c>
    </row>
    <row r="70" spans="1:7" x14ac:dyDescent="0.25">
      <c r="A70" s="10">
        <f t="shared" si="1"/>
        <v>69</v>
      </c>
      <c r="B70" s="6" t="s">
        <v>4988</v>
      </c>
      <c r="C70" s="6" t="s">
        <v>4772</v>
      </c>
      <c r="D70" s="6" t="s">
        <v>4773</v>
      </c>
      <c r="E70" s="6" t="s">
        <v>4591</v>
      </c>
      <c r="F70" s="6" t="s">
        <v>4774</v>
      </c>
      <c r="G70" s="6" t="s">
        <v>4775</v>
      </c>
    </row>
    <row r="71" spans="1:7" x14ac:dyDescent="0.25">
      <c r="A71" s="10">
        <f t="shared" si="1"/>
        <v>70</v>
      </c>
      <c r="B71" s="6" t="s">
        <v>4988</v>
      </c>
      <c r="C71" s="6" t="s">
        <v>4776</v>
      </c>
      <c r="D71" s="6" t="s">
        <v>4675</v>
      </c>
      <c r="E71" s="6" t="s">
        <v>4435</v>
      </c>
      <c r="F71" s="6" t="s">
        <v>614</v>
      </c>
      <c r="G71" s="6" t="s">
        <v>4777</v>
      </c>
    </row>
    <row r="72" spans="1:7" x14ac:dyDescent="0.25">
      <c r="A72" s="10">
        <f t="shared" si="1"/>
        <v>71</v>
      </c>
      <c r="B72" s="6" t="s">
        <v>4988</v>
      </c>
      <c r="C72" s="6" t="s">
        <v>4778</v>
      </c>
      <c r="D72" s="6" t="s">
        <v>4779</v>
      </c>
      <c r="E72" s="6" t="s">
        <v>4435</v>
      </c>
      <c r="F72" s="6" t="s">
        <v>4394</v>
      </c>
      <c r="G72" s="6" t="s">
        <v>4780</v>
      </c>
    </row>
    <row r="73" spans="1:7" x14ac:dyDescent="0.25">
      <c r="A73" s="10">
        <f t="shared" si="1"/>
        <v>72</v>
      </c>
      <c r="B73" s="6" t="s">
        <v>4988</v>
      </c>
      <c r="C73" s="6" t="s">
        <v>4781</v>
      </c>
      <c r="D73" s="6" t="s">
        <v>4782</v>
      </c>
      <c r="E73" s="6" t="s">
        <v>4435</v>
      </c>
      <c r="F73" s="6" t="s">
        <v>4774</v>
      </c>
      <c r="G73" s="6" t="s">
        <v>4783</v>
      </c>
    </row>
    <row r="74" spans="1:7" x14ac:dyDescent="0.25">
      <c r="A74" s="10">
        <f t="shared" si="1"/>
        <v>73</v>
      </c>
      <c r="B74" s="6" t="s">
        <v>4988</v>
      </c>
      <c r="C74" s="6" t="s">
        <v>4784</v>
      </c>
      <c r="D74" s="6" t="s">
        <v>4785</v>
      </c>
      <c r="E74" s="6" t="s">
        <v>4435</v>
      </c>
      <c r="F74" s="6" t="s">
        <v>4394</v>
      </c>
      <c r="G74" s="6" t="s">
        <v>4786</v>
      </c>
    </row>
    <row r="75" spans="1:7" x14ac:dyDescent="0.25">
      <c r="A75" s="10">
        <f t="shared" si="1"/>
        <v>74</v>
      </c>
      <c r="B75" s="6" t="s">
        <v>4988</v>
      </c>
      <c r="C75" s="6" t="s">
        <v>4787</v>
      </c>
      <c r="D75" s="6" t="s">
        <v>4788</v>
      </c>
      <c r="E75" s="6" t="s">
        <v>4435</v>
      </c>
      <c r="F75" s="6" t="s">
        <v>4789</v>
      </c>
      <c r="G75" s="6" t="s">
        <v>4790</v>
      </c>
    </row>
    <row r="76" spans="1:7" x14ac:dyDescent="0.25">
      <c r="A76" s="10">
        <f t="shared" si="1"/>
        <v>75</v>
      </c>
      <c r="B76" s="6" t="s">
        <v>4988</v>
      </c>
      <c r="C76" s="6" t="s">
        <v>4791</v>
      </c>
      <c r="D76" s="6" t="s">
        <v>4792</v>
      </c>
      <c r="E76" s="6" t="s">
        <v>4435</v>
      </c>
      <c r="F76" s="6" t="s">
        <v>614</v>
      </c>
      <c r="G76" s="6" t="s">
        <v>4793</v>
      </c>
    </row>
    <row r="77" spans="1:7" x14ac:dyDescent="0.25">
      <c r="A77" s="10">
        <f t="shared" si="1"/>
        <v>76</v>
      </c>
      <c r="B77" s="6" t="s">
        <v>4988</v>
      </c>
      <c r="C77" s="6" t="s">
        <v>4794</v>
      </c>
      <c r="D77" s="6" t="s">
        <v>4795</v>
      </c>
      <c r="E77" s="6" t="s">
        <v>4435</v>
      </c>
      <c r="F77" s="6" t="s">
        <v>4394</v>
      </c>
      <c r="G77" s="6" t="s">
        <v>4796</v>
      </c>
    </row>
    <row r="78" spans="1:7" x14ac:dyDescent="0.25">
      <c r="A78" s="10">
        <f t="shared" si="1"/>
        <v>77</v>
      </c>
      <c r="B78" s="6" t="s">
        <v>4988</v>
      </c>
      <c r="C78" s="6" t="s">
        <v>4797</v>
      </c>
      <c r="D78" s="6" t="s">
        <v>4798</v>
      </c>
      <c r="E78" s="6" t="s">
        <v>4557</v>
      </c>
      <c r="F78" s="6" t="s">
        <v>4566</v>
      </c>
      <c r="G78" s="6" t="s">
        <v>4799</v>
      </c>
    </row>
    <row r="79" spans="1:7" x14ac:dyDescent="0.25">
      <c r="A79" s="10">
        <f t="shared" si="1"/>
        <v>78</v>
      </c>
      <c r="B79" s="6" t="s">
        <v>4988</v>
      </c>
      <c r="C79" s="6" t="s">
        <v>4800</v>
      </c>
      <c r="D79" s="6" t="s">
        <v>4801</v>
      </c>
      <c r="E79" s="6" t="s">
        <v>4561</v>
      </c>
      <c r="F79" s="6" t="s">
        <v>4562</v>
      </c>
      <c r="G79" s="6" t="s">
        <v>4802</v>
      </c>
    </row>
    <row r="80" spans="1:7" x14ac:dyDescent="0.25">
      <c r="A80" s="10">
        <f t="shared" si="1"/>
        <v>79</v>
      </c>
      <c r="B80" s="6" t="s">
        <v>4988</v>
      </c>
      <c r="C80" s="6" t="s">
        <v>4803</v>
      </c>
      <c r="D80" s="6" t="s">
        <v>4804</v>
      </c>
      <c r="E80" s="6" t="s">
        <v>4549</v>
      </c>
      <c r="F80" s="6" t="s">
        <v>4566</v>
      </c>
      <c r="G80" s="6" t="s">
        <v>4805</v>
      </c>
    </row>
    <row r="81" spans="1:7" x14ac:dyDescent="0.25">
      <c r="A81" s="10">
        <f t="shared" si="1"/>
        <v>80</v>
      </c>
      <c r="B81" s="6" t="s">
        <v>4988</v>
      </c>
      <c r="C81" s="6" t="s">
        <v>4806</v>
      </c>
      <c r="D81" s="6" t="s">
        <v>4807</v>
      </c>
      <c r="E81" s="6" t="s">
        <v>4557</v>
      </c>
      <c r="F81" s="6" t="s">
        <v>4774</v>
      </c>
      <c r="G81" s="6" t="s">
        <v>4808</v>
      </c>
    </row>
    <row r="82" spans="1:7" x14ac:dyDescent="0.25">
      <c r="A82" s="10">
        <f t="shared" si="1"/>
        <v>81</v>
      </c>
      <c r="B82" s="6" t="s">
        <v>4988</v>
      </c>
      <c r="C82" s="6" t="s">
        <v>4809</v>
      </c>
      <c r="D82" s="6" t="s">
        <v>4810</v>
      </c>
      <c r="E82" s="6" t="s">
        <v>4557</v>
      </c>
      <c r="F82" s="6" t="s">
        <v>4258</v>
      </c>
      <c r="G82" s="6" t="s">
        <v>4811</v>
      </c>
    </row>
    <row r="83" spans="1:7" x14ac:dyDescent="0.25">
      <c r="A83" s="10">
        <f t="shared" si="1"/>
        <v>82</v>
      </c>
      <c r="B83" s="6" t="s">
        <v>4988</v>
      </c>
      <c r="C83" s="6" t="s">
        <v>4812</v>
      </c>
      <c r="D83" s="6" t="s">
        <v>4813</v>
      </c>
      <c r="E83" s="6" t="s">
        <v>4557</v>
      </c>
      <c r="F83" s="6" t="s">
        <v>4566</v>
      </c>
      <c r="G83" s="6" t="s">
        <v>4814</v>
      </c>
    </row>
    <row r="84" spans="1:7" x14ac:dyDescent="0.25">
      <c r="A84" s="10">
        <f t="shared" si="1"/>
        <v>83</v>
      </c>
      <c r="B84" s="6" t="s">
        <v>4988</v>
      </c>
      <c r="C84" s="6" t="s">
        <v>4815</v>
      </c>
      <c r="D84" s="6" t="s">
        <v>4816</v>
      </c>
      <c r="E84" s="6" t="s">
        <v>4561</v>
      </c>
      <c r="F84" s="6" t="s">
        <v>4256</v>
      </c>
      <c r="G84" s="6" t="s">
        <v>4817</v>
      </c>
    </row>
    <row r="85" spans="1:7" x14ac:dyDescent="0.25">
      <c r="A85" s="10">
        <f t="shared" si="1"/>
        <v>84</v>
      </c>
      <c r="B85" s="6" t="s">
        <v>4989</v>
      </c>
      <c r="C85" s="6" t="s">
        <v>4818</v>
      </c>
      <c r="D85" s="6" t="s">
        <v>4819</v>
      </c>
      <c r="E85" s="6" t="s">
        <v>4140</v>
      </c>
      <c r="F85" s="6" t="s">
        <v>4546</v>
      </c>
      <c r="G85" s="6" t="s">
        <v>3404</v>
      </c>
    </row>
    <row r="86" spans="1:7" x14ac:dyDescent="0.25">
      <c r="A86" s="10">
        <f t="shared" si="1"/>
        <v>85</v>
      </c>
      <c r="B86" s="6" t="s">
        <v>4989</v>
      </c>
      <c r="C86" s="6" t="s">
        <v>4820</v>
      </c>
      <c r="D86" s="6" t="s">
        <v>4821</v>
      </c>
      <c r="E86" s="6" t="s">
        <v>4570</v>
      </c>
      <c r="F86" s="6" t="s">
        <v>4580</v>
      </c>
      <c r="G86" s="6" t="s">
        <v>4822</v>
      </c>
    </row>
    <row r="87" spans="1:7" x14ac:dyDescent="0.25">
      <c r="A87" s="10">
        <f t="shared" si="1"/>
        <v>86</v>
      </c>
      <c r="B87" s="6" t="s">
        <v>4989</v>
      </c>
      <c r="C87" s="6" t="s">
        <v>4823</v>
      </c>
      <c r="D87" s="6" t="s">
        <v>4824</v>
      </c>
      <c r="E87" s="6" t="s">
        <v>4434</v>
      </c>
      <c r="F87" s="6" t="s">
        <v>4394</v>
      </c>
      <c r="G87" s="6" t="s">
        <v>4825</v>
      </c>
    </row>
    <row r="88" spans="1:7" x14ac:dyDescent="0.25">
      <c r="A88" s="10">
        <f t="shared" si="1"/>
        <v>87</v>
      </c>
      <c r="B88" s="6" t="s">
        <v>4989</v>
      </c>
      <c r="C88" s="6" t="s">
        <v>4826</v>
      </c>
      <c r="D88" s="6" t="s">
        <v>4827</v>
      </c>
      <c r="E88" s="6" t="s">
        <v>4435</v>
      </c>
      <c r="F88" s="6" t="s">
        <v>4580</v>
      </c>
      <c r="G88" s="6" t="s">
        <v>4828</v>
      </c>
    </row>
    <row r="89" spans="1:7" x14ac:dyDescent="0.25">
      <c r="A89" s="10">
        <f t="shared" si="1"/>
        <v>88</v>
      </c>
      <c r="B89" s="6" t="s">
        <v>4989</v>
      </c>
      <c r="C89" s="6" t="s">
        <v>4829</v>
      </c>
      <c r="D89" s="6" t="s">
        <v>4830</v>
      </c>
      <c r="E89" s="6" t="s">
        <v>4591</v>
      </c>
      <c r="F89" s="6" t="s">
        <v>3769</v>
      </c>
      <c r="G89" s="6" t="s">
        <v>4831</v>
      </c>
    </row>
    <row r="90" spans="1:7" x14ac:dyDescent="0.25">
      <c r="A90" s="10">
        <f t="shared" si="1"/>
        <v>89</v>
      </c>
      <c r="B90" s="6" t="s">
        <v>4989</v>
      </c>
      <c r="C90" s="6" t="s">
        <v>4832</v>
      </c>
      <c r="D90" s="6" t="s">
        <v>4833</v>
      </c>
      <c r="E90" s="6" t="s">
        <v>4591</v>
      </c>
      <c r="F90" s="6" t="s">
        <v>4834</v>
      </c>
      <c r="G90" s="6" t="s">
        <v>4835</v>
      </c>
    </row>
    <row r="91" spans="1:7" x14ac:dyDescent="0.25">
      <c r="A91" s="10">
        <f t="shared" si="1"/>
        <v>90</v>
      </c>
      <c r="B91" s="6" t="s">
        <v>4989</v>
      </c>
      <c r="C91" s="6" t="s">
        <v>4836</v>
      </c>
      <c r="D91" s="6" t="s">
        <v>4837</v>
      </c>
      <c r="E91" s="6" t="s">
        <v>4606</v>
      </c>
      <c r="F91" s="6" t="s">
        <v>4258</v>
      </c>
      <c r="G91" s="6" t="s">
        <v>4838</v>
      </c>
    </row>
    <row r="92" spans="1:7" x14ac:dyDescent="0.25">
      <c r="A92" s="10">
        <f t="shared" si="1"/>
        <v>91</v>
      </c>
      <c r="B92" s="6" t="s">
        <v>4989</v>
      </c>
      <c r="C92" s="6" t="s">
        <v>4839</v>
      </c>
      <c r="D92" s="6" t="s">
        <v>4840</v>
      </c>
      <c r="E92" s="6" t="s">
        <v>4435</v>
      </c>
      <c r="F92" s="6" t="s">
        <v>4562</v>
      </c>
      <c r="G92" s="6" t="s">
        <v>4841</v>
      </c>
    </row>
    <row r="93" spans="1:7" x14ac:dyDescent="0.25">
      <c r="A93" s="10">
        <f t="shared" si="1"/>
        <v>92</v>
      </c>
      <c r="B93" s="6" t="s">
        <v>4989</v>
      </c>
      <c r="C93" s="6" t="s">
        <v>4842</v>
      </c>
      <c r="D93" s="6" t="s">
        <v>4843</v>
      </c>
      <c r="E93" s="6" t="s">
        <v>4570</v>
      </c>
      <c r="F93" s="6" t="s">
        <v>4844</v>
      </c>
      <c r="G93" s="6" t="s">
        <v>4845</v>
      </c>
    </row>
    <row r="94" spans="1:7" x14ac:dyDescent="0.25">
      <c r="A94" s="10">
        <f t="shared" si="1"/>
        <v>93</v>
      </c>
      <c r="B94" s="6" t="s">
        <v>4989</v>
      </c>
      <c r="C94" s="6" t="s">
        <v>4846</v>
      </c>
      <c r="D94" s="6" t="s">
        <v>4785</v>
      </c>
      <c r="E94" s="6" t="s">
        <v>4570</v>
      </c>
      <c r="F94" s="6" t="s">
        <v>4394</v>
      </c>
      <c r="G94" s="6" t="s">
        <v>4847</v>
      </c>
    </row>
    <row r="95" spans="1:7" x14ac:dyDescent="0.25">
      <c r="A95" s="10">
        <f t="shared" si="1"/>
        <v>94</v>
      </c>
      <c r="B95" s="6" t="s">
        <v>4989</v>
      </c>
      <c r="C95" s="6" t="s">
        <v>4848</v>
      </c>
      <c r="D95" s="6" t="s">
        <v>4849</v>
      </c>
      <c r="E95" s="6" t="s">
        <v>4549</v>
      </c>
      <c r="F95" s="6" t="s">
        <v>4256</v>
      </c>
      <c r="G95" s="6" t="s">
        <v>4850</v>
      </c>
    </row>
    <row r="96" spans="1:7" x14ac:dyDescent="0.25">
      <c r="A96" s="10">
        <f t="shared" si="1"/>
        <v>95</v>
      </c>
      <c r="B96" s="6" t="s">
        <v>4989</v>
      </c>
      <c r="C96" s="6" t="s">
        <v>4851</v>
      </c>
      <c r="D96" s="6" t="s">
        <v>4852</v>
      </c>
      <c r="E96" s="6" t="s">
        <v>4549</v>
      </c>
      <c r="F96" s="6" t="s">
        <v>4258</v>
      </c>
      <c r="G96" s="6" t="s">
        <v>4853</v>
      </c>
    </row>
    <row r="97" spans="1:7" x14ac:dyDescent="0.25">
      <c r="A97" s="10">
        <f t="shared" si="1"/>
        <v>96</v>
      </c>
      <c r="B97" s="6" t="s">
        <v>4989</v>
      </c>
      <c r="C97" s="6" t="s">
        <v>4854</v>
      </c>
      <c r="D97" s="6" t="s">
        <v>4855</v>
      </c>
      <c r="E97" s="6" t="s">
        <v>4549</v>
      </c>
      <c r="F97" s="6" t="s">
        <v>4566</v>
      </c>
      <c r="G97" s="6" t="s">
        <v>4856</v>
      </c>
    </row>
    <row r="98" spans="1:7" x14ac:dyDescent="0.25">
      <c r="A98" s="10">
        <f t="shared" si="1"/>
        <v>97</v>
      </c>
      <c r="B98" s="6" t="s">
        <v>4989</v>
      </c>
      <c r="C98" s="6" t="s">
        <v>4857</v>
      </c>
      <c r="D98" s="6" t="s">
        <v>4858</v>
      </c>
      <c r="E98" s="6" t="s">
        <v>4549</v>
      </c>
      <c r="F98" s="6" t="s">
        <v>4258</v>
      </c>
      <c r="G98" s="6" t="s">
        <v>4859</v>
      </c>
    </row>
    <row r="99" spans="1:7" x14ac:dyDescent="0.25">
      <c r="A99" s="10">
        <f t="shared" si="1"/>
        <v>98</v>
      </c>
      <c r="B99" s="6" t="s">
        <v>4989</v>
      </c>
      <c r="C99" s="6" t="s">
        <v>4860</v>
      </c>
      <c r="D99" s="6" t="s">
        <v>4861</v>
      </c>
      <c r="E99" s="6" t="s">
        <v>4561</v>
      </c>
      <c r="F99" s="6" t="s">
        <v>4394</v>
      </c>
      <c r="G99" s="6" t="s">
        <v>4862</v>
      </c>
    </row>
    <row r="100" spans="1:7" x14ac:dyDescent="0.25">
      <c r="A100" s="10">
        <f t="shared" si="1"/>
        <v>99</v>
      </c>
      <c r="B100" s="6" t="s">
        <v>4989</v>
      </c>
      <c r="C100" s="6" t="s">
        <v>4863</v>
      </c>
      <c r="D100" s="6" t="s">
        <v>4864</v>
      </c>
      <c r="E100" s="6" t="s">
        <v>4602</v>
      </c>
      <c r="F100" s="6" t="s">
        <v>4672</v>
      </c>
      <c r="G100" s="6" t="s">
        <v>4865</v>
      </c>
    </row>
    <row r="101" spans="1:7" x14ac:dyDescent="0.25">
      <c r="A101" s="10">
        <f t="shared" si="1"/>
        <v>100</v>
      </c>
      <c r="B101" s="6" t="s">
        <v>4989</v>
      </c>
      <c r="C101" s="6" t="s">
        <v>4866</v>
      </c>
      <c r="D101" s="6" t="s">
        <v>4867</v>
      </c>
      <c r="E101" s="6" t="s">
        <v>4549</v>
      </c>
      <c r="F101" s="6" t="s">
        <v>4562</v>
      </c>
      <c r="G101" s="6" t="s">
        <v>4868</v>
      </c>
    </row>
    <row r="102" spans="1:7" x14ac:dyDescent="0.25">
      <c r="A102" s="10">
        <f t="shared" si="1"/>
        <v>101</v>
      </c>
      <c r="B102" s="6" t="s">
        <v>4989</v>
      </c>
      <c r="C102" s="6" t="s">
        <v>4869</v>
      </c>
      <c r="D102" s="6" t="s">
        <v>4870</v>
      </c>
      <c r="E102" s="6" t="s">
        <v>4434</v>
      </c>
      <c r="F102" s="6" t="s">
        <v>4871</v>
      </c>
      <c r="G102" s="6" t="s">
        <v>4872</v>
      </c>
    </row>
    <row r="103" spans="1:7" x14ac:dyDescent="0.25">
      <c r="A103" s="10">
        <f t="shared" si="1"/>
        <v>102</v>
      </c>
      <c r="B103" s="6" t="s">
        <v>4989</v>
      </c>
      <c r="C103" s="6" t="s">
        <v>4873</v>
      </c>
      <c r="D103" s="6" t="s">
        <v>4874</v>
      </c>
      <c r="E103" s="6" t="s">
        <v>4434</v>
      </c>
      <c r="F103" s="6" t="s">
        <v>4587</v>
      </c>
      <c r="G103" s="6" t="s">
        <v>4875</v>
      </c>
    </row>
    <row r="104" spans="1:7" x14ac:dyDescent="0.25">
      <c r="A104" s="10">
        <f t="shared" si="1"/>
        <v>103</v>
      </c>
      <c r="B104" s="6" t="s">
        <v>4989</v>
      </c>
      <c r="C104" s="6" t="s">
        <v>4876</v>
      </c>
      <c r="D104" s="6" t="s">
        <v>4877</v>
      </c>
      <c r="E104" s="6" t="s">
        <v>4591</v>
      </c>
      <c r="F104" s="6" t="s">
        <v>4878</v>
      </c>
      <c r="G104" s="6" t="s">
        <v>4879</v>
      </c>
    </row>
    <row r="105" spans="1:7" x14ac:dyDescent="0.25">
      <c r="A105" s="10">
        <f t="shared" si="1"/>
        <v>104</v>
      </c>
      <c r="B105" s="6" t="s">
        <v>4989</v>
      </c>
      <c r="C105" s="6" t="s">
        <v>4880</v>
      </c>
      <c r="D105" s="6" t="s">
        <v>4881</v>
      </c>
      <c r="E105" s="6" t="s">
        <v>4606</v>
      </c>
      <c r="F105" s="6" t="s">
        <v>4258</v>
      </c>
      <c r="G105" s="6" t="s">
        <v>4868</v>
      </c>
    </row>
    <row r="106" spans="1:7" x14ac:dyDescent="0.25">
      <c r="A106" s="10">
        <f t="shared" si="1"/>
        <v>105</v>
      </c>
      <c r="B106" s="6" t="s">
        <v>4989</v>
      </c>
      <c r="C106" s="6" t="s">
        <v>4882</v>
      </c>
      <c r="D106" s="6" t="s">
        <v>4881</v>
      </c>
      <c r="E106" s="6" t="s">
        <v>4570</v>
      </c>
      <c r="F106" s="6" t="s">
        <v>4637</v>
      </c>
      <c r="G106" s="6" t="s">
        <v>4868</v>
      </c>
    </row>
    <row r="107" spans="1:7" x14ac:dyDescent="0.25">
      <c r="A107" s="10">
        <f t="shared" si="1"/>
        <v>106</v>
      </c>
      <c r="B107" s="6" t="s">
        <v>4990</v>
      </c>
      <c r="C107" s="6" t="s">
        <v>4883</v>
      </c>
      <c r="D107" s="6" t="s">
        <v>4884</v>
      </c>
      <c r="E107" s="6" t="s">
        <v>4591</v>
      </c>
      <c r="F107" s="6" t="s">
        <v>4743</v>
      </c>
      <c r="G107" s="6" t="s">
        <v>4885</v>
      </c>
    </row>
    <row r="108" spans="1:7" x14ac:dyDescent="0.25">
      <c r="A108" s="10">
        <f t="shared" si="1"/>
        <v>107</v>
      </c>
      <c r="B108" s="6" t="s">
        <v>4990</v>
      </c>
      <c r="C108" s="6" t="s">
        <v>4886</v>
      </c>
      <c r="D108" s="6" t="s">
        <v>4887</v>
      </c>
      <c r="E108" s="6" t="s">
        <v>4549</v>
      </c>
      <c r="F108" s="6" t="s">
        <v>4566</v>
      </c>
      <c r="G108" s="6" t="s">
        <v>4888</v>
      </c>
    </row>
    <row r="109" spans="1:7" x14ac:dyDescent="0.25">
      <c r="A109" s="10">
        <f t="shared" si="1"/>
        <v>108</v>
      </c>
      <c r="B109" s="6" t="s">
        <v>4990</v>
      </c>
      <c r="C109" s="6" t="s">
        <v>4889</v>
      </c>
      <c r="D109" s="6" t="s">
        <v>4890</v>
      </c>
      <c r="E109" s="6" t="s">
        <v>4606</v>
      </c>
      <c r="F109" s="6" t="s">
        <v>122</v>
      </c>
      <c r="G109" s="6" t="s">
        <v>4891</v>
      </c>
    </row>
    <row r="110" spans="1:7" x14ac:dyDescent="0.25">
      <c r="A110" s="10">
        <f t="shared" si="1"/>
        <v>109</v>
      </c>
      <c r="B110" s="6" t="s">
        <v>4990</v>
      </c>
      <c r="C110" s="6" t="s">
        <v>4892</v>
      </c>
      <c r="D110" s="6" t="s">
        <v>4893</v>
      </c>
      <c r="E110" s="6" t="s">
        <v>4606</v>
      </c>
      <c r="F110" s="6" t="s">
        <v>4550</v>
      </c>
      <c r="G110" s="6" t="s">
        <v>4894</v>
      </c>
    </row>
    <row r="111" spans="1:7" x14ac:dyDescent="0.25">
      <c r="A111" s="10">
        <f t="shared" si="1"/>
        <v>110</v>
      </c>
      <c r="B111" s="6" t="s">
        <v>4990</v>
      </c>
      <c r="C111" s="6" t="s">
        <v>4895</v>
      </c>
      <c r="D111" s="6" t="s">
        <v>4896</v>
      </c>
      <c r="E111" s="6" t="s">
        <v>4435</v>
      </c>
      <c r="F111" s="6" t="s">
        <v>4550</v>
      </c>
      <c r="G111" s="6" t="s">
        <v>4897</v>
      </c>
    </row>
    <row r="112" spans="1:7" x14ac:dyDescent="0.25">
      <c r="A112" s="10">
        <f t="shared" si="1"/>
        <v>111</v>
      </c>
      <c r="B112" s="6" t="s">
        <v>4990</v>
      </c>
      <c r="C112" s="6" t="s">
        <v>4898</v>
      </c>
      <c r="D112" s="6" t="s">
        <v>4899</v>
      </c>
      <c r="E112" s="6" t="s">
        <v>4591</v>
      </c>
      <c r="F112" s="6" t="s">
        <v>4562</v>
      </c>
      <c r="G112" s="6" t="s">
        <v>4900</v>
      </c>
    </row>
    <row r="113" spans="1:7" x14ac:dyDescent="0.25">
      <c r="A113" s="10">
        <f t="shared" si="1"/>
        <v>112</v>
      </c>
      <c r="B113" s="6" t="s">
        <v>4990</v>
      </c>
      <c r="C113" s="6" t="s">
        <v>4901</v>
      </c>
      <c r="D113" s="6" t="s">
        <v>4902</v>
      </c>
      <c r="E113" s="6" t="s">
        <v>4561</v>
      </c>
      <c r="F113" s="6" t="s">
        <v>4258</v>
      </c>
      <c r="G113" s="6" t="s">
        <v>4903</v>
      </c>
    </row>
    <row r="114" spans="1:7" x14ac:dyDescent="0.25">
      <c r="A114" s="10">
        <f t="shared" si="1"/>
        <v>113</v>
      </c>
      <c r="B114" s="6" t="s">
        <v>4990</v>
      </c>
      <c r="C114" s="6" t="s">
        <v>4904</v>
      </c>
      <c r="D114" s="6" t="s">
        <v>4905</v>
      </c>
      <c r="E114" s="6" t="s">
        <v>4561</v>
      </c>
      <c r="F114" s="6" t="s">
        <v>4706</v>
      </c>
      <c r="G114" s="6" t="s">
        <v>4906</v>
      </c>
    </row>
    <row r="115" spans="1:7" x14ac:dyDescent="0.25">
      <c r="A115" s="10">
        <f t="shared" si="1"/>
        <v>114</v>
      </c>
      <c r="B115" s="6" t="s">
        <v>4990</v>
      </c>
      <c r="C115" s="6" t="s">
        <v>4907</v>
      </c>
      <c r="D115" s="6" t="s">
        <v>4908</v>
      </c>
      <c r="E115" s="6" t="s">
        <v>4561</v>
      </c>
      <c r="F115" s="6" t="s">
        <v>4258</v>
      </c>
      <c r="G115" s="6" t="s">
        <v>145</v>
      </c>
    </row>
    <row r="116" spans="1:7" x14ac:dyDescent="0.25">
      <c r="A116" s="10">
        <f t="shared" si="1"/>
        <v>115</v>
      </c>
      <c r="B116" s="6" t="s">
        <v>4990</v>
      </c>
      <c r="C116" s="6" t="s">
        <v>4909</v>
      </c>
      <c r="D116" s="6" t="s">
        <v>4910</v>
      </c>
      <c r="E116" s="6" t="s">
        <v>4557</v>
      </c>
      <c r="F116" s="6" t="s">
        <v>4258</v>
      </c>
      <c r="G116" s="6" t="s">
        <v>4911</v>
      </c>
    </row>
    <row r="117" spans="1:7" x14ac:dyDescent="0.25">
      <c r="A117" s="10">
        <f t="shared" si="1"/>
        <v>116</v>
      </c>
      <c r="B117" s="6" t="s">
        <v>4990</v>
      </c>
      <c r="C117" s="6" t="s">
        <v>4912</v>
      </c>
      <c r="D117" s="6" t="s">
        <v>4913</v>
      </c>
      <c r="E117" s="6" t="s">
        <v>4561</v>
      </c>
      <c r="F117" s="6" t="s">
        <v>4566</v>
      </c>
      <c r="G117" s="6" t="s">
        <v>4914</v>
      </c>
    </row>
    <row r="118" spans="1:7" x14ac:dyDescent="0.25">
      <c r="A118" s="10">
        <f t="shared" si="1"/>
        <v>117</v>
      </c>
      <c r="B118" s="6" t="s">
        <v>4990</v>
      </c>
      <c r="C118" s="6" t="s">
        <v>4915</v>
      </c>
      <c r="D118" s="6" t="s">
        <v>4916</v>
      </c>
      <c r="E118" s="6" t="s">
        <v>4561</v>
      </c>
      <c r="F118" s="6" t="s">
        <v>4562</v>
      </c>
      <c r="G118" s="6" t="s">
        <v>4917</v>
      </c>
    </row>
    <row r="119" spans="1:7" x14ac:dyDescent="0.25">
      <c r="A119" s="10">
        <f t="shared" si="1"/>
        <v>118</v>
      </c>
      <c r="B119" s="6" t="s">
        <v>4990</v>
      </c>
      <c r="C119" s="6" t="s">
        <v>4918</v>
      </c>
      <c r="D119" s="6" t="s">
        <v>4919</v>
      </c>
      <c r="E119" s="6" t="s">
        <v>4557</v>
      </c>
      <c r="F119" s="6" t="s">
        <v>4258</v>
      </c>
      <c r="G119" s="6" t="s">
        <v>4920</v>
      </c>
    </row>
    <row r="120" spans="1:7" x14ac:dyDescent="0.25">
      <c r="A120" s="10">
        <f t="shared" si="1"/>
        <v>119</v>
      </c>
      <c r="B120" s="6" t="s">
        <v>4990</v>
      </c>
      <c r="C120" s="6" t="s">
        <v>4921</v>
      </c>
      <c r="D120" s="6" t="s">
        <v>4922</v>
      </c>
      <c r="E120" s="6" t="s">
        <v>4591</v>
      </c>
      <c r="F120" s="6" t="s">
        <v>4394</v>
      </c>
      <c r="G120" s="6" t="s">
        <v>4923</v>
      </c>
    </row>
    <row r="121" spans="1:7" x14ac:dyDescent="0.25">
      <c r="A121" s="10">
        <f t="shared" si="1"/>
        <v>120</v>
      </c>
      <c r="B121" s="6" t="s">
        <v>4990</v>
      </c>
      <c r="C121" s="6" t="s">
        <v>4924</v>
      </c>
      <c r="D121" s="6" t="s">
        <v>4925</v>
      </c>
      <c r="E121" s="6" t="s">
        <v>4606</v>
      </c>
      <c r="F121" s="6" t="s">
        <v>614</v>
      </c>
      <c r="G121" s="6" t="s">
        <v>4926</v>
      </c>
    </row>
    <row r="122" spans="1:7" x14ac:dyDescent="0.25">
      <c r="A122" s="10">
        <f t="shared" si="1"/>
        <v>121</v>
      </c>
      <c r="B122" s="6" t="s">
        <v>4990</v>
      </c>
      <c r="C122" s="6" t="s">
        <v>4927</v>
      </c>
      <c r="D122" s="6" t="s">
        <v>4928</v>
      </c>
      <c r="E122" s="6" t="s">
        <v>4606</v>
      </c>
      <c r="F122" s="6" t="s">
        <v>4394</v>
      </c>
      <c r="G122" s="6" t="s">
        <v>4929</v>
      </c>
    </row>
    <row r="123" spans="1:7" x14ac:dyDescent="0.25">
      <c r="A123" s="10">
        <f t="shared" si="1"/>
        <v>122</v>
      </c>
      <c r="B123" s="6" t="s">
        <v>4990</v>
      </c>
      <c r="C123" s="6" t="s">
        <v>4930</v>
      </c>
      <c r="D123" s="6" t="s">
        <v>4931</v>
      </c>
      <c r="E123" s="6" t="s">
        <v>4557</v>
      </c>
      <c r="F123" s="6" t="s">
        <v>4550</v>
      </c>
      <c r="G123" s="6" t="s">
        <v>4932</v>
      </c>
    </row>
    <row r="124" spans="1:7" x14ac:dyDescent="0.25">
      <c r="A124" s="10">
        <f t="shared" si="1"/>
        <v>123</v>
      </c>
      <c r="B124" s="6" t="s">
        <v>4990</v>
      </c>
      <c r="C124" s="6" t="s">
        <v>4933</v>
      </c>
      <c r="D124" s="6" t="s">
        <v>4934</v>
      </c>
      <c r="E124" s="6" t="s">
        <v>4435</v>
      </c>
      <c r="F124" s="6" t="s">
        <v>3769</v>
      </c>
      <c r="G124" s="6" t="s">
        <v>4935</v>
      </c>
    </row>
    <row r="125" spans="1:7" x14ac:dyDescent="0.25">
      <c r="A125" s="10">
        <f t="shared" si="1"/>
        <v>124</v>
      </c>
      <c r="B125" s="6" t="s">
        <v>4990</v>
      </c>
      <c r="C125" s="6" t="s">
        <v>4936</v>
      </c>
      <c r="D125" s="6" t="s">
        <v>4937</v>
      </c>
      <c r="E125" s="6" t="s">
        <v>4435</v>
      </c>
      <c r="F125" s="6" t="s">
        <v>614</v>
      </c>
      <c r="G125" s="6" t="s">
        <v>4938</v>
      </c>
    </row>
    <row r="126" spans="1:7" x14ac:dyDescent="0.25">
      <c r="A126" s="10">
        <f t="shared" si="1"/>
        <v>125</v>
      </c>
      <c r="B126" s="6" t="s">
        <v>4990</v>
      </c>
      <c r="C126" s="6" t="s">
        <v>4939</v>
      </c>
      <c r="D126" s="6" t="s">
        <v>4940</v>
      </c>
      <c r="E126" s="6" t="s">
        <v>4435</v>
      </c>
      <c r="F126" s="6" t="s">
        <v>4394</v>
      </c>
      <c r="G126" s="6" t="s">
        <v>4941</v>
      </c>
    </row>
    <row r="127" spans="1:7" x14ac:dyDescent="0.25">
      <c r="A127" s="10">
        <f t="shared" si="1"/>
        <v>126</v>
      </c>
      <c r="B127" s="6" t="s">
        <v>4990</v>
      </c>
      <c r="C127" s="6" t="s">
        <v>4942</v>
      </c>
      <c r="D127" s="6" t="s">
        <v>4943</v>
      </c>
      <c r="E127" s="6" t="s">
        <v>4557</v>
      </c>
      <c r="F127" s="6" t="s">
        <v>4944</v>
      </c>
      <c r="G127" s="6" t="s">
        <v>4945</v>
      </c>
    </row>
    <row r="128" spans="1:7" x14ac:dyDescent="0.25">
      <c r="A128" s="10">
        <f t="shared" si="1"/>
        <v>127</v>
      </c>
      <c r="B128" s="6" t="s">
        <v>4990</v>
      </c>
      <c r="C128" s="6" t="s">
        <v>4946</v>
      </c>
      <c r="D128" s="6" t="s">
        <v>4947</v>
      </c>
      <c r="E128" s="6" t="s">
        <v>4561</v>
      </c>
      <c r="F128" s="6" t="s">
        <v>4258</v>
      </c>
      <c r="G128" s="6" t="s">
        <v>4948</v>
      </c>
    </row>
    <row r="129" spans="1:7" x14ac:dyDescent="0.25">
      <c r="A129" s="10">
        <f t="shared" si="1"/>
        <v>128</v>
      </c>
      <c r="B129" s="6" t="s">
        <v>4990</v>
      </c>
      <c r="C129" s="6" t="s">
        <v>4949</v>
      </c>
      <c r="D129" s="6" t="s">
        <v>4950</v>
      </c>
      <c r="E129" s="6" t="s">
        <v>4557</v>
      </c>
      <c r="F129" s="6" t="s">
        <v>4562</v>
      </c>
      <c r="G129" s="6" t="s">
        <v>4951</v>
      </c>
    </row>
    <row r="130" spans="1:7" x14ac:dyDescent="0.25">
      <c r="A130" s="10">
        <f t="shared" si="1"/>
        <v>129</v>
      </c>
      <c r="B130" s="6" t="s">
        <v>4990</v>
      </c>
      <c r="C130" s="6" t="s">
        <v>4952</v>
      </c>
      <c r="D130" s="6" t="s">
        <v>4953</v>
      </c>
      <c r="E130" s="6" t="s">
        <v>4591</v>
      </c>
      <c r="F130" s="6" t="s">
        <v>3769</v>
      </c>
      <c r="G130" s="6" t="s">
        <v>110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4"/>
  <dimension ref="A1:CK151"/>
  <sheetViews>
    <sheetView workbookViewId="0">
      <selection activeCell="A11" sqref="A11"/>
    </sheetView>
  </sheetViews>
  <sheetFormatPr defaultRowHeight="15" x14ac:dyDescent="0.25"/>
  <sheetData>
    <row r="1" spans="1:89" x14ac:dyDescent="0.25">
      <c r="A1" s="1347" t="s">
        <v>6066</v>
      </c>
      <c r="B1" s="1347"/>
      <c r="C1" s="1347"/>
      <c r="D1" s="1347"/>
      <c r="E1" s="1347"/>
      <c r="F1" s="1347"/>
      <c r="G1" s="1347"/>
      <c r="H1" s="1347"/>
      <c r="I1" s="1347"/>
      <c r="J1" s="1347"/>
      <c r="K1" s="1347"/>
      <c r="L1" s="1347"/>
      <c r="M1" s="1347"/>
      <c r="N1" s="1347"/>
      <c r="O1" s="1347"/>
      <c r="P1" s="1347"/>
      <c r="Q1" s="1347"/>
      <c r="R1" s="1347"/>
      <c r="S1" s="1347"/>
      <c r="T1" s="1349" t="s">
        <v>6067</v>
      </c>
      <c r="U1" s="1349"/>
      <c r="V1" s="1349"/>
      <c r="W1" s="1349"/>
      <c r="X1" s="1349"/>
      <c r="Y1" s="1349"/>
      <c r="Z1" s="1349"/>
      <c r="AA1" s="1349"/>
      <c r="AB1" s="1349"/>
      <c r="AC1" s="1349"/>
      <c r="AD1" s="1349"/>
      <c r="AE1" s="1349"/>
      <c r="AF1" s="1349"/>
      <c r="AG1" s="1349"/>
      <c r="AH1" s="1349"/>
      <c r="AI1" s="1349"/>
      <c r="AJ1" s="1349"/>
      <c r="AK1" s="1349"/>
      <c r="AL1" s="1349"/>
      <c r="AM1" s="1349"/>
      <c r="AN1" s="1349"/>
      <c r="AV1" s="1348" t="s">
        <v>6140</v>
      </c>
      <c r="AW1" s="1348"/>
      <c r="AX1" s="1348"/>
      <c r="AY1" s="1348"/>
      <c r="AZ1" s="1348"/>
      <c r="BA1" s="1348"/>
      <c r="BB1" s="1348"/>
      <c r="BC1" s="1348"/>
      <c r="BD1" s="1348"/>
      <c r="BE1" s="1348"/>
      <c r="BF1" s="1348"/>
      <c r="BG1" s="1348"/>
      <c r="BH1" s="1348"/>
      <c r="BI1" s="1348"/>
      <c r="BJ1" s="1348"/>
      <c r="BK1" s="1348"/>
      <c r="BL1" s="1348"/>
      <c r="BM1" s="503"/>
      <c r="BN1" s="503"/>
      <c r="BO1" s="503"/>
      <c r="BP1" s="503"/>
      <c r="BQ1" s="503"/>
      <c r="BS1" s="1348" t="s">
        <v>6947</v>
      </c>
      <c r="BT1" s="1348"/>
      <c r="BU1" s="1348"/>
      <c r="BV1" s="1348"/>
      <c r="BW1" s="1348"/>
      <c r="BX1" s="1348"/>
      <c r="BY1" s="1348"/>
      <c r="BZ1" s="1348"/>
      <c r="CA1" s="1348"/>
      <c r="CB1" s="1348"/>
      <c r="CC1" s="1348"/>
      <c r="CD1" s="1348"/>
      <c r="CE1" s="1348"/>
      <c r="CF1" s="1348"/>
      <c r="CG1" s="1348"/>
      <c r="CH1" s="1348"/>
      <c r="CI1" s="1348"/>
    </row>
    <row r="2" spans="1:89" ht="15.75" thickBot="1" x14ac:dyDescent="0.3">
      <c r="A2" s="407"/>
      <c r="B2" s="407"/>
      <c r="C2" s="407" t="s">
        <v>5883</v>
      </c>
      <c r="D2" s="407" t="s">
        <v>5884</v>
      </c>
      <c r="E2" s="407" t="s">
        <v>12</v>
      </c>
      <c r="F2" s="407" t="s">
        <v>5885</v>
      </c>
      <c r="G2" s="407" t="s">
        <v>5886</v>
      </c>
      <c r="H2" s="407" t="s">
        <v>113</v>
      </c>
      <c r="I2" s="407" t="s">
        <v>117</v>
      </c>
      <c r="J2" s="407" t="s">
        <v>508</v>
      </c>
      <c r="K2" s="407" t="s">
        <v>509</v>
      </c>
      <c r="L2" s="407" t="s">
        <v>510</v>
      </c>
      <c r="M2" s="407" t="s">
        <v>511</v>
      </c>
      <c r="N2" s="407" t="s">
        <v>5104</v>
      </c>
      <c r="O2" s="407" t="s">
        <v>5887</v>
      </c>
      <c r="P2" s="407" t="s">
        <v>5888</v>
      </c>
      <c r="Q2" s="407" t="s">
        <v>5889</v>
      </c>
      <c r="U2" s="419" t="s">
        <v>0</v>
      </c>
      <c r="V2" s="419" t="s">
        <v>161</v>
      </c>
      <c r="W2" s="419" t="s">
        <v>11</v>
      </c>
      <c r="X2" s="419" t="s">
        <v>4140</v>
      </c>
      <c r="Y2" s="419" t="s">
        <v>12</v>
      </c>
      <c r="Z2" s="419" t="s">
        <v>6068</v>
      </c>
      <c r="AA2" s="419" t="s">
        <v>13</v>
      </c>
      <c r="AB2" s="419" t="s">
        <v>3</v>
      </c>
      <c r="AC2" s="419" t="s">
        <v>4</v>
      </c>
      <c r="AD2" s="419" t="s">
        <v>5</v>
      </c>
      <c r="AE2" s="419" t="s">
        <v>6</v>
      </c>
      <c r="AF2" s="419" t="s">
        <v>7</v>
      </c>
      <c r="AG2" s="419" t="s">
        <v>8</v>
      </c>
      <c r="AH2" s="419" t="s">
        <v>6069</v>
      </c>
      <c r="AI2" s="419" t="s">
        <v>2237</v>
      </c>
      <c r="AJ2" s="419" t="s">
        <v>6070</v>
      </c>
      <c r="AK2" s="419" t="s">
        <v>4954</v>
      </c>
      <c r="AL2" s="419" t="s">
        <v>6071</v>
      </c>
      <c r="AM2" s="419" t="s">
        <v>6072</v>
      </c>
      <c r="AN2" s="419" t="s">
        <v>7022</v>
      </c>
      <c r="AW2" s="419" t="s">
        <v>0</v>
      </c>
      <c r="AX2" s="419" t="s">
        <v>161</v>
      </c>
      <c r="AY2" s="419" t="s">
        <v>11</v>
      </c>
      <c r="AZ2" s="419" t="s">
        <v>4140</v>
      </c>
      <c r="BA2" s="419" t="s">
        <v>12</v>
      </c>
      <c r="BB2" s="419" t="s">
        <v>6068</v>
      </c>
      <c r="BC2" s="419" t="s">
        <v>13</v>
      </c>
      <c r="BD2" s="419" t="s">
        <v>3</v>
      </c>
      <c r="BE2" s="419" t="s">
        <v>4</v>
      </c>
      <c r="BF2" s="419" t="s">
        <v>5</v>
      </c>
      <c r="BG2" s="419" t="s">
        <v>6</v>
      </c>
      <c r="BH2" s="419" t="s">
        <v>7</v>
      </c>
      <c r="BI2" s="419" t="s">
        <v>8</v>
      </c>
      <c r="BJ2" s="419" t="s">
        <v>6069</v>
      </c>
      <c r="BK2" s="419" t="s">
        <v>2237</v>
      </c>
      <c r="BL2" s="419" t="s">
        <v>6070</v>
      </c>
      <c r="BM2" s="419" t="s">
        <v>4954</v>
      </c>
      <c r="BN2" s="419" t="s">
        <v>6071</v>
      </c>
      <c r="BO2" s="419" t="s">
        <v>6072</v>
      </c>
      <c r="BP2" s="419" t="s">
        <v>7022</v>
      </c>
      <c r="BS2" s="419" t="s">
        <v>0</v>
      </c>
      <c r="BT2" s="419" t="s">
        <v>7022</v>
      </c>
      <c r="BU2" s="419"/>
      <c r="BV2" s="419"/>
      <c r="BW2" s="419"/>
      <c r="BX2" s="419"/>
      <c r="BY2" s="419"/>
      <c r="BZ2" s="419"/>
      <c r="CA2" s="419"/>
      <c r="CB2" s="419"/>
      <c r="CC2" s="419"/>
      <c r="CD2" s="419"/>
      <c r="CE2" s="419"/>
      <c r="CF2" s="419"/>
      <c r="CG2" s="419"/>
      <c r="CH2" s="419"/>
      <c r="CI2" s="419"/>
      <c r="CJ2" s="419"/>
      <c r="CK2" s="419"/>
    </row>
    <row r="3" spans="1:89" x14ac:dyDescent="0.25">
      <c r="A3" s="409">
        <v>1</v>
      </c>
      <c r="B3" s="408" t="s">
        <v>1395</v>
      </c>
      <c r="C3" s="408" t="s">
        <v>5890</v>
      </c>
      <c r="D3" s="409" t="s">
        <v>5891</v>
      </c>
      <c r="E3" s="409">
        <v>10</v>
      </c>
      <c r="F3" s="409">
        <v>3</v>
      </c>
      <c r="G3" s="408" t="s">
        <v>5892</v>
      </c>
      <c r="H3" s="409">
        <v>4</v>
      </c>
      <c r="I3" s="409">
        <v>11</v>
      </c>
      <c r="J3" s="409">
        <v>12</v>
      </c>
      <c r="K3" s="409">
        <v>2</v>
      </c>
      <c r="L3" s="409">
        <v>12</v>
      </c>
      <c r="M3" s="409">
        <v>5</v>
      </c>
      <c r="N3" s="408" t="s">
        <v>4031</v>
      </c>
      <c r="O3" s="408" t="s">
        <v>5893</v>
      </c>
      <c r="P3" s="408" t="s">
        <v>5894</v>
      </c>
      <c r="Q3" s="408" t="s">
        <v>7033</v>
      </c>
      <c r="T3">
        <v>1</v>
      </c>
      <c r="U3" t="s">
        <v>488</v>
      </c>
      <c r="V3" t="s">
        <v>6073</v>
      </c>
      <c r="W3" t="s">
        <v>6074</v>
      </c>
      <c r="X3" t="s">
        <v>6075</v>
      </c>
      <c r="Y3">
        <v>11</v>
      </c>
      <c r="Z3" t="s">
        <v>6076</v>
      </c>
      <c r="AA3" t="s">
        <v>6077</v>
      </c>
      <c r="AB3">
        <v>18</v>
      </c>
      <c r="AC3">
        <v>12</v>
      </c>
      <c r="AD3">
        <v>13</v>
      </c>
      <c r="AE3">
        <v>5</v>
      </c>
      <c r="AF3">
        <v>12</v>
      </c>
      <c r="AG3">
        <v>7</v>
      </c>
      <c r="AH3" t="s">
        <v>6078</v>
      </c>
      <c r="AL3" t="s">
        <v>6079</v>
      </c>
      <c r="AM3" t="s">
        <v>6080</v>
      </c>
      <c r="BS3" s="513" t="s">
        <v>6948</v>
      </c>
      <c r="BT3" s="513">
        <v>0</v>
      </c>
    </row>
    <row r="4" spans="1:89" x14ac:dyDescent="0.25">
      <c r="A4" s="409">
        <v>2</v>
      </c>
      <c r="B4" s="408" t="s">
        <v>5895</v>
      </c>
      <c r="C4" s="408" t="s">
        <v>5890</v>
      </c>
      <c r="D4" s="409" t="s">
        <v>5891</v>
      </c>
      <c r="E4" s="409">
        <v>12</v>
      </c>
      <c r="F4" s="409">
        <v>1</v>
      </c>
      <c r="G4" s="408" t="s">
        <v>5896</v>
      </c>
      <c r="H4" s="409">
        <v>2</v>
      </c>
      <c r="I4" s="409">
        <v>15</v>
      </c>
      <c r="J4" s="409">
        <v>8</v>
      </c>
      <c r="K4" s="409">
        <v>2</v>
      </c>
      <c r="L4" s="409">
        <v>12</v>
      </c>
      <c r="M4" s="409">
        <v>4</v>
      </c>
      <c r="N4" s="408" t="s">
        <v>4031</v>
      </c>
      <c r="O4" s="408" t="s">
        <v>5897</v>
      </c>
      <c r="P4" s="408" t="s">
        <v>5898</v>
      </c>
      <c r="Q4" s="408" t="s">
        <v>7025</v>
      </c>
      <c r="T4">
        <f>T3+1</f>
        <v>2</v>
      </c>
      <c r="U4" t="s">
        <v>423</v>
      </c>
      <c r="V4" t="s">
        <v>6073</v>
      </c>
      <c r="W4" t="s">
        <v>6074</v>
      </c>
      <c r="X4" t="s">
        <v>6075</v>
      </c>
      <c r="Y4">
        <v>10</v>
      </c>
      <c r="Z4" t="s">
        <v>6084</v>
      </c>
      <c r="AA4" t="s">
        <v>6077</v>
      </c>
      <c r="AB4">
        <v>16</v>
      </c>
      <c r="AC4">
        <v>10</v>
      </c>
      <c r="AD4">
        <v>12</v>
      </c>
      <c r="AE4">
        <v>5</v>
      </c>
      <c r="AF4">
        <v>11</v>
      </c>
      <c r="AG4">
        <v>7</v>
      </c>
      <c r="AH4" t="s">
        <v>6085</v>
      </c>
      <c r="AM4" t="s">
        <v>6086</v>
      </c>
      <c r="AV4">
        <v>1</v>
      </c>
      <c r="AW4" t="s">
        <v>6948</v>
      </c>
      <c r="AX4" s="420" t="s">
        <v>6098</v>
      </c>
      <c r="BS4" s="513" t="s">
        <v>1395</v>
      </c>
      <c r="BT4" s="513">
        <v>0</v>
      </c>
    </row>
    <row r="5" spans="1:89" x14ac:dyDescent="0.25">
      <c r="A5" s="409">
        <v>3</v>
      </c>
      <c r="B5" s="408" t="s">
        <v>5899</v>
      </c>
      <c r="C5" s="408" t="s">
        <v>5890</v>
      </c>
      <c r="D5" s="409" t="s">
        <v>5891</v>
      </c>
      <c r="E5" s="409">
        <v>12</v>
      </c>
      <c r="F5" s="409">
        <v>2</v>
      </c>
      <c r="G5" s="408" t="s">
        <v>5900</v>
      </c>
      <c r="H5" s="409">
        <v>3</v>
      </c>
      <c r="I5" s="409">
        <v>15</v>
      </c>
      <c r="J5" s="409">
        <v>10</v>
      </c>
      <c r="K5" s="409">
        <v>3</v>
      </c>
      <c r="L5" s="409">
        <v>12</v>
      </c>
      <c r="M5" s="409">
        <v>7</v>
      </c>
      <c r="N5" s="408" t="s">
        <v>5901</v>
      </c>
      <c r="O5" s="408" t="s">
        <v>5902</v>
      </c>
      <c r="P5" s="408" t="s">
        <v>5903</v>
      </c>
      <c r="Q5" s="408" t="s">
        <v>7033</v>
      </c>
      <c r="T5">
        <f t="shared" ref="T5:T22" si="0">T4+1</f>
        <v>3</v>
      </c>
      <c r="U5" s="408" t="s">
        <v>6087</v>
      </c>
      <c r="V5" s="408" t="s">
        <v>6073</v>
      </c>
      <c r="W5" s="408" t="s">
        <v>6088</v>
      </c>
      <c r="X5" s="408" t="s">
        <v>6075</v>
      </c>
      <c r="Y5">
        <v>10</v>
      </c>
      <c r="Z5" s="408" t="s">
        <v>6089</v>
      </c>
      <c r="AA5" s="408" t="s">
        <v>6090</v>
      </c>
      <c r="AB5">
        <v>14</v>
      </c>
      <c r="AC5">
        <v>10</v>
      </c>
      <c r="AD5">
        <v>13</v>
      </c>
      <c r="AE5">
        <v>5</v>
      </c>
      <c r="AF5">
        <v>10</v>
      </c>
      <c r="AG5">
        <v>5</v>
      </c>
      <c r="AH5" t="s">
        <v>6085</v>
      </c>
      <c r="AL5" s="203" t="s">
        <v>7036</v>
      </c>
      <c r="AM5" s="203" t="s">
        <v>6091</v>
      </c>
      <c r="AV5">
        <v>2</v>
      </c>
      <c r="AW5" t="s">
        <v>1395</v>
      </c>
      <c r="AX5" s="420" t="s">
        <v>6099</v>
      </c>
      <c r="BS5" s="513" t="s">
        <v>5895</v>
      </c>
      <c r="BT5" s="513">
        <v>0</v>
      </c>
    </row>
    <row r="6" spans="1:89" x14ac:dyDescent="0.25">
      <c r="A6" s="409">
        <v>4</v>
      </c>
      <c r="B6" s="408" t="s">
        <v>5904</v>
      </c>
      <c r="C6" s="408" t="s">
        <v>5890</v>
      </c>
      <c r="D6" s="409" t="s">
        <v>5891</v>
      </c>
      <c r="E6" s="409">
        <v>11</v>
      </c>
      <c r="F6" s="409">
        <v>2</v>
      </c>
      <c r="G6" s="408" t="s">
        <v>5905</v>
      </c>
      <c r="H6" s="409">
        <v>2</v>
      </c>
      <c r="I6" s="409">
        <v>11</v>
      </c>
      <c r="J6" s="409">
        <v>10</v>
      </c>
      <c r="K6" s="409">
        <v>1</v>
      </c>
      <c r="L6" s="409">
        <v>8</v>
      </c>
      <c r="M6" s="409">
        <v>2</v>
      </c>
      <c r="N6" s="408" t="s">
        <v>5906</v>
      </c>
      <c r="O6" s="408" t="s">
        <v>5907</v>
      </c>
      <c r="P6" s="408" t="s">
        <v>5908</v>
      </c>
      <c r="Q6" s="408" t="s">
        <v>3833</v>
      </c>
      <c r="T6">
        <f t="shared" si="0"/>
        <v>4</v>
      </c>
      <c r="U6" s="408" t="s">
        <v>374</v>
      </c>
      <c r="V6" s="408" t="s">
        <v>6073</v>
      </c>
      <c r="W6" s="408" t="s">
        <v>6088</v>
      </c>
      <c r="X6" s="408" t="s">
        <v>6075</v>
      </c>
      <c r="Y6">
        <v>12</v>
      </c>
      <c r="Z6" s="408" t="s">
        <v>6093</v>
      </c>
      <c r="AA6" s="408" t="s">
        <v>6090</v>
      </c>
      <c r="AB6">
        <v>13</v>
      </c>
      <c r="AC6">
        <v>14</v>
      </c>
      <c r="AD6">
        <v>12</v>
      </c>
      <c r="AE6">
        <v>5</v>
      </c>
      <c r="AF6">
        <v>12</v>
      </c>
      <c r="AG6">
        <v>7</v>
      </c>
      <c r="AH6" t="s">
        <v>6094</v>
      </c>
      <c r="AI6" t="s">
        <v>5939</v>
      </c>
      <c r="AL6" t="s">
        <v>7028</v>
      </c>
      <c r="AM6" s="203" t="s">
        <v>6092</v>
      </c>
      <c r="AW6" t="s">
        <v>5895</v>
      </c>
      <c r="AX6" s="420" t="s">
        <v>6100</v>
      </c>
      <c r="BS6" s="513" t="s">
        <v>5899</v>
      </c>
      <c r="BT6" s="513">
        <v>0</v>
      </c>
    </row>
    <row r="7" spans="1:89" x14ac:dyDescent="0.25">
      <c r="A7" s="409">
        <v>5</v>
      </c>
      <c r="B7" s="408" t="s">
        <v>5909</v>
      </c>
      <c r="C7" s="408" t="s">
        <v>5890</v>
      </c>
      <c r="D7" s="409" t="s">
        <v>5891</v>
      </c>
      <c r="E7" s="409">
        <v>11</v>
      </c>
      <c r="F7" s="409">
        <v>1</v>
      </c>
      <c r="G7" s="408" t="s">
        <v>5910</v>
      </c>
      <c r="H7" s="409">
        <v>1</v>
      </c>
      <c r="I7" s="409">
        <v>13</v>
      </c>
      <c r="J7" s="409">
        <v>8</v>
      </c>
      <c r="K7" s="409">
        <v>1</v>
      </c>
      <c r="L7" s="409">
        <v>8</v>
      </c>
      <c r="M7" s="409">
        <v>3</v>
      </c>
      <c r="N7" s="408" t="s">
        <v>5911</v>
      </c>
      <c r="O7" s="408" t="s">
        <v>5893</v>
      </c>
      <c r="P7" s="408" t="s">
        <v>4031</v>
      </c>
      <c r="Q7" s="408" t="s">
        <v>7026</v>
      </c>
      <c r="T7">
        <f t="shared" si="0"/>
        <v>5</v>
      </c>
      <c r="U7" s="408" t="s">
        <v>6095</v>
      </c>
      <c r="V7" s="408" t="s">
        <v>6073</v>
      </c>
      <c r="W7" s="408" t="s">
        <v>602</v>
      </c>
      <c r="X7" s="408" t="s">
        <v>6075</v>
      </c>
      <c r="Y7">
        <v>11</v>
      </c>
      <c r="Z7" s="408" t="s">
        <v>6089</v>
      </c>
      <c r="AA7" s="408" t="s">
        <v>6090</v>
      </c>
      <c r="AB7">
        <v>13</v>
      </c>
      <c r="AC7">
        <v>11</v>
      </c>
      <c r="AD7">
        <v>12</v>
      </c>
      <c r="AE7">
        <v>5</v>
      </c>
      <c r="AF7">
        <v>9</v>
      </c>
      <c r="AG7">
        <v>5</v>
      </c>
      <c r="AH7" t="s">
        <v>6096</v>
      </c>
      <c r="AL7" s="203" t="s">
        <v>7037</v>
      </c>
      <c r="AM7" s="203" t="s">
        <v>6097</v>
      </c>
      <c r="AW7" t="s">
        <v>7023</v>
      </c>
      <c r="AX7" s="420" t="s">
        <v>6101</v>
      </c>
      <c r="BS7" s="514" t="s">
        <v>5904</v>
      </c>
      <c r="BT7" s="513">
        <v>0</v>
      </c>
    </row>
    <row r="8" spans="1:89" x14ac:dyDescent="0.25">
      <c r="A8" s="409">
        <v>6</v>
      </c>
      <c r="B8" s="408" t="s">
        <v>5912</v>
      </c>
      <c r="C8" s="408" t="s">
        <v>5890</v>
      </c>
      <c r="D8" s="409" t="s">
        <v>5891</v>
      </c>
      <c r="E8" s="409">
        <v>13</v>
      </c>
      <c r="F8" s="409">
        <v>1</v>
      </c>
      <c r="G8" s="408" t="s">
        <v>5913</v>
      </c>
      <c r="H8" s="409">
        <v>5</v>
      </c>
      <c r="I8" s="409">
        <v>16</v>
      </c>
      <c r="J8" s="409">
        <v>8</v>
      </c>
      <c r="K8" s="409">
        <v>2</v>
      </c>
      <c r="L8" s="409">
        <v>14</v>
      </c>
      <c r="M8" s="409">
        <v>6</v>
      </c>
      <c r="N8" s="408" t="s">
        <v>5914</v>
      </c>
      <c r="O8" s="408" t="s">
        <v>5915</v>
      </c>
      <c r="P8" s="408" t="s">
        <v>5916</v>
      </c>
      <c r="Q8" s="408" t="s">
        <v>7027</v>
      </c>
      <c r="T8">
        <f t="shared" si="0"/>
        <v>6</v>
      </c>
      <c r="AW8" t="s">
        <v>6095</v>
      </c>
      <c r="AX8" s="420" t="s">
        <v>6102</v>
      </c>
      <c r="BS8" s="514" t="s">
        <v>6949</v>
      </c>
      <c r="BT8" s="513">
        <v>0</v>
      </c>
    </row>
    <row r="9" spans="1:89" x14ac:dyDescent="0.25">
      <c r="A9" s="409">
        <v>7</v>
      </c>
      <c r="B9" s="408" t="s">
        <v>5951</v>
      </c>
      <c r="C9" s="408" t="s">
        <v>5952</v>
      </c>
      <c r="D9" s="409" t="s">
        <v>5891</v>
      </c>
      <c r="E9" s="409">
        <v>13</v>
      </c>
      <c r="F9" s="409">
        <v>10</v>
      </c>
      <c r="G9" s="408" t="s">
        <v>5953</v>
      </c>
      <c r="H9" s="409">
        <v>6</v>
      </c>
      <c r="I9" s="409">
        <v>17</v>
      </c>
      <c r="J9" s="409">
        <v>13</v>
      </c>
      <c r="K9" s="409">
        <v>11</v>
      </c>
      <c r="L9" s="409">
        <v>12</v>
      </c>
      <c r="M9" s="409">
        <v>14</v>
      </c>
      <c r="N9" s="408" t="s">
        <v>5954</v>
      </c>
      <c r="O9" s="408" t="s">
        <v>5955</v>
      </c>
      <c r="P9" s="408" t="s">
        <v>5956</v>
      </c>
      <c r="Q9" s="408" t="s">
        <v>5957</v>
      </c>
      <c r="T9">
        <f t="shared" si="0"/>
        <v>7</v>
      </c>
      <c r="AW9" t="s">
        <v>5899</v>
      </c>
      <c r="AX9" s="420" t="s">
        <v>6103</v>
      </c>
      <c r="BS9" s="514" t="s">
        <v>4476</v>
      </c>
      <c r="BT9" s="513">
        <v>0</v>
      </c>
    </row>
    <row r="10" spans="1:89" x14ac:dyDescent="0.25">
      <c r="A10" s="409">
        <v>8</v>
      </c>
      <c r="B10" s="408" t="s">
        <v>5917</v>
      </c>
      <c r="C10" s="408" t="s">
        <v>5890</v>
      </c>
      <c r="D10" s="409" t="s">
        <v>5891</v>
      </c>
      <c r="E10" s="409">
        <v>10</v>
      </c>
      <c r="F10" s="409">
        <v>2</v>
      </c>
      <c r="G10" s="408" t="s">
        <v>5918</v>
      </c>
      <c r="H10" s="409">
        <v>2</v>
      </c>
      <c r="I10" s="409">
        <v>11</v>
      </c>
      <c r="J10" s="409">
        <v>10</v>
      </c>
      <c r="K10" s="409">
        <v>1</v>
      </c>
      <c r="L10" s="409">
        <v>8</v>
      </c>
      <c r="M10" s="409">
        <v>3</v>
      </c>
      <c r="N10" s="408" t="s">
        <v>4031</v>
      </c>
      <c r="O10" s="408" t="s">
        <v>5919</v>
      </c>
      <c r="P10" s="408" t="s">
        <v>5898</v>
      </c>
      <c r="Q10" s="408" t="s">
        <v>4031</v>
      </c>
      <c r="T10">
        <f t="shared" si="0"/>
        <v>8</v>
      </c>
      <c r="AW10" t="s">
        <v>5904</v>
      </c>
      <c r="AX10" s="420" t="s">
        <v>6104</v>
      </c>
      <c r="BS10" s="514" t="s">
        <v>5909</v>
      </c>
      <c r="BT10" s="513">
        <v>0</v>
      </c>
    </row>
    <row r="11" spans="1:89" x14ac:dyDescent="0.25">
      <c r="A11" s="409">
        <v>9</v>
      </c>
      <c r="B11" s="408" t="s">
        <v>374</v>
      </c>
      <c r="C11" s="408" t="s">
        <v>5890</v>
      </c>
      <c r="D11" s="409" t="s">
        <v>602</v>
      </c>
      <c r="E11" s="409">
        <v>12</v>
      </c>
      <c r="F11" s="409">
        <v>5</v>
      </c>
      <c r="G11" s="408" t="s">
        <v>291</v>
      </c>
      <c r="H11" s="409">
        <v>13</v>
      </c>
      <c r="I11" s="409">
        <v>14</v>
      </c>
      <c r="J11" s="409">
        <v>12</v>
      </c>
      <c r="K11" s="409">
        <v>3</v>
      </c>
      <c r="L11" s="409">
        <v>12</v>
      </c>
      <c r="M11" s="409">
        <v>7</v>
      </c>
      <c r="N11" s="408" t="s">
        <v>5939</v>
      </c>
      <c r="O11" s="408" t="s">
        <v>5902</v>
      </c>
      <c r="P11" s="408" t="s">
        <v>5958</v>
      </c>
      <c r="Q11" s="408" t="s">
        <v>7028</v>
      </c>
      <c r="T11">
        <f t="shared" si="0"/>
        <v>9</v>
      </c>
      <c r="AW11" t="s">
        <v>6949</v>
      </c>
      <c r="AX11" s="420" t="s">
        <v>6105</v>
      </c>
      <c r="BS11" s="513" t="s">
        <v>6950</v>
      </c>
      <c r="BT11" s="513">
        <v>0</v>
      </c>
    </row>
    <row r="12" spans="1:89" x14ac:dyDescent="0.25">
      <c r="A12" s="409">
        <v>10</v>
      </c>
      <c r="B12" s="408" t="s">
        <v>5920</v>
      </c>
      <c r="C12" s="408" t="s">
        <v>5890</v>
      </c>
      <c r="D12" s="409" t="s">
        <v>5891</v>
      </c>
      <c r="E12" s="409">
        <v>12</v>
      </c>
      <c r="F12" s="409">
        <v>3</v>
      </c>
      <c r="G12" s="408" t="s">
        <v>5921</v>
      </c>
      <c r="H12" s="409">
        <v>4</v>
      </c>
      <c r="I12" s="409">
        <v>15</v>
      </c>
      <c r="J12" s="409">
        <v>11</v>
      </c>
      <c r="K12" s="409">
        <v>3</v>
      </c>
      <c r="L12" s="409">
        <v>10</v>
      </c>
      <c r="M12" s="409">
        <v>4</v>
      </c>
      <c r="N12" s="408" t="s">
        <v>5922</v>
      </c>
      <c r="O12" s="408" t="s">
        <v>5923</v>
      </c>
      <c r="P12" s="408" t="s">
        <v>5924</v>
      </c>
      <c r="Q12" s="408" t="s">
        <v>7029</v>
      </c>
      <c r="T12">
        <f t="shared" si="0"/>
        <v>10</v>
      </c>
      <c r="AW12" t="s">
        <v>4476</v>
      </c>
      <c r="AX12" s="420" t="s">
        <v>6106</v>
      </c>
      <c r="BS12" s="513" t="s">
        <v>3776</v>
      </c>
      <c r="BT12" s="513">
        <v>0</v>
      </c>
    </row>
    <row r="13" spans="1:89" x14ac:dyDescent="0.25">
      <c r="A13" s="409">
        <v>11</v>
      </c>
      <c r="B13" s="408" t="s">
        <v>5925</v>
      </c>
      <c r="C13" s="408" t="s">
        <v>5890</v>
      </c>
      <c r="D13" s="409" t="s">
        <v>5891</v>
      </c>
      <c r="E13" s="409">
        <v>11</v>
      </c>
      <c r="F13" s="409">
        <v>1</v>
      </c>
      <c r="G13" s="408" t="s">
        <v>5926</v>
      </c>
      <c r="H13" s="409">
        <v>3</v>
      </c>
      <c r="I13" s="409">
        <v>13</v>
      </c>
      <c r="J13" s="409">
        <v>8</v>
      </c>
      <c r="K13" s="409">
        <v>2</v>
      </c>
      <c r="L13" s="409">
        <v>12</v>
      </c>
      <c r="M13" s="409">
        <v>7</v>
      </c>
      <c r="N13" s="408" t="s">
        <v>5927</v>
      </c>
      <c r="O13" s="408" t="s">
        <v>5928</v>
      </c>
      <c r="P13" s="408" t="s">
        <v>5929</v>
      </c>
      <c r="Q13" s="408" t="s">
        <v>7030</v>
      </c>
      <c r="T13">
        <f t="shared" si="0"/>
        <v>11</v>
      </c>
      <c r="AW13" t="s">
        <v>7024</v>
      </c>
      <c r="AX13" s="420" t="s">
        <v>6107</v>
      </c>
      <c r="BS13" s="513" t="s">
        <v>5912</v>
      </c>
      <c r="BT13" s="513">
        <v>0</v>
      </c>
    </row>
    <row r="14" spans="1:89" x14ac:dyDescent="0.25">
      <c r="A14" s="409">
        <v>12</v>
      </c>
      <c r="B14" s="408" t="s">
        <v>5959</v>
      </c>
      <c r="C14" s="408" t="s">
        <v>5960</v>
      </c>
      <c r="D14" s="409" t="s">
        <v>5891</v>
      </c>
      <c r="E14" s="409">
        <v>13</v>
      </c>
      <c r="F14" s="409">
        <v>7</v>
      </c>
      <c r="G14" s="408" t="s">
        <v>5961</v>
      </c>
      <c r="H14" s="409">
        <v>6</v>
      </c>
      <c r="I14" s="409">
        <v>15</v>
      </c>
      <c r="J14" s="409">
        <v>13</v>
      </c>
      <c r="K14" s="409">
        <v>10</v>
      </c>
      <c r="L14" s="409">
        <v>12</v>
      </c>
      <c r="M14" s="409">
        <v>10</v>
      </c>
      <c r="N14" s="408" t="s">
        <v>5901</v>
      </c>
      <c r="O14" s="408" t="s">
        <v>5962</v>
      </c>
      <c r="P14" s="408" t="s">
        <v>5963</v>
      </c>
      <c r="Q14" s="408" t="s">
        <v>7031</v>
      </c>
      <c r="T14">
        <f t="shared" si="0"/>
        <v>12</v>
      </c>
      <c r="AW14" t="s">
        <v>5909</v>
      </c>
      <c r="AX14" s="420" t="s">
        <v>6108</v>
      </c>
      <c r="BS14" s="513" t="s">
        <v>6951</v>
      </c>
      <c r="BT14" s="513">
        <v>0</v>
      </c>
    </row>
    <row r="15" spans="1:89" x14ac:dyDescent="0.25">
      <c r="A15" s="409">
        <v>13</v>
      </c>
      <c r="B15" s="408" t="s">
        <v>5964</v>
      </c>
      <c r="C15" s="408" t="s">
        <v>5952</v>
      </c>
      <c r="D15" s="409" t="s">
        <v>5891</v>
      </c>
      <c r="E15" s="409">
        <v>13</v>
      </c>
      <c r="F15" s="409">
        <v>7</v>
      </c>
      <c r="G15" s="408" t="s">
        <v>291</v>
      </c>
      <c r="H15" s="409">
        <v>5</v>
      </c>
      <c r="I15" s="409">
        <v>17</v>
      </c>
      <c r="J15" s="409">
        <v>10</v>
      </c>
      <c r="K15" s="409">
        <v>7</v>
      </c>
      <c r="L15" s="409">
        <v>10</v>
      </c>
      <c r="M15" s="409">
        <v>10</v>
      </c>
      <c r="N15" s="408" t="s">
        <v>5965</v>
      </c>
      <c r="O15" s="408" t="s">
        <v>5966</v>
      </c>
      <c r="P15" s="408" t="s">
        <v>5967</v>
      </c>
      <c r="Q15" s="408" t="s">
        <v>5968</v>
      </c>
      <c r="T15">
        <f t="shared" si="0"/>
        <v>13</v>
      </c>
      <c r="AX15" s="420" t="s">
        <v>6109</v>
      </c>
      <c r="BS15" s="513" t="s">
        <v>6952</v>
      </c>
      <c r="BT15" s="513">
        <v>0</v>
      </c>
    </row>
    <row r="16" spans="1:89" x14ac:dyDescent="0.25">
      <c r="A16" s="409">
        <v>14</v>
      </c>
      <c r="B16" s="408" t="s">
        <v>5930</v>
      </c>
      <c r="C16" s="408" t="s">
        <v>5890</v>
      </c>
      <c r="D16" s="409" t="s">
        <v>5891</v>
      </c>
      <c r="E16" s="409">
        <v>13</v>
      </c>
      <c r="F16" s="409">
        <v>2</v>
      </c>
      <c r="G16" s="408" t="s">
        <v>5931</v>
      </c>
      <c r="H16" s="409">
        <v>2</v>
      </c>
      <c r="I16" s="409">
        <v>16</v>
      </c>
      <c r="J16" s="409">
        <v>9</v>
      </c>
      <c r="K16" s="409">
        <v>1</v>
      </c>
      <c r="L16" s="409">
        <v>7</v>
      </c>
      <c r="M16" s="409">
        <v>2</v>
      </c>
      <c r="N16" s="408" t="s">
        <v>4031</v>
      </c>
      <c r="O16" s="408" t="s">
        <v>5932</v>
      </c>
      <c r="P16" s="408" t="s">
        <v>5933</v>
      </c>
      <c r="Q16" s="408" t="s">
        <v>7032</v>
      </c>
      <c r="T16">
        <f t="shared" si="0"/>
        <v>14</v>
      </c>
      <c r="AX16" s="420" t="s">
        <v>6110</v>
      </c>
      <c r="BS16" s="513" t="s">
        <v>5917</v>
      </c>
      <c r="BT16" s="513">
        <v>0</v>
      </c>
    </row>
    <row r="17" spans="1:72" x14ac:dyDescent="0.25">
      <c r="A17" s="409">
        <v>15</v>
      </c>
      <c r="B17" s="408" t="s">
        <v>5934</v>
      </c>
      <c r="C17" s="408" t="s">
        <v>5890</v>
      </c>
      <c r="D17" s="409" t="s">
        <v>5891</v>
      </c>
      <c r="E17" s="409">
        <v>10</v>
      </c>
      <c r="F17" s="409">
        <v>1</v>
      </c>
      <c r="G17" s="408" t="s">
        <v>5935</v>
      </c>
      <c r="H17" s="409">
        <v>2</v>
      </c>
      <c r="I17" s="409">
        <v>11</v>
      </c>
      <c r="J17" s="409">
        <v>9</v>
      </c>
      <c r="K17" s="409">
        <v>2</v>
      </c>
      <c r="L17" s="409">
        <v>10</v>
      </c>
      <c r="M17" s="409">
        <v>4</v>
      </c>
      <c r="N17" s="408" t="s">
        <v>4031</v>
      </c>
      <c r="O17" s="408" t="s">
        <v>5936</v>
      </c>
      <c r="P17" s="408" t="s">
        <v>5898</v>
      </c>
      <c r="Q17" s="408" t="s">
        <v>7033</v>
      </c>
      <c r="T17">
        <f t="shared" si="0"/>
        <v>15</v>
      </c>
      <c r="AX17" s="420" t="s">
        <v>6111</v>
      </c>
      <c r="BS17" s="513" t="s">
        <v>5920</v>
      </c>
      <c r="BT17" s="513">
        <v>0</v>
      </c>
    </row>
    <row r="18" spans="1:72" x14ac:dyDescent="0.25">
      <c r="A18" s="409">
        <v>16</v>
      </c>
      <c r="B18" s="408" t="s">
        <v>5937</v>
      </c>
      <c r="C18" s="408" t="s">
        <v>5890</v>
      </c>
      <c r="D18" s="409" t="s">
        <v>5891</v>
      </c>
      <c r="E18" s="409">
        <v>12</v>
      </c>
      <c r="F18" s="409">
        <v>1</v>
      </c>
      <c r="G18" s="408" t="s">
        <v>5938</v>
      </c>
      <c r="H18" s="409">
        <v>2</v>
      </c>
      <c r="I18" s="409">
        <v>14</v>
      </c>
      <c r="J18" s="409">
        <v>8</v>
      </c>
      <c r="K18" s="409">
        <v>2</v>
      </c>
      <c r="L18" s="409">
        <v>12</v>
      </c>
      <c r="M18" s="409">
        <v>6</v>
      </c>
      <c r="N18" s="408" t="s">
        <v>5939</v>
      </c>
      <c r="O18" s="408" t="s">
        <v>5902</v>
      </c>
      <c r="P18" s="408" t="s">
        <v>5940</v>
      </c>
      <c r="Q18" s="408" t="s">
        <v>7034</v>
      </c>
      <c r="T18">
        <f t="shared" si="0"/>
        <v>16</v>
      </c>
      <c r="AX18" s="420" t="s">
        <v>6112</v>
      </c>
      <c r="BS18" s="513" t="s">
        <v>5925</v>
      </c>
      <c r="BT18" s="513">
        <v>0</v>
      </c>
    </row>
    <row r="19" spans="1:72" x14ac:dyDescent="0.25">
      <c r="A19" s="409">
        <v>17</v>
      </c>
      <c r="B19" s="408" t="s">
        <v>5941</v>
      </c>
      <c r="C19" s="408" t="s">
        <v>5890</v>
      </c>
      <c r="D19" s="408" t="s">
        <v>5891</v>
      </c>
      <c r="E19" s="408">
        <v>11</v>
      </c>
      <c r="F19" s="408">
        <v>1</v>
      </c>
      <c r="G19" s="408" t="s">
        <v>5942</v>
      </c>
      <c r="H19" s="408">
        <v>2</v>
      </c>
      <c r="I19" s="408">
        <v>1</v>
      </c>
      <c r="J19" s="408">
        <v>8</v>
      </c>
      <c r="K19" s="408">
        <v>1</v>
      </c>
      <c r="L19" s="408">
        <v>8</v>
      </c>
      <c r="M19" s="408">
        <v>2</v>
      </c>
      <c r="N19" s="408" t="s">
        <v>4031</v>
      </c>
      <c r="O19" s="408" t="s">
        <v>5943</v>
      </c>
      <c r="P19" s="408" t="s">
        <v>5944</v>
      </c>
      <c r="Q19" s="408" t="s">
        <v>4031</v>
      </c>
      <c r="T19">
        <f t="shared" si="0"/>
        <v>17</v>
      </c>
      <c r="AX19" s="420" t="s">
        <v>6113</v>
      </c>
      <c r="BS19" s="513" t="s">
        <v>5930</v>
      </c>
      <c r="BT19" s="513">
        <v>0</v>
      </c>
    </row>
    <row r="20" spans="1:72" x14ac:dyDescent="0.25">
      <c r="A20" s="409">
        <v>18</v>
      </c>
      <c r="B20" s="408" t="s">
        <v>5945</v>
      </c>
      <c r="C20" s="408" t="s">
        <v>5890</v>
      </c>
      <c r="D20" s="408" t="s">
        <v>5891</v>
      </c>
      <c r="E20" s="408">
        <v>13</v>
      </c>
      <c r="F20" s="408">
        <v>2</v>
      </c>
      <c r="G20" s="408" t="s">
        <v>5946</v>
      </c>
      <c r="H20" s="408">
        <v>2</v>
      </c>
      <c r="I20" s="408">
        <v>16</v>
      </c>
      <c r="J20" s="408">
        <v>11</v>
      </c>
      <c r="K20" s="408">
        <v>1</v>
      </c>
      <c r="L20" s="408">
        <v>10</v>
      </c>
      <c r="M20" s="408">
        <v>3</v>
      </c>
      <c r="N20" s="408" t="s">
        <v>4031</v>
      </c>
      <c r="O20" s="408" t="s">
        <v>5947</v>
      </c>
      <c r="P20" s="408" t="s">
        <v>5933</v>
      </c>
      <c r="Q20" s="408" t="s">
        <v>4031</v>
      </c>
      <c r="T20">
        <f t="shared" si="0"/>
        <v>18</v>
      </c>
      <c r="AX20" s="420" t="s">
        <v>6114</v>
      </c>
      <c r="BS20" s="513" t="s">
        <v>5934</v>
      </c>
      <c r="BT20" s="513">
        <v>0</v>
      </c>
    </row>
    <row r="21" spans="1:72" x14ac:dyDescent="0.25">
      <c r="A21" s="409">
        <v>19</v>
      </c>
      <c r="B21" s="408" t="s">
        <v>4917</v>
      </c>
      <c r="C21" s="408" t="s">
        <v>5890</v>
      </c>
      <c r="D21" s="408" t="s">
        <v>5891</v>
      </c>
      <c r="E21" s="408">
        <v>12</v>
      </c>
      <c r="F21" s="408">
        <v>1</v>
      </c>
      <c r="G21" s="408" t="s">
        <v>5918</v>
      </c>
      <c r="H21" s="408">
        <v>2</v>
      </c>
      <c r="I21" s="408">
        <v>14</v>
      </c>
      <c r="J21" s="408">
        <v>8</v>
      </c>
      <c r="K21" s="408">
        <v>1</v>
      </c>
      <c r="L21" s="408">
        <v>10</v>
      </c>
      <c r="M21" s="408">
        <v>2</v>
      </c>
      <c r="N21" s="408" t="s">
        <v>5948</v>
      </c>
      <c r="O21" s="408" t="s">
        <v>5936</v>
      </c>
      <c r="P21" s="408" t="s">
        <v>5949</v>
      </c>
      <c r="Q21" s="408" t="s">
        <v>7035</v>
      </c>
      <c r="T21">
        <f t="shared" si="0"/>
        <v>19</v>
      </c>
      <c r="AX21" s="420" t="s">
        <v>6115</v>
      </c>
      <c r="BS21" s="513" t="s">
        <v>5937</v>
      </c>
      <c r="BT21" s="513">
        <v>0</v>
      </c>
    </row>
    <row r="22" spans="1:72" x14ac:dyDescent="0.25">
      <c r="A22" s="409">
        <v>20</v>
      </c>
      <c r="B22" s="408" t="s">
        <v>5969</v>
      </c>
      <c r="C22" s="408" t="s">
        <v>4489</v>
      </c>
      <c r="D22" s="408" t="s">
        <v>5891</v>
      </c>
      <c r="E22" s="408">
        <v>14</v>
      </c>
      <c r="F22" s="408" t="s">
        <v>120</v>
      </c>
      <c r="G22" s="408" t="s">
        <v>6081</v>
      </c>
      <c r="H22" s="408">
        <v>3</v>
      </c>
      <c r="I22" s="408">
        <v>18</v>
      </c>
      <c r="J22" s="408">
        <v>10</v>
      </c>
      <c r="K22" s="408">
        <v>14</v>
      </c>
      <c r="L22" s="408">
        <v>13</v>
      </c>
      <c r="M22" s="408">
        <v>11</v>
      </c>
      <c r="N22" s="408" t="s">
        <v>6082</v>
      </c>
      <c r="O22" s="203" t="s">
        <v>5902</v>
      </c>
      <c r="P22" s="408" t="s">
        <v>6083</v>
      </c>
      <c r="Q22" s="408"/>
      <c r="T22">
        <f t="shared" si="0"/>
        <v>20</v>
      </c>
      <c r="AX22" s="420" t="s">
        <v>6116</v>
      </c>
      <c r="BS22" s="513" t="s">
        <v>5941</v>
      </c>
      <c r="BT22" s="513">
        <v>0</v>
      </c>
    </row>
    <row r="23" spans="1:72" x14ac:dyDescent="0.25">
      <c r="B23" s="203"/>
      <c r="C23" s="203"/>
      <c r="D23" s="203"/>
      <c r="E23" s="203"/>
      <c r="F23" s="203"/>
      <c r="G23" s="203"/>
      <c r="H23" s="203"/>
      <c r="I23" s="203"/>
      <c r="J23" s="203"/>
      <c r="K23" s="203"/>
      <c r="L23" s="203"/>
      <c r="M23" s="203"/>
      <c r="N23" s="203"/>
      <c r="O23" s="203"/>
      <c r="P23" s="203"/>
      <c r="Q23" s="203"/>
      <c r="AX23" s="420" t="s">
        <v>6117</v>
      </c>
      <c r="BS23" s="513" t="s">
        <v>6953</v>
      </c>
      <c r="BT23" s="513">
        <v>0</v>
      </c>
    </row>
    <row r="24" spans="1:72" x14ac:dyDescent="0.25">
      <c r="AX24" s="420" t="s">
        <v>6118</v>
      </c>
      <c r="BS24" s="513" t="s">
        <v>4917</v>
      </c>
      <c r="BT24" s="513">
        <v>0</v>
      </c>
    </row>
    <row r="25" spans="1:72" x14ac:dyDescent="0.25">
      <c r="AX25" s="420" t="s">
        <v>6119</v>
      </c>
      <c r="BS25" s="513" t="s">
        <v>6954</v>
      </c>
      <c r="BT25" s="513">
        <v>0</v>
      </c>
    </row>
    <row r="26" spans="1:72" x14ac:dyDescent="0.25">
      <c r="AX26" s="420" t="s">
        <v>6120</v>
      </c>
      <c r="BS26" s="513" t="s">
        <v>6955</v>
      </c>
      <c r="BT26" s="513">
        <v>0</v>
      </c>
    </row>
    <row r="27" spans="1:72" x14ac:dyDescent="0.25">
      <c r="AX27" s="420" t="s">
        <v>6121</v>
      </c>
      <c r="BS27" s="513" t="s">
        <v>6956</v>
      </c>
      <c r="BT27" s="513">
        <f>1/8</f>
        <v>0.125</v>
      </c>
    </row>
    <row r="28" spans="1:72" x14ac:dyDescent="0.25">
      <c r="AX28" s="420" t="s">
        <v>6122</v>
      </c>
      <c r="BS28" s="513" t="s">
        <v>238</v>
      </c>
      <c r="BT28" s="513">
        <f t="shared" ref="BT28:BT45" si="1">1/8</f>
        <v>0.125</v>
      </c>
    </row>
    <row r="29" spans="1:72" x14ac:dyDescent="0.25">
      <c r="AX29" s="420" t="s">
        <v>6123</v>
      </c>
      <c r="BS29" s="513" t="s">
        <v>6957</v>
      </c>
      <c r="BT29" s="513">
        <f t="shared" si="1"/>
        <v>0.125</v>
      </c>
    </row>
    <row r="30" spans="1:72" x14ac:dyDescent="0.25">
      <c r="AX30" s="420" t="s">
        <v>6124</v>
      </c>
      <c r="BS30" s="513" t="s">
        <v>6958</v>
      </c>
      <c r="BT30" s="513">
        <f t="shared" si="1"/>
        <v>0.125</v>
      </c>
    </row>
    <row r="31" spans="1:72" x14ac:dyDescent="0.25">
      <c r="AX31" s="420" t="s">
        <v>6125</v>
      </c>
      <c r="BS31" s="513" t="s">
        <v>6959</v>
      </c>
      <c r="BT31" s="513">
        <f t="shared" si="1"/>
        <v>0.125</v>
      </c>
    </row>
    <row r="32" spans="1:72" x14ac:dyDescent="0.25">
      <c r="AX32" s="420" t="s">
        <v>6126</v>
      </c>
      <c r="BS32" s="513" t="s">
        <v>6960</v>
      </c>
      <c r="BT32" s="513">
        <f t="shared" si="1"/>
        <v>0.125</v>
      </c>
    </row>
    <row r="33" spans="48:72" x14ac:dyDescent="0.25">
      <c r="AX33" s="420" t="s">
        <v>6127</v>
      </c>
      <c r="BS33" s="513" t="s">
        <v>374</v>
      </c>
      <c r="BT33" s="513">
        <f t="shared" si="1"/>
        <v>0.125</v>
      </c>
    </row>
    <row r="34" spans="48:72" x14ac:dyDescent="0.25">
      <c r="AX34" s="420" t="s">
        <v>6128</v>
      </c>
      <c r="BS34" s="513" t="s">
        <v>6087</v>
      </c>
      <c r="BT34" s="513">
        <f t="shared" si="1"/>
        <v>0.125</v>
      </c>
    </row>
    <row r="35" spans="48:72" x14ac:dyDescent="0.25">
      <c r="AX35" s="420" t="s">
        <v>6129</v>
      </c>
      <c r="BS35" s="513" t="s">
        <v>6961</v>
      </c>
      <c r="BT35" s="513">
        <f t="shared" si="1"/>
        <v>0.125</v>
      </c>
    </row>
    <row r="36" spans="48:72" x14ac:dyDescent="0.25">
      <c r="AX36" s="420" t="s">
        <v>6130</v>
      </c>
      <c r="BS36" s="513" t="s">
        <v>404</v>
      </c>
      <c r="BT36" s="513">
        <f t="shared" si="1"/>
        <v>0.125</v>
      </c>
    </row>
    <row r="37" spans="48:72" x14ac:dyDescent="0.25">
      <c r="AX37" s="420" t="s">
        <v>6131</v>
      </c>
      <c r="BS37" s="513" t="s">
        <v>6962</v>
      </c>
      <c r="BT37" s="513">
        <f t="shared" si="1"/>
        <v>0.125</v>
      </c>
    </row>
    <row r="38" spans="48:72" x14ac:dyDescent="0.25">
      <c r="AX38" s="420" t="s">
        <v>6132</v>
      </c>
      <c r="BS38" s="513" t="s">
        <v>6095</v>
      </c>
      <c r="BT38" s="513">
        <f t="shared" si="1"/>
        <v>0.125</v>
      </c>
    </row>
    <row r="39" spans="48:72" x14ac:dyDescent="0.25">
      <c r="AX39" s="420" t="s">
        <v>6133</v>
      </c>
      <c r="BS39" s="513" t="s">
        <v>6963</v>
      </c>
      <c r="BT39" s="513">
        <f t="shared" si="1"/>
        <v>0.125</v>
      </c>
    </row>
    <row r="40" spans="48:72" x14ac:dyDescent="0.25">
      <c r="AX40" s="420" t="s">
        <v>6134</v>
      </c>
      <c r="BS40" s="513" t="s">
        <v>6964</v>
      </c>
      <c r="BT40" s="513">
        <f t="shared" si="1"/>
        <v>0.125</v>
      </c>
    </row>
    <row r="41" spans="48:72" x14ac:dyDescent="0.25">
      <c r="AX41" s="420" t="s">
        <v>6135</v>
      </c>
      <c r="BS41" s="513" t="s">
        <v>6965</v>
      </c>
      <c r="BT41" s="513">
        <f t="shared" si="1"/>
        <v>0.125</v>
      </c>
    </row>
    <row r="42" spans="48:72" x14ac:dyDescent="0.25">
      <c r="AX42" s="420" t="s">
        <v>6136</v>
      </c>
      <c r="BS42" s="513" t="s">
        <v>6966</v>
      </c>
      <c r="BT42" s="513">
        <f t="shared" si="1"/>
        <v>0.125</v>
      </c>
    </row>
    <row r="43" spans="48:72" x14ac:dyDescent="0.25">
      <c r="AX43" s="420" t="s">
        <v>6137</v>
      </c>
      <c r="BS43" s="513" t="s">
        <v>6967</v>
      </c>
      <c r="BT43" s="513">
        <f t="shared" si="1"/>
        <v>0.125</v>
      </c>
    </row>
    <row r="44" spans="48:72" x14ac:dyDescent="0.25">
      <c r="AX44" s="420" t="s">
        <v>6138</v>
      </c>
      <c r="BS44" s="513" t="s">
        <v>6968</v>
      </c>
      <c r="BT44" s="513">
        <f t="shared" si="1"/>
        <v>0.125</v>
      </c>
    </row>
    <row r="45" spans="48:72" x14ac:dyDescent="0.25">
      <c r="AX45" s="420" t="s">
        <v>6139</v>
      </c>
      <c r="BS45" s="513" t="s">
        <v>6969</v>
      </c>
      <c r="BT45" s="513">
        <f t="shared" si="1"/>
        <v>0.125</v>
      </c>
    </row>
    <row r="46" spans="48:72" x14ac:dyDescent="0.25">
      <c r="AV46" s="421"/>
      <c r="BS46" s="513" t="s">
        <v>6970</v>
      </c>
      <c r="BT46" s="513">
        <f t="shared" ref="BT46:BT82" si="2">1/4</f>
        <v>0.25</v>
      </c>
    </row>
    <row r="47" spans="48:72" x14ac:dyDescent="0.25">
      <c r="AV47" s="294"/>
      <c r="BS47" s="513" t="s">
        <v>6971</v>
      </c>
      <c r="BT47" s="513">
        <f t="shared" si="2"/>
        <v>0.25</v>
      </c>
    </row>
    <row r="48" spans="48:72" x14ac:dyDescent="0.25">
      <c r="BS48" s="513" t="s">
        <v>6972</v>
      </c>
      <c r="BT48" s="513">
        <f t="shared" si="2"/>
        <v>0.25</v>
      </c>
    </row>
    <row r="49" spans="71:72" x14ac:dyDescent="0.25">
      <c r="BS49" s="513" t="s">
        <v>6973</v>
      </c>
      <c r="BT49" s="513">
        <f t="shared" si="2"/>
        <v>0.25</v>
      </c>
    </row>
    <row r="50" spans="71:72" x14ac:dyDescent="0.25">
      <c r="BS50" s="513" t="s">
        <v>6974</v>
      </c>
      <c r="BT50" s="513">
        <f t="shared" si="2"/>
        <v>0.25</v>
      </c>
    </row>
    <row r="51" spans="71:72" x14ac:dyDescent="0.25">
      <c r="BS51" s="513" t="s">
        <v>6975</v>
      </c>
      <c r="BT51" s="513">
        <f t="shared" si="2"/>
        <v>0.25</v>
      </c>
    </row>
    <row r="52" spans="71:72" x14ac:dyDescent="0.25">
      <c r="BS52" s="513" t="s">
        <v>6976</v>
      </c>
      <c r="BT52" s="513">
        <f t="shared" si="2"/>
        <v>0.25</v>
      </c>
    </row>
    <row r="53" spans="71:72" x14ac:dyDescent="0.25">
      <c r="BS53" s="513" t="s">
        <v>6977</v>
      </c>
      <c r="BT53" s="513">
        <f t="shared" si="2"/>
        <v>0.25</v>
      </c>
    </row>
    <row r="54" spans="71:72" x14ac:dyDescent="0.25">
      <c r="BS54" s="513" t="s">
        <v>6978</v>
      </c>
      <c r="BT54" s="513">
        <f t="shared" si="2"/>
        <v>0.25</v>
      </c>
    </row>
    <row r="55" spans="71:72" x14ac:dyDescent="0.25">
      <c r="BS55" s="513" t="s">
        <v>6979</v>
      </c>
      <c r="BT55" s="513">
        <f t="shared" si="2"/>
        <v>0.25</v>
      </c>
    </row>
    <row r="56" spans="71:72" x14ac:dyDescent="0.25">
      <c r="BS56" s="513" t="s">
        <v>4479</v>
      </c>
      <c r="BT56" s="513">
        <f t="shared" si="2"/>
        <v>0.25</v>
      </c>
    </row>
    <row r="57" spans="71:72" x14ac:dyDescent="0.25">
      <c r="BS57" s="513" t="s">
        <v>6980</v>
      </c>
      <c r="BT57" s="513">
        <f t="shared" si="2"/>
        <v>0.25</v>
      </c>
    </row>
    <row r="58" spans="71:72" x14ac:dyDescent="0.25">
      <c r="BS58" s="513" t="s">
        <v>6981</v>
      </c>
      <c r="BT58" s="513">
        <f t="shared" si="2"/>
        <v>0.25</v>
      </c>
    </row>
    <row r="59" spans="71:72" x14ac:dyDescent="0.25">
      <c r="BS59" s="513" t="s">
        <v>6982</v>
      </c>
      <c r="BT59" s="513">
        <f t="shared" si="2"/>
        <v>0.25</v>
      </c>
    </row>
    <row r="60" spans="71:72" x14ac:dyDescent="0.25">
      <c r="BS60" s="513" t="s">
        <v>6983</v>
      </c>
      <c r="BT60" s="513">
        <f t="shared" si="2"/>
        <v>0.25</v>
      </c>
    </row>
    <row r="61" spans="71:72" x14ac:dyDescent="0.25">
      <c r="BS61" s="513" t="s">
        <v>6984</v>
      </c>
      <c r="BT61" s="513">
        <f t="shared" si="2"/>
        <v>0.25</v>
      </c>
    </row>
    <row r="62" spans="71:72" x14ac:dyDescent="0.25">
      <c r="BS62" s="513" t="s">
        <v>6985</v>
      </c>
      <c r="BT62" s="513">
        <f t="shared" si="2"/>
        <v>0.25</v>
      </c>
    </row>
    <row r="63" spans="71:72" x14ac:dyDescent="0.25">
      <c r="BS63" s="513" t="s">
        <v>6986</v>
      </c>
      <c r="BT63" s="513">
        <f t="shared" si="2"/>
        <v>0.25</v>
      </c>
    </row>
    <row r="64" spans="71:72" x14ac:dyDescent="0.25">
      <c r="BS64" s="513" t="s">
        <v>6987</v>
      </c>
      <c r="BT64" s="513">
        <f t="shared" si="2"/>
        <v>0.25</v>
      </c>
    </row>
    <row r="65" spans="71:72" x14ac:dyDescent="0.25">
      <c r="BS65" s="513" t="s">
        <v>488</v>
      </c>
      <c r="BT65" s="513">
        <f t="shared" si="2"/>
        <v>0.25</v>
      </c>
    </row>
    <row r="66" spans="71:72" x14ac:dyDescent="0.25">
      <c r="BS66" s="513" t="s">
        <v>6988</v>
      </c>
      <c r="BT66" s="513">
        <f t="shared" si="2"/>
        <v>0.25</v>
      </c>
    </row>
    <row r="67" spans="71:72" x14ac:dyDescent="0.25">
      <c r="BS67" s="513" t="s">
        <v>6989</v>
      </c>
      <c r="BT67" s="513">
        <f t="shared" si="2"/>
        <v>0.25</v>
      </c>
    </row>
    <row r="68" spans="71:72" x14ac:dyDescent="0.25">
      <c r="BS68" s="513" t="s">
        <v>6990</v>
      </c>
      <c r="BT68" s="513">
        <f t="shared" si="2"/>
        <v>0.25</v>
      </c>
    </row>
    <row r="69" spans="71:72" x14ac:dyDescent="0.25">
      <c r="BS69" s="513" t="s">
        <v>6991</v>
      </c>
      <c r="BT69" s="513">
        <f t="shared" si="2"/>
        <v>0.25</v>
      </c>
    </row>
    <row r="70" spans="71:72" x14ac:dyDescent="0.25">
      <c r="BS70" s="513" t="s">
        <v>6992</v>
      </c>
      <c r="BT70" s="513">
        <f t="shared" si="2"/>
        <v>0.25</v>
      </c>
    </row>
    <row r="71" spans="71:72" x14ac:dyDescent="0.25">
      <c r="BS71" s="513" t="s">
        <v>6993</v>
      </c>
      <c r="BT71" s="513">
        <f t="shared" si="2"/>
        <v>0.25</v>
      </c>
    </row>
    <row r="72" spans="71:72" x14ac:dyDescent="0.25">
      <c r="BS72" s="513" t="s">
        <v>6994</v>
      </c>
      <c r="BT72" s="513">
        <f t="shared" si="2"/>
        <v>0.25</v>
      </c>
    </row>
    <row r="73" spans="71:72" x14ac:dyDescent="0.25">
      <c r="BS73" s="513" t="s">
        <v>6995</v>
      </c>
      <c r="BT73" s="513">
        <f t="shared" si="2"/>
        <v>0.25</v>
      </c>
    </row>
    <row r="74" spans="71:72" x14ac:dyDescent="0.25">
      <c r="BS74" s="513" t="s">
        <v>6996</v>
      </c>
      <c r="BT74" s="513">
        <f t="shared" si="2"/>
        <v>0.25</v>
      </c>
    </row>
    <row r="75" spans="71:72" x14ac:dyDescent="0.25">
      <c r="BS75" s="513" t="s">
        <v>6997</v>
      </c>
      <c r="BT75" s="513">
        <f t="shared" si="2"/>
        <v>0.25</v>
      </c>
    </row>
    <row r="76" spans="71:72" x14ac:dyDescent="0.25">
      <c r="BS76" s="513" t="s">
        <v>6998</v>
      </c>
      <c r="BT76" s="513">
        <f t="shared" si="2"/>
        <v>0.25</v>
      </c>
    </row>
    <row r="77" spans="71:72" x14ac:dyDescent="0.25">
      <c r="BS77" s="513" t="s">
        <v>6999</v>
      </c>
      <c r="BT77" s="513">
        <f t="shared" si="2"/>
        <v>0.25</v>
      </c>
    </row>
    <row r="78" spans="71:72" x14ac:dyDescent="0.25">
      <c r="BS78" s="513" t="s">
        <v>7000</v>
      </c>
      <c r="BT78" s="513">
        <f t="shared" si="2"/>
        <v>0.25</v>
      </c>
    </row>
    <row r="79" spans="71:72" x14ac:dyDescent="0.25">
      <c r="BS79" s="513" t="s">
        <v>7001</v>
      </c>
      <c r="BT79" s="513">
        <f t="shared" si="2"/>
        <v>0.25</v>
      </c>
    </row>
    <row r="80" spans="71:72" x14ac:dyDescent="0.25">
      <c r="BS80" s="513" t="s">
        <v>7002</v>
      </c>
      <c r="BT80" s="513">
        <f t="shared" si="2"/>
        <v>0.25</v>
      </c>
    </row>
    <row r="81" spans="71:72" x14ac:dyDescent="0.25">
      <c r="BS81" s="513" t="s">
        <v>7003</v>
      </c>
      <c r="BT81" s="513">
        <f t="shared" si="2"/>
        <v>0.25</v>
      </c>
    </row>
    <row r="82" spans="71:72" x14ac:dyDescent="0.25">
      <c r="BS82" s="513" t="s">
        <v>7004</v>
      </c>
      <c r="BT82" s="513">
        <f t="shared" si="2"/>
        <v>0.25</v>
      </c>
    </row>
    <row r="83" spans="71:72" x14ac:dyDescent="0.25">
      <c r="BS83" s="513" t="s">
        <v>7005</v>
      </c>
      <c r="BT83" s="513">
        <f>1/4</f>
        <v>0.25</v>
      </c>
    </row>
    <row r="84" spans="71:72" x14ac:dyDescent="0.25">
      <c r="BS84" s="513" t="s">
        <v>7006</v>
      </c>
      <c r="BT84" s="513">
        <f t="shared" ref="BT84:BT101" si="3">1/2</f>
        <v>0.5</v>
      </c>
    </row>
    <row r="85" spans="71:72" x14ac:dyDescent="0.25">
      <c r="BS85" s="513" t="s">
        <v>7007</v>
      </c>
      <c r="BT85" s="513">
        <f t="shared" si="3"/>
        <v>0.5</v>
      </c>
    </row>
    <row r="86" spans="71:72" x14ac:dyDescent="0.25">
      <c r="BS86" s="513" t="s">
        <v>7008</v>
      </c>
      <c r="BT86" s="513">
        <f t="shared" si="3"/>
        <v>0.5</v>
      </c>
    </row>
    <row r="87" spans="71:72" x14ac:dyDescent="0.25">
      <c r="BS87" s="513" t="s">
        <v>7009</v>
      </c>
      <c r="BT87" s="513">
        <f t="shared" si="3"/>
        <v>0.5</v>
      </c>
    </row>
    <row r="88" spans="71:72" x14ac:dyDescent="0.25">
      <c r="BS88" s="513" t="s">
        <v>7010</v>
      </c>
      <c r="BT88" s="513">
        <f t="shared" si="3"/>
        <v>0.5</v>
      </c>
    </row>
    <row r="89" spans="71:72" x14ac:dyDescent="0.25">
      <c r="BS89" s="513" t="s">
        <v>7011</v>
      </c>
      <c r="BT89" s="513">
        <f t="shared" si="3"/>
        <v>0.5</v>
      </c>
    </row>
    <row r="90" spans="71:72" x14ac:dyDescent="0.25">
      <c r="BS90" s="513" t="s">
        <v>7012</v>
      </c>
      <c r="BT90" s="513">
        <f t="shared" si="3"/>
        <v>0.5</v>
      </c>
    </row>
    <row r="91" spans="71:72" x14ac:dyDescent="0.25">
      <c r="BS91" s="513" t="s">
        <v>297</v>
      </c>
      <c r="BT91" s="513">
        <f t="shared" si="3"/>
        <v>0.5</v>
      </c>
    </row>
    <row r="92" spans="71:72" x14ac:dyDescent="0.25">
      <c r="BS92" s="513" t="s">
        <v>7013</v>
      </c>
      <c r="BT92" s="513">
        <f t="shared" si="3"/>
        <v>0.5</v>
      </c>
    </row>
    <row r="93" spans="71:72" x14ac:dyDescent="0.25">
      <c r="BS93" s="513" t="s">
        <v>7014</v>
      </c>
      <c r="BT93" s="513">
        <f t="shared" si="3"/>
        <v>0.5</v>
      </c>
    </row>
    <row r="94" spans="71:72" x14ac:dyDescent="0.25">
      <c r="BS94" s="513" t="s">
        <v>7015</v>
      </c>
      <c r="BT94" s="513">
        <f t="shared" si="3"/>
        <v>0.5</v>
      </c>
    </row>
    <row r="95" spans="71:72" x14ac:dyDescent="0.25">
      <c r="BS95" s="515" t="s">
        <v>7016</v>
      </c>
      <c r="BT95" s="513">
        <f t="shared" si="3"/>
        <v>0.5</v>
      </c>
    </row>
    <row r="96" spans="71:72" x14ac:dyDescent="0.25">
      <c r="BS96" s="513" t="s">
        <v>7017</v>
      </c>
      <c r="BT96" s="513">
        <f t="shared" si="3"/>
        <v>0.5</v>
      </c>
    </row>
    <row r="97" spans="71:72" x14ac:dyDescent="0.25">
      <c r="BS97" s="515" t="s">
        <v>4269</v>
      </c>
      <c r="BT97" s="513">
        <f t="shared" si="3"/>
        <v>0.5</v>
      </c>
    </row>
    <row r="98" spans="71:72" x14ac:dyDescent="0.25">
      <c r="BS98" s="513" t="s">
        <v>7018</v>
      </c>
      <c r="BT98" s="513">
        <f t="shared" si="3"/>
        <v>0.5</v>
      </c>
    </row>
    <row r="99" spans="71:72" x14ac:dyDescent="0.25">
      <c r="BS99" s="513" t="s">
        <v>7019</v>
      </c>
      <c r="BT99" s="513">
        <f t="shared" si="3"/>
        <v>0.5</v>
      </c>
    </row>
    <row r="100" spans="71:72" x14ac:dyDescent="0.25">
      <c r="BS100" s="513" t="s">
        <v>7020</v>
      </c>
      <c r="BT100" s="513">
        <f t="shared" si="3"/>
        <v>0.5</v>
      </c>
    </row>
    <row r="101" spans="71:72" x14ac:dyDescent="0.25">
      <c r="BS101" s="513" t="s">
        <v>7021</v>
      </c>
      <c r="BT101" s="513">
        <f t="shared" si="3"/>
        <v>0.5</v>
      </c>
    </row>
    <row r="102" spans="71:72" x14ac:dyDescent="0.25">
      <c r="BT102" s="513">
        <v>1</v>
      </c>
    </row>
    <row r="103" spans="71:72" x14ac:dyDescent="0.25">
      <c r="BT103" s="513">
        <v>1</v>
      </c>
    </row>
    <row r="104" spans="71:72" x14ac:dyDescent="0.25">
      <c r="BT104" s="513">
        <v>1</v>
      </c>
    </row>
    <row r="105" spans="71:72" x14ac:dyDescent="0.25">
      <c r="BS105" s="513"/>
      <c r="BT105" s="513">
        <v>1</v>
      </c>
    </row>
    <row r="106" spans="71:72" x14ac:dyDescent="0.25">
      <c r="BT106" s="513">
        <v>1</v>
      </c>
    </row>
    <row r="107" spans="71:72" x14ac:dyDescent="0.25">
      <c r="BT107" s="513">
        <v>1</v>
      </c>
    </row>
    <row r="108" spans="71:72" x14ac:dyDescent="0.25">
      <c r="BT108" s="513">
        <v>1</v>
      </c>
    </row>
    <row r="109" spans="71:72" x14ac:dyDescent="0.25">
      <c r="BT109" s="513">
        <v>1</v>
      </c>
    </row>
    <row r="110" spans="71:72" x14ac:dyDescent="0.25">
      <c r="BT110" s="513">
        <v>1</v>
      </c>
    </row>
    <row r="111" spans="71:72" x14ac:dyDescent="0.25">
      <c r="BT111" s="513">
        <v>1</v>
      </c>
    </row>
    <row r="112" spans="71:72" x14ac:dyDescent="0.25">
      <c r="BT112" s="513">
        <v>1</v>
      </c>
    </row>
    <row r="113" spans="72:72" x14ac:dyDescent="0.25">
      <c r="BT113" s="513">
        <v>1</v>
      </c>
    </row>
    <row r="114" spans="72:72" x14ac:dyDescent="0.25">
      <c r="BT114" s="513">
        <v>1</v>
      </c>
    </row>
    <row r="115" spans="72:72" x14ac:dyDescent="0.25">
      <c r="BT115" s="513">
        <v>1</v>
      </c>
    </row>
    <row r="116" spans="72:72" x14ac:dyDescent="0.25">
      <c r="BT116" s="513">
        <v>1</v>
      </c>
    </row>
    <row r="117" spans="72:72" x14ac:dyDescent="0.25">
      <c r="BT117" s="513">
        <v>1</v>
      </c>
    </row>
    <row r="118" spans="72:72" x14ac:dyDescent="0.25">
      <c r="BT118" s="513">
        <v>1</v>
      </c>
    </row>
    <row r="119" spans="72:72" x14ac:dyDescent="0.25">
      <c r="BT119" s="513">
        <v>1</v>
      </c>
    </row>
    <row r="120" spans="72:72" x14ac:dyDescent="0.25">
      <c r="BT120" s="513">
        <v>1</v>
      </c>
    </row>
    <row r="121" spans="72:72" x14ac:dyDescent="0.25">
      <c r="BT121" s="513">
        <v>1</v>
      </c>
    </row>
    <row r="122" spans="72:72" x14ac:dyDescent="0.25">
      <c r="BT122" s="513">
        <v>2</v>
      </c>
    </row>
    <row r="123" spans="72:72" x14ac:dyDescent="0.25">
      <c r="BT123" s="513">
        <v>2</v>
      </c>
    </row>
    <row r="124" spans="72:72" x14ac:dyDescent="0.25">
      <c r="BT124" s="513">
        <v>2</v>
      </c>
    </row>
    <row r="125" spans="72:72" x14ac:dyDescent="0.25">
      <c r="BT125" s="513">
        <v>2</v>
      </c>
    </row>
    <row r="126" spans="72:72" x14ac:dyDescent="0.25">
      <c r="BT126" s="513">
        <v>2</v>
      </c>
    </row>
    <row r="127" spans="72:72" x14ac:dyDescent="0.25">
      <c r="BT127" s="513">
        <v>2</v>
      </c>
    </row>
    <row r="128" spans="72:72" x14ac:dyDescent="0.25">
      <c r="BT128" s="513">
        <v>2</v>
      </c>
    </row>
    <row r="129" spans="72:72" x14ac:dyDescent="0.25">
      <c r="BT129" s="513">
        <v>2</v>
      </c>
    </row>
    <row r="130" spans="72:72" x14ac:dyDescent="0.25">
      <c r="BT130" s="513">
        <v>2</v>
      </c>
    </row>
    <row r="131" spans="72:72" x14ac:dyDescent="0.25">
      <c r="BT131" s="513">
        <v>2</v>
      </c>
    </row>
    <row r="132" spans="72:72" x14ac:dyDescent="0.25">
      <c r="BT132" s="513">
        <v>2</v>
      </c>
    </row>
    <row r="133" spans="72:72" x14ac:dyDescent="0.25">
      <c r="BT133" s="513">
        <v>2</v>
      </c>
    </row>
    <row r="134" spans="72:72" x14ac:dyDescent="0.25">
      <c r="BT134" s="513">
        <v>2</v>
      </c>
    </row>
    <row r="135" spans="72:72" x14ac:dyDescent="0.25">
      <c r="BT135" s="513">
        <v>2</v>
      </c>
    </row>
    <row r="136" spans="72:72" x14ac:dyDescent="0.25">
      <c r="BT136" s="513">
        <v>2</v>
      </c>
    </row>
    <row r="137" spans="72:72" x14ac:dyDescent="0.25">
      <c r="BT137" s="513">
        <v>2</v>
      </c>
    </row>
    <row r="138" spans="72:72" x14ac:dyDescent="0.25">
      <c r="BT138" s="513">
        <v>2</v>
      </c>
    </row>
    <row r="139" spans="72:72" x14ac:dyDescent="0.25">
      <c r="BT139" s="513">
        <v>2</v>
      </c>
    </row>
    <row r="140" spans="72:72" x14ac:dyDescent="0.25">
      <c r="BT140" s="513">
        <v>3</v>
      </c>
    </row>
    <row r="141" spans="72:72" x14ac:dyDescent="0.25">
      <c r="BT141" s="513">
        <v>3</v>
      </c>
    </row>
    <row r="142" spans="72:72" x14ac:dyDescent="0.25">
      <c r="BT142" s="513">
        <v>3</v>
      </c>
    </row>
    <row r="143" spans="72:72" x14ac:dyDescent="0.25">
      <c r="BT143" s="513">
        <v>4</v>
      </c>
    </row>
    <row r="144" spans="72:72" x14ac:dyDescent="0.25">
      <c r="BT144" s="513">
        <v>5</v>
      </c>
    </row>
    <row r="145" spans="72:72" x14ac:dyDescent="0.25">
      <c r="BT145" s="513">
        <v>5</v>
      </c>
    </row>
    <row r="146" spans="72:72" x14ac:dyDescent="0.25">
      <c r="BT146" s="513">
        <v>5</v>
      </c>
    </row>
    <row r="147" spans="72:72" x14ac:dyDescent="0.25">
      <c r="BT147" s="513">
        <v>6</v>
      </c>
    </row>
    <row r="148" spans="72:72" x14ac:dyDescent="0.25">
      <c r="BT148" s="513">
        <v>124</v>
      </c>
    </row>
    <row r="149" spans="72:72" x14ac:dyDescent="0.25">
      <c r="BT149" s="513">
        <v>124</v>
      </c>
    </row>
    <row r="150" spans="72:72" x14ac:dyDescent="0.25">
      <c r="BT150" s="513">
        <v>125</v>
      </c>
    </row>
    <row r="151" spans="72:72" x14ac:dyDescent="0.25">
      <c r="BT151" s="513">
        <v>125</v>
      </c>
    </row>
  </sheetData>
  <mergeCells count="4">
    <mergeCell ref="A1:S1"/>
    <mergeCell ref="AV1:BL1"/>
    <mergeCell ref="BS1:CI1"/>
    <mergeCell ref="T1:AN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0"/>
  <dimension ref="A1:AJ406"/>
  <sheetViews>
    <sheetView topLeftCell="V1" zoomScale="130" zoomScaleNormal="130" workbookViewId="0">
      <selection activeCell="Z9" sqref="Z9"/>
    </sheetView>
  </sheetViews>
  <sheetFormatPr defaultRowHeight="15" x14ac:dyDescent="0.25"/>
  <cols>
    <col min="1" max="1" width="3.42578125" style="409" customWidth="1"/>
    <col min="2" max="2" width="26.7109375" style="410" bestFit="1" customWidth="1"/>
    <col min="3" max="3" width="7" style="410" bestFit="1" customWidth="1"/>
    <col min="4" max="4" width="3.5703125" style="409" bestFit="1" customWidth="1"/>
    <col min="5" max="5" width="26.7109375" style="409" bestFit="1" customWidth="1"/>
    <col min="6" max="6" width="7.28515625" style="409" bestFit="1" customWidth="1"/>
    <col min="7" max="7" width="13" style="409" bestFit="1" customWidth="1"/>
    <col min="8" max="8" width="7.85546875" style="409" bestFit="1" customWidth="1"/>
    <col min="9" max="9" width="7.85546875" style="409" customWidth="1"/>
    <col min="10" max="10" width="9.85546875" style="409" bestFit="1" customWidth="1"/>
    <col min="11" max="13" width="9.85546875" style="409" customWidth="1"/>
    <col min="14" max="14" width="9.42578125" style="408" customWidth="1"/>
    <col min="15" max="15" width="10.28515625" style="409" bestFit="1" customWidth="1"/>
    <col min="16" max="16" width="11.7109375" style="408" customWidth="1"/>
    <col min="17" max="17" width="9.140625" style="409" bestFit="1" customWidth="1"/>
    <col min="18" max="19" width="11.140625" style="409" bestFit="1" customWidth="1"/>
    <col min="20" max="20" width="12.5703125" style="409" bestFit="1" customWidth="1"/>
    <col min="21" max="21" width="11.85546875" style="409" bestFit="1" customWidth="1"/>
    <col min="22" max="22" width="10.140625" style="409" bestFit="1" customWidth="1"/>
    <col min="23" max="23" width="9.7109375" style="409" bestFit="1" customWidth="1"/>
    <col min="24" max="24" width="16.85546875" style="409" bestFit="1" customWidth="1"/>
    <col min="25" max="25" width="19" style="409" bestFit="1" customWidth="1"/>
    <col min="26" max="26" width="10.85546875" style="409" bestFit="1" customWidth="1"/>
    <col min="27" max="28" width="8.7109375" style="410"/>
    <col min="29" max="29" width="8.7109375" style="410" customWidth="1"/>
    <col min="30" max="31" width="8.7109375" style="410"/>
  </cols>
  <sheetData>
    <row r="1" spans="1:36" ht="15.75" thickBot="1" x14ac:dyDescent="0.3">
      <c r="A1" s="468"/>
      <c r="B1" s="469" t="s">
        <v>6847</v>
      </c>
      <c r="C1" s="470" t="s">
        <v>6182</v>
      </c>
      <c r="D1" s="470"/>
      <c r="E1" s="470" t="s">
        <v>6848</v>
      </c>
      <c r="F1" s="470" t="s">
        <v>6834</v>
      </c>
      <c r="G1" s="470" t="s">
        <v>6849</v>
      </c>
      <c r="H1" s="470" t="s">
        <v>166</v>
      </c>
      <c r="I1" s="470" t="s">
        <v>6846</v>
      </c>
      <c r="J1" s="470" t="s">
        <v>2356</v>
      </c>
      <c r="K1" s="470" t="s">
        <v>6141</v>
      </c>
      <c r="L1" s="470" t="s">
        <v>6142</v>
      </c>
      <c r="M1" s="470" t="s">
        <v>6143</v>
      </c>
      <c r="N1" s="470" t="s">
        <v>6833</v>
      </c>
      <c r="O1" s="470" t="s">
        <v>6832</v>
      </c>
      <c r="P1" s="470" t="s">
        <v>177</v>
      </c>
      <c r="Q1" s="471" t="s">
        <v>1112</v>
      </c>
      <c r="R1" s="471" t="s">
        <v>1113</v>
      </c>
      <c r="S1" s="471" t="s">
        <v>624</v>
      </c>
      <c r="T1" s="471" t="s">
        <v>626</v>
      </c>
      <c r="U1" s="471" t="s">
        <v>627</v>
      </c>
      <c r="V1" s="471" t="s">
        <v>620</v>
      </c>
      <c r="W1" s="471" t="s">
        <v>621</v>
      </c>
      <c r="X1" s="471" t="s">
        <v>3992</v>
      </c>
      <c r="Y1" s="471" t="s">
        <v>4016</v>
      </c>
      <c r="Z1" s="471" t="s">
        <v>628</v>
      </c>
      <c r="AA1" s="471" t="s">
        <v>1112</v>
      </c>
      <c r="AB1" s="471" t="s">
        <v>1113</v>
      </c>
      <c r="AC1" s="471" t="s">
        <v>624</v>
      </c>
      <c r="AD1" s="471" t="s">
        <v>626</v>
      </c>
      <c r="AE1" s="471" t="s">
        <v>627</v>
      </c>
      <c r="AF1" s="471" t="s">
        <v>620</v>
      </c>
      <c r="AG1" s="471" t="s">
        <v>621</v>
      </c>
      <c r="AH1" s="471" t="s">
        <v>3992</v>
      </c>
      <c r="AI1" s="471" t="s">
        <v>4016</v>
      </c>
      <c r="AJ1" s="471" t="s">
        <v>628</v>
      </c>
    </row>
    <row r="2" spans="1:36" x14ac:dyDescent="0.25">
      <c r="A2" s="409">
        <v>1</v>
      </c>
      <c r="B2" s="410" t="s">
        <v>2366</v>
      </c>
      <c r="C2" s="410" t="s">
        <v>6191</v>
      </c>
      <c r="D2" s="409">
        <v>0.5</v>
      </c>
      <c r="E2" s="408"/>
      <c r="F2" s="409" t="str">
        <f>""</f>
        <v/>
      </c>
      <c r="G2" s="409" t="s">
        <v>6835</v>
      </c>
      <c r="H2" s="409" t="s">
        <v>424</v>
      </c>
      <c r="I2" s="409" t="str">
        <f>IF(IFERROR(SEARCH("con",J2,1),0)&gt;0,"Concentration","")</f>
        <v/>
      </c>
      <c r="J2" s="409" t="s">
        <v>6192</v>
      </c>
      <c r="K2" s="409" t="s">
        <v>2536</v>
      </c>
      <c r="L2" s="409" t="s">
        <v>2562</v>
      </c>
      <c r="M2" s="409" t="s">
        <v>3857</v>
      </c>
      <c r="N2" s="408" t="str">
        <f>""</f>
        <v/>
      </c>
      <c r="O2" s="409" t="s">
        <v>6185</v>
      </c>
      <c r="P2" s="408" t="s">
        <v>6507</v>
      </c>
      <c r="T2" s="409" t="s">
        <v>626</v>
      </c>
      <c r="Z2" s="409" t="s">
        <v>628</v>
      </c>
      <c r="AA2" s="408">
        <f>IF(Q2=Q$1,1,0)</f>
        <v>0</v>
      </c>
      <c r="AB2" s="408">
        <f t="shared" ref="AB2:AB65" si="0">IF(R2=R$1,1,0)</f>
        <v>0</v>
      </c>
      <c r="AC2" s="408">
        <f t="shared" ref="AC2:AC65" si="1">IF(S2=S$1,1,0)</f>
        <v>0</v>
      </c>
      <c r="AD2" s="408">
        <f t="shared" ref="AD2:AD65" si="2">IF(T2=T$1,1,0)</f>
        <v>1</v>
      </c>
      <c r="AE2" s="408">
        <f t="shared" ref="AE2:AE65" si="3">IF(U2=U$1,1,0)</f>
        <v>0</v>
      </c>
      <c r="AF2" s="408">
        <f t="shared" ref="AF2:AF65" si="4">IF(V2=V$1,1,0)</f>
        <v>0</v>
      </c>
      <c r="AG2" s="408">
        <f t="shared" ref="AG2:AG65" si="5">IF(W2=W$1,1,0)</f>
        <v>0</v>
      </c>
      <c r="AH2" s="408">
        <f t="shared" ref="AH2:AH65" si="6">IF(X2=X$1,1,0)</f>
        <v>0</v>
      </c>
      <c r="AI2" s="408">
        <f t="shared" ref="AI2:AI65" si="7">IF(Y2=Y$1,1,0)</f>
        <v>0</v>
      </c>
      <c r="AJ2" s="408">
        <f t="shared" ref="AJ2:AJ65" si="8">IF(Z2=Z$1,1,0)</f>
        <v>1</v>
      </c>
    </row>
    <row r="3" spans="1:36" x14ac:dyDescent="0.25">
      <c r="A3" s="409">
        <f>A2+1</f>
        <v>2</v>
      </c>
      <c r="B3" s="408" t="s">
        <v>2379</v>
      </c>
      <c r="C3" s="408" t="s">
        <v>6193</v>
      </c>
      <c r="D3" s="409">
        <v>2</v>
      </c>
      <c r="E3" s="408"/>
      <c r="F3" s="409" t="str">
        <f>""</f>
        <v/>
      </c>
      <c r="G3" s="409" t="s">
        <v>6835</v>
      </c>
      <c r="H3" s="409" t="s">
        <v>5950</v>
      </c>
      <c r="I3" s="409" t="str">
        <f t="shared" ref="I3:I66" si="9">IF(IFERROR(SEARCH("con",J3,1),0)&gt;0,"Concentration","")</f>
        <v/>
      </c>
      <c r="J3" s="409" t="s">
        <v>6194</v>
      </c>
      <c r="K3" s="409" t="s">
        <v>2536</v>
      </c>
      <c r="L3" s="409" t="s">
        <v>2562</v>
      </c>
      <c r="M3" s="409" t="s">
        <v>1248</v>
      </c>
      <c r="N3" s="408" t="s">
        <v>6195</v>
      </c>
      <c r="O3" s="409" t="s">
        <v>6184</v>
      </c>
      <c r="P3" s="408" t="s">
        <v>6508</v>
      </c>
      <c r="R3" s="409" t="s">
        <v>1113</v>
      </c>
      <c r="V3" s="409" t="s">
        <v>620</v>
      </c>
      <c r="AA3" s="408">
        <f t="shared" ref="AA3:AA66" si="10">IF(Q3=Q$1,1,0)</f>
        <v>0</v>
      </c>
      <c r="AB3" s="408">
        <f t="shared" si="0"/>
        <v>1</v>
      </c>
      <c r="AC3" s="408">
        <f t="shared" si="1"/>
        <v>0</v>
      </c>
      <c r="AD3" s="408">
        <f t="shared" si="2"/>
        <v>0</v>
      </c>
      <c r="AE3" s="408">
        <f t="shared" si="3"/>
        <v>0</v>
      </c>
      <c r="AF3" s="408">
        <f t="shared" si="4"/>
        <v>1</v>
      </c>
      <c r="AG3" s="408">
        <f t="shared" si="5"/>
        <v>0</v>
      </c>
      <c r="AH3" s="408">
        <f t="shared" si="6"/>
        <v>0</v>
      </c>
      <c r="AI3" s="408">
        <f t="shared" si="7"/>
        <v>0</v>
      </c>
      <c r="AJ3" s="408">
        <f t="shared" si="8"/>
        <v>0</v>
      </c>
    </row>
    <row r="4" spans="1:36" x14ac:dyDescent="0.25">
      <c r="A4" s="409">
        <f>A3+1</f>
        <v>3</v>
      </c>
      <c r="B4" s="410" t="s">
        <v>2394</v>
      </c>
      <c r="C4" s="410" t="s">
        <v>6196</v>
      </c>
      <c r="D4" s="409">
        <v>1</v>
      </c>
      <c r="E4" s="408"/>
      <c r="F4" s="409" t="s">
        <v>6183</v>
      </c>
      <c r="G4" s="409" t="s">
        <v>6197</v>
      </c>
      <c r="H4" s="409" t="s">
        <v>5950</v>
      </c>
      <c r="I4" s="409" t="str">
        <f t="shared" si="9"/>
        <v/>
      </c>
      <c r="J4" s="409" t="s">
        <v>6194</v>
      </c>
      <c r="K4" s="409" t="s">
        <v>2536</v>
      </c>
      <c r="L4" s="409" t="s">
        <v>2562</v>
      </c>
      <c r="M4" s="409" t="s">
        <v>1248</v>
      </c>
      <c r="N4" s="408" t="s">
        <v>6198</v>
      </c>
      <c r="O4" s="409" t="s">
        <v>6184</v>
      </c>
      <c r="P4" s="408" t="s">
        <v>6509</v>
      </c>
      <c r="S4" s="409" t="s">
        <v>624</v>
      </c>
      <c r="Z4" s="409" t="s">
        <v>628</v>
      </c>
      <c r="AA4" s="408">
        <f t="shared" si="10"/>
        <v>0</v>
      </c>
      <c r="AB4" s="408">
        <f t="shared" si="0"/>
        <v>0</v>
      </c>
      <c r="AC4" s="408">
        <f t="shared" si="1"/>
        <v>1</v>
      </c>
      <c r="AD4" s="408">
        <f t="shared" si="2"/>
        <v>0</v>
      </c>
      <c r="AE4" s="408">
        <f t="shared" si="3"/>
        <v>0</v>
      </c>
      <c r="AF4" s="408">
        <f t="shared" si="4"/>
        <v>0</v>
      </c>
      <c r="AG4" s="408">
        <f t="shared" si="5"/>
        <v>0</v>
      </c>
      <c r="AH4" s="408">
        <f t="shared" si="6"/>
        <v>0</v>
      </c>
      <c r="AI4" s="408">
        <f t="shared" si="7"/>
        <v>0</v>
      </c>
      <c r="AJ4" s="408">
        <f t="shared" si="8"/>
        <v>1</v>
      </c>
    </row>
    <row r="5" spans="1:36" x14ac:dyDescent="0.25">
      <c r="A5" s="409">
        <f t="shared" ref="A5:A68" si="11">A4+1</f>
        <v>4</v>
      </c>
      <c r="B5" s="410" t="s">
        <v>2408</v>
      </c>
      <c r="C5" s="410" t="s">
        <v>6193</v>
      </c>
      <c r="D5" s="409">
        <v>2</v>
      </c>
      <c r="E5" s="408"/>
      <c r="F5" s="409" t="str">
        <f>""</f>
        <v/>
      </c>
      <c r="G5" s="409" t="s">
        <v>6835</v>
      </c>
      <c r="H5" s="409" t="s">
        <v>6199</v>
      </c>
      <c r="I5" s="409" t="str">
        <f t="shared" si="9"/>
        <v>Concentration</v>
      </c>
      <c r="J5" s="409" t="s">
        <v>6200</v>
      </c>
      <c r="K5" s="409" t="s">
        <v>2536</v>
      </c>
      <c r="L5" s="409" t="s">
        <v>2562</v>
      </c>
      <c r="M5" s="409" t="s">
        <v>3857</v>
      </c>
      <c r="N5" s="408" t="str">
        <f>""</f>
        <v/>
      </c>
      <c r="O5" s="409" t="s">
        <v>6190</v>
      </c>
      <c r="P5" s="408" t="s">
        <v>6842</v>
      </c>
      <c r="T5" s="409" t="s">
        <v>626</v>
      </c>
      <c r="Z5" s="409" t="s">
        <v>628</v>
      </c>
      <c r="AA5" s="408">
        <f t="shared" si="10"/>
        <v>0</v>
      </c>
      <c r="AB5" s="408">
        <f t="shared" si="0"/>
        <v>0</v>
      </c>
      <c r="AC5" s="408">
        <f t="shared" si="1"/>
        <v>0</v>
      </c>
      <c r="AD5" s="408">
        <f t="shared" si="2"/>
        <v>1</v>
      </c>
      <c r="AE5" s="408">
        <f t="shared" si="3"/>
        <v>0</v>
      </c>
      <c r="AF5" s="408">
        <f t="shared" si="4"/>
        <v>0</v>
      </c>
      <c r="AG5" s="408">
        <f t="shared" si="5"/>
        <v>0</v>
      </c>
      <c r="AH5" s="408">
        <f t="shared" si="6"/>
        <v>0</v>
      </c>
      <c r="AI5" s="408">
        <f t="shared" si="7"/>
        <v>0</v>
      </c>
      <c r="AJ5" s="408">
        <f t="shared" si="8"/>
        <v>1</v>
      </c>
    </row>
    <row r="6" spans="1:36" x14ac:dyDescent="0.25">
      <c r="A6" s="409">
        <f t="shared" si="11"/>
        <v>5</v>
      </c>
      <c r="B6" s="410" t="s">
        <v>2422</v>
      </c>
      <c r="C6" s="410" t="s">
        <v>6196</v>
      </c>
      <c r="D6" s="409">
        <v>1</v>
      </c>
      <c r="E6" s="408"/>
      <c r="F6" s="409" t="str">
        <f>""</f>
        <v/>
      </c>
      <c r="G6" s="409" t="s">
        <v>6835</v>
      </c>
      <c r="H6" s="409" t="s">
        <v>5950</v>
      </c>
      <c r="I6" s="409" t="str">
        <f t="shared" si="9"/>
        <v/>
      </c>
      <c r="J6" s="409" t="s">
        <v>6201</v>
      </c>
      <c r="K6" s="409" t="s">
        <v>2536</v>
      </c>
      <c r="L6" s="409" t="s">
        <v>2562</v>
      </c>
      <c r="M6" s="409" t="s">
        <v>1248</v>
      </c>
      <c r="N6" s="408" t="s">
        <v>6202</v>
      </c>
      <c r="O6" s="409" t="s">
        <v>6186</v>
      </c>
      <c r="P6" s="408" t="s">
        <v>6510</v>
      </c>
      <c r="Q6" s="409" t="s">
        <v>1112</v>
      </c>
      <c r="S6" s="409" t="s">
        <v>624</v>
      </c>
      <c r="W6" s="409" t="s">
        <v>621</v>
      </c>
      <c r="AA6" s="408">
        <f t="shared" si="10"/>
        <v>1</v>
      </c>
      <c r="AB6" s="408">
        <f t="shared" si="0"/>
        <v>0</v>
      </c>
      <c r="AC6" s="408">
        <f t="shared" si="1"/>
        <v>1</v>
      </c>
      <c r="AD6" s="408">
        <f t="shared" si="2"/>
        <v>0</v>
      </c>
      <c r="AE6" s="408">
        <f t="shared" si="3"/>
        <v>0</v>
      </c>
      <c r="AF6" s="408">
        <f t="shared" si="4"/>
        <v>0</v>
      </c>
      <c r="AG6" s="408">
        <f t="shared" si="5"/>
        <v>1</v>
      </c>
      <c r="AH6" s="408">
        <f t="shared" si="6"/>
        <v>0</v>
      </c>
      <c r="AI6" s="408">
        <f t="shared" si="7"/>
        <v>0</v>
      </c>
      <c r="AJ6" s="408">
        <f t="shared" si="8"/>
        <v>0</v>
      </c>
    </row>
    <row r="7" spans="1:36" x14ac:dyDescent="0.25">
      <c r="A7" s="409">
        <f t="shared" si="11"/>
        <v>6</v>
      </c>
      <c r="B7" s="410" t="s">
        <v>2436</v>
      </c>
      <c r="C7" s="410" t="s">
        <v>6193</v>
      </c>
      <c r="D7" s="409">
        <v>2</v>
      </c>
      <c r="E7" s="408"/>
      <c r="F7" s="409" t="s">
        <v>6183</v>
      </c>
      <c r="G7" s="409" t="s">
        <v>6836</v>
      </c>
      <c r="H7" s="409" t="s">
        <v>5950</v>
      </c>
      <c r="I7" s="409" t="str">
        <f t="shared" si="9"/>
        <v/>
      </c>
      <c r="J7" s="409" t="s">
        <v>6201</v>
      </c>
      <c r="K7" s="409" t="s">
        <v>2536</v>
      </c>
      <c r="L7" s="409" t="s">
        <v>2562</v>
      </c>
      <c r="M7" s="409" t="s">
        <v>1248</v>
      </c>
      <c r="N7" s="408" t="s">
        <v>6202</v>
      </c>
      <c r="O7" s="409" t="s">
        <v>6186</v>
      </c>
      <c r="P7" s="408" t="s">
        <v>6511</v>
      </c>
      <c r="Q7" s="409" t="s">
        <v>1112</v>
      </c>
      <c r="S7" s="409" t="s">
        <v>624</v>
      </c>
      <c r="W7" s="409" t="s">
        <v>621</v>
      </c>
      <c r="AA7" s="408">
        <f t="shared" si="10"/>
        <v>1</v>
      </c>
      <c r="AB7" s="408">
        <f t="shared" si="0"/>
        <v>0</v>
      </c>
      <c r="AC7" s="408">
        <f t="shared" si="1"/>
        <v>1</v>
      </c>
      <c r="AD7" s="408">
        <f t="shared" si="2"/>
        <v>0</v>
      </c>
      <c r="AE7" s="408">
        <f t="shared" si="3"/>
        <v>0</v>
      </c>
      <c r="AF7" s="408">
        <f t="shared" si="4"/>
        <v>0</v>
      </c>
      <c r="AG7" s="408">
        <f t="shared" si="5"/>
        <v>1</v>
      </c>
      <c r="AH7" s="408">
        <f t="shared" si="6"/>
        <v>0</v>
      </c>
      <c r="AI7" s="408">
        <f t="shared" si="7"/>
        <v>0</v>
      </c>
      <c r="AJ7" s="408">
        <f t="shared" si="8"/>
        <v>0</v>
      </c>
    </row>
    <row r="8" spans="1:36" x14ac:dyDescent="0.25">
      <c r="A8" s="409">
        <f t="shared" si="11"/>
        <v>7</v>
      </c>
      <c r="B8" s="410" t="s">
        <v>2448</v>
      </c>
      <c r="C8" s="410" t="s">
        <v>6203</v>
      </c>
      <c r="D8" s="409">
        <v>8</v>
      </c>
      <c r="E8" s="408"/>
      <c r="F8" s="409" t="str">
        <f>""</f>
        <v/>
      </c>
      <c r="G8" s="409" t="s">
        <v>6835</v>
      </c>
      <c r="H8" s="409" t="s">
        <v>5950</v>
      </c>
      <c r="I8" s="409" t="str">
        <f t="shared" si="9"/>
        <v>Concentration</v>
      </c>
      <c r="J8" s="409" t="s">
        <v>6204</v>
      </c>
      <c r="K8" s="409" t="s">
        <v>2536</v>
      </c>
      <c r="L8" s="409" t="s">
        <v>2562</v>
      </c>
      <c r="M8" s="409" t="s">
        <v>3857</v>
      </c>
      <c r="N8" s="408" t="str">
        <f>""</f>
        <v/>
      </c>
      <c r="O8" s="409" t="s">
        <v>6190</v>
      </c>
      <c r="P8" s="408" t="s">
        <v>2451</v>
      </c>
      <c r="W8" s="409" t="s">
        <v>621</v>
      </c>
      <c r="AA8" s="408">
        <f t="shared" si="10"/>
        <v>0</v>
      </c>
      <c r="AB8" s="408">
        <f t="shared" si="0"/>
        <v>0</v>
      </c>
      <c r="AC8" s="408">
        <f t="shared" si="1"/>
        <v>0</v>
      </c>
      <c r="AD8" s="408">
        <f t="shared" si="2"/>
        <v>0</v>
      </c>
      <c r="AE8" s="408">
        <f t="shared" si="3"/>
        <v>0</v>
      </c>
      <c r="AF8" s="408">
        <f t="shared" si="4"/>
        <v>0</v>
      </c>
      <c r="AG8" s="408">
        <f t="shared" si="5"/>
        <v>1</v>
      </c>
      <c r="AH8" s="408">
        <f t="shared" si="6"/>
        <v>0</v>
      </c>
      <c r="AI8" s="408">
        <f t="shared" si="7"/>
        <v>0</v>
      </c>
      <c r="AJ8" s="408">
        <f t="shared" si="8"/>
        <v>0</v>
      </c>
    </row>
    <row r="9" spans="1:36" x14ac:dyDescent="0.25">
      <c r="A9" s="409">
        <f t="shared" si="11"/>
        <v>8</v>
      </c>
      <c r="B9" s="410" t="s">
        <v>2459</v>
      </c>
      <c r="C9" s="410" t="s">
        <v>6205</v>
      </c>
      <c r="D9" s="409">
        <v>3</v>
      </c>
      <c r="E9" s="408"/>
      <c r="F9" s="409" t="str">
        <f>""</f>
        <v/>
      </c>
      <c r="G9" s="409" t="s">
        <v>6206</v>
      </c>
      <c r="H9" s="409" t="s">
        <v>5942</v>
      </c>
      <c r="I9" s="409" t="str">
        <f t="shared" si="9"/>
        <v/>
      </c>
      <c r="J9" s="409" t="s">
        <v>6192</v>
      </c>
      <c r="K9" s="409" t="s">
        <v>2536</v>
      </c>
      <c r="L9" s="409" t="s">
        <v>2562</v>
      </c>
      <c r="M9" s="409" t="s">
        <v>1248</v>
      </c>
      <c r="N9" s="408" t="s">
        <v>6207</v>
      </c>
      <c r="O9" s="409" t="s">
        <v>6189</v>
      </c>
      <c r="P9" s="408" t="s">
        <v>6512</v>
      </c>
      <c r="V9" s="409" t="s">
        <v>620</v>
      </c>
      <c r="Z9" s="409" t="s">
        <v>628</v>
      </c>
      <c r="AA9" s="408">
        <f t="shared" si="10"/>
        <v>0</v>
      </c>
      <c r="AB9" s="408">
        <f t="shared" si="0"/>
        <v>0</v>
      </c>
      <c r="AC9" s="408">
        <f t="shared" si="1"/>
        <v>0</v>
      </c>
      <c r="AD9" s="408">
        <f t="shared" si="2"/>
        <v>0</v>
      </c>
      <c r="AE9" s="408">
        <f t="shared" si="3"/>
        <v>0</v>
      </c>
      <c r="AF9" s="408">
        <f t="shared" si="4"/>
        <v>1</v>
      </c>
      <c r="AG9" s="408">
        <f t="shared" si="5"/>
        <v>0</v>
      </c>
      <c r="AH9" s="408">
        <f t="shared" si="6"/>
        <v>0</v>
      </c>
      <c r="AI9" s="408">
        <f t="shared" si="7"/>
        <v>0</v>
      </c>
      <c r="AJ9" s="408">
        <f t="shared" si="8"/>
        <v>1</v>
      </c>
    </row>
    <row r="10" spans="1:36" x14ac:dyDescent="0.25">
      <c r="A10" s="409">
        <f t="shared" si="11"/>
        <v>9</v>
      </c>
      <c r="B10" s="410" t="s">
        <v>2471</v>
      </c>
      <c r="C10" s="410" t="s">
        <v>6208</v>
      </c>
      <c r="D10" s="409">
        <v>5</v>
      </c>
      <c r="E10" s="408"/>
      <c r="F10" s="409" t="str">
        <f>""</f>
        <v/>
      </c>
      <c r="G10" s="409" t="s">
        <v>6835</v>
      </c>
      <c r="H10" s="409" t="s">
        <v>6209</v>
      </c>
      <c r="I10" s="409" t="str">
        <f t="shared" si="9"/>
        <v>Concentration</v>
      </c>
      <c r="J10" s="409" t="s">
        <v>6210</v>
      </c>
      <c r="K10" s="409" t="s">
        <v>2536</v>
      </c>
      <c r="L10" s="409" t="s">
        <v>2562</v>
      </c>
      <c r="M10" s="409" t="s">
        <v>3857</v>
      </c>
      <c r="N10" s="408" t="str">
        <f>""</f>
        <v/>
      </c>
      <c r="O10" s="409" t="s">
        <v>6190</v>
      </c>
      <c r="P10" s="408" t="s">
        <v>6513</v>
      </c>
      <c r="Q10" s="409" t="s">
        <v>1112</v>
      </c>
      <c r="T10" s="409" t="s">
        <v>626</v>
      </c>
      <c r="Z10" s="409" t="s">
        <v>628</v>
      </c>
      <c r="AA10" s="408">
        <f t="shared" si="10"/>
        <v>1</v>
      </c>
      <c r="AB10" s="408">
        <f t="shared" si="0"/>
        <v>0</v>
      </c>
      <c r="AC10" s="408">
        <f t="shared" si="1"/>
        <v>0</v>
      </c>
      <c r="AD10" s="408">
        <f t="shared" si="2"/>
        <v>1</v>
      </c>
      <c r="AE10" s="408">
        <f t="shared" si="3"/>
        <v>0</v>
      </c>
      <c r="AF10" s="408">
        <f t="shared" si="4"/>
        <v>0</v>
      </c>
      <c r="AG10" s="408">
        <f t="shared" si="5"/>
        <v>0</v>
      </c>
      <c r="AH10" s="408">
        <f t="shared" si="6"/>
        <v>0</v>
      </c>
      <c r="AI10" s="408">
        <f t="shared" si="7"/>
        <v>0</v>
      </c>
      <c r="AJ10" s="408">
        <f t="shared" si="8"/>
        <v>1</v>
      </c>
    </row>
    <row r="11" spans="1:36" x14ac:dyDescent="0.25">
      <c r="A11" s="409">
        <f t="shared" si="11"/>
        <v>10</v>
      </c>
      <c r="B11" s="410" t="s">
        <v>2483</v>
      </c>
      <c r="C11" s="410" t="s">
        <v>6208</v>
      </c>
      <c r="D11" s="409">
        <v>5</v>
      </c>
      <c r="E11" s="408"/>
      <c r="F11" s="409" t="str">
        <f>""</f>
        <v/>
      </c>
      <c r="G11" s="409" t="s">
        <v>6835</v>
      </c>
      <c r="H11" s="409" t="s">
        <v>6199</v>
      </c>
      <c r="I11" s="409" t="str">
        <f t="shared" si="9"/>
        <v>Concentration</v>
      </c>
      <c r="J11" s="409" t="s">
        <v>6200</v>
      </c>
      <c r="K11" s="409" t="s">
        <v>2536</v>
      </c>
      <c r="L11" s="409" t="s">
        <v>2562</v>
      </c>
      <c r="M11" s="409" t="s">
        <v>3857</v>
      </c>
      <c r="N11" s="408" t="str">
        <f>""</f>
        <v/>
      </c>
      <c r="O11" s="409" t="s">
        <v>6184</v>
      </c>
      <c r="P11" s="408" t="s">
        <v>2486</v>
      </c>
      <c r="W11" s="409" t="s">
        <v>621</v>
      </c>
      <c r="AA11" s="408">
        <f t="shared" si="10"/>
        <v>0</v>
      </c>
      <c r="AB11" s="408">
        <f t="shared" si="0"/>
        <v>0</v>
      </c>
      <c r="AC11" s="408">
        <f t="shared" si="1"/>
        <v>0</v>
      </c>
      <c r="AD11" s="408">
        <f t="shared" si="2"/>
        <v>0</v>
      </c>
      <c r="AE11" s="408">
        <f t="shared" si="3"/>
        <v>0</v>
      </c>
      <c r="AF11" s="408">
        <f t="shared" si="4"/>
        <v>0</v>
      </c>
      <c r="AG11" s="408">
        <f t="shared" si="5"/>
        <v>1</v>
      </c>
      <c r="AH11" s="408">
        <f t="shared" si="6"/>
        <v>0</v>
      </c>
      <c r="AI11" s="408">
        <f t="shared" si="7"/>
        <v>0</v>
      </c>
      <c r="AJ11" s="408">
        <f t="shared" si="8"/>
        <v>0</v>
      </c>
    </row>
    <row r="12" spans="1:36" x14ac:dyDescent="0.25">
      <c r="A12" s="409">
        <f t="shared" si="11"/>
        <v>11</v>
      </c>
      <c r="B12" s="410" t="s">
        <v>2494</v>
      </c>
      <c r="C12" s="410" t="s">
        <v>6203</v>
      </c>
      <c r="D12" s="409">
        <v>8</v>
      </c>
      <c r="E12" s="408"/>
      <c r="F12" s="409" t="str">
        <f>""</f>
        <v/>
      </c>
      <c r="G12" s="409" t="s">
        <v>6835</v>
      </c>
      <c r="H12" s="409" t="s">
        <v>6199</v>
      </c>
      <c r="I12" s="409" t="str">
        <f t="shared" si="9"/>
        <v>Concentration</v>
      </c>
      <c r="J12" s="409" t="s">
        <v>6200</v>
      </c>
      <c r="K12" s="409" t="s">
        <v>2536</v>
      </c>
      <c r="L12" s="409" t="s">
        <v>2562</v>
      </c>
      <c r="M12" s="409" t="s">
        <v>1248</v>
      </c>
      <c r="N12" s="408" t="s">
        <v>6211</v>
      </c>
      <c r="O12" s="409" t="s">
        <v>6184</v>
      </c>
      <c r="P12" s="408" t="s">
        <v>6514</v>
      </c>
      <c r="V12" s="409" t="s">
        <v>620</v>
      </c>
      <c r="Z12" s="409" t="s">
        <v>628</v>
      </c>
      <c r="AA12" s="408">
        <f t="shared" si="10"/>
        <v>0</v>
      </c>
      <c r="AB12" s="408">
        <f t="shared" si="0"/>
        <v>0</v>
      </c>
      <c r="AC12" s="408">
        <f t="shared" si="1"/>
        <v>0</v>
      </c>
      <c r="AD12" s="408">
        <f t="shared" si="2"/>
        <v>0</v>
      </c>
      <c r="AE12" s="408">
        <f t="shared" si="3"/>
        <v>0</v>
      </c>
      <c r="AF12" s="408">
        <f t="shared" si="4"/>
        <v>1</v>
      </c>
      <c r="AG12" s="408">
        <f t="shared" si="5"/>
        <v>0</v>
      </c>
      <c r="AH12" s="408">
        <f t="shared" si="6"/>
        <v>0</v>
      </c>
      <c r="AI12" s="408">
        <f t="shared" si="7"/>
        <v>0</v>
      </c>
      <c r="AJ12" s="408">
        <f t="shared" si="8"/>
        <v>1</v>
      </c>
    </row>
    <row r="13" spans="1:36" x14ac:dyDescent="0.25">
      <c r="A13" s="409">
        <f t="shared" si="11"/>
        <v>12</v>
      </c>
      <c r="B13" s="410" t="s">
        <v>2498</v>
      </c>
      <c r="C13" s="410" t="s">
        <v>6203</v>
      </c>
      <c r="D13" s="409">
        <v>8</v>
      </c>
      <c r="E13" s="408"/>
      <c r="F13" s="409" t="str">
        <f>""</f>
        <v/>
      </c>
      <c r="G13" s="409" t="s">
        <v>6212</v>
      </c>
      <c r="H13" s="409" t="s">
        <v>424</v>
      </c>
      <c r="I13" s="409" t="str">
        <f t="shared" si="9"/>
        <v/>
      </c>
      <c r="J13" s="409" t="s">
        <v>2502</v>
      </c>
      <c r="K13" s="409" t="s">
        <v>2536</v>
      </c>
      <c r="L13" s="409" t="s">
        <v>2562</v>
      </c>
      <c r="M13" s="409" t="s">
        <v>1248</v>
      </c>
      <c r="N13" s="408" t="s">
        <v>6213</v>
      </c>
      <c r="O13" s="409" t="s">
        <v>6186</v>
      </c>
      <c r="P13" s="408" t="s">
        <v>6515</v>
      </c>
      <c r="W13" s="409" t="s">
        <v>621</v>
      </c>
      <c r="Z13" s="409" t="s">
        <v>628</v>
      </c>
      <c r="AA13" s="408">
        <f t="shared" si="10"/>
        <v>0</v>
      </c>
      <c r="AB13" s="408">
        <f t="shared" si="0"/>
        <v>0</v>
      </c>
      <c r="AC13" s="408">
        <f t="shared" si="1"/>
        <v>0</v>
      </c>
      <c r="AD13" s="408">
        <f t="shared" si="2"/>
        <v>0</v>
      </c>
      <c r="AE13" s="408">
        <f t="shared" si="3"/>
        <v>0</v>
      </c>
      <c r="AF13" s="408">
        <f t="shared" si="4"/>
        <v>0</v>
      </c>
      <c r="AG13" s="408">
        <f t="shared" si="5"/>
        <v>1</v>
      </c>
      <c r="AH13" s="408">
        <f t="shared" si="6"/>
        <v>0</v>
      </c>
      <c r="AI13" s="408">
        <f t="shared" si="7"/>
        <v>0</v>
      </c>
      <c r="AJ13" s="408">
        <f t="shared" si="8"/>
        <v>1</v>
      </c>
    </row>
    <row r="14" spans="1:36" x14ac:dyDescent="0.25">
      <c r="A14" s="409">
        <f t="shared" si="11"/>
        <v>13</v>
      </c>
      <c r="B14" s="410" t="s">
        <v>2504</v>
      </c>
      <c r="C14" s="410" t="s">
        <v>6214</v>
      </c>
      <c r="D14" s="409">
        <v>4</v>
      </c>
      <c r="E14" s="408"/>
      <c r="F14" s="409" t="str">
        <f>""</f>
        <v/>
      </c>
      <c r="G14" s="409" t="s">
        <v>6835</v>
      </c>
      <c r="H14" s="409" t="s">
        <v>5950</v>
      </c>
      <c r="I14" s="409" t="str">
        <f t="shared" si="9"/>
        <v>Concentration</v>
      </c>
      <c r="J14" s="409" t="s">
        <v>6200</v>
      </c>
      <c r="K14" s="409" t="s">
        <v>2536</v>
      </c>
      <c r="L14" s="409" t="s">
        <v>2562</v>
      </c>
      <c r="M14" s="409" t="s">
        <v>1248</v>
      </c>
      <c r="N14" s="408" t="s">
        <v>6215</v>
      </c>
      <c r="O14" s="409" t="s">
        <v>2792</v>
      </c>
      <c r="P14" s="408" t="s">
        <v>6516</v>
      </c>
      <c r="Z14" s="409" t="s">
        <v>628</v>
      </c>
      <c r="AA14" s="408">
        <f t="shared" si="10"/>
        <v>0</v>
      </c>
      <c r="AB14" s="408">
        <f t="shared" si="0"/>
        <v>0</v>
      </c>
      <c r="AC14" s="408">
        <f t="shared" si="1"/>
        <v>0</v>
      </c>
      <c r="AD14" s="408">
        <f t="shared" si="2"/>
        <v>0</v>
      </c>
      <c r="AE14" s="408">
        <f t="shared" si="3"/>
        <v>0</v>
      </c>
      <c r="AF14" s="408">
        <f t="shared" si="4"/>
        <v>0</v>
      </c>
      <c r="AG14" s="408">
        <f t="shared" si="5"/>
        <v>0</v>
      </c>
      <c r="AH14" s="408">
        <f t="shared" si="6"/>
        <v>0</v>
      </c>
      <c r="AI14" s="408">
        <f t="shared" si="7"/>
        <v>0</v>
      </c>
      <c r="AJ14" s="408">
        <f t="shared" si="8"/>
        <v>1</v>
      </c>
    </row>
    <row r="15" spans="1:36" x14ac:dyDescent="0.25">
      <c r="A15" s="409">
        <f t="shared" si="11"/>
        <v>14</v>
      </c>
      <c r="B15" s="410" t="s">
        <v>2508</v>
      </c>
      <c r="C15" s="410" t="s">
        <v>6216</v>
      </c>
      <c r="D15" s="409">
        <v>6</v>
      </c>
      <c r="E15" s="408"/>
      <c r="F15" s="409" t="str">
        <f>""</f>
        <v/>
      </c>
      <c r="G15" s="409" t="s">
        <v>6835</v>
      </c>
      <c r="H15" s="409" t="s">
        <v>6217</v>
      </c>
      <c r="I15" s="409" t="str">
        <f t="shared" si="9"/>
        <v>Concentration</v>
      </c>
      <c r="J15" s="409" t="s">
        <v>6218</v>
      </c>
      <c r="K15" s="409" t="s">
        <v>2536</v>
      </c>
      <c r="L15" s="409" t="s">
        <v>2562</v>
      </c>
      <c r="M15" s="409" t="s">
        <v>3857</v>
      </c>
      <c r="N15" s="408" t="str">
        <f>""</f>
        <v/>
      </c>
      <c r="O15" s="409" t="s">
        <v>6185</v>
      </c>
      <c r="P15" s="408" t="s">
        <v>6517</v>
      </c>
      <c r="T15" s="409" t="s">
        <v>626</v>
      </c>
      <c r="U15" s="409" t="s">
        <v>627</v>
      </c>
      <c r="Z15" s="409" t="s">
        <v>628</v>
      </c>
      <c r="AA15" s="408">
        <f t="shared" si="10"/>
        <v>0</v>
      </c>
      <c r="AB15" s="408">
        <f t="shared" si="0"/>
        <v>0</v>
      </c>
      <c r="AC15" s="408">
        <f t="shared" si="1"/>
        <v>0</v>
      </c>
      <c r="AD15" s="408">
        <f t="shared" si="2"/>
        <v>1</v>
      </c>
      <c r="AE15" s="408">
        <f t="shared" si="3"/>
        <v>1</v>
      </c>
      <c r="AF15" s="408">
        <f t="shared" si="4"/>
        <v>0</v>
      </c>
      <c r="AG15" s="408">
        <f t="shared" si="5"/>
        <v>0</v>
      </c>
      <c r="AH15" s="408">
        <f t="shared" si="6"/>
        <v>0</v>
      </c>
      <c r="AI15" s="408">
        <f t="shared" si="7"/>
        <v>0</v>
      </c>
      <c r="AJ15" s="408">
        <f t="shared" si="8"/>
        <v>1</v>
      </c>
    </row>
    <row r="16" spans="1:36" x14ac:dyDescent="0.25">
      <c r="A16" s="409">
        <f t="shared" si="11"/>
        <v>15</v>
      </c>
      <c r="B16" s="410" t="s">
        <v>2513</v>
      </c>
      <c r="C16" s="410" t="s">
        <v>6193</v>
      </c>
      <c r="D16" s="409">
        <v>2</v>
      </c>
      <c r="E16" s="408"/>
      <c r="F16" s="409" t="str">
        <f>""</f>
        <v/>
      </c>
      <c r="G16" s="409" t="s">
        <v>6835</v>
      </c>
      <c r="H16" s="409" t="s">
        <v>6219</v>
      </c>
      <c r="I16" s="409" t="str">
        <f t="shared" si="9"/>
        <v/>
      </c>
      <c r="J16" s="409" t="s">
        <v>6220</v>
      </c>
      <c r="K16" s="409" t="s">
        <v>2536</v>
      </c>
      <c r="L16" s="409" t="s">
        <v>2562</v>
      </c>
      <c r="M16" s="409" t="s">
        <v>1248</v>
      </c>
      <c r="N16" s="408" t="s">
        <v>6221</v>
      </c>
      <c r="O16" s="409" t="s">
        <v>6185</v>
      </c>
      <c r="P16" s="408" t="s">
        <v>6518</v>
      </c>
      <c r="Z16" s="409" t="s">
        <v>628</v>
      </c>
      <c r="AA16" s="408">
        <f t="shared" si="10"/>
        <v>0</v>
      </c>
      <c r="AB16" s="408">
        <f t="shared" si="0"/>
        <v>0</v>
      </c>
      <c r="AC16" s="408">
        <f t="shared" si="1"/>
        <v>0</v>
      </c>
      <c r="AD16" s="408">
        <f t="shared" si="2"/>
        <v>0</v>
      </c>
      <c r="AE16" s="408">
        <f t="shared" si="3"/>
        <v>0</v>
      </c>
      <c r="AF16" s="408">
        <f t="shared" si="4"/>
        <v>0</v>
      </c>
      <c r="AG16" s="408">
        <f t="shared" si="5"/>
        <v>0</v>
      </c>
      <c r="AH16" s="408">
        <f t="shared" si="6"/>
        <v>0</v>
      </c>
      <c r="AI16" s="408">
        <f t="shared" si="7"/>
        <v>0</v>
      </c>
      <c r="AJ16" s="408">
        <f t="shared" si="8"/>
        <v>1</v>
      </c>
    </row>
    <row r="17" spans="1:36" x14ac:dyDescent="0.25">
      <c r="A17" s="409">
        <f t="shared" si="11"/>
        <v>16</v>
      </c>
      <c r="B17" s="410" t="s">
        <v>2518</v>
      </c>
      <c r="C17" s="410" t="s">
        <v>6196</v>
      </c>
      <c r="D17" s="409">
        <v>1</v>
      </c>
      <c r="E17" s="408"/>
      <c r="F17" s="409" t="str">
        <f>""</f>
        <v/>
      </c>
      <c r="G17" s="409" t="s">
        <v>6835</v>
      </c>
      <c r="H17" s="409" t="s">
        <v>6199</v>
      </c>
      <c r="I17" s="409" t="str">
        <f t="shared" si="9"/>
        <v/>
      </c>
      <c r="J17" s="409" t="s">
        <v>6212</v>
      </c>
      <c r="K17" s="409" t="s">
        <v>2536</v>
      </c>
      <c r="L17" s="409" t="s">
        <v>2562</v>
      </c>
      <c r="M17" s="409" t="s">
        <v>1248</v>
      </c>
      <c r="N17" s="408" t="s">
        <v>6222</v>
      </c>
      <c r="O17" s="409" t="s">
        <v>6184</v>
      </c>
      <c r="P17" s="408" t="s">
        <v>6519</v>
      </c>
      <c r="U17" s="409" t="s">
        <v>627</v>
      </c>
      <c r="AA17" s="408">
        <f t="shared" si="10"/>
        <v>0</v>
      </c>
      <c r="AB17" s="408">
        <f t="shared" si="0"/>
        <v>0</v>
      </c>
      <c r="AC17" s="408">
        <f t="shared" si="1"/>
        <v>0</v>
      </c>
      <c r="AD17" s="408">
        <f t="shared" si="2"/>
        <v>0</v>
      </c>
      <c r="AE17" s="408">
        <f t="shared" si="3"/>
        <v>1</v>
      </c>
      <c r="AF17" s="408">
        <f t="shared" si="4"/>
        <v>0</v>
      </c>
      <c r="AG17" s="408">
        <f t="shared" si="5"/>
        <v>0</v>
      </c>
      <c r="AH17" s="408">
        <f t="shared" si="6"/>
        <v>0</v>
      </c>
      <c r="AI17" s="408">
        <f t="shared" si="7"/>
        <v>0</v>
      </c>
      <c r="AJ17" s="408">
        <f t="shared" si="8"/>
        <v>0</v>
      </c>
    </row>
    <row r="18" spans="1:36" x14ac:dyDescent="0.25">
      <c r="A18" s="409">
        <f t="shared" si="11"/>
        <v>17</v>
      </c>
      <c r="B18" s="410" t="s">
        <v>2522</v>
      </c>
      <c r="C18" s="410" t="s">
        <v>6196</v>
      </c>
      <c r="D18" s="409">
        <v>1</v>
      </c>
      <c r="E18" s="408"/>
      <c r="F18" s="409" t="str">
        <f>""</f>
        <v/>
      </c>
      <c r="G18" s="409" t="s">
        <v>6835</v>
      </c>
      <c r="H18" s="409" t="s">
        <v>6199</v>
      </c>
      <c r="I18" s="409" t="str">
        <f t="shared" si="9"/>
        <v/>
      </c>
      <c r="J18" s="409" t="s">
        <v>6192</v>
      </c>
      <c r="K18" s="409" t="s">
        <v>2536</v>
      </c>
      <c r="L18" s="409" t="s">
        <v>2562</v>
      </c>
      <c r="M18" s="409" t="s">
        <v>3857</v>
      </c>
      <c r="N18" s="408" t="str">
        <f>""</f>
        <v/>
      </c>
      <c r="O18" s="409" t="s">
        <v>6185</v>
      </c>
      <c r="P18" s="408" t="s">
        <v>6520</v>
      </c>
      <c r="U18" s="409" t="s">
        <v>627</v>
      </c>
      <c r="AA18" s="408">
        <f t="shared" si="10"/>
        <v>0</v>
      </c>
      <c r="AB18" s="408">
        <f t="shared" si="0"/>
        <v>0</v>
      </c>
      <c r="AC18" s="408">
        <f t="shared" si="1"/>
        <v>0</v>
      </c>
      <c r="AD18" s="408">
        <f t="shared" si="2"/>
        <v>0</v>
      </c>
      <c r="AE18" s="408">
        <f t="shared" si="3"/>
        <v>1</v>
      </c>
      <c r="AF18" s="408">
        <f t="shared" si="4"/>
        <v>0</v>
      </c>
      <c r="AG18" s="408">
        <f t="shared" si="5"/>
        <v>0</v>
      </c>
      <c r="AH18" s="408">
        <f t="shared" si="6"/>
        <v>0</v>
      </c>
      <c r="AI18" s="408">
        <f t="shared" si="7"/>
        <v>0</v>
      </c>
      <c r="AJ18" s="408">
        <f t="shared" si="8"/>
        <v>0</v>
      </c>
    </row>
    <row r="19" spans="1:36" x14ac:dyDescent="0.25">
      <c r="A19" s="409">
        <f t="shared" si="11"/>
        <v>18</v>
      </c>
      <c r="B19" s="410" t="s">
        <v>2525</v>
      </c>
      <c r="C19" s="410" t="s">
        <v>6223</v>
      </c>
      <c r="D19" s="409">
        <v>9</v>
      </c>
      <c r="E19" s="408"/>
      <c r="F19" s="409" t="str">
        <f>""</f>
        <v/>
      </c>
      <c r="G19" s="409" t="s">
        <v>6212</v>
      </c>
      <c r="H19" s="409" t="s">
        <v>5942</v>
      </c>
      <c r="I19" s="409" t="str">
        <f t="shared" si="9"/>
        <v/>
      </c>
      <c r="J19" s="409" t="s">
        <v>6224</v>
      </c>
      <c r="K19" s="409" t="s">
        <v>2536</v>
      </c>
      <c r="L19" s="409" t="s">
        <v>2562</v>
      </c>
      <c r="M19" s="409" t="s">
        <v>1248</v>
      </c>
      <c r="N19" s="408" t="s">
        <v>6225</v>
      </c>
      <c r="O19" s="409" t="s">
        <v>6189</v>
      </c>
      <c r="P19" s="408" t="s">
        <v>6521</v>
      </c>
      <c r="U19" s="409" t="s">
        <v>627</v>
      </c>
      <c r="V19" s="409" t="s">
        <v>620</v>
      </c>
      <c r="Z19" s="409" t="s">
        <v>628</v>
      </c>
      <c r="AA19" s="408">
        <f t="shared" si="10"/>
        <v>0</v>
      </c>
      <c r="AB19" s="408">
        <f t="shared" si="0"/>
        <v>0</v>
      </c>
      <c r="AC19" s="408">
        <f t="shared" si="1"/>
        <v>0</v>
      </c>
      <c r="AD19" s="408">
        <f t="shared" si="2"/>
        <v>0</v>
      </c>
      <c r="AE19" s="408">
        <f t="shared" si="3"/>
        <v>1</v>
      </c>
      <c r="AF19" s="408">
        <f t="shared" si="4"/>
        <v>1</v>
      </c>
      <c r="AG19" s="408">
        <f t="shared" si="5"/>
        <v>0</v>
      </c>
      <c r="AH19" s="408">
        <f t="shared" si="6"/>
        <v>0</v>
      </c>
      <c r="AI19" s="408">
        <f t="shared" si="7"/>
        <v>0</v>
      </c>
      <c r="AJ19" s="408">
        <f t="shared" si="8"/>
        <v>1</v>
      </c>
    </row>
    <row r="20" spans="1:36" x14ac:dyDescent="0.25">
      <c r="A20" s="409">
        <f t="shared" si="11"/>
        <v>19</v>
      </c>
      <c r="B20" s="410" t="s">
        <v>2529</v>
      </c>
      <c r="C20" s="410" t="s">
        <v>6193</v>
      </c>
      <c r="D20" s="409">
        <v>2</v>
      </c>
      <c r="E20" s="408"/>
      <c r="F20" s="409" t="s">
        <v>6183</v>
      </c>
      <c r="G20" s="409" t="s">
        <v>6197</v>
      </c>
      <c r="H20" s="409" t="s">
        <v>6199</v>
      </c>
      <c r="I20" s="409" t="str">
        <f t="shared" si="9"/>
        <v/>
      </c>
      <c r="J20" s="409" t="s">
        <v>6192</v>
      </c>
      <c r="K20" s="409" t="s">
        <v>2536</v>
      </c>
      <c r="L20" s="409" t="s">
        <v>2562</v>
      </c>
      <c r="M20" s="409" t="s">
        <v>1248</v>
      </c>
      <c r="N20" s="408" t="s">
        <v>6226</v>
      </c>
      <c r="O20" s="409" t="s">
        <v>2792</v>
      </c>
      <c r="P20" s="408" t="s">
        <v>6522</v>
      </c>
      <c r="V20" s="409" t="s">
        <v>620</v>
      </c>
      <c r="AA20" s="408">
        <f t="shared" si="10"/>
        <v>0</v>
      </c>
      <c r="AB20" s="408">
        <f t="shared" si="0"/>
        <v>0</v>
      </c>
      <c r="AC20" s="408">
        <f t="shared" si="1"/>
        <v>0</v>
      </c>
      <c r="AD20" s="408">
        <f t="shared" si="2"/>
        <v>0</v>
      </c>
      <c r="AE20" s="408">
        <f t="shared" si="3"/>
        <v>0</v>
      </c>
      <c r="AF20" s="408">
        <f t="shared" si="4"/>
        <v>1</v>
      </c>
      <c r="AG20" s="408">
        <f t="shared" si="5"/>
        <v>0</v>
      </c>
      <c r="AH20" s="408">
        <f t="shared" si="6"/>
        <v>0</v>
      </c>
      <c r="AI20" s="408">
        <f t="shared" si="7"/>
        <v>0</v>
      </c>
      <c r="AJ20" s="408">
        <f t="shared" si="8"/>
        <v>0</v>
      </c>
    </row>
    <row r="21" spans="1:36" x14ac:dyDescent="0.25">
      <c r="A21" s="409">
        <f t="shared" si="11"/>
        <v>20</v>
      </c>
      <c r="B21" s="410" t="s">
        <v>2533</v>
      </c>
      <c r="C21" s="410" t="s">
        <v>6214</v>
      </c>
      <c r="D21" s="409">
        <v>4</v>
      </c>
      <c r="E21" s="408"/>
      <c r="F21" s="409" t="str">
        <f>""</f>
        <v/>
      </c>
      <c r="G21" s="409" t="s">
        <v>6835</v>
      </c>
      <c r="H21" s="409" t="s">
        <v>6199</v>
      </c>
      <c r="I21" s="409" t="str">
        <f t="shared" si="9"/>
        <v>Concentration</v>
      </c>
      <c r="J21" s="409" t="s">
        <v>6218</v>
      </c>
      <c r="K21" s="409" t="s">
        <v>2536</v>
      </c>
      <c r="L21" s="409" t="s">
        <v>3857</v>
      </c>
      <c r="M21" s="409" t="s">
        <v>3857</v>
      </c>
      <c r="N21" s="408" t="str">
        <f>""</f>
        <v/>
      </c>
      <c r="O21" s="409" t="s">
        <v>6184</v>
      </c>
      <c r="P21" s="408" t="s">
        <v>2537</v>
      </c>
      <c r="R21" s="409" t="s">
        <v>1113</v>
      </c>
      <c r="AA21" s="408">
        <f t="shared" si="10"/>
        <v>0</v>
      </c>
      <c r="AB21" s="408">
        <f t="shared" si="0"/>
        <v>1</v>
      </c>
      <c r="AC21" s="408">
        <f t="shared" si="1"/>
        <v>0</v>
      </c>
      <c r="AD21" s="408">
        <f t="shared" si="2"/>
        <v>0</v>
      </c>
      <c r="AE21" s="408">
        <f t="shared" si="3"/>
        <v>0</v>
      </c>
      <c r="AF21" s="408">
        <f t="shared" si="4"/>
        <v>0</v>
      </c>
      <c r="AG21" s="408">
        <f t="shared" si="5"/>
        <v>0</v>
      </c>
      <c r="AH21" s="408">
        <f t="shared" si="6"/>
        <v>0</v>
      </c>
      <c r="AI21" s="408">
        <f t="shared" si="7"/>
        <v>0</v>
      </c>
      <c r="AJ21" s="408">
        <f t="shared" si="8"/>
        <v>0</v>
      </c>
    </row>
    <row r="22" spans="1:36" x14ac:dyDescent="0.25">
      <c r="A22" s="409">
        <f t="shared" si="11"/>
        <v>21</v>
      </c>
      <c r="B22" s="410" t="s">
        <v>2538</v>
      </c>
      <c r="C22" s="410" t="s">
        <v>6214</v>
      </c>
      <c r="D22" s="409">
        <v>4</v>
      </c>
      <c r="E22" s="408"/>
      <c r="F22" s="409" t="str">
        <f>""</f>
        <v/>
      </c>
      <c r="G22" s="409" t="s">
        <v>6835</v>
      </c>
      <c r="H22" s="409" t="s">
        <v>6199</v>
      </c>
      <c r="I22" s="409" t="str">
        <f t="shared" si="9"/>
        <v>Concentration</v>
      </c>
      <c r="J22" s="409" t="s">
        <v>6218</v>
      </c>
      <c r="K22" s="409" t="s">
        <v>2536</v>
      </c>
      <c r="L22" s="409" t="s">
        <v>3857</v>
      </c>
      <c r="M22" s="409" t="s">
        <v>3857</v>
      </c>
      <c r="N22" s="408" t="str">
        <f>""</f>
        <v/>
      </c>
      <c r="O22" s="409" t="s">
        <v>6184</v>
      </c>
      <c r="P22" s="408" t="s">
        <v>2539</v>
      </c>
      <c r="R22" s="409" t="s">
        <v>1113</v>
      </c>
      <c r="AA22" s="408">
        <f t="shared" si="10"/>
        <v>0</v>
      </c>
      <c r="AB22" s="408">
        <f t="shared" si="0"/>
        <v>1</v>
      </c>
      <c r="AC22" s="408">
        <f t="shared" si="1"/>
        <v>0</v>
      </c>
      <c r="AD22" s="408">
        <f t="shared" si="2"/>
        <v>0</v>
      </c>
      <c r="AE22" s="408">
        <f t="shared" si="3"/>
        <v>0</v>
      </c>
      <c r="AF22" s="408">
        <f t="shared" si="4"/>
        <v>0</v>
      </c>
      <c r="AG22" s="408">
        <f t="shared" si="5"/>
        <v>0</v>
      </c>
      <c r="AH22" s="408">
        <f t="shared" si="6"/>
        <v>0</v>
      </c>
      <c r="AI22" s="408">
        <f t="shared" si="7"/>
        <v>0</v>
      </c>
      <c r="AJ22" s="408">
        <f t="shared" si="8"/>
        <v>0</v>
      </c>
    </row>
    <row r="23" spans="1:36" x14ac:dyDescent="0.25">
      <c r="A23" s="409">
        <f t="shared" si="11"/>
        <v>22</v>
      </c>
      <c r="B23" s="410" t="s">
        <v>2540</v>
      </c>
      <c r="C23" s="410" t="s">
        <v>6205</v>
      </c>
      <c r="D23" s="409">
        <v>3</v>
      </c>
      <c r="E23" s="408"/>
      <c r="F23" s="409" t="str">
        <f>""</f>
        <v/>
      </c>
      <c r="G23" s="409" t="s">
        <v>6835</v>
      </c>
      <c r="H23" s="409" t="s">
        <v>6199</v>
      </c>
      <c r="I23" s="409" t="str">
        <f t="shared" si="9"/>
        <v>Concentration</v>
      </c>
      <c r="J23" s="409" t="s">
        <v>6210</v>
      </c>
      <c r="K23" s="409" t="s">
        <v>2536</v>
      </c>
      <c r="L23" s="409" t="s">
        <v>3857</v>
      </c>
      <c r="M23" s="409" t="s">
        <v>3857</v>
      </c>
      <c r="N23" s="408" t="str">
        <f>""</f>
        <v/>
      </c>
      <c r="O23" s="409" t="s">
        <v>6184</v>
      </c>
      <c r="P23" s="408" t="s">
        <v>2542</v>
      </c>
      <c r="R23" s="409" t="s">
        <v>1113</v>
      </c>
      <c r="AA23" s="408">
        <f t="shared" si="10"/>
        <v>0</v>
      </c>
      <c r="AB23" s="408">
        <f t="shared" si="0"/>
        <v>1</v>
      </c>
      <c r="AC23" s="408">
        <f t="shared" si="1"/>
        <v>0</v>
      </c>
      <c r="AD23" s="408">
        <f t="shared" si="2"/>
        <v>0</v>
      </c>
      <c r="AE23" s="408">
        <f t="shared" si="3"/>
        <v>0</v>
      </c>
      <c r="AF23" s="408">
        <f t="shared" si="4"/>
        <v>0</v>
      </c>
      <c r="AG23" s="408">
        <f t="shared" si="5"/>
        <v>0</v>
      </c>
      <c r="AH23" s="408">
        <f t="shared" si="6"/>
        <v>0</v>
      </c>
      <c r="AI23" s="408">
        <f t="shared" si="7"/>
        <v>0</v>
      </c>
      <c r="AJ23" s="408">
        <f t="shared" si="8"/>
        <v>0</v>
      </c>
    </row>
    <row r="24" spans="1:36" x14ac:dyDescent="0.25">
      <c r="A24" s="409">
        <f t="shared" si="11"/>
        <v>23</v>
      </c>
      <c r="B24" s="410" t="s">
        <v>2543</v>
      </c>
      <c r="C24" s="410" t="s">
        <v>6208</v>
      </c>
      <c r="D24" s="409">
        <v>5</v>
      </c>
      <c r="E24" s="408"/>
      <c r="F24" s="409" t="str">
        <f>""</f>
        <v/>
      </c>
      <c r="G24" s="409" t="s">
        <v>6194</v>
      </c>
      <c r="H24" s="409" t="s">
        <v>6219</v>
      </c>
      <c r="I24" s="409" t="str">
        <f t="shared" si="9"/>
        <v/>
      </c>
      <c r="J24" s="409" t="s">
        <v>6192</v>
      </c>
      <c r="K24" s="409" t="s">
        <v>2536</v>
      </c>
      <c r="L24" s="409" t="s">
        <v>2562</v>
      </c>
      <c r="M24" s="409" t="s">
        <v>1248</v>
      </c>
      <c r="N24" s="408" t="s">
        <v>6227</v>
      </c>
      <c r="O24" s="409" t="s">
        <v>6190</v>
      </c>
      <c r="P24" s="408" t="s">
        <v>6523</v>
      </c>
      <c r="Q24" s="409" t="s">
        <v>1112</v>
      </c>
      <c r="W24" s="409" t="s">
        <v>621</v>
      </c>
      <c r="AA24" s="408">
        <f t="shared" si="10"/>
        <v>1</v>
      </c>
      <c r="AB24" s="408">
        <f t="shared" si="0"/>
        <v>0</v>
      </c>
      <c r="AC24" s="408">
        <f t="shared" si="1"/>
        <v>0</v>
      </c>
      <c r="AD24" s="408">
        <f t="shared" si="2"/>
        <v>0</v>
      </c>
      <c r="AE24" s="408">
        <f t="shared" si="3"/>
        <v>0</v>
      </c>
      <c r="AF24" s="408">
        <f t="shared" si="4"/>
        <v>0</v>
      </c>
      <c r="AG24" s="408">
        <f t="shared" si="5"/>
        <v>1</v>
      </c>
      <c r="AH24" s="408">
        <f t="shared" si="6"/>
        <v>0</v>
      </c>
      <c r="AI24" s="408">
        <f t="shared" si="7"/>
        <v>0</v>
      </c>
      <c r="AJ24" s="408">
        <f t="shared" si="8"/>
        <v>0</v>
      </c>
    </row>
    <row r="25" spans="1:36" x14ac:dyDescent="0.25">
      <c r="A25" s="409">
        <f t="shared" si="11"/>
        <v>24</v>
      </c>
      <c r="B25" s="410" t="s">
        <v>2546</v>
      </c>
      <c r="C25" s="410" t="s">
        <v>6196</v>
      </c>
      <c r="D25" s="409">
        <v>1</v>
      </c>
      <c r="E25" s="408"/>
      <c r="F25" s="409" t="str">
        <f>""</f>
        <v/>
      </c>
      <c r="G25" s="409" t="s">
        <v>6835</v>
      </c>
      <c r="H25" s="409" t="s">
        <v>5950</v>
      </c>
      <c r="I25" s="409" t="str">
        <f t="shared" si="9"/>
        <v>Concentration</v>
      </c>
      <c r="J25" s="409" t="s">
        <v>6210</v>
      </c>
      <c r="K25" s="409" t="s">
        <v>2536</v>
      </c>
      <c r="L25" s="409" t="s">
        <v>2562</v>
      </c>
      <c r="M25" s="409" t="s">
        <v>1248</v>
      </c>
      <c r="N25" s="408" t="s">
        <v>6228</v>
      </c>
      <c r="O25" s="409" t="s">
        <v>6186</v>
      </c>
      <c r="P25" s="408" t="s">
        <v>6524</v>
      </c>
      <c r="Q25" s="409" t="s">
        <v>1112</v>
      </c>
      <c r="V25" s="409" t="s">
        <v>620</v>
      </c>
      <c r="AA25" s="408">
        <f t="shared" si="10"/>
        <v>1</v>
      </c>
      <c r="AB25" s="408">
        <f t="shared" si="0"/>
        <v>0</v>
      </c>
      <c r="AC25" s="408">
        <f t="shared" si="1"/>
        <v>0</v>
      </c>
      <c r="AD25" s="408">
        <f t="shared" si="2"/>
        <v>0</v>
      </c>
      <c r="AE25" s="408">
        <f t="shared" si="3"/>
        <v>0</v>
      </c>
      <c r="AF25" s="408">
        <f t="shared" si="4"/>
        <v>1</v>
      </c>
      <c r="AG25" s="408">
        <f t="shared" si="5"/>
        <v>0</v>
      </c>
      <c r="AH25" s="408">
        <f t="shared" si="6"/>
        <v>0</v>
      </c>
      <c r="AI25" s="408">
        <f t="shared" si="7"/>
        <v>0</v>
      </c>
      <c r="AJ25" s="408">
        <f t="shared" si="8"/>
        <v>0</v>
      </c>
    </row>
    <row r="26" spans="1:36" x14ac:dyDescent="0.25">
      <c r="A26" s="409">
        <f t="shared" si="11"/>
        <v>25</v>
      </c>
      <c r="B26" s="410" t="s">
        <v>2549</v>
      </c>
      <c r="C26" s="410" t="s">
        <v>6208</v>
      </c>
      <c r="D26" s="409">
        <v>5</v>
      </c>
      <c r="E26" s="408"/>
      <c r="F26" s="409" t="str">
        <f>""</f>
        <v/>
      </c>
      <c r="G26" s="409" t="s">
        <v>6841</v>
      </c>
      <c r="H26" s="409" t="s">
        <v>6199</v>
      </c>
      <c r="I26" s="409" t="str">
        <f t="shared" si="9"/>
        <v>Concentration</v>
      </c>
      <c r="J26" s="409" t="s">
        <v>6210</v>
      </c>
      <c r="K26" s="409" t="s">
        <v>2536</v>
      </c>
      <c r="L26" s="409" t="s">
        <v>3857</v>
      </c>
      <c r="M26" s="409" t="s">
        <v>3857</v>
      </c>
      <c r="N26" s="408" t="str">
        <f>""</f>
        <v/>
      </c>
      <c r="O26" s="409" t="s">
        <v>6184</v>
      </c>
      <c r="P26" s="408" t="s">
        <v>6229</v>
      </c>
      <c r="R26" s="409" t="s">
        <v>1113</v>
      </c>
      <c r="AA26" s="408">
        <f t="shared" si="10"/>
        <v>0</v>
      </c>
      <c r="AB26" s="408">
        <f t="shared" si="0"/>
        <v>1</v>
      </c>
      <c r="AC26" s="408">
        <f t="shared" si="1"/>
        <v>0</v>
      </c>
      <c r="AD26" s="408">
        <f t="shared" si="2"/>
        <v>0</v>
      </c>
      <c r="AE26" s="408">
        <f t="shared" si="3"/>
        <v>0</v>
      </c>
      <c r="AF26" s="408">
        <f t="shared" si="4"/>
        <v>0</v>
      </c>
      <c r="AG26" s="408">
        <f t="shared" si="5"/>
        <v>0</v>
      </c>
      <c r="AH26" s="408">
        <f t="shared" si="6"/>
        <v>0</v>
      </c>
      <c r="AI26" s="408">
        <f t="shared" si="7"/>
        <v>0</v>
      </c>
      <c r="AJ26" s="408">
        <f t="shared" si="8"/>
        <v>0</v>
      </c>
    </row>
    <row r="27" spans="1:36" x14ac:dyDescent="0.25">
      <c r="A27" s="409">
        <f t="shared" si="11"/>
        <v>26</v>
      </c>
      <c r="B27" s="410" t="s">
        <v>2552</v>
      </c>
      <c r="C27" s="410" t="s">
        <v>6214</v>
      </c>
      <c r="D27" s="409">
        <v>4</v>
      </c>
      <c r="E27" s="408"/>
      <c r="F27" s="409" t="str">
        <f>""</f>
        <v/>
      </c>
      <c r="G27" s="409" t="s">
        <v>6835</v>
      </c>
      <c r="H27" s="409" t="s">
        <v>424</v>
      </c>
      <c r="I27" s="409" t="str">
        <f t="shared" si="9"/>
        <v>Concentration</v>
      </c>
      <c r="J27" s="409" t="s">
        <v>6210</v>
      </c>
      <c r="K27" s="409" t="s">
        <v>2536</v>
      </c>
      <c r="L27" s="409" t="s">
        <v>2562</v>
      </c>
      <c r="M27" s="409" t="s">
        <v>1248</v>
      </c>
      <c r="N27" s="408" t="s">
        <v>6230</v>
      </c>
      <c r="O27" s="409" t="s">
        <v>6184</v>
      </c>
      <c r="P27" s="408" t="s">
        <v>6525</v>
      </c>
      <c r="R27" s="409" t="s">
        <v>1113</v>
      </c>
      <c r="T27" s="409" t="s">
        <v>626</v>
      </c>
      <c r="U27" s="409" t="s">
        <v>627</v>
      </c>
      <c r="V27" s="409" t="s">
        <v>620</v>
      </c>
      <c r="Z27" s="409" t="s">
        <v>628</v>
      </c>
      <c r="AA27" s="408">
        <f t="shared" si="10"/>
        <v>0</v>
      </c>
      <c r="AB27" s="408">
        <f t="shared" si="0"/>
        <v>1</v>
      </c>
      <c r="AC27" s="408">
        <f t="shared" si="1"/>
        <v>0</v>
      </c>
      <c r="AD27" s="408">
        <f t="shared" si="2"/>
        <v>1</v>
      </c>
      <c r="AE27" s="408">
        <f t="shared" si="3"/>
        <v>1</v>
      </c>
      <c r="AF27" s="408">
        <f t="shared" si="4"/>
        <v>1</v>
      </c>
      <c r="AG27" s="408">
        <f t="shared" si="5"/>
        <v>0</v>
      </c>
      <c r="AH27" s="408">
        <f t="shared" si="6"/>
        <v>0</v>
      </c>
      <c r="AI27" s="408">
        <f t="shared" si="7"/>
        <v>0</v>
      </c>
      <c r="AJ27" s="408">
        <f t="shared" si="8"/>
        <v>1</v>
      </c>
    </row>
    <row r="28" spans="1:36" x14ac:dyDescent="0.25">
      <c r="A28" s="409">
        <f t="shared" si="11"/>
        <v>27</v>
      </c>
      <c r="B28" s="410" t="s">
        <v>2555</v>
      </c>
      <c r="C28" s="410" t="s">
        <v>6193</v>
      </c>
      <c r="D28" s="409">
        <v>2</v>
      </c>
      <c r="E28" s="408"/>
      <c r="F28" s="409" t="str">
        <f>""</f>
        <v/>
      </c>
      <c r="G28" s="409" t="s">
        <v>6835</v>
      </c>
      <c r="H28" s="409" t="s">
        <v>6219</v>
      </c>
      <c r="I28" s="409" t="str">
        <f t="shared" si="9"/>
        <v>Concentration</v>
      </c>
      <c r="J28" s="409" t="s">
        <v>6200</v>
      </c>
      <c r="K28" s="409" t="s">
        <v>2536</v>
      </c>
      <c r="L28" s="409" t="s">
        <v>2562</v>
      </c>
      <c r="M28" s="409" t="s">
        <v>1248</v>
      </c>
      <c r="N28" s="408" t="s">
        <v>6231</v>
      </c>
      <c r="O28" s="409" t="s">
        <v>6190</v>
      </c>
      <c r="P28" s="408" t="s">
        <v>6232</v>
      </c>
      <c r="S28" s="409" t="s">
        <v>624</v>
      </c>
      <c r="W28" s="409" t="s">
        <v>621</v>
      </c>
      <c r="AA28" s="408">
        <f t="shared" si="10"/>
        <v>0</v>
      </c>
      <c r="AB28" s="408">
        <f t="shared" si="0"/>
        <v>0</v>
      </c>
      <c r="AC28" s="408">
        <f t="shared" si="1"/>
        <v>1</v>
      </c>
      <c r="AD28" s="408">
        <f t="shared" si="2"/>
        <v>0</v>
      </c>
      <c r="AE28" s="408">
        <f t="shared" si="3"/>
        <v>0</v>
      </c>
      <c r="AF28" s="408">
        <f t="shared" si="4"/>
        <v>0</v>
      </c>
      <c r="AG28" s="408">
        <f t="shared" si="5"/>
        <v>1</v>
      </c>
      <c r="AH28" s="408">
        <f t="shared" si="6"/>
        <v>0</v>
      </c>
      <c r="AI28" s="408">
        <f t="shared" si="7"/>
        <v>0</v>
      </c>
      <c r="AJ28" s="408">
        <f t="shared" si="8"/>
        <v>0</v>
      </c>
    </row>
    <row r="29" spans="1:36" x14ac:dyDescent="0.25">
      <c r="A29" s="409">
        <f t="shared" si="11"/>
        <v>28</v>
      </c>
      <c r="B29" s="410" t="s">
        <v>2558</v>
      </c>
      <c r="C29" s="410" t="s">
        <v>6205</v>
      </c>
      <c r="D29" s="409">
        <v>3</v>
      </c>
      <c r="E29" s="408"/>
      <c r="F29" s="409" t="str">
        <f>""</f>
        <v/>
      </c>
      <c r="G29" s="409" t="s">
        <v>6835</v>
      </c>
      <c r="H29" s="409" t="s">
        <v>5950</v>
      </c>
      <c r="I29" s="409" t="str">
        <f t="shared" si="9"/>
        <v>Concentration</v>
      </c>
      <c r="J29" s="409" t="s">
        <v>6210</v>
      </c>
      <c r="K29" s="409" t="s">
        <v>2536</v>
      </c>
      <c r="L29" s="409" t="s">
        <v>2562</v>
      </c>
      <c r="M29" s="409" t="s">
        <v>3857</v>
      </c>
      <c r="N29" s="408" t="str">
        <f>""</f>
        <v/>
      </c>
      <c r="O29" s="409" t="s">
        <v>6184</v>
      </c>
      <c r="P29" s="408" t="s">
        <v>2560</v>
      </c>
      <c r="V29" s="409" t="s">
        <v>620</v>
      </c>
      <c r="AA29" s="408">
        <f t="shared" si="10"/>
        <v>0</v>
      </c>
      <c r="AB29" s="408">
        <f t="shared" si="0"/>
        <v>0</v>
      </c>
      <c r="AC29" s="408">
        <f t="shared" si="1"/>
        <v>0</v>
      </c>
      <c r="AD29" s="408">
        <f t="shared" si="2"/>
        <v>0</v>
      </c>
      <c r="AE29" s="408">
        <f t="shared" si="3"/>
        <v>0</v>
      </c>
      <c r="AF29" s="408">
        <f t="shared" si="4"/>
        <v>1</v>
      </c>
      <c r="AG29" s="408">
        <f t="shared" si="5"/>
        <v>0</v>
      </c>
      <c r="AH29" s="408">
        <f t="shared" si="6"/>
        <v>0</v>
      </c>
      <c r="AI29" s="408">
        <f t="shared" si="7"/>
        <v>0</v>
      </c>
      <c r="AJ29" s="408">
        <f t="shared" si="8"/>
        <v>0</v>
      </c>
    </row>
    <row r="30" spans="1:36" x14ac:dyDescent="0.25">
      <c r="A30" s="409">
        <f t="shared" si="11"/>
        <v>29</v>
      </c>
      <c r="B30" s="410" t="s">
        <v>2561</v>
      </c>
      <c r="C30" s="410" t="s">
        <v>6193</v>
      </c>
      <c r="D30" s="409">
        <v>2</v>
      </c>
      <c r="E30" s="408"/>
      <c r="F30" s="409" t="s">
        <v>6183</v>
      </c>
      <c r="G30" s="409" t="s">
        <v>6836</v>
      </c>
      <c r="H30" s="409" t="s">
        <v>6219</v>
      </c>
      <c r="I30" s="409" t="str">
        <f t="shared" si="9"/>
        <v>Concentration</v>
      </c>
      <c r="J30" s="409" t="s">
        <v>6200</v>
      </c>
      <c r="K30" s="409" t="s">
        <v>3857</v>
      </c>
      <c r="L30" s="409" t="s">
        <v>2562</v>
      </c>
      <c r="M30" s="409" t="s">
        <v>3857</v>
      </c>
      <c r="N30" s="408" t="str">
        <f>""</f>
        <v/>
      </c>
      <c r="O30" s="409" t="s">
        <v>2792</v>
      </c>
      <c r="P30" s="408" t="s">
        <v>2563</v>
      </c>
      <c r="W30" s="409" t="s">
        <v>621</v>
      </c>
      <c r="AA30" s="408">
        <f t="shared" si="10"/>
        <v>0</v>
      </c>
      <c r="AB30" s="408">
        <f t="shared" si="0"/>
        <v>0</v>
      </c>
      <c r="AC30" s="408">
        <f t="shared" si="1"/>
        <v>0</v>
      </c>
      <c r="AD30" s="408">
        <f t="shared" si="2"/>
        <v>0</v>
      </c>
      <c r="AE30" s="408">
        <f t="shared" si="3"/>
        <v>0</v>
      </c>
      <c r="AF30" s="408">
        <f t="shared" si="4"/>
        <v>0</v>
      </c>
      <c r="AG30" s="408">
        <f t="shared" si="5"/>
        <v>1</v>
      </c>
      <c r="AH30" s="408">
        <f t="shared" si="6"/>
        <v>0</v>
      </c>
      <c r="AI30" s="408">
        <f t="shared" si="7"/>
        <v>0</v>
      </c>
      <c r="AJ30" s="408">
        <f t="shared" si="8"/>
        <v>0</v>
      </c>
    </row>
    <row r="31" spans="1:36" x14ac:dyDescent="0.25">
      <c r="A31" s="409">
        <f t="shared" si="11"/>
        <v>30</v>
      </c>
      <c r="B31" s="410" t="s">
        <v>2564</v>
      </c>
      <c r="C31" s="410" t="s">
        <v>6205</v>
      </c>
      <c r="D31" s="409">
        <v>3</v>
      </c>
      <c r="E31" s="408"/>
      <c r="F31" s="409" t="str">
        <f>""</f>
        <v/>
      </c>
      <c r="G31" s="409" t="s">
        <v>6835</v>
      </c>
      <c r="H31" s="409" t="s">
        <v>6219</v>
      </c>
      <c r="I31" s="409" t="str">
        <f t="shared" si="9"/>
        <v>Concentration</v>
      </c>
      <c r="J31" s="409" t="s">
        <v>6210</v>
      </c>
      <c r="K31" s="409" t="s">
        <v>2536</v>
      </c>
      <c r="L31" s="409" t="s">
        <v>2562</v>
      </c>
      <c r="M31" s="409" t="s">
        <v>3857</v>
      </c>
      <c r="N31" s="408" t="str">
        <f>""</f>
        <v/>
      </c>
      <c r="O31" s="409" t="s">
        <v>6189</v>
      </c>
      <c r="P31" s="408" t="s">
        <v>6526</v>
      </c>
      <c r="Q31" s="409" t="s">
        <v>1112</v>
      </c>
      <c r="V31" s="409" t="s">
        <v>620</v>
      </c>
      <c r="Z31" s="409" t="s">
        <v>628</v>
      </c>
      <c r="AA31" s="408">
        <f t="shared" si="10"/>
        <v>1</v>
      </c>
      <c r="AB31" s="408">
        <f t="shared" si="0"/>
        <v>0</v>
      </c>
      <c r="AC31" s="408">
        <f t="shared" si="1"/>
        <v>0</v>
      </c>
      <c r="AD31" s="408">
        <f t="shared" si="2"/>
        <v>0</v>
      </c>
      <c r="AE31" s="408">
        <f t="shared" si="3"/>
        <v>0</v>
      </c>
      <c r="AF31" s="408">
        <f t="shared" si="4"/>
        <v>1</v>
      </c>
      <c r="AG31" s="408">
        <f t="shared" si="5"/>
        <v>0</v>
      </c>
      <c r="AH31" s="408">
        <f t="shared" si="6"/>
        <v>0</v>
      </c>
      <c r="AI31" s="408">
        <f t="shared" si="7"/>
        <v>0</v>
      </c>
      <c r="AJ31" s="408">
        <f t="shared" si="8"/>
        <v>1</v>
      </c>
    </row>
    <row r="32" spans="1:36" x14ac:dyDescent="0.25">
      <c r="A32" s="409">
        <f>A31+1</f>
        <v>31</v>
      </c>
      <c r="B32" s="410" t="s">
        <v>2566</v>
      </c>
      <c r="C32" s="410" t="s">
        <v>6208</v>
      </c>
      <c r="D32" s="409">
        <v>5</v>
      </c>
      <c r="E32" s="408"/>
      <c r="F32" s="409" t="str">
        <f>""</f>
        <v/>
      </c>
      <c r="G32" s="409" t="s">
        <v>6835</v>
      </c>
      <c r="H32" s="409" t="s">
        <v>6209</v>
      </c>
      <c r="I32" s="409" t="str">
        <f t="shared" si="9"/>
        <v>Concentration</v>
      </c>
      <c r="J32" s="409" t="s">
        <v>6210</v>
      </c>
      <c r="K32" s="409" t="s">
        <v>2536</v>
      </c>
      <c r="L32" s="409" t="s">
        <v>2562</v>
      </c>
      <c r="M32" s="409" t="s">
        <v>1248</v>
      </c>
      <c r="N32" s="408" t="s">
        <v>6233</v>
      </c>
      <c r="O32" s="409" t="s">
        <v>6187</v>
      </c>
      <c r="P32" s="408" t="s">
        <v>6527</v>
      </c>
      <c r="Z32" s="409" t="s">
        <v>628</v>
      </c>
      <c r="AA32" s="408">
        <f t="shared" si="10"/>
        <v>0</v>
      </c>
      <c r="AB32" s="408">
        <f t="shared" si="0"/>
        <v>0</v>
      </c>
      <c r="AC32" s="408">
        <f t="shared" si="1"/>
        <v>0</v>
      </c>
      <c r="AD32" s="408">
        <f t="shared" si="2"/>
        <v>0</v>
      </c>
      <c r="AE32" s="408">
        <f t="shared" si="3"/>
        <v>0</v>
      </c>
      <c r="AF32" s="408">
        <f t="shared" si="4"/>
        <v>0</v>
      </c>
      <c r="AG32" s="408">
        <f t="shared" si="5"/>
        <v>0</v>
      </c>
      <c r="AH32" s="408">
        <f t="shared" si="6"/>
        <v>0</v>
      </c>
      <c r="AI32" s="408">
        <f t="shared" si="7"/>
        <v>0</v>
      </c>
      <c r="AJ32" s="408">
        <f t="shared" si="8"/>
        <v>1</v>
      </c>
    </row>
    <row r="33" spans="1:36" x14ac:dyDescent="0.25">
      <c r="A33" s="409">
        <f t="shared" si="11"/>
        <v>32</v>
      </c>
      <c r="B33" s="410" t="s">
        <v>2570</v>
      </c>
      <c r="C33" s="410" t="s">
        <v>6216</v>
      </c>
      <c r="D33" s="409">
        <v>6</v>
      </c>
      <c r="E33" s="408"/>
      <c r="F33" s="409" t="str">
        <f>""</f>
        <v/>
      </c>
      <c r="G33" s="409" t="s">
        <v>6835</v>
      </c>
      <c r="H33" s="409" t="s">
        <v>6234</v>
      </c>
      <c r="I33" s="409" t="str">
        <f t="shared" si="9"/>
        <v>Concentration</v>
      </c>
      <c r="J33" s="409" t="s">
        <v>6218</v>
      </c>
      <c r="K33" s="409" t="s">
        <v>2536</v>
      </c>
      <c r="L33" s="409" t="s">
        <v>2562</v>
      </c>
      <c r="M33" s="409" t="s">
        <v>3857</v>
      </c>
      <c r="N33" s="408" t="str">
        <f>""</f>
        <v/>
      </c>
      <c r="O33" s="409" t="s">
        <v>6187</v>
      </c>
      <c r="P33" s="408" t="s">
        <v>6528</v>
      </c>
      <c r="V33" s="409" t="s">
        <v>620</v>
      </c>
      <c r="AA33" s="408">
        <f t="shared" si="10"/>
        <v>0</v>
      </c>
      <c r="AB33" s="408">
        <f t="shared" si="0"/>
        <v>0</v>
      </c>
      <c r="AC33" s="408">
        <f t="shared" si="1"/>
        <v>0</v>
      </c>
      <c r="AD33" s="408">
        <f t="shared" si="2"/>
        <v>0</v>
      </c>
      <c r="AE33" s="408">
        <f t="shared" si="3"/>
        <v>0</v>
      </c>
      <c r="AF33" s="408">
        <f t="shared" si="4"/>
        <v>1</v>
      </c>
      <c r="AG33" s="408">
        <f t="shared" si="5"/>
        <v>0</v>
      </c>
      <c r="AH33" s="408">
        <f t="shared" si="6"/>
        <v>0</v>
      </c>
      <c r="AI33" s="408">
        <f t="shared" si="7"/>
        <v>0</v>
      </c>
      <c r="AJ33" s="408">
        <f t="shared" si="8"/>
        <v>0</v>
      </c>
    </row>
    <row r="34" spans="1:36" x14ac:dyDescent="0.25">
      <c r="A34" s="409">
        <f t="shared" si="11"/>
        <v>33</v>
      </c>
      <c r="B34" s="410" t="s">
        <v>2574</v>
      </c>
      <c r="C34" s="410" t="s">
        <v>6191</v>
      </c>
      <c r="D34" s="409">
        <v>0.5</v>
      </c>
      <c r="E34" s="408"/>
      <c r="F34" s="409" t="str">
        <f>""</f>
        <v/>
      </c>
      <c r="G34" s="409" t="s">
        <v>6835</v>
      </c>
      <c r="H34" s="409" t="s">
        <v>6199</v>
      </c>
      <c r="I34" s="409" t="str">
        <f t="shared" si="9"/>
        <v/>
      </c>
      <c r="J34" s="409" t="s">
        <v>6235</v>
      </c>
      <c r="K34" s="409" t="s">
        <v>2536</v>
      </c>
      <c r="L34" s="409" t="s">
        <v>2562</v>
      </c>
      <c r="M34" s="409" t="s">
        <v>3857</v>
      </c>
      <c r="N34" s="408" t="str">
        <f>""</f>
        <v/>
      </c>
      <c r="O34" s="409" t="s">
        <v>6184</v>
      </c>
      <c r="P34" s="408" t="s">
        <v>2577</v>
      </c>
      <c r="Q34" s="409" t="s">
        <v>1112</v>
      </c>
      <c r="T34" s="409" t="s">
        <v>626</v>
      </c>
      <c r="U34" s="409" t="s">
        <v>627</v>
      </c>
      <c r="Z34" s="409" t="s">
        <v>628</v>
      </c>
      <c r="AA34" s="408">
        <f t="shared" si="10"/>
        <v>1</v>
      </c>
      <c r="AB34" s="408">
        <f t="shared" si="0"/>
        <v>0</v>
      </c>
      <c r="AC34" s="408">
        <f t="shared" si="1"/>
        <v>0</v>
      </c>
      <c r="AD34" s="408">
        <f t="shared" si="2"/>
        <v>1</v>
      </c>
      <c r="AE34" s="408">
        <f t="shared" si="3"/>
        <v>1</v>
      </c>
      <c r="AF34" s="408">
        <f t="shared" si="4"/>
        <v>0</v>
      </c>
      <c r="AG34" s="408">
        <f t="shared" si="5"/>
        <v>0</v>
      </c>
      <c r="AH34" s="408">
        <f t="shared" si="6"/>
        <v>0</v>
      </c>
      <c r="AI34" s="408">
        <f t="shared" si="7"/>
        <v>0</v>
      </c>
      <c r="AJ34" s="408">
        <f t="shared" si="8"/>
        <v>1</v>
      </c>
    </row>
    <row r="35" spans="1:36" x14ac:dyDescent="0.25">
      <c r="A35" s="409">
        <f t="shared" si="11"/>
        <v>34</v>
      </c>
      <c r="B35" s="410" t="s">
        <v>2578</v>
      </c>
      <c r="C35" s="410" t="s">
        <v>6196</v>
      </c>
      <c r="D35" s="409">
        <v>1</v>
      </c>
      <c r="E35" s="408"/>
      <c r="F35" s="409" t="str">
        <f>""</f>
        <v/>
      </c>
      <c r="G35" s="409" t="s">
        <v>6835</v>
      </c>
      <c r="H35" s="409" t="s">
        <v>5950</v>
      </c>
      <c r="I35" s="409" t="str">
        <f t="shared" si="9"/>
        <v>Concentration</v>
      </c>
      <c r="J35" s="409" t="s">
        <v>6210</v>
      </c>
      <c r="K35" s="409" t="s">
        <v>2536</v>
      </c>
      <c r="L35" s="409" t="s">
        <v>2562</v>
      </c>
      <c r="M35" s="409" t="s">
        <v>1248</v>
      </c>
      <c r="N35" s="408" t="s">
        <v>6236</v>
      </c>
      <c r="O35" s="409" t="s">
        <v>6186</v>
      </c>
      <c r="P35" s="408" t="s">
        <v>6529</v>
      </c>
      <c r="R35" s="409" t="s">
        <v>1113</v>
      </c>
      <c r="V35" s="409" t="s">
        <v>620</v>
      </c>
      <c r="AA35" s="408">
        <f t="shared" si="10"/>
        <v>0</v>
      </c>
      <c r="AB35" s="408">
        <f t="shared" si="0"/>
        <v>1</v>
      </c>
      <c r="AC35" s="408">
        <f t="shared" si="1"/>
        <v>0</v>
      </c>
      <c r="AD35" s="408">
        <f t="shared" si="2"/>
        <v>0</v>
      </c>
      <c r="AE35" s="408">
        <f t="shared" si="3"/>
        <v>0</v>
      </c>
      <c r="AF35" s="408">
        <f t="shared" si="4"/>
        <v>1</v>
      </c>
      <c r="AG35" s="408">
        <f t="shared" si="5"/>
        <v>0</v>
      </c>
      <c r="AH35" s="408">
        <f t="shared" si="6"/>
        <v>0</v>
      </c>
      <c r="AI35" s="408">
        <f t="shared" si="7"/>
        <v>0</v>
      </c>
      <c r="AJ35" s="408">
        <f t="shared" si="8"/>
        <v>0</v>
      </c>
    </row>
    <row r="36" spans="1:36" x14ac:dyDescent="0.25">
      <c r="A36" s="409">
        <f t="shared" si="11"/>
        <v>35</v>
      </c>
      <c r="B36" s="410" t="s">
        <v>2581</v>
      </c>
      <c r="C36" s="410" t="s">
        <v>6214</v>
      </c>
      <c r="D36" s="409">
        <v>4</v>
      </c>
      <c r="E36" s="408"/>
      <c r="F36" s="409" t="str">
        <f>""</f>
        <v/>
      </c>
      <c r="G36" s="409" t="s">
        <v>6835</v>
      </c>
      <c r="H36" s="409" t="s">
        <v>5950</v>
      </c>
      <c r="I36" s="409" t="str">
        <f t="shared" si="9"/>
        <v/>
      </c>
      <c r="J36" s="409" t="s">
        <v>6192</v>
      </c>
      <c r="K36" s="409" t="s">
        <v>2536</v>
      </c>
      <c r="L36" s="409" t="s">
        <v>2562</v>
      </c>
      <c r="M36" s="409" t="s">
        <v>3857</v>
      </c>
      <c r="N36" s="408" t="str">
        <f>""</f>
        <v/>
      </c>
      <c r="O36" s="409" t="s">
        <v>6189</v>
      </c>
      <c r="P36" s="408" t="s">
        <v>6530</v>
      </c>
      <c r="T36" s="409" t="s">
        <v>626</v>
      </c>
      <c r="U36" s="409" t="s">
        <v>627</v>
      </c>
      <c r="W36" s="409" t="s">
        <v>621</v>
      </c>
      <c r="Z36" s="409" t="s">
        <v>628</v>
      </c>
      <c r="AA36" s="408">
        <f t="shared" si="10"/>
        <v>0</v>
      </c>
      <c r="AB36" s="408">
        <f t="shared" si="0"/>
        <v>0</v>
      </c>
      <c r="AC36" s="408">
        <f t="shared" si="1"/>
        <v>0</v>
      </c>
      <c r="AD36" s="408">
        <f t="shared" si="2"/>
        <v>1</v>
      </c>
      <c r="AE36" s="408">
        <f t="shared" si="3"/>
        <v>1</v>
      </c>
      <c r="AF36" s="408">
        <f t="shared" si="4"/>
        <v>0</v>
      </c>
      <c r="AG36" s="408">
        <f t="shared" si="5"/>
        <v>1</v>
      </c>
      <c r="AH36" s="408">
        <f t="shared" si="6"/>
        <v>0</v>
      </c>
      <c r="AI36" s="408">
        <f t="shared" si="7"/>
        <v>0</v>
      </c>
      <c r="AJ36" s="408">
        <f t="shared" si="8"/>
        <v>1</v>
      </c>
    </row>
    <row r="37" spans="1:36" x14ac:dyDescent="0.25">
      <c r="A37" s="409">
        <f t="shared" si="11"/>
        <v>36</v>
      </c>
      <c r="B37" s="410" t="s">
        <v>2584</v>
      </c>
      <c r="C37" s="410" t="s">
        <v>6205</v>
      </c>
      <c r="D37" s="409">
        <v>3</v>
      </c>
      <c r="E37" s="408"/>
      <c r="F37" s="409" t="str">
        <f>""</f>
        <v/>
      </c>
      <c r="G37" s="409" t="s">
        <v>6841</v>
      </c>
      <c r="H37" s="409" t="s">
        <v>6199</v>
      </c>
      <c r="I37" s="409" t="str">
        <f t="shared" si="9"/>
        <v>Concentration</v>
      </c>
      <c r="J37" s="409" t="s">
        <v>6210</v>
      </c>
      <c r="K37" s="409" t="s">
        <v>2536</v>
      </c>
      <c r="L37" s="409" t="s">
        <v>3857</v>
      </c>
      <c r="M37" s="409" t="s">
        <v>3857</v>
      </c>
      <c r="N37" s="408" t="str">
        <f>""</f>
        <v/>
      </c>
      <c r="O37" s="409" t="s">
        <v>6187</v>
      </c>
      <c r="P37" s="408" t="s">
        <v>6531</v>
      </c>
      <c r="R37" s="409" t="s">
        <v>1113</v>
      </c>
      <c r="AA37" s="408">
        <f t="shared" si="10"/>
        <v>0</v>
      </c>
      <c r="AB37" s="408">
        <f t="shared" si="0"/>
        <v>1</v>
      </c>
      <c r="AC37" s="408">
        <f t="shared" si="1"/>
        <v>0</v>
      </c>
      <c r="AD37" s="408">
        <f t="shared" si="2"/>
        <v>0</v>
      </c>
      <c r="AE37" s="408">
        <f t="shared" si="3"/>
        <v>0</v>
      </c>
      <c r="AF37" s="408">
        <f t="shared" si="4"/>
        <v>0</v>
      </c>
      <c r="AG37" s="408">
        <f t="shared" si="5"/>
        <v>0</v>
      </c>
      <c r="AH37" s="408">
        <f t="shared" si="6"/>
        <v>0</v>
      </c>
      <c r="AI37" s="408">
        <f t="shared" si="7"/>
        <v>0</v>
      </c>
      <c r="AJ37" s="408">
        <f t="shared" si="8"/>
        <v>0</v>
      </c>
    </row>
    <row r="38" spans="1:36" x14ac:dyDescent="0.25">
      <c r="A38" s="409">
        <f t="shared" si="11"/>
        <v>37</v>
      </c>
      <c r="B38" s="410" t="s">
        <v>2586</v>
      </c>
      <c r="C38" s="410" t="s">
        <v>6193</v>
      </c>
      <c r="D38" s="409">
        <v>2</v>
      </c>
      <c r="E38" s="408"/>
      <c r="F38" s="409" t="str">
        <f>""</f>
        <v/>
      </c>
      <c r="G38" s="409" t="s">
        <v>6835</v>
      </c>
      <c r="H38" s="409" t="s">
        <v>5950</v>
      </c>
      <c r="I38" s="409" t="str">
        <f t="shared" si="9"/>
        <v/>
      </c>
      <c r="J38" s="409" t="s">
        <v>6206</v>
      </c>
      <c r="K38" s="409" t="s">
        <v>2536</v>
      </c>
      <c r="L38" s="409" t="s">
        <v>3857</v>
      </c>
      <c r="M38" s="409" t="s">
        <v>3857</v>
      </c>
      <c r="N38" s="408" t="str">
        <f>""</f>
        <v/>
      </c>
      <c r="O38" s="409" t="s">
        <v>6189</v>
      </c>
      <c r="P38" s="408" t="s">
        <v>6532</v>
      </c>
      <c r="Q38" s="409" t="s">
        <v>1112</v>
      </c>
      <c r="T38" s="409" t="s">
        <v>626</v>
      </c>
      <c r="V38" s="409" t="s">
        <v>620</v>
      </c>
      <c r="Z38" s="409" t="s">
        <v>628</v>
      </c>
      <c r="AA38" s="408">
        <f t="shared" si="10"/>
        <v>1</v>
      </c>
      <c r="AB38" s="408">
        <f t="shared" si="0"/>
        <v>0</v>
      </c>
      <c r="AC38" s="408">
        <f t="shared" si="1"/>
        <v>0</v>
      </c>
      <c r="AD38" s="408">
        <f t="shared" si="2"/>
        <v>1</v>
      </c>
      <c r="AE38" s="408">
        <f t="shared" si="3"/>
        <v>0</v>
      </c>
      <c r="AF38" s="408">
        <f t="shared" si="4"/>
        <v>1</v>
      </c>
      <c r="AG38" s="408">
        <f t="shared" si="5"/>
        <v>0</v>
      </c>
      <c r="AH38" s="408">
        <f t="shared" si="6"/>
        <v>0</v>
      </c>
      <c r="AI38" s="408">
        <f t="shared" si="7"/>
        <v>0</v>
      </c>
      <c r="AJ38" s="408">
        <f t="shared" si="8"/>
        <v>1</v>
      </c>
    </row>
    <row r="39" spans="1:36" x14ac:dyDescent="0.25">
      <c r="A39" s="409">
        <f t="shared" si="11"/>
        <v>38</v>
      </c>
      <c r="B39" s="410" t="s">
        <v>2589</v>
      </c>
      <c r="C39" s="410" t="s">
        <v>6205</v>
      </c>
      <c r="D39" s="409">
        <v>3</v>
      </c>
      <c r="E39" s="408"/>
      <c r="F39" s="409" t="str">
        <f>""</f>
        <v/>
      </c>
      <c r="G39" s="409" t="s">
        <v>6835</v>
      </c>
      <c r="H39" s="409" t="s">
        <v>6199</v>
      </c>
      <c r="I39" s="409" t="str">
        <f t="shared" si="9"/>
        <v/>
      </c>
      <c r="J39" s="409" t="s">
        <v>6206</v>
      </c>
      <c r="K39" s="409" t="s">
        <v>2536</v>
      </c>
      <c r="L39" s="409" t="s">
        <v>2562</v>
      </c>
      <c r="M39" s="409" t="s">
        <v>3857</v>
      </c>
      <c r="N39" s="408" t="str">
        <f>""</f>
        <v/>
      </c>
      <c r="O39" s="409" t="s">
        <v>6190</v>
      </c>
      <c r="P39" s="408" t="s">
        <v>6533</v>
      </c>
      <c r="T39" s="409" t="s">
        <v>626</v>
      </c>
      <c r="Z39" s="409" t="s">
        <v>628</v>
      </c>
      <c r="AA39" s="408">
        <f t="shared" si="10"/>
        <v>0</v>
      </c>
      <c r="AB39" s="408">
        <f t="shared" si="0"/>
        <v>0</v>
      </c>
      <c r="AC39" s="408">
        <f t="shared" si="1"/>
        <v>0</v>
      </c>
      <c r="AD39" s="408">
        <f t="shared" si="2"/>
        <v>1</v>
      </c>
      <c r="AE39" s="408">
        <f t="shared" si="3"/>
        <v>0</v>
      </c>
      <c r="AF39" s="408">
        <f t="shared" si="4"/>
        <v>0</v>
      </c>
      <c r="AG39" s="408">
        <f t="shared" si="5"/>
        <v>0</v>
      </c>
      <c r="AH39" s="408">
        <f t="shared" si="6"/>
        <v>0</v>
      </c>
      <c r="AI39" s="408">
        <f t="shared" si="7"/>
        <v>0</v>
      </c>
      <c r="AJ39" s="408">
        <f t="shared" si="8"/>
        <v>1</v>
      </c>
    </row>
    <row r="40" spans="1:36" x14ac:dyDescent="0.25">
      <c r="A40" s="409">
        <f t="shared" si="11"/>
        <v>39</v>
      </c>
      <c r="B40" s="410" t="s">
        <v>2592</v>
      </c>
      <c r="C40" s="410" t="s">
        <v>6193</v>
      </c>
      <c r="D40" s="409">
        <v>2</v>
      </c>
      <c r="E40" s="408"/>
      <c r="F40" s="409" t="str">
        <f>""</f>
        <v/>
      </c>
      <c r="G40" s="409" t="s">
        <v>6835</v>
      </c>
      <c r="H40" s="409" t="s">
        <v>6199</v>
      </c>
      <c r="I40" s="409" t="str">
        <f t="shared" si="9"/>
        <v>Concentration</v>
      </c>
      <c r="J40" s="409" t="s">
        <v>6210</v>
      </c>
      <c r="K40" s="409" t="s">
        <v>2536</v>
      </c>
      <c r="L40" s="409" t="s">
        <v>3857</v>
      </c>
      <c r="M40" s="409" t="s">
        <v>3857</v>
      </c>
      <c r="N40" s="408" t="str">
        <f>""</f>
        <v/>
      </c>
      <c r="O40" s="409" t="s">
        <v>6188</v>
      </c>
      <c r="P40" s="408" t="s">
        <v>2594</v>
      </c>
      <c r="T40" s="409" t="s">
        <v>626</v>
      </c>
      <c r="Z40" s="409" t="s">
        <v>628</v>
      </c>
      <c r="AA40" s="408">
        <f t="shared" si="10"/>
        <v>0</v>
      </c>
      <c r="AB40" s="408">
        <f t="shared" si="0"/>
        <v>0</v>
      </c>
      <c r="AC40" s="408">
        <f t="shared" si="1"/>
        <v>0</v>
      </c>
      <c r="AD40" s="408">
        <f t="shared" si="2"/>
        <v>1</v>
      </c>
      <c r="AE40" s="408">
        <f t="shared" si="3"/>
        <v>0</v>
      </c>
      <c r="AF40" s="408">
        <f t="shared" si="4"/>
        <v>0</v>
      </c>
      <c r="AG40" s="408">
        <f t="shared" si="5"/>
        <v>0</v>
      </c>
      <c r="AH40" s="408">
        <f t="shared" si="6"/>
        <v>0</v>
      </c>
      <c r="AI40" s="408">
        <f t="shared" si="7"/>
        <v>0</v>
      </c>
      <c r="AJ40" s="408">
        <f t="shared" si="8"/>
        <v>1</v>
      </c>
    </row>
    <row r="41" spans="1:36" x14ac:dyDescent="0.25">
      <c r="A41" s="409">
        <f t="shared" si="11"/>
        <v>40</v>
      </c>
      <c r="B41" s="410" t="s">
        <v>2595</v>
      </c>
      <c r="C41" s="410" t="s">
        <v>6193</v>
      </c>
      <c r="D41" s="409">
        <v>2</v>
      </c>
      <c r="E41" s="408"/>
      <c r="F41" s="409" t="str">
        <f>""</f>
        <v/>
      </c>
      <c r="G41" s="409" t="s">
        <v>6841</v>
      </c>
      <c r="H41" s="409" t="s">
        <v>6199</v>
      </c>
      <c r="I41" s="409" t="str">
        <f t="shared" si="9"/>
        <v>Concentration</v>
      </c>
      <c r="J41" s="409" t="s">
        <v>6210</v>
      </c>
      <c r="K41" s="409" t="s">
        <v>2536</v>
      </c>
      <c r="L41" s="409" t="s">
        <v>3857</v>
      </c>
      <c r="M41" s="409" t="s">
        <v>3857</v>
      </c>
      <c r="N41" s="408" t="str">
        <f>""</f>
        <v/>
      </c>
      <c r="O41" s="409" t="s">
        <v>6187</v>
      </c>
      <c r="P41" s="408" t="s">
        <v>6534</v>
      </c>
      <c r="R41" s="409" t="s">
        <v>1113</v>
      </c>
      <c r="AA41" s="408">
        <f t="shared" si="10"/>
        <v>0</v>
      </c>
      <c r="AB41" s="408">
        <f t="shared" si="0"/>
        <v>1</v>
      </c>
      <c r="AC41" s="408">
        <f t="shared" si="1"/>
        <v>0</v>
      </c>
      <c r="AD41" s="408">
        <f t="shared" si="2"/>
        <v>0</v>
      </c>
      <c r="AE41" s="408">
        <f t="shared" si="3"/>
        <v>0</v>
      </c>
      <c r="AF41" s="408">
        <f t="shared" si="4"/>
        <v>0</v>
      </c>
      <c r="AG41" s="408">
        <f t="shared" si="5"/>
        <v>0</v>
      </c>
      <c r="AH41" s="408">
        <f t="shared" si="6"/>
        <v>0</v>
      </c>
      <c r="AI41" s="408">
        <f t="shared" si="7"/>
        <v>0</v>
      </c>
      <c r="AJ41" s="408">
        <f t="shared" si="8"/>
        <v>0</v>
      </c>
    </row>
    <row r="42" spans="1:36" x14ac:dyDescent="0.25">
      <c r="A42" s="409">
        <f t="shared" si="11"/>
        <v>41</v>
      </c>
      <c r="B42" s="410" t="s">
        <v>2598</v>
      </c>
      <c r="C42" s="410" t="s">
        <v>6196</v>
      </c>
      <c r="D42" s="409">
        <v>1</v>
      </c>
      <c r="E42" s="408"/>
      <c r="F42" s="409" t="str">
        <f>""</f>
        <v/>
      </c>
      <c r="G42" s="409" t="s">
        <v>6835</v>
      </c>
      <c r="H42" s="409" t="s">
        <v>6199</v>
      </c>
      <c r="I42" s="409" t="str">
        <f t="shared" si="9"/>
        <v/>
      </c>
      <c r="J42" s="409" t="s">
        <v>6192</v>
      </c>
      <c r="K42" s="409" t="s">
        <v>2536</v>
      </c>
      <c r="L42" s="409" t="s">
        <v>2562</v>
      </c>
      <c r="M42" s="409" t="s">
        <v>3857</v>
      </c>
      <c r="N42" s="408" t="str">
        <f>""</f>
        <v/>
      </c>
      <c r="O42" s="409" t="s">
        <v>6187</v>
      </c>
      <c r="P42" s="408" t="s">
        <v>6535</v>
      </c>
      <c r="T42" s="409" t="s">
        <v>626</v>
      </c>
      <c r="Z42" s="409" t="s">
        <v>628</v>
      </c>
      <c r="AA42" s="408">
        <f t="shared" si="10"/>
        <v>0</v>
      </c>
      <c r="AB42" s="408">
        <f t="shared" si="0"/>
        <v>0</v>
      </c>
      <c r="AC42" s="408">
        <f t="shared" si="1"/>
        <v>0</v>
      </c>
      <c r="AD42" s="408">
        <f t="shared" si="2"/>
        <v>1</v>
      </c>
      <c r="AE42" s="408">
        <f t="shared" si="3"/>
        <v>0</v>
      </c>
      <c r="AF42" s="408">
        <f t="shared" si="4"/>
        <v>0</v>
      </c>
      <c r="AG42" s="408">
        <f t="shared" si="5"/>
        <v>0</v>
      </c>
      <c r="AH42" s="408">
        <f t="shared" si="6"/>
        <v>0</v>
      </c>
      <c r="AI42" s="408">
        <f t="shared" si="7"/>
        <v>0</v>
      </c>
      <c r="AJ42" s="408">
        <f t="shared" si="8"/>
        <v>1</v>
      </c>
    </row>
    <row r="43" spans="1:36" x14ac:dyDescent="0.25">
      <c r="A43" s="409">
        <f t="shared" si="11"/>
        <v>42</v>
      </c>
      <c r="B43" s="410" t="s">
        <v>2602</v>
      </c>
      <c r="C43" s="410" t="s">
        <v>6205</v>
      </c>
      <c r="D43" s="409">
        <v>3</v>
      </c>
      <c r="E43" s="408"/>
      <c r="F43" s="409" t="str">
        <f>""</f>
        <v/>
      </c>
      <c r="G43" s="409" t="s">
        <v>6835</v>
      </c>
      <c r="H43" s="409" t="s">
        <v>6209</v>
      </c>
      <c r="I43" s="409" t="str">
        <f t="shared" si="9"/>
        <v>Concentration</v>
      </c>
      <c r="J43" s="409" t="s">
        <v>6218</v>
      </c>
      <c r="K43" s="409" t="s">
        <v>2536</v>
      </c>
      <c r="L43" s="409" t="s">
        <v>2562</v>
      </c>
      <c r="M43" s="409" t="s">
        <v>3857</v>
      </c>
      <c r="N43" s="408" t="str">
        <f>""</f>
        <v/>
      </c>
      <c r="O43" s="409" t="s">
        <v>6185</v>
      </c>
      <c r="P43" s="408" t="s">
        <v>6536</v>
      </c>
      <c r="W43" s="409" t="s">
        <v>621</v>
      </c>
      <c r="AA43" s="408">
        <f t="shared" si="10"/>
        <v>0</v>
      </c>
      <c r="AB43" s="408">
        <f t="shared" si="0"/>
        <v>0</v>
      </c>
      <c r="AC43" s="408">
        <f t="shared" si="1"/>
        <v>0</v>
      </c>
      <c r="AD43" s="408">
        <f t="shared" si="2"/>
        <v>0</v>
      </c>
      <c r="AE43" s="408">
        <f t="shared" si="3"/>
        <v>0</v>
      </c>
      <c r="AF43" s="408">
        <f t="shared" si="4"/>
        <v>0</v>
      </c>
      <c r="AG43" s="408">
        <f t="shared" si="5"/>
        <v>1</v>
      </c>
      <c r="AH43" s="408">
        <f t="shared" si="6"/>
        <v>0</v>
      </c>
      <c r="AI43" s="408">
        <f t="shared" si="7"/>
        <v>0</v>
      </c>
      <c r="AJ43" s="408">
        <f t="shared" si="8"/>
        <v>0</v>
      </c>
    </row>
    <row r="44" spans="1:36" x14ac:dyDescent="0.25">
      <c r="A44" s="409">
        <f t="shared" si="11"/>
        <v>43</v>
      </c>
      <c r="B44" s="410" t="s">
        <v>2605</v>
      </c>
      <c r="C44" s="410" t="s">
        <v>6193</v>
      </c>
      <c r="D44" s="409">
        <v>2</v>
      </c>
      <c r="E44" s="408"/>
      <c r="F44" s="409" t="str">
        <f>""</f>
        <v/>
      </c>
      <c r="G44" s="409" t="s">
        <v>6835</v>
      </c>
      <c r="H44" s="409" t="s">
        <v>424</v>
      </c>
      <c r="I44" s="409" t="str">
        <f t="shared" si="9"/>
        <v>Concentration</v>
      </c>
      <c r="J44" s="409" t="s">
        <v>6210</v>
      </c>
      <c r="K44" s="409" t="s">
        <v>2536</v>
      </c>
      <c r="L44" s="409" t="s">
        <v>2562</v>
      </c>
      <c r="M44" s="409" t="s">
        <v>3857</v>
      </c>
      <c r="N44" s="408" t="str">
        <f>""</f>
        <v/>
      </c>
      <c r="O44" s="409" t="s">
        <v>6186</v>
      </c>
      <c r="P44" s="408" t="s">
        <v>6537</v>
      </c>
      <c r="Q44" s="409" t="s">
        <v>1112</v>
      </c>
      <c r="V44" s="409" t="s">
        <v>620</v>
      </c>
      <c r="AA44" s="408">
        <f t="shared" si="10"/>
        <v>1</v>
      </c>
      <c r="AB44" s="408">
        <f t="shared" si="0"/>
        <v>0</v>
      </c>
      <c r="AC44" s="408">
        <f t="shared" si="1"/>
        <v>0</v>
      </c>
      <c r="AD44" s="408">
        <f t="shared" si="2"/>
        <v>0</v>
      </c>
      <c r="AE44" s="408">
        <f t="shared" si="3"/>
        <v>0</v>
      </c>
      <c r="AF44" s="408">
        <f t="shared" si="4"/>
        <v>1</v>
      </c>
      <c r="AG44" s="408">
        <f t="shared" si="5"/>
        <v>0</v>
      </c>
      <c r="AH44" s="408">
        <f t="shared" si="6"/>
        <v>0</v>
      </c>
      <c r="AI44" s="408">
        <f t="shared" si="7"/>
        <v>0</v>
      </c>
      <c r="AJ44" s="408">
        <f t="shared" si="8"/>
        <v>0</v>
      </c>
    </row>
    <row r="45" spans="1:36" x14ac:dyDescent="0.25">
      <c r="A45" s="409">
        <f t="shared" si="11"/>
        <v>44</v>
      </c>
      <c r="B45" s="410" t="s">
        <v>2608</v>
      </c>
      <c r="C45" s="410" t="s">
        <v>6216</v>
      </c>
      <c r="D45" s="409">
        <v>6</v>
      </c>
      <c r="E45" s="408"/>
      <c r="F45" s="409" t="str">
        <f>""</f>
        <v/>
      </c>
      <c r="G45" s="409" t="s">
        <v>6835</v>
      </c>
      <c r="H45" s="409" t="s">
        <v>6237</v>
      </c>
      <c r="I45" s="409" t="str">
        <f t="shared" si="9"/>
        <v/>
      </c>
      <c r="J45" s="409" t="s">
        <v>6192</v>
      </c>
      <c r="K45" s="409" t="s">
        <v>2536</v>
      </c>
      <c r="L45" s="409" t="s">
        <v>2562</v>
      </c>
      <c r="M45" s="409" t="s">
        <v>1248</v>
      </c>
      <c r="N45" s="408" t="s">
        <v>6238</v>
      </c>
      <c r="O45" s="409" t="s">
        <v>6187</v>
      </c>
      <c r="P45" s="408" t="s">
        <v>6538</v>
      </c>
      <c r="T45" s="409" t="s">
        <v>626</v>
      </c>
      <c r="Z45" s="409" t="s">
        <v>628</v>
      </c>
      <c r="AA45" s="408">
        <f t="shared" si="10"/>
        <v>0</v>
      </c>
      <c r="AB45" s="408">
        <f t="shared" si="0"/>
        <v>0</v>
      </c>
      <c r="AC45" s="408">
        <f t="shared" si="1"/>
        <v>0</v>
      </c>
      <c r="AD45" s="408">
        <f t="shared" si="2"/>
        <v>1</v>
      </c>
      <c r="AE45" s="408">
        <f t="shared" si="3"/>
        <v>0</v>
      </c>
      <c r="AF45" s="408">
        <f t="shared" si="4"/>
        <v>0</v>
      </c>
      <c r="AG45" s="408">
        <f t="shared" si="5"/>
        <v>0</v>
      </c>
      <c r="AH45" s="408">
        <f t="shared" si="6"/>
        <v>0</v>
      </c>
      <c r="AI45" s="408">
        <f t="shared" si="7"/>
        <v>0</v>
      </c>
      <c r="AJ45" s="408">
        <f t="shared" si="8"/>
        <v>1</v>
      </c>
    </row>
    <row r="46" spans="1:36" x14ac:dyDescent="0.25">
      <c r="A46" s="409">
        <f t="shared" si="11"/>
        <v>45</v>
      </c>
      <c r="B46" s="410" t="s">
        <v>2612</v>
      </c>
      <c r="C46" s="410" t="s">
        <v>6196</v>
      </c>
      <c r="D46" s="409">
        <v>1</v>
      </c>
      <c r="E46" s="408"/>
      <c r="F46" s="409" t="str">
        <f>""</f>
        <v/>
      </c>
      <c r="G46" s="409" t="s">
        <v>6835</v>
      </c>
      <c r="H46" s="409" t="s">
        <v>5950</v>
      </c>
      <c r="I46" s="409" t="str">
        <f t="shared" si="9"/>
        <v/>
      </c>
      <c r="J46" s="409" t="s">
        <v>6212</v>
      </c>
      <c r="K46" s="409" t="s">
        <v>2536</v>
      </c>
      <c r="L46" s="409" t="s">
        <v>2562</v>
      </c>
      <c r="M46" s="409" t="s">
        <v>3857</v>
      </c>
      <c r="N46" s="408" t="str">
        <f>""</f>
        <v/>
      </c>
      <c r="O46" s="409" t="s">
        <v>6186</v>
      </c>
      <c r="P46" s="408" t="s">
        <v>6539</v>
      </c>
      <c r="Q46" s="409" t="s">
        <v>1112</v>
      </c>
      <c r="T46" s="409" t="s">
        <v>626</v>
      </c>
      <c r="U46" s="409" t="s">
        <v>627</v>
      </c>
      <c r="W46" s="409" t="s">
        <v>621</v>
      </c>
      <c r="Z46" s="409" t="s">
        <v>628</v>
      </c>
      <c r="AA46" s="408">
        <f t="shared" si="10"/>
        <v>1</v>
      </c>
      <c r="AB46" s="408">
        <f t="shared" si="0"/>
        <v>0</v>
      </c>
      <c r="AC46" s="408">
        <f t="shared" si="1"/>
        <v>0</v>
      </c>
      <c r="AD46" s="408">
        <f t="shared" si="2"/>
        <v>1</v>
      </c>
      <c r="AE46" s="408">
        <f t="shared" si="3"/>
        <v>1</v>
      </c>
      <c r="AF46" s="408">
        <f t="shared" si="4"/>
        <v>0</v>
      </c>
      <c r="AG46" s="408">
        <f t="shared" si="5"/>
        <v>1</v>
      </c>
      <c r="AH46" s="408">
        <f t="shared" si="6"/>
        <v>0</v>
      </c>
      <c r="AI46" s="408">
        <f t="shared" si="7"/>
        <v>0</v>
      </c>
      <c r="AJ46" s="408">
        <f t="shared" si="8"/>
        <v>1</v>
      </c>
    </row>
    <row r="47" spans="1:36" x14ac:dyDescent="0.25">
      <c r="A47" s="409">
        <f t="shared" si="11"/>
        <v>46</v>
      </c>
      <c r="B47" s="410" t="s">
        <v>2614</v>
      </c>
      <c r="C47" s="410" t="s">
        <v>6191</v>
      </c>
      <c r="D47" s="409">
        <v>0.5</v>
      </c>
      <c r="E47" s="408"/>
      <c r="F47" s="409" t="str">
        <f>""</f>
        <v/>
      </c>
      <c r="G47" s="409" t="s">
        <v>6835</v>
      </c>
      <c r="H47" s="409" t="s">
        <v>6209</v>
      </c>
      <c r="I47" s="409" t="str">
        <f t="shared" si="9"/>
        <v/>
      </c>
      <c r="J47" s="409" t="s">
        <v>6235</v>
      </c>
      <c r="K47" s="409" t="s">
        <v>2536</v>
      </c>
      <c r="L47" s="409" t="s">
        <v>2562</v>
      </c>
      <c r="M47" s="409" t="s">
        <v>3857</v>
      </c>
      <c r="N47" s="408" t="str">
        <f>""</f>
        <v/>
      </c>
      <c r="O47" s="409" t="s">
        <v>6189</v>
      </c>
      <c r="P47" s="408" t="s">
        <v>6540</v>
      </c>
      <c r="T47" s="409" t="s">
        <v>626</v>
      </c>
      <c r="U47" s="409" t="s">
        <v>627</v>
      </c>
      <c r="Z47" s="409" t="s">
        <v>628</v>
      </c>
      <c r="AA47" s="408">
        <f t="shared" si="10"/>
        <v>0</v>
      </c>
      <c r="AB47" s="408">
        <f t="shared" si="0"/>
        <v>0</v>
      </c>
      <c r="AC47" s="408">
        <f t="shared" si="1"/>
        <v>0</v>
      </c>
      <c r="AD47" s="408">
        <f t="shared" si="2"/>
        <v>1</v>
      </c>
      <c r="AE47" s="408">
        <f t="shared" si="3"/>
        <v>1</v>
      </c>
      <c r="AF47" s="408">
        <f t="shared" si="4"/>
        <v>0</v>
      </c>
      <c r="AG47" s="408">
        <f t="shared" si="5"/>
        <v>0</v>
      </c>
      <c r="AH47" s="408">
        <f t="shared" si="6"/>
        <v>0</v>
      </c>
      <c r="AI47" s="408">
        <f t="shared" si="7"/>
        <v>0</v>
      </c>
      <c r="AJ47" s="408">
        <f t="shared" si="8"/>
        <v>1</v>
      </c>
    </row>
    <row r="48" spans="1:36" x14ac:dyDescent="0.25">
      <c r="A48" s="409">
        <f t="shared" si="11"/>
        <v>47</v>
      </c>
      <c r="B48" s="410" t="s">
        <v>2617</v>
      </c>
      <c r="C48" s="410" t="s">
        <v>6196</v>
      </c>
      <c r="D48" s="409">
        <v>1</v>
      </c>
      <c r="E48" s="408"/>
      <c r="F48" s="409" t="str">
        <f>""</f>
        <v/>
      </c>
      <c r="G48" s="409" t="s">
        <v>6835</v>
      </c>
      <c r="H48" s="409" t="s">
        <v>6234</v>
      </c>
      <c r="I48" s="409" t="str">
        <f t="shared" si="9"/>
        <v/>
      </c>
      <c r="J48" s="409" t="s">
        <v>6192</v>
      </c>
      <c r="K48" s="409" t="s">
        <v>2536</v>
      </c>
      <c r="L48" s="409" t="s">
        <v>2562</v>
      </c>
      <c r="M48" s="409" t="s">
        <v>1248</v>
      </c>
      <c r="N48" s="408" t="s">
        <v>6239</v>
      </c>
      <c r="O48" s="409" t="s">
        <v>6187</v>
      </c>
      <c r="P48" s="408" t="s">
        <v>6541</v>
      </c>
      <c r="T48" s="409" t="s">
        <v>626</v>
      </c>
      <c r="Z48" s="409" t="s">
        <v>628</v>
      </c>
      <c r="AA48" s="408">
        <f t="shared" si="10"/>
        <v>0</v>
      </c>
      <c r="AB48" s="408">
        <f t="shared" si="0"/>
        <v>0</v>
      </c>
      <c r="AC48" s="408">
        <f t="shared" si="1"/>
        <v>0</v>
      </c>
      <c r="AD48" s="408">
        <f t="shared" si="2"/>
        <v>1</v>
      </c>
      <c r="AE48" s="408">
        <f t="shared" si="3"/>
        <v>0</v>
      </c>
      <c r="AF48" s="408">
        <f t="shared" si="4"/>
        <v>0</v>
      </c>
      <c r="AG48" s="408">
        <f t="shared" si="5"/>
        <v>0</v>
      </c>
      <c r="AH48" s="408">
        <f t="shared" si="6"/>
        <v>0</v>
      </c>
      <c r="AI48" s="408">
        <f t="shared" si="7"/>
        <v>0</v>
      </c>
      <c r="AJ48" s="408">
        <f t="shared" si="8"/>
        <v>1</v>
      </c>
    </row>
    <row r="49" spans="1:36" x14ac:dyDescent="0.25">
      <c r="A49" s="409">
        <f t="shared" si="11"/>
        <v>48</v>
      </c>
      <c r="B49" s="410" t="s">
        <v>2620</v>
      </c>
      <c r="C49" s="410" t="s">
        <v>6216</v>
      </c>
      <c r="D49" s="409">
        <v>6</v>
      </c>
      <c r="E49" s="408"/>
      <c r="F49" s="409" t="str">
        <f>""</f>
        <v/>
      </c>
      <c r="G49" s="409" t="s">
        <v>6835</v>
      </c>
      <c r="H49" s="409" t="s">
        <v>6237</v>
      </c>
      <c r="I49" s="409" t="str">
        <f t="shared" si="9"/>
        <v/>
      </c>
      <c r="J49" s="409" t="s">
        <v>6192</v>
      </c>
      <c r="K49" s="409" t="s">
        <v>2536</v>
      </c>
      <c r="L49" s="409" t="s">
        <v>2562</v>
      </c>
      <c r="M49" s="409" t="s">
        <v>1248</v>
      </c>
      <c r="N49" s="408" t="s">
        <v>6240</v>
      </c>
      <c r="O49" s="409" t="s">
        <v>6189</v>
      </c>
      <c r="P49" s="408" t="s">
        <v>6542</v>
      </c>
      <c r="T49" s="409" t="s">
        <v>626</v>
      </c>
      <c r="U49" s="409" t="s">
        <v>627</v>
      </c>
      <c r="Z49" s="409" t="s">
        <v>628</v>
      </c>
      <c r="AA49" s="408">
        <f t="shared" si="10"/>
        <v>0</v>
      </c>
      <c r="AB49" s="408">
        <f t="shared" si="0"/>
        <v>0</v>
      </c>
      <c r="AC49" s="408">
        <f t="shared" si="1"/>
        <v>0</v>
      </c>
      <c r="AD49" s="408">
        <f t="shared" si="2"/>
        <v>1</v>
      </c>
      <c r="AE49" s="408">
        <f t="shared" si="3"/>
        <v>1</v>
      </c>
      <c r="AF49" s="408">
        <f t="shared" si="4"/>
        <v>0</v>
      </c>
      <c r="AG49" s="408">
        <f t="shared" si="5"/>
        <v>0</v>
      </c>
      <c r="AH49" s="408">
        <f t="shared" si="6"/>
        <v>0</v>
      </c>
      <c r="AI49" s="408">
        <f t="shared" si="7"/>
        <v>0</v>
      </c>
      <c r="AJ49" s="408">
        <f t="shared" si="8"/>
        <v>1</v>
      </c>
    </row>
    <row r="50" spans="1:36" x14ac:dyDescent="0.25">
      <c r="A50" s="409">
        <f t="shared" si="11"/>
        <v>49</v>
      </c>
      <c r="B50" s="410" t="s">
        <v>2624</v>
      </c>
      <c r="C50" s="410" t="s">
        <v>6208</v>
      </c>
      <c r="D50" s="409">
        <v>5</v>
      </c>
      <c r="E50" s="408"/>
      <c r="F50" s="409" t="str">
        <f>""</f>
        <v/>
      </c>
      <c r="G50" s="409" t="s">
        <v>6835</v>
      </c>
      <c r="H50" s="409" t="s">
        <v>6199</v>
      </c>
      <c r="I50" s="409" t="str">
        <f t="shared" si="9"/>
        <v>Concentration</v>
      </c>
      <c r="J50" s="409" t="s">
        <v>6218</v>
      </c>
      <c r="K50" s="409" t="s">
        <v>2536</v>
      </c>
      <c r="L50" s="409" t="s">
        <v>2562</v>
      </c>
      <c r="M50" s="409" t="s">
        <v>3857</v>
      </c>
      <c r="N50" s="408" t="str">
        <f>""</f>
        <v/>
      </c>
      <c r="O50" s="409" t="s">
        <v>6184</v>
      </c>
      <c r="P50" s="408" t="s">
        <v>2626</v>
      </c>
      <c r="R50" s="409" t="s">
        <v>1113</v>
      </c>
      <c r="AA50" s="408">
        <f t="shared" si="10"/>
        <v>0</v>
      </c>
      <c r="AB50" s="408">
        <f t="shared" si="0"/>
        <v>1</v>
      </c>
      <c r="AC50" s="408">
        <f t="shared" si="1"/>
        <v>0</v>
      </c>
      <c r="AD50" s="408">
        <f t="shared" si="2"/>
        <v>0</v>
      </c>
      <c r="AE50" s="408">
        <f t="shared" si="3"/>
        <v>0</v>
      </c>
      <c r="AF50" s="408">
        <f t="shared" si="4"/>
        <v>0</v>
      </c>
      <c r="AG50" s="408">
        <f t="shared" si="5"/>
        <v>0</v>
      </c>
      <c r="AH50" s="408">
        <f t="shared" si="6"/>
        <v>0</v>
      </c>
      <c r="AI50" s="408">
        <f t="shared" si="7"/>
        <v>0</v>
      </c>
      <c r="AJ50" s="408">
        <f t="shared" si="8"/>
        <v>0</v>
      </c>
    </row>
    <row r="51" spans="1:36" x14ac:dyDescent="0.25">
      <c r="A51" s="409">
        <f t="shared" si="11"/>
        <v>50</v>
      </c>
      <c r="B51" s="410" t="s">
        <v>2627</v>
      </c>
      <c r="C51" s="410" t="s">
        <v>6205</v>
      </c>
      <c r="D51" s="409">
        <v>3</v>
      </c>
      <c r="E51" s="408"/>
      <c r="F51" s="409" t="str">
        <f>""</f>
        <v/>
      </c>
      <c r="G51" s="409" t="s">
        <v>6241</v>
      </c>
      <c r="H51" s="409" t="s">
        <v>2630</v>
      </c>
      <c r="I51" s="409" t="str">
        <f t="shared" si="9"/>
        <v>Concentration</v>
      </c>
      <c r="J51" s="409" t="s">
        <v>6218</v>
      </c>
      <c r="K51" s="409" t="s">
        <v>2536</v>
      </c>
      <c r="L51" s="409" t="s">
        <v>2562</v>
      </c>
      <c r="M51" s="409" t="s">
        <v>1248</v>
      </c>
      <c r="N51" s="408" t="s">
        <v>6242</v>
      </c>
      <c r="O51" s="409" t="s">
        <v>2792</v>
      </c>
      <c r="P51" s="408" t="s">
        <v>6543</v>
      </c>
      <c r="Q51" s="409" t="s">
        <v>1112</v>
      </c>
      <c r="T51" s="409" t="s">
        <v>626</v>
      </c>
      <c r="V51" s="409" t="s">
        <v>620</v>
      </c>
      <c r="Z51" s="409" t="s">
        <v>628</v>
      </c>
      <c r="AA51" s="408">
        <f t="shared" si="10"/>
        <v>1</v>
      </c>
      <c r="AB51" s="408">
        <f t="shared" si="0"/>
        <v>0</v>
      </c>
      <c r="AC51" s="408">
        <f t="shared" si="1"/>
        <v>0</v>
      </c>
      <c r="AD51" s="408">
        <f t="shared" si="2"/>
        <v>1</v>
      </c>
      <c r="AE51" s="408">
        <f t="shared" si="3"/>
        <v>0</v>
      </c>
      <c r="AF51" s="408">
        <f t="shared" si="4"/>
        <v>1</v>
      </c>
      <c r="AG51" s="408">
        <f t="shared" si="5"/>
        <v>0</v>
      </c>
      <c r="AH51" s="408">
        <f t="shared" si="6"/>
        <v>0</v>
      </c>
      <c r="AI51" s="408">
        <f t="shared" si="7"/>
        <v>0</v>
      </c>
      <c r="AJ51" s="408">
        <f t="shared" si="8"/>
        <v>1</v>
      </c>
    </row>
    <row r="52" spans="1:36" x14ac:dyDescent="0.25">
      <c r="A52" s="409">
        <f t="shared" si="11"/>
        <v>51</v>
      </c>
      <c r="B52" s="410" t="s">
        <v>2633</v>
      </c>
      <c r="C52" s="410" t="s">
        <v>6203</v>
      </c>
      <c r="D52" s="409">
        <v>8</v>
      </c>
      <c r="E52" s="408"/>
      <c r="F52" s="409" t="str">
        <f>""</f>
        <v/>
      </c>
      <c r="G52" s="409" t="s">
        <v>6212</v>
      </c>
      <c r="H52" s="409" t="s">
        <v>6219</v>
      </c>
      <c r="I52" s="409" t="str">
        <f t="shared" si="9"/>
        <v/>
      </c>
      <c r="J52" s="409" t="s">
        <v>6192</v>
      </c>
      <c r="K52" s="409" t="s">
        <v>2536</v>
      </c>
      <c r="L52" s="409" t="s">
        <v>2562</v>
      </c>
      <c r="M52" s="409" t="s">
        <v>1248</v>
      </c>
      <c r="N52" s="408" t="s">
        <v>6243</v>
      </c>
      <c r="O52" s="409" t="s">
        <v>6189</v>
      </c>
      <c r="P52" s="408" t="s">
        <v>6544</v>
      </c>
      <c r="Z52" s="409" t="s">
        <v>628</v>
      </c>
      <c r="AA52" s="408">
        <f t="shared" si="10"/>
        <v>0</v>
      </c>
      <c r="AB52" s="408">
        <f t="shared" si="0"/>
        <v>0</v>
      </c>
      <c r="AC52" s="408">
        <f t="shared" si="1"/>
        <v>0</v>
      </c>
      <c r="AD52" s="408">
        <f t="shared" si="2"/>
        <v>0</v>
      </c>
      <c r="AE52" s="408">
        <f t="shared" si="3"/>
        <v>0</v>
      </c>
      <c r="AF52" s="408">
        <f t="shared" si="4"/>
        <v>0</v>
      </c>
      <c r="AG52" s="408">
        <f t="shared" si="5"/>
        <v>0</v>
      </c>
      <c r="AH52" s="408">
        <f t="shared" si="6"/>
        <v>0</v>
      </c>
      <c r="AI52" s="408">
        <f t="shared" si="7"/>
        <v>0</v>
      </c>
      <c r="AJ52" s="408">
        <f t="shared" si="8"/>
        <v>1</v>
      </c>
    </row>
    <row r="53" spans="1:36" x14ac:dyDescent="0.25">
      <c r="A53" s="409">
        <f t="shared" si="11"/>
        <v>52</v>
      </c>
      <c r="B53" s="410" t="s">
        <v>2637</v>
      </c>
      <c r="C53" s="410" t="s">
        <v>6193</v>
      </c>
      <c r="D53" s="409">
        <v>2</v>
      </c>
      <c r="E53" s="408"/>
      <c r="F53" s="409" t="str">
        <f>""</f>
        <v/>
      </c>
      <c r="G53" s="409" t="s">
        <v>6835</v>
      </c>
      <c r="H53" s="409" t="s">
        <v>424</v>
      </c>
      <c r="I53" s="409" t="str">
        <f t="shared" si="9"/>
        <v>Concentration</v>
      </c>
      <c r="J53" s="409" t="s">
        <v>6210</v>
      </c>
      <c r="K53" s="409" t="s">
        <v>2536</v>
      </c>
      <c r="L53" s="409" t="s">
        <v>2562</v>
      </c>
      <c r="M53" s="409" t="s">
        <v>1248</v>
      </c>
      <c r="N53" s="408" t="s">
        <v>6244</v>
      </c>
      <c r="O53" s="409" t="s">
        <v>6185</v>
      </c>
      <c r="P53" s="408" t="s">
        <v>6545</v>
      </c>
      <c r="Q53" s="409" t="s">
        <v>1112</v>
      </c>
      <c r="T53" s="409" t="s">
        <v>626</v>
      </c>
      <c r="U53" s="409" t="s">
        <v>627</v>
      </c>
      <c r="Z53" s="409" t="s">
        <v>628</v>
      </c>
      <c r="AA53" s="408">
        <f t="shared" si="10"/>
        <v>1</v>
      </c>
      <c r="AB53" s="408">
        <f t="shared" si="0"/>
        <v>0</v>
      </c>
      <c r="AC53" s="408">
        <f t="shared" si="1"/>
        <v>0</v>
      </c>
      <c r="AD53" s="408">
        <f t="shared" si="2"/>
        <v>1</v>
      </c>
      <c r="AE53" s="408">
        <f t="shared" si="3"/>
        <v>1</v>
      </c>
      <c r="AF53" s="408">
        <f t="shared" si="4"/>
        <v>0</v>
      </c>
      <c r="AG53" s="408">
        <f t="shared" si="5"/>
        <v>0</v>
      </c>
      <c r="AH53" s="408">
        <f t="shared" si="6"/>
        <v>0</v>
      </c>
      <c r="AI53" s="408">
        <f t="shared" si="7"/>
        <v>0</v>
      </c>
      <c r="AJ53" s="408">
        <f t="shared" si="8"/>
        <v>1</v>
      </c>
    </row>
    <row r="54" spans="1:36" x14ac:dyDescent="0.25">
      <c r="A54" s="409">
        <f t="shared" si="11"/>
        <v>53</v>
      </c>
      <c r="B54" s="410" t="s">
        <v>2641</v>
      </c>
      <c r="C54" s="410" t="s">
        <v>6208</v>
      </c>
      <c r="D54" s="409">
        <v>5</v>
      </c>
      <c r="E54" s="408"/>
      <c r="F54" s="409" t="str">
        <f>""</f>
        <v/>
      </c>
      <c r="G54" s="409" t="s">
        <v>6835</v>
      </c>
      <c r="H54" s="409" t="s">
        <v>6209</v>
      </c>
      <c r="I54" s="409" t="str">
        <f t="shared" si="9"/>
        <v>Concentration</v>
      </c>
      <c r="J54" s="409" t="s">
        <v>6218</v>
      </c>
      <c r="K54" s="409" t="s">
        <v>2536</v>
      </c>
      <c r="L54" s="409" t="s">
        <v>2562</v>
      </c>
      <c r="M54" s="409" t="s">
        <v>3857</v>
      </c>
      <c r="N54" s="408" t="str">
        <f>""</f>
        <v/>
      </c>
      <c r="O54" s="409" t="s">
        <v>6185</v>
      </c>
      <c r="P54" s="408" t="s">
        <v>6546</v>
      </c>
      <c r="T54" s="409" t="s">
        <v>626</v>
      </c>
      <c r="Z54" s="409" t="s">
        <v>628</v>
      </c>
      <c r="AA54" s="408">
        <f t="shared" si="10"/>
        <v>0</v>
      </c>
      <c r="AB54" s="408">
        <f t="shared" si="0"/>
        <v>0</v>
      </c>
      <c r="AC54" s="408">
        <f t="shared" si="1"/>
        <v>0</v>
      </c>
      <c r="AD54" s="408">
        <f t="shared" si="2"/>
        <v>1</v>
      </c>
      <c r="AE54" s="408">
        <f t="shared" si="3"/>
        <v>0</v>
      </c>
      <c r="AF54" s="408">
        <f t="shared" si="4"/>
        <v>0</v>
      </c>
      <c r="AG54" s="408">
        <f t="shared" si="5"/>
        <v>0</v>
      </c>
      <c r="AH54" s="408">
        <f t="shared" si="6"/>
        <v>0</v>
      </c>
      <c r="AI54" s="408">
        <f t="shared" si="7"/>
        <v>0</v>
      </c>
      <c r="AJ54" s="408">
        <f t="shared" si="8"/>
        <v>1</v>
      </c>
    </row>
    <row r="55" spans="1:36" x14ac:dyDescent="0.25">
      <c r="A55" s="409">
        <f t="shared" si="11"/>
        <v>54</v>
      </c>
      <c r="B55" s="410" t="s">
        <v>2644</v>
      </c>
      <c r="C55" s="410" t="s">
        <v>6196</v>
      </c>
      <c r="D55" s="409">
        <v>1</v>
      </c>
      <c r="E55" s="408"/>
      <c r="F55" s="409" t="str">
        <f>""</f>
        <v/>
      </c>
      <c r="G55" s="409" t="s">
        <v>6835</v>
      </c>
      <c r="H55" s="409" t="s">
        <v>6199</v>
      </c>
      <c r="I55" s="409" t="str">
        <f t="shared" si="9"/>
        <v/>
      </c>
      <c r="J55" s="409" t="s">
        <v>6235</v>
      </c>
      <c r="K55" s="409" t="s">
        <v>2536</v>
      </c>
      <c r="L55" s="409" t="s">
        <v>2562</v>
      </c>
      <c r="M55" s="409" t="s">
        <v>1248</v>
      </c>
      <c r="N55" s="408" t="s">
        <v>6245</v>
      </c>
      <c r="O55" s="409" t="s">
        <v>6188</v>
      </c>
      <c r="P55" s="408" t="s">
        <v>6547</v>
      </c>
      <c r="T55" s="409" t="s">
        <v>626</v>
      </c>
      <c r="Z55" s="409" t="s">
        <v>628</v>
      </c>
      <c r="AA55" s="408">
        <f t="shared" si="10"/>
        <v>0</v>
      </c>
      <c r="AB55" s="408">
        <f t="shared" si="0"/>
        <v>0</v>
      </c>
      <c r="AC55" s="408">
        <f t="shared" si="1"/>
        <v>0</v>
      </c>
      <c r="AD55" s="408">
        <f t="shared" si="2"/>
        <v>1</v>
      </c>
      <c r="AE55" s="408">
        <f t="shared" si="3"/>
        <v>0</v>
      </c>
      <c r="AF55" s="408">
        <f t="shared" si="4"/>
        <v>0</v>
      </c>
      <c r="AG55" s="408">
        <f t="shared" si="5"/>
        <v>0</v>
      </c>
      <c r="AH55" s="408">
        <f t="shared" si="6"/>
        <v>0</v>
      </c>
      <c r="AI55" s="408">
        <f t="shared" si="7"/>
        <v>0</v>
      </c>
      <c r="AJ55" s="408">
        <f t="shared" si="8"/>
        <v>1</v>
      </c>
    </row>
    <row r="56" spans="1:36" x14ac:dyDescent="0.25">
      <c r="A56" s="409">
        <f t="shared" si="11"/>
        <v>55</v>
      </c>
      <c r="B56" s="410" t="s">
        <v>2648</v>
      </c>
      <c r="C56" s="410" t="s">
        <v>6196</v>
      </c>
      <c r="D56" s="409">
        <v>1</v>
      </c>
      <c r="E56" s="408"/>
      <c r="F56" s="409" t="str">
        <f>""</f>
        <v/>
      </c>
      <c r="G56" s="409" t="s">
        <v>6835</v>
      </c>
      <c r="H56" s="409" t="s">
        <v>424</v>
      </c>
      <c r="I56" s="409" t="str">
        <f t="shared" si="9"/>
        <v/>
      </c>
      <c r="J56" s="409" t="s">
        <v>6235</v>
      </c>
      <c r="K56" s="409" t="s">
        <v>2536</v>
      </c>
      <c r="L56" s="409" t="s">
        <v>3857</v>
      </c>
      <c r="M56" s="409" t="s">
        <v>3857</v>
      </c>
      <c r="N56" s="408" t="str">
        <f>""</f>
        <v/>
      </c>
      <c r="O56" s="409" t="s">
        <v>6186</v>
      </c>
      <c r="P56" s="408" t="s">
        <v>6548</v>
      </c>
      <c r="R56" s="409" t="s">
        <v>1113</v>
      </c>
      <c r="V56" s="409" t="s">
        <v>620</v>
      </c>
      <c r="AA56" s="408">
        <f t="shared" si="10"/>
        <v>0</v>
      </c>
      <c r="AB56" s="408">
        <f t="shared" si="0"/>
        <v>1</v>
      </c>
      <c r="AC56" s="408">
        <f t="shared" si="1"/>
        <v>0</v>
      </c>
      <c r="AD56" s="408">
        <f t="shared" si="2"/>
        <v>0</v>
      </c>
      <c r="AE56" s="408">
        <f t="shared" si="3"/>
        <v>0</v>
      </c>
      <c r="AF56" s="408">
        <f t="shared" si="4"/>
        <v>1</v>
      </c>
      <c r="AG56" s="408">
        <f t="shared" si="5"/>
        <v>0</v>
      </c>
      <c r="AH56" s="408">
        <f t="shared" si="6"/>
        <v>0</v>
      </c>
      <c r="AI56" s="408">
        <f t="shared" si="7"/>
        <v>0</v>
      </c>
      <c r="AJ56" s="408">
        <f t="shared" si="8"/>
        <v>0</v>
      </c>
    </row>
    <row r="57" spans="1:36" x14ac:dyDescent="0.25">
      <c r="A57" s="409">
        <f t="shared" si="11"/>
        <v>56</v>
      </c>
      <c r="B57" s="410" t="s">
        <v>2650</v>
      </c>
      <c r="C57" s="410" t="s">
        <v>6208</v>
      </c>
      <c r="D57" s="409">
        <v>5</v>
      </c>
      <c r="E57" s="408"/>
      <c r="F57" s="409" t="s">
        <v>6183</v>
      </c>
      <c r="G57" s="409" t="s">
        <v>6197</v>
      </c>
      <c r="H57" s="409" t="s">
        <v>6199</v>
      </c>
      <c r="I57" s="409" t="str">
        <f t="shared" si="9"/>
        <v/>
      </c>
      <c r="J57" s="409" t="s">
        <v>6206</v>
      </c>
      <c r="K57" s="409" t="s">
        <v>2536</v>
      </c>
      <c r="L57" s="409" t="s">
        <v>2562</v>
      </c>
      <c r="M57" s="409" t="s">
        <v>1248</v>
      </c>
      <c r="N57" s="408" t="s">
        <v>6246</v>
      </c>
      <c r="O57" s="409" t="s">
        <v>2792</v>
      </c>
      <c r="P57" s="408" t="s">
        <v>6549</v>
      </c>
      <c r="S57" s="409" t="s">
        <v>624</v>
      </c>
      <c r="V57" s="409" t="s">
        <v>620</v>
      </c>
      <c r="AA57" s="408">
        <f t="shared" si="10"/>
        <v>0</v>
      </c>
      <c r="AB57" s="408">
        <f t="shared" si="0"/>
        <v>0</v>
      </c>
      <c r="AC57" s="408">
        <f t="shared" si="1"/>
        <v>1</v>
      </c>
      <c r="AD57" s="408">
        <f t="shared" si="2"/>
        <v>0</v>
      </c>
      <c r="AE57" s="408">
        <f t="shared" si="3"/>
        <v>0</v>
      </c>
      <c r="AF57" s="408">
        <f t="shared" si="4"/>
        <v>1</v>
      </c>
      <c r="AG57" s="408">
        <f t="shared" si="5"/>
        <v>0</v>
      </c>
      <c r="AH57" s="408">
        <f t="shared" si="6"/>
        <v>0</v>
      </c>
      <c r="AI57" s="408">
        <f t="shared" si="7"/>
        <v>0</v>
      </c>
      <c r="AJ57" s="408">
        <f t="shared" si="8"/>
        <v>0</v>
      </c>
    </row>
    <row r="58" spans="1:36" x14ac:dyDescent="0.25">
      <c r="A58" s="409">
        <f t="shared" si="11"/>
        <v>57</v>
      </c>
      <c r="B58" s="410" t="s">
        <v>2654</v>
      </c>
      <c r="C58" s="410" t="s">
        <v>6208</v>
      </c>
      <c r="D58" s="409">
        <v>5</v>
      </c>
      <c r="E58" s="408"/>
      <c r="F58" s="409" t="s">
        <v>6183</v>
      </c>
      <c r="G58" s="409" t="s">
        <v>6197</v>
      </c>
      <c r="H58" s="409" t="s">
        <v>6199</v>
      </c>
      <c r="I58" s="409" t="str">
        <f t="shared" si="9"/>
        <v/>
      </c>
      <c r="J58" s="409" t="s">
        <v>6192</v>
      </c>
      <c r="K58" s="409" t="s">
        <v>2536</v>
      </c>
      <c r="L58" s="409" t="s">
        <v>2562</v>
      </c>
      <c r="M58" s="409" t="s">
        <v>3857</v>
      </c>
      <c r="O58" s="409" t="s">
        <v>2792</v>
      </c>
      <c r="P58" s="408" t="s">
        <v>6550</v>
      </c>
      <c r="W58" s="409" t="s">
        <v>621</v>
      </c>
      <c r="AA58" s="408">
        <f t="shared" si="10"/>
        <v>0</v>
      </c>
      <c r="AB58" s="408">
        <f t="shared" si="0"/>
        <v>0</v>
      </c>
      <c r="AC58" s="408">
        <f t="shared" si="1"/>
        <v>0</v>
      </c>
      <c r="AD58" s="408">
        <f t="shared" si="2"/>
        <v>0</v>
      </c>
      <c r="AE58" s="408">
        <f t="shared" si="3"/>
        <v>0</v>
      </c>
      <c r="AF58" s="408">
        <f t="shared" si="4"/>
        <v>0</v>
      </c>
      <c r="AG58" s="408">
        <f t="shared" si="5"/>
        <v>1</v>
      </c>
      <c r="AH58" s="408">
        <f t="shared" si="6"/>
        <v>0</v>
      </c>
      <c r="AI58" s="408">
        <f t="shared" si="7"/>
        <v>0</v>
      </c>
      <c r="AJ58" s="408">
        <f t="shared" si="8"/>
        <v>0</v>
      </c>
    </row>
    <row r="59" spans="1:36" x14ac:dyDescent="0.25">
      <c r="A59" s="409">
        <f t="shared" si="11"/>
        <v>58</v>
      </c>
      <c r="B59" s="410" t="s">
        <v>2656</v>
      </c>
      <c r="C59" s="410" t="s">
        <v>6196</v>
      </c>
      <c r="D59" s="409">
        <v>1</v>
      </c>
      <c r="E59" s="408"/>
      <c r="F59" s="409" t="str">
        <f>""</f>
        <v/>
      </c>
      <c r="G59" s="409" t="s">
        <v>6841</v>
      </c>
      <c r="H59" s="409" t="s">
        <v>5950</v>
      </c>
      <c r="I59" s="409" t="str">
        <f t="shared" si="9"/>
        <v>Concentration</v>
      </c>
      <c r="J59" s="409" t="s">
        <v>6210</v>
      </c>
      <c r="K59" s="409" t="s">
        <v>2536</v>
      </c>
      <c r="L59" s="409" t="s">
        <v>3857</v>
      </c>
      <c r="M59" s="409" t="s">
        <v>3857</v>
      </c>
      <c r="O59" s="409" t="s">
        <v>6186</v>
      </c>
      <c r="P59" s="408" t="s">
        <v>6551</v>
      </c>
      <c r="R59" s="409" t="s">
        <v>1113</v>
      </c>
      <c r="AA59" s="408">
        <f t="shared" si="10"/>
        <v>0</v>
      </c>
      <c r="AB59" s="408">
        <f t="shared" si="0"/>
        <v>1</v>
      </c>
      <c r="AC59" s="408">
        <f t="shared" si="1"/>
        <v>0</v>
      </c>
      <c r="AD59" s="408">
        <f t="shared" si="2"/>
        <v>0</v>
      </c>
      <c r="AE59" s="408">
        <f t="shared" si="3"/>
        <v>0</v>
      </c>
      <c r="AF59" s="408">
        <f t="shared" si="4"/>
        <v>0</v>
      </c>
      <c r="AG59" s="408">
        <f t="shared" si="5"/>
        <v>0</v>
      </c>
      <c r="AH59" s="408">
        <f t="shared" si="6"/>
        <v>0</v>
      </c>
      <c r="AI59" s="408">
        <f t="shared" si="7"/>
        <v>0</v>
      </c>
      <c r="AJ59" s="408">
        <f t="shared" si="8"/>
        <v>0</v>
      </c>
    </row>
    <row r="60" spans="1:36" x14ac:dyDescent="0.25">
      <c r="A60" s="409">
        <f t="shared" si="11"/>
        <v>59</v>
      </c>
      <c r="B60" s="410" t="s">
        <v>2658</v>
      </c>
      <c r="C60" s="410" t="s">
        <v>6196</v>
      </c>
      <c r="D60" s="409">
        <v>1</v>
      </c>
      <c r="E60" s="408"/>
      <c r="F60" s="409" t="s">
        <v>6183</v>
      </c>
      <c r="G60" s="409" t="s">
        <v>6836</v>
      </c>
      <c r="H60" s="409" t="s">
        <v>6199</v>
      </c>
      <c r="I60" s="409" t="str">
        <f t="shared" si="9"/>
        <v/>
      </c>
      <c r="J60" s="409" t="s">
        <v>6212</v>
      </c>
      <c r="K60" s="409" t="s">
        <v>2536</v>
      </c>
      <c r="L60" s="409" t="s">
        <v>2562</v>
      </c>
      <c r="M60" s="409" t="s">
        <v>1248</v>
      </c>
      <c r="N60" s="408" t="s">
        <v>6247</v>
      </c>
      <c r="O60" s="409" t="s">
        <v>2792</v>
      </c>
      <c r="P60" s="408" t="s">
        <v>6552</v>
      </c>
      <c r="Q60" s="409" t="s">
        <v>1112</v>
      </c>
      <c r="T60" s="409" t="s">
        <v>626</v>
      </c>
      <c r="U60" s="409" t="s">
        <v>627</v>
      </c>
      <c r="Z60" s="409" t="s">
        <v>628</v>
      </c>
      <c r="AA60" s="408">
        <f t="shared" si="10"/>
        <v>1</v>
      </c>
      <c r="AB60" s="408">
        <f t="shared" si="0"/>
        <v>0</v>
      </c>
      <c r="AC60" s="408">
        <f t="shared" si="1"/>
        <v>0</v>
      </c>
      <c r="AD60" s="408">
        <f t="shared" si="2"/>
        <v>1</v>
      </c>
      <c r="AE60" s="408">
        <f t="shared" si="3"/>
        <v>1</v>
      </c>
      <c r="AF60" s="408">
        <f t="shared" si="4"/>
        <v>0</v>
      </c>
      <c r="AG60" s="408">
        <f t="shared" si="5"/>
        <v>0</v>
      </c>
      <c r="AH60" s="408">
        <f t="shared" si="6"/>
        <v>0</v>
      </c>
      <c r="AI60" s="408">
        <f t="shared" si="7"/>
        <v>0</v>
      </c>
      <c r="AJ60" s="408">
        <f t="shared" si="8"/>
        <v>1</v>
      </c>
    </row>
    <row r="61" spans="1:36" x14ac:dyDescent="0.25">
      <c r="A61" s="409">
        <f t="shared" si="11"/>
        <v>60</v>
      </c>
      <c r="B61" s="410" t="s">
        <v>2662</v>
      </c>
      <c r="C61" s="410" t="s">
        <v>6214</v>
      </c>
      <c r="D61" s="409">
        <v>4</v>
      </c>
      <c r="E61" s="408"/>
      <c r="F61" s="409" t="str">
        <f>""</f>
        <v/>
      </c>
      <c r="G61" s="409" t="s">
        <v>6835</v>
      </c>
      <c r="H61" s="409" t="s">
        <v>5950</v>
      </c>
      <c r="I61" s="409" t="str">
        <f t="shared" si="9"/>
        <v>Concentration</v>
      </c>
      <c r="J61" s="409" t="s">
        <v>6210</v>
      </c>
      <c r="K61" s="409" t="s">
        <v>2536</v>
      </c>
      <c r="L61" s="409" t="s">
        <v>2562</v>
      </c>
      <c r="M61" s="409" t="s">
        <v>3857</v>
      </c>
      <c r="O61" s="409" t="s">
        <v>6186</v>
      </c>
      <c r="P61" s="408" t="s">
        <v>6553</v>
      </c>
      <c r="Q61" s="409" t="s">
        <v>1112</v>
      </c>
      <c r="AA61" s="408">
        <f t="shared" si="10"/>
        <v>1</v>
      </c>
      <c r="AB61" s="408">
        <f t="shared" si="0"/>
        <v>0</v>
      </c>
      <c r="AC61" s="408">
        <f t="shared" si="1"/>
        <v>0</v>
      </c>
      <c r="AD61" s="408">
        <f t="shared" si="2"/>
        <v>0</v>
      </c>
      <c r="AE61" s="408">
        <f t="shared" si="3"/>
        <v>0</v>
      </c>
      <c r="AF61" s="408">
        <f t="shared" si="4"/>
        <v>0</v>
      </c>
      <c r="AG61" s="408">
        <f t="shared" si="5"/>
        <v>0</v>
      </c>
      <c r="AH61" s="408">
        <f t="shared" si="6"/>
        <v>0</v>
      </c>
      <c r="AI61" s="408">
        <f t="shared" si="7"/>
        <v>0</v>
      </c>
      <c r="AJ61" s="408">
        <f t="shared" si="8"/>
        <v>0</v>
      </c>
    </row>
    <row r="62" spans="1:36" x14ac:dyDescent="0.25">
      <c r="A62" s="409">
        <f t="shared" si="11"/>
        <v>61</v>
      </c>
      <c r="B62" s="410" t="s">
        <v>2665</v>
      </c>
      <c r="C62" s="410" t="s">
        <v>6208</v>
      </c>
      <c r="D62" s="409">
        <v>5</v>
      </c>
      <c r="E62" s="408"/>
      <c r="F62" s="409" t="str">
        <f>""</f>
        <v/>
      </c>
      <c r="G62" s="409" t="s">
        <v>6835</v>
      </c>
      <c r="H62" s="409" t="s">
        <v>6199</v>
      </c>
      <c r="I62" s="409" t="str">
        <f t="shared" si="9"/>
        <v/>
      </c>
      <c r="J62" s="409" t="s">
        <v>6192</v>
      </c>
      <c r="K62" s="409" t="s">
        <v>2536</v>
      </c>
      <c r="L62" s="409" t="s">
        <v>2562</v>
      </c>
      <c r="M62" s="409" t="s">
        <v>1248</v>
      </c>
      <c r="N62" s="408" t="s">
        <v>6248</v>
      </c>
      <c r="O62" s="409" t="s">
        <v>6187</v>
      </c>
      <c r="P62" s="408" t="s">
        <v>6554</v>
      </c>
      <c r="T62" s="409" t="s">
        <v>626</v>
      </c>
      <c r="Z62" s="409" t="s">
        <v>628</v>
      </c>
      <c r="AA62" s="408">
        <f t="shared" si="10"/>
        <v>0</v>
      </c>
      <c r="AB62" s="408">
        <f t="shared" si="0"/>
        <v>0</v>
      </c>
      <c r="AC62" s="408">
        <f t="shared" si="1"/>
        <v>0</v>
      </c>
      <c r="AD62" s="408">
        <f t="shared" si="2"/>
        <v>1</v>
      </c>
      <c r="AE62" s="408">
        <f t="shared" si="3"/>
        <v>0</v>
      </c>
      <c r="AF62" s="408">
        <f t="shared" si="4"/>
        <v>0</v>
      </c>
      <c r="AG62" s="408">
        <f t="shared" si="5"/>
        <v>0</v>
      </c>
      <c r="AH62" s="408">
        <f t="shared" si="6"/>
        <v>0</v>
      </c>
      <c r="AI62" s="408">
        <f t="shared" si="7"/>
        <v>0</v>
      </c>
      <c r="AJ62" s="408">
        <f t="shared" si="8"/>
        <v>1</v>
      </c>
    </row>
    <row r="63" spans="1:36" x14ac:dyDescent="0.25">
      <c r="A63" s="409">
        <f t="shared" si="11"/>
        <v>62</v>
      </c>
      <c r="B63" s="410" t="s">
        <v>2669</v>
      </c>
      <c r="C63" s="410" t="s">
        <v>6214</v>
      </c>
      <c r="D63" s="409">
        <v>4</v>
      </c>
      <c r="E63" s="408"/>
      <c r="F63" s="409" t="str">
        <f>""</f>
        <v/>
      </c>
      <c r="G63" s="409" t="s">
        <v>6835</v>
      </c>
      <c r="H63" s="409" t="s">
        <v>6234</v>
      </c>
      <c r="I63" s="409" t="str">
        <f t="shared" si="9"/>
        <v>Concentration</v>
      </c>
      <c r="J63" s="409" t="s">
        <v>6210</v>
      </c>
      <c r="K63" s="409" t="s">
        <v>2536</v>
      </c>
      <c r="L63" s="409" t="s">
        <v>2562</v>
      </c>
      <c r="M63" s="409" t="s">
        <v>1248</v>
      </c>
      <c r="N63" s="408" t="s">
        <v>6249</v>
      </c>
      <c r="O63" s="409" t="s">
        <v>6186</v>
      </c>
      <c r="P63" s="408" t="s">
        <v>6555</v>
      </c>
      <c r="Q63" s="409" t="s">
        <v>1112</v>
      </c>
      <c r="T63" s="409" t="s">
        <v>626</v>
      </c>
      <c r="W63" s="409" t="s">
        <v>621</v>
      </c>
      <c r="Z63" s="409" t="s">
        <v>628</v>
      </c>
      <c r="AA63" s="408">
        <f t="shared" si="10"/>
        <v>1</v>
      </c>
      <c r="AB63" s="408">
        <f t="shared" si="0"/>
        <v>0</v>
      </c>
      <c r="AC63" s="408">
        <f t="shared" si="1"/>
        <v>0</v>
      </c>
      <c r="AD63" s="408">
        <f t="shared" si="2"/>
        <v>1</v>
      </c>
      <c r="AE63" s="408">
        <f t="shared" si="3"/>
        <v>0</v>
      </c>
      <c r="AF63" s="408">
        <f t="shared" si="4"/>
        <v>0</v>
      </c>
      <c r="AG63" s="408">
        <f t="shared" si="5"/>
        <v>1</v>
      </c>
      <c r="AH63" s="408">
        <f t="shared" si="6"/>
        <v>0</v>
      </c>
      <c r="AI63" s="408">
        <f t="shared" si="7"/>
        <v>0</v>
      </c>
      <c r="AJ63" s="408">
        <f t="shared" si="8"/>
        <v>1</v>
      </c>
    </row>
    <row r="64" spans="1:36" x14ac:dyDescent="0.25">
      <c r="A64" s="409">
        <f t="shared" si="11"/>
        <v>63</v>
      </c>
      <c r="B64" s="410" t="s">
        <v>2672</v>
      </c>
      <c r="C64" s="410" t="s">
        <v>6205</v>
      </c>
      <c r="D64" s="409">
        <v>3</v>
      </c>
      <c r="E64" s="408"/>
      <c r="F64" s="409" t="str">
        <f>""</f>
        <v/>
      </c>
      <c r="G64" s="409" t="s">
        <v>6835</v>
      </c>
      <c r="H64" s="409" t="s">
        <v>424</v>
      </c>
      <c r="I64" s="409" t="str">
        <f t="shared" si="9"/>
        <v>Concentration</v>
      </c>
      <c r="J64" s="409" t="s">
        <v>6200</v>
      </c>
      <c r="K64" s="409" t="s">
        <v>2536</v>
      </c>
      <c r="L64" s="409" t="s">
        <v>2562</v>
      </c>
      <c r="M64" s="409" t="s">
        <v>3857</v>
      </c>
      <c r="O64" s="409" t="s">
        <v>6185</v>
      </c>
      <c r="P64" s="408" t="s">
        <v>6556</v>
      </c>
      <c r="S64" s="409" t="s">
        <v>624</v>
      </c>
      <c r="W64" s="409" t="s">
        <v>621</v>
      </c>
      <c r="AA64" s="408">
        <f t="shared" si="10"/>
        <v>0</v>
      </c>
      <c r="AB64" s="408">
        <f t="shared" si="0"/>
        <v>0</v>
      </c>
      <c r="AC64" s="408">
        <f t="shared" si="1"/>
        <v>1</v>
      </c>
      <c r="AD64" s="408">
        <f t="shared" si="2"/>
        <v>0</v>
      </c>
      <c r="AE64" s="408">
        <f t="shared" si="3"/>
        <v>0</v>
      </c>
      <c r="AF64" s="408">
        <f t="shared" si="4"/>
        <v>0</v>
      </c>
      <c r="AG64" s="408">
        <f t="shared" si="5"/>
        <v>1</v>
      </c>
      <c r="AH64" s="408">
        <f t="shared" si="6"/>
        <v>0</v>
      </c>
      <c r="AI64" s="408">
        <f t="shared" si="7"/>
        <v>0</v>
      </c>
      <c r="AJ64" s="408">
        <f t="shared" si="8"/>
        <v>0</v>
      </c>
    </row>
    <row r="65" spans="1:36" x14ac:dyDescent="0.25">
      <c r="A65" s="409">
        <f t="shared" si="11"/>
        <v>64</v>
      </c>
      <c r="B65" s="410" t="s">
        <v>2674</v>
      </c>
      <c r="C65" s="410" t="s">
        <v>6205</v>
      </c>
      <c r="D65" s="409">
        <v>3</v>
      </c>
      <c r="E65" s="408"/>
      <c r="F65" s="409" t="str">
        <f>""</f>
        <v/>
      </c>
      <c r="G65" s="409" t="s">
        <v>6835</v>
      </c>
      <c r="H65" s="409" t="s">
        <v>6199</v>
      </c>
      <c r="I65" s="409" t="str">
        <f t="shared" si="9"/>
        <v/>
      </c>
      <c r="J65" s="409" t="s">
        <v>6192</v>
      </c>
      <c r="K65" s="409" t="s">
        <v>2536</v>
      </c>
      <c r="L65" s="409" t="s">
        <v>2562</v>
      </c>
      <c r="M65" s="409" t="s">
        <v>1248</v>
      </c>
      <c r="N65" s="408" t="s">
        <v>6250</v>
      </c>
      <c r="O65" s="409" t="s">
        <v>6185</v>
      </c>
      <c r="P65" s="408" t="s">
        <v>2676</v>
      </c>
      <c r="S65" s="409" t="s">
        <v>624</v>
      </c>
      <c r="AA65" s="408">
        <f t="shared" si="10"/>
        <v>0</v>
      </c>
      <c r="AB65" s="408">
        <f t="shared" si="0"/>
        <v>0</v>
      </c>
      <c r="AC65" s="408">
        <f t="shared" si="1"/>
        <v>1</v>
      </c>
      <c r="AD65" s="408">
        <f t="shared" si="2"/>
        <v>0</v>
      </c>
      <c r="AE65" s="408">
        <f t="shared" si="3"/>
        <v>0</v>
      </c>
      <c r="AF65" s="408">
        <f t="shared" si="4"/>
        <v>0</v>
      </c>
      <c r="AG65" s="408">
        <f t="shared" si="5"/>
        <v>0</v>
      </c>
      <c r="AH65" s="408">
        <f t="shared" si="6"/>
        <v>0</v>
      </c>
      <c r="AI65" s="408">
        <f t="shared" si="7"/>
        <v>0</v>
      </c>
      <c r="AJ65" s="408">
        <f t="shared" si="8"/>
        <v>0</v>
      </c>
    </row>
    <row r="66" spans="1:36" x14ac:dyDescent="0.25">
      <c r="A66" s="409">
        <f t="shared" si="11"/>
        <v>65</v>
      </c>
      <c r="B66" s="410" t="s">
        <v>2677</v>
      </c>
      <c r="C66" s="410" t="s">
        <v>6251</v>
      </c>
      <c r="D66" s="409">
        <v>7</v>
      </c>
      <c r="E66" s="408"/>
      <c r="F66" s="409" t="str">
        <f>""</f>
        <v/>
      </c>
      <c r="G66" s="409" t="s">
        <v>6206</v>
      </c>
      <c r="H66" s="409" t="s">
        <v>6234</v>
      </c>
      <c r="I66" s="409" t="str">
        <f t="shared" si="9"/>
        <v>Concentration</v>
      </c>
      <c r="J66" s="409" t="s">
        <v>6200</v>
      </c>
      <c r="K66" s="409" t="s">
        <v>2536</v>
      </c>
      <c r="L66" s="409" t="s">
        <v>2562</v>
      </c>
      <c r="M66" s="409" t="s">
        <v>3857</v>
      </c>
      <c r="N66" s="408" t="str">
        <f>""</f>
        <v/>
      </c>
      <c r="O66" s="409" t="s">
        <v>6185</v>
      </c>
      <c r="P66" s="408" t="s">
        <v>6557</v>
      </c>
      <c r="V66" s="409" t="s">
        <v>620</v>
      </c>
      <c r="AA66" s="408">
        <f t="shared" si="10"/>
        <v>0</v>
      </c>
      <c r="AB66" s="408">
        <f t="shared" ref="AB66:AB129" si="12">IF(R66=R$1,1,0)</f>
        <v>0</v>
      </c>
      <c r="AC66" s="408">
        <f t="shared" ref="AC66:AC129" si="13">IF(S66=S$1,1,0)</f>
        <v>0</v>
      </c>
      <c r="AD66" s="408">
        <f t="shared" ref="AD66:AD129" si="14">IF(T66=T$1,1,0)</f>
        <v>0</v>
      </c>
      <c r="AE66" s="408">
        <f t="shared" ref="AE66:AE129" si="15">IF(U66=U$1,1,0)</f>
        <v>0</v>
      </c>
      <c r="AF66" s="408">
        <f t="shared" ref="AF66:AF129" si="16">IF(V66=V$1,1,0)</f>
        <v>1</v>
      </c>
      <c r="AG66" s="408">
        <f t="shared" ref="AG66:AG129" si="17">IF(W66=W$1,1,0)</f>
        <v>0</v>
      </c>
      <c r="AH66" s="408">
        <f t="shared" ref="AH66:AH129" si="18">IF(X66=X$1,1,0)</f>
        <v>0</v>
      </c>
      <c r="AI66" s="408">
        <f t="shared" ref="AI66:AI129" si="19">IF(Y66=Y$1,1,0)</f>
        <v>0</v>
      </c>
      <c r="AJ66" s="408">
        <f t="shared" ref="AJ66:AJ129" si="20">IF(Z66=Z$1,1,0)</f>
        <v>0</v>
      </c>
    </row>
    <row r="67" spans="1:36" x14ac:dyDescent="0.25">
      <c r="A67" s="409">
        <f t="shared" si="11"/>
        <v>66</v>
      </c>
      <c r="B67" s="410" t="s">
        <v>2680</v>
      </c>
      <c r="C67" s="410" t="s">
        <v>6208</v>
      </c>
      <c r="D67" s="409">
        <v>5</v>
      </c>
      <c r="E67" s="408"/>
      <c r="F67" s="409" t="str">
        <f>""</f>
        <v/>
      </c>
      <c r="G67" s="409" t="s">
        <v>6206</v>
      </c>
      <c r="H67" s="409" t="s">
        <v>6234</v>
      </c>
      <c r="I67" s="409" t="str">
        <f t="shared" ref="I67:I130" si="21">IF(IFERROR(SEARCH("con",J67,1),0)&gt;0,"Concentration","")</f>
        <v>Concentration</v>
      </c>
      <c r="J67" s="409" t="s">
        <v>6200</v>
      </c>
      <c r="K67" s="409" t="s">
        <v>2536</v>
      </c>
      <c r="L67" s="409" t="s">
        <v>2562</v>
      </c>
      <c r="M67" s="409" t="s">
        <v>1248</v>
      </c>
      <c r="N67" s="408" t="s">
        <v>6252</v>
      </c>
      <c r="O67" s="409" t="s">
        <v>6185</v>
      </c>
      <c r="P67" s="408" t="s">
        <v>6558</v>
      </c>
      <c r="W67" s="409" t="s">
        <v>621</v>
      </c>
      <c r="Z67" s="409" t="s">
        <v>628</v>
      </c>
      <c r="AA67" s="408">
        <f t="shared" ref="AA67:AA130" si="22">IF(Q67=Q$1,1,0)</f>
        <v>0</v>
      </c>
      <c r="AB67" s="408">
        <f t="shared" si="12"/>
        <v>0</v>
      </c>
      <c r="AC67" s="408">
        <f t="shared" si="13"/>
        <v>0</v>
      </c>
      <c r="AD67" s="408">
        <f t="shared" si="14"/>
        <v>0</v>
      </c>
      <c r="AE67" s="408">
        <f t="shared" si="15"/>
        <v>0</v>
      </c>
      <c r="AF67" s="408">
        <f t="shared" si="16"/>
        <v>0</v>
      </c>
      <c r="AG67" s="408">
        <f t="shared" si="17"/>
        <v>1</v>
      </c>
      <c r="AH67" s="408">
        <f t="shared" si="18"/>
        <v>0</v>
      </c>
      <c r="AI67" s="408">
        <f t="shared" si="19"/>
        <v>0</v>
      </c>
      <c r="AJ67" s="408">
        <f t="shared" si="20"/>
        <v>1</v>
      </c>
    </row>
    <row r="68" spans="1:36" x14ac:dyDescent="0.25">
      <c r="A68" s="409">
        <f t="shared" si="11"/>
        <v>67</v>
      </c>
      <c r="B68" s="410" t="s">
        <v>2683</v>
      </c>
      <c r="C68" s="410" t="s">
        <v>6216</v>
      </c>
      <c r="D68" s="409">
        <v>6</v>
      </c>
      <c r="E68" s="408"/>
      <c r="F68" s="409" t="str">
        <f>""</f>
        <v/>
      </c>
      <c r="G68" s="409" t="s">
        <v>6206</v>
      </c>
      <c r="H68" s="409" t="s">
        <v>6234</v>
      </c>
      <c r="I68" s="409" t="str">
        <f t="shared" si="21"/>
        <v>Concentration</v>
      </c>
      <c r="J68" s="409" t="s">
        <v>6200</v>
      </c>
      <c r="K68" s="409" t="s">
        <v>2536</v>
      </c>
      <c r="L68" s="409" t="s">
        <v>2562</v>
      </c>
      <c r="M68" s="409" t="s">
        <v>3857</v>
      </c>
      <c r="O68" s="409" t="s">
        <v>6185</v>
      </c>
      <c r="P68" s="408" t="s">
        <v>6559</v>
      </c>
      <c r="U68" s="409" t="s">
        <v>627</v>
      </c>
      <c r="W68" s="409" t="s">
        <v>621</v>
      </c>
      <c r="AA68" s="408">
        <f t="shared" si="22"/>
        <v>0</v>
      </c>
      <c r="AB68" s="408">
        <f t="shared" si="12"/>
        <v>0</v>
      </c>
      <c r="AC68" s="408">
        <f t="shared" si="13"/>
        <v>0</v>
      </c>
      <c r="AD68" s="408">
        <f t="shared" si="14"/>
        <v>0</v>
      </c>
      <c r="AE68" s="408">
        <f t="shared" si="15"/>
        <v>1</v>
      </c>
      <c r="AF68" s="408">
        <f t="shared" si="16"/>
        <v>0</v>
      </c>
      <c r="AG68" s="408">
        <f t="shared" si="17"/>
        <v>1</v>
      </c>
      <c r="AH68" s="408">
        <f t="shared" si="18"/>
        <v>0</v>
      </c>
      <c r="AI68" s="408">
        <f t="shared" si="19"/>
        <v>0</v>
      </c>
      <c r="AJ68" s="408">
        <f t="shared" si="20"/>
        <v>0</v>
      </c>
    </row>
    <row r="69" spans="1:36" x14ac:dyDescent="0.25">
      <c r="A69" s="409">
        <f t="shared" ref="A69:A132" si="23">A68+1</f>
        <v>68</v>
      </c>
      <c r="B69" s="410" t="s">
        <v>2685</v>
      </c>
      <c r="C69" s="410" t="s">
        <v>6214</v>
      </c>
      <c r="D69" s="409">
        <v>4</v>
      </c>
      <c r="E69" s="408"/>
      <c r="F69" s="409" t="str">
        <f>""</f>
        <v/>
      </c>
      <c r="G69" s="409" t="s">
        <v>6206</v>
      </c>
      <c r="H69" s="409" t="s">
        <v>6234</v>
      </c>
      <c r="I69" s="409" t="str">
        <f t="shared" si="21"/>
        <v>Concentration</v>
      </c>
      <c r="J69" s="409" t="s">
        <v>6200</v>
      </c>
      <c r="K69" s="409" t="s">
        <v>2536</v>
      </c>
      <c r="L69" s="409" t="s">
        <v>2562</v>
      </c>
      <c r="M69" s="409" t="s">
        <v>3857</v>
      </c>
      <c r="N69" s="408" t="str">
        <f>""</f>
        <v/>
      </c>
      <c r="O69" s="409" t="s">
        <v>6185</v>
      </c>
      <c r="P69" s="408" t="s">
        <v>6560</v>
      </c>
      <c r="W69" s="409" t="s">
        <v>621</v>
      </c>
      <c r="Z69" s="409" t="s">
        <v>628</v>
      </c>
      <c r="AA69" s="408">
        <f t="shared" si="22"/>
        <v>0</v>
      </c>
      <c r="AB69" s="408">
        <f t="shared" si="12"/>
        <v>0</v>
      </c>
      <c r="AC69" s="408">
        <f t="shared" si="13"/>
        <v>0</v>
      </c>
      <c r="AD69" s="408">
        <f t="shared" si="14"/>
        <v>0</v>
      </c>
      <c r="AE69" s="408">
        <f t="shared" si="15"/>
        <v>0</v>
      </c>
      <c r="AF69" s="408">
        <f t="shared" si="16"/>
        <v>0</v>
      </c>
      <c r="AG69" s="408">
        <f t="shared" si="17"/>
        <v>1</v>
      </c>
      <c r="AH69" s="408">
        <f t="shared" si="18"/>
        <v>0</v>
      </c>
      <c r="AI69" s="408">
        <f t="shared" si="19"/>
        <v>0</v>
      </c>
      <c r="AJ69" s="408">
        <f t="shared" si="20"/>
        <v>1</v>
      </c>
    </row>
    <row r="70" spans="1:36" x14ac:dyDescent="0.25">
      <c r="A70" s="409">
        <f t="shared" si="23"/>
        <v>69</v>
      </c>
      <c r="B70" s="410" t="s">
        <v>2688</v>
      </c>
      <c r="C70" s="410" t="s">
        <v>6208</v>
      </c>
      <c r="D70" s="409">
        <v>5</v>
      </c>
      <c r="E70" s="408"/>
      <c r="F70" s="409" t="str">
        <f>""</f>
        <v/>
      </c>
      <c r="G70" s="409" t="s">
        <v>6835</v>
      </c>
      <c r="H70" s="409" t="s">
        <v>6237</v>
      </c>
      <c r="I70" s="409" t="str">
        <f t="shared" si="21"/>
        <v/>
      </c>
      <c r="J70" s="409" t="s">
        <v>6192</v>
      </c>
      <c r="K70" s="409" t="s">
        <v>2536</v>
      </c>
      <c r="L70" s="409" t="s">
        <v>2562</v>
      </c>
      <c r="M70" s="409" t="s">
        <v>1248</v>
      </c>
      <c r="N70" s="408" t="s">
        <v>6253</v>
      </c>
      <c r="O70" s="409" t="s">
        <v>6185</v>
      </c>
      <c r="P70" s="408" t="s">
        <v>2690</v>
      </c>
      <c r="S70" s="409" t="s">
        <v>624</v>
      </c>
      <c r="AA70" s="408">
        <f t="shared" si="22"/>
        <v>0</v>
      </c>
      <c r="AB70" s="408">
        <f t="shared" si="12"/>
        <v>0</v>
      </c>
      <c r="AC70" s="408">
        <f t="shared" si="13"/>
        <v>1</v>
      </c>
      <c r="AD70" s="408">
        <f t="shared" si="14"/>
        <v>0</v>
      </c>
      <c r="AE70" s="408">
        <f t="shared" si="15"/>
        <v>0</v>
      </c>
      <c r="AF70" s="408">
        <f t="shared" si="16"/>
        <v>0</v>
      </c>
      <c r="AG70" s="408">
        <f t="shared" si="17"/>
        <v>0</v>
      </c>
      <c r="AH70" s="408">
        <f t="shared" si="18"/>
        <v>0</v>
      </c>
      <c r="AI70" s="408">
        <f t="shared" si="19"/>
        <v>0</v>
      </c>
      <c r="AJ70" s="408">
        <f t="shared" si="20"/>
        <v>0</v>
      </c>
    </row>
    <row r="71" spans="1:36" x14ac:dyDescent="0.25">
      <c r="A71" s="409">
        <f t="shared" si="23"/>
        <v>70</v>
      </c>
      <c r="B71" s="410" t="s">
        <v>2691</v>
      </c>
      <c r="C71" s="410" t="s">
        <v>6214</v>
      </c>
      <c r="D71" s="409">
        <v>4</v>
      </c>
      <c r="E71" s="408"/>
      <c r="F71" s="409" t="str">
        <f>""</f>
        <v/>
      </c>
      <c r="G71" s="409" t="s">
        <v>6835</v>
      </c>
      <c r="H71" s="409" t="s">
        <v>424</v>
      </c>
      <c r="I71" s="409" t="str">
        <f t="shared" si="21"/>
        <v>Concentration</v>
      </c>
      <c r="J71" s="409" t="s">
        <v>6200</v>
      </c>
      <c r="K71" s="409" t="s">
        <v>2536</v>
      </c>
      <c r="L71" s="409" t="s">
        <v>2562</v>
      </c>
      <c r="M71" s="409" t="s">
        <v>1248</v>
      </c>
      <c r="N71" s="408" t="s">
        <v>6254</v>
      </c>
      <c r="O71" s="409" t="s">
        <v>6185</v>
      </c>
      <c r="P71" s="408" t="s">
        <v>6561</v>
      </c>
      <c r="W71" s="409" t="s">
        <v>621</v>
      </c>
      <c r="AA71" s="408">
        <f t="shared" si="22"/>
        <v>0</v>
      </c>
      <c r="AB71" s="408">
        <f t="shared" si="12"/>
        <v>0</v>
      </c>
      <c r="AC71" s="408">
        <f t="shared" si="13"/>
        <v>0</v>
      </c>
      <c r="AD71" s="408">
        <f t="shared" si="14"/>
        <v>0</v>
      </c>
      <c r="AE71" s="408">
        <f t="shared" si="15"/>
        <v>0</v>
      </c>
      <c r="AF71" s="408">
        <f t="shared" si="16"/>
        <v>0</v>
      </c>
      <c r="AG71" s="408">
        <f t="shared" si="17"/>
        <v>1</v>
      </c>
      <c r="AH71" s="408">
        <f t="shared" si="18"/>
        <v>0</v>
      </c>
      <c r="AI71" s="408">
        <f t="shared" si="19"/>
        <v>0</v>
      </c>
      <c r="AJ71" s="408">
        <f t="shared" si="20"/>
        <v>0</v>
      </c>
    </row>
    <row r="72" spans="1:36" x14ac:dyDescent="0.25">
      <c r="A72" s="409">
        <f t="shared" si="23"/>
        <v>71</v>
      </c>
      <c r="B72" s="410" t="s">
        <v>2694</v>
      </c>
      <c r="C72" s="410" t="s">
        <v>6208</v>
      </c>
      <c r="D72" s="409">
        <v>5</v>
      </c>
      <c r="E72" s="408"/>
      <c r="F72" s="409" t="s">
        <v>6183</v>
      </c>
      <c r="G72" s="409" t="s">
        <v>6197</v>
      </c>
      <c r="H72" s="409" t="s">
        <v>6199</v>
      </c>
      <c r="I72" s="409" t="str">
        <f t="shared" si="21"/>
        <v/>
      </c>
      <c r="J72" s="409" t="s">
        <v>6206</v>
      </c>
      <c r="K72" s="409" t="s">
        <v>2536</v>
      </c>
      <c r="L72" s="409" t="s">
        <v>3857</v>
      </c>
      <c r="M72" s="409" t="s">
        <v>3857</v>
      </c>
      <c r="N72" s="408" t="str">
        <f>""</f>
        <v/>
      </c>
      <c r="O72" s="409" t="s">
        <v>2792</v>
      </c>
      <c r="P72" s="408" t="s">
        <v>6562</v>
      </c>
      <c r="U72" s="409" t="s">
        <v>627</v>
      </c>
      <c r="Z72" s="409" t="s">
        <v>628</v>
      </c>
      <c r="AA72" s="408">
        <f t="shared" si="22"/>
        <v>0</v>
      </c>
      <c r="AB72" s="408">
        <f t="shared" si="12"/>
        <v>0</v>
      </c>
      <c r="AC72" s="408">
        <f t="shared" si="13"/>
        <v>0</v>
      </c>
      <c r="AD72" s="408">
        <f t="shared" si="14"/>
        <v>0</v>
      </c>
      <c r="AE72" s="408">
        <f t="shared" si="15"/>
        <v>1</v>
      </c>
      <c r="AF72" s="408">
        <f t="shared" si="16"/>
        <v>0</v>
      </c>
      <c r="AG72" s="408">
        <f t="shared" si="17"/>
        <v>0</v>
      </c>
      <c r="AH72" s="408">
        <f t="shared" si="18"/>
        <v>0</v>
      </c>
      <c r="AI72" s="408">
        <f t="shared" si="19"/>
        <v>0</v>
      </c>
      <c r="AJ72" s="408">
        <f t="shared" si="20"/>
        <v>1</v>
      </c>
    </row>
    <row r="73" spans="1:36" x14ac:dyDescent="0.25">
      <c r="A73" s="409">
        <f t="shared" si="23"/>
        <v>72</v>
      </c>
      <c r="B73" s="410" t="s">
        <v>2696</v>
      </c>
      <c r="C73" s="410" t="s">
        <v>6208</v>
      </c>
      <c r="D73" s="409">
        <v>5</v>
      </c>
      <c r="E73" s="408"/>
      <c r="F73" s="409" t="str">
        <f>""</f>
        <v/>
      </c>
      <c r="G73" s="409" t="s">
        <v>6835</v>
      </c>
      <c r="H73" s="409" t="s">
        <v>6219</v>
      </c>
      <c r="I73" s="409" t="str">
        <f t="shared" si="21"/>
        <v/>
      </c>
      <c r="J73" s="409" t="s">
        <v>2698</v>
      </c>
      <c r="K73" s="409" t="s">
        <v>2536</v>
      </c>
      <c r="L73" s="409" t="s">
        <v>2562</v>
      </c>
      <c r="M73" s="409" t="s">
        <v>3857</v>
      </c>
      <c r="N73" s="408" t="str">
        <f>""</f>
        <v/>
      </c>
      <c r="O73" s="409" t="s">
        <v>6189</v>
      </c>
      <c r="P73" s="408" t="s">
        <v>6563</v>
      </c>
      <c r="V73" s="409" t="s">
        <v>620</v>
      </c>
      <c r="W73" s="409" t="s">
        <v>621</v>
      </c>
      <c r="AA73" s="408">
        <f t="shared" si="22"/>
        <v>0</v>
      </c>
      <c r="AB73" s="408">
        <f t="shared" si="12"/>
        <v>0</v>
      </c>
      <c r="AC73" s="408">
        <f t="shared" si="13"/>
        <v>0</v>
      </c>
      <c r="AD73" s="408">
        <f t="shared" si="14"/>
        <v>0</v>
      </c>
      <c r="AE73" s="408">
        <f t="shared" si="15"/>
        <v>0</v>
      </c>
      <c r="AF73" s="408">
        <f t="shared" si="16"/>
        <v>1</v>
      </c>
      <c r="AG73" s="408">
        <f t="shared" si="17"/>
        <v>1</v>
      </c>
      <c r="AH73" s="408">
        <f t="shared" si="18"/>
        <v>0</v>
      </c>
      <c r="AI73" s="408">
        <f t="shared" si="19"/>
        <v>0</v>
      </c>
      <c r="AJ73" s="408">
        <f t="shared" si="20"/>
        <v>0</v>
      </c>
    </row>
    <row r="74" spans="1:36" x14ac:dyDescent="0.25">
      <c r="A74" s="409">
        <f t="shared" si="23"/>
        <v>73</v>
      </c>
      <c r="B74" s="410" t="s">
        <v>2700</v>
      </c>
      <c r="C74" s="410" t="s">
        <v>6216</v>
      </c>
      <c r="D74" s="409">
        <v>6</v>
      </c>
      <c r="E74" s="408"/>
      <c r="F74" s="409" t="str">
        <f>""</f>
        <v/>
      </c>
      <c r="G74" s="409" t="s">
        <v>6241</v>
      </c>
      <c r="H74" s="409" t="s">
        <v>6199</v>
      </c>
      <c r="I74" s="409" t="str">
        <f t="shared" si="21"/>
        <v/>
      </c>
      <c r="J74" s="409" t="s">
        <v>2502</v>
      </c>
      <c r="K74" s="409" t="s">
        <v>2536</v>
      </c>
      <c r="L74" s="409" t="s">
        <v>2562</v>
      </c>
      <c r="M74" s="409" t="s">
        <v>1248</v>
      </c>
      <c r="N74" s="408" t="s">
        <v>6255</v>
      </c>
      <c r="O74" s="409" t="s">
        <v>6187</v>
      </c>
      <c r="P74" s="408" t="s">
        <v>6838</v>
      </c>
      <c r="Z74" s="409" t="s">
        <v>628</v>
      </c>
      <c r="AA74" s="408">
        <f t="shared" si="22"/>
        <v>0</v>
      </c>
      <c r="AB74" s="408">
        <f t="shared" si="12"/>
        <v>0</v>
      </c>
      <c r="AC74" s="408">
        <f t="shared" si="13"/>
        <v>0</v>
      </c>
      <c r="AD74" s="408">
        <f t="shared" si="14"/>
        <v>0</v>
      </c>
      <c r="AE74" s="408">
        <f t="shared" si="15"/>
        <v>0</v>
      </c>
      <c r="AF74" s="408">
        <f t="shared" si="16"/>
        <v>0</v>
      </c>
      <c r="AG74" s="408">
        <f t="shared" si="17"/>
        <v>0</v>
      </c>
      <c r="AH74" s="408">
        <f t="shared" si="18"/>
        <v>0</v>
      </c>
      <c r="AI74" s="408">
        <f t="shared" si="19"/>
        <v>0</v>
      </c>
      <c r="AJ74" s="408">
        <f t="shared" si="20"/>
        <v>1</v>
      </c>
    </row>
    <row r="75" spans="1:36" x14ac:dyDescent="0.25">
      <c r="A75" s="409">
        <f t="shared" si="23"/>
        <v>74</v>
      </c>
      <c r="B75" s="410" t="s">
        <v>2703</v>
      </c>
      <c r="C75" s="410" t="s">
        <v>6193</v>
      </c>
      <c r="D75" s="409">
        <v>2</v>
      </c>
      <c r="E75" s="408"/>
      <c r="F75" s="409" t="str">
        <f>""</f>
        <v/>
      </c>
      <c r="G75" s="409" t="s">
        <v>6835</v>
      </c>
      <c r="H75" s="409" t="s">
        <v>6219</v>
      </c>
      <c r="I75" s="409" t="str">
        <f t="shared" si="21"/>
        <v/>
      </c>
      <c r="J75" s="409" t="s">
        <v>6220</v>
      </c>
      <c r="K75" s="409" t="s">
        <v>2536</v>
      </c>
      <c r="L75" s="409" t="s">
        <v>2562</v>
      </c>
      <c r="M75" s="409" t="s">
        <v>1248</v>
      </c>
      <c r="N75" s="408" t="s">
        <v>6256</v>
      </c>
      <c r="O75" s="409" t="s">
        <v>6187</v>
      </c>
      <c r="P75" s="408" t="s">
        <v>2705</v>
      </c>
      <c r="Z75" s="409" t="s">
        <v>628</v>
      </c>
      <c r="AA75" s="408">
        <f t="shared" si="22"/>
        <v>0</v>
      </c>
      <c r="AB75" s="408">
        <f t="shared" si="12"/>
        <v>0</v>
      </c>
      <c r="AC75" s="408">
        <f t="shared" si="13"/>
        <v>0</v>
      </c>
      <c r="AD75" s="408">
        <f t="shared" si="14"/>
        <v>0</v>
      </c>
      <c r="AE75" s="408">
        <f t="shared" si="15"/>
        <v>0</v>
      </c>
      <c r="AF75" s="408">
        <f t="shared" si="16"/>
        <v>0</v>
      </c>
      <c r="AG75" s="408">
        <f t="shared" si="17"/>
        <v>0</v>
      </c>
      <c r="AH75" s="408">
        <f t="shared" si="18"/>
        <v>0</v>
      </c>
      <c r="AI75" s="408">
        <f t="shared" si="19"/>
        <v>0</v>
      </c>
      <c r="AJ75" s="408">
        <f t="shared" si="20"/>
        <v>1</v>
      </c>
    </row>
    <row r="76" spans="1:36" x14ac:dyDescent="0.25">
      <c r="A76" s="409">
        <f t="shared" si="23"/>
        <v>75</v>
      </c>
      <c r="B76" s="410" t="s">
        <v>2706</v>
      </c>
      <c r="C76" s="410" t="s">
        <v>6214</v>
      </c>
      <c r="D76" s="409">
        <v>4</v>
      </c>
      <c r="E76" s="408"/>
      <c r="F76" s="409" t="str">
        <f>""</f>
        <v/>
      </c>
      <c r="G76" s="409" t="s">
        <v>6835</v>
      </c>
      <c r="H76" s="409" t="s">
        <v>6257</v>
      </c>
      <c r="I76" s="409" t="str">
        <f t="shared" si="21"/>
        <v>Concentration</v>
      </c>
      <c r="J76" s="409" t="s">
        <v>6218</v>
      </c>
      <c r="K76" s="409" t="s">
        <v>2536</v>
      </c>
      <c r="L76" s="409" t="s">
        <v>2562</v>
      </c>
      <c r="M76" s="409" t="s">
        <v>1248</v>
      </c>
      <c r="N76" s="408" t="s">
        <v>6258</v>
      </c>
      <c r="O76" s="409" t="s">
        <v>6190</v>
      </c>
      <c r="P76" s="408" t="s">
        <v>6564</v>
      </c>
      <c r="V76" s="409" t="s">
        <v>620</v>
      </c>
      <c r="W76" s="409" t="s">
        <v>621</v>
      </c>
      <c r="Z76" s="409" t="s">
        <v>628</v>
      </c>
      <c r="AA76" s="408">
        <f t="shared" si="22"/>
        <v>0</v>
      </c>
      <c r="AB76" s="408">
        <f t="shared" si="12"/>
        <v>0</v>
      </c>
      <c r="AC76" s="408">
        <f t="shared" si="13"/>
        <v>0</v>
      </c>
      <c r="AD76" s="408">
        <f t="shared" si="14"/>
        <v>0</v>
      </c>
      <c r="AE76" s="408">
        <f t="shared" si="15"/>
        <v>0</v>
      </c>
      <c r="AF76" s="408">
        <f t="shared" si="16"/>
        <v>1</v>
      </c>
      <c r="AG76" s="408">
        <f t="shared" si="17"/>
        <v>1</v>
      </c>
      <c r="AH76" s="408">
        <f t="shared" si="18"/>
        <v>0</v>
      </c>
      <c r="AI76" s="408">
        <f t="shared" si="19"/>
        <v>0</v>
      </c>
      <c r="AJ76" s="408">
        <f t="shared" si="20"/>
        <v>1</v>
      </c>
    </row>
    <row r="77" spans="1:36" x14ac:dyDescent="0.25">
      <c r="A77" s="409">
        <f t="shared" si="23"/>
        <v>76</v>
      </c>
      <c r="B77" s="410" t="s">
        <v>6259</v>
      </c>
      <c r="C77" s="410" t="s">
        <v>6203</v>
      </c>
      <c r="D77" s="409">
        <v>8</v>
      </c>
      <c r="E77" s="408"/>
      <c r="F77" s="409" t="str">
        <f>""</f>
        <v/>
      </c>
      <c r="G77" s="409" t="s">
        <v>6241</v>
      </c>
      <c r="H77" s="409" t="s">
        <v>6199</v>
      </c>
      <c r="I77" s="409" t="str">
        <f t="shared" si="21"/>
        <v>Concentration</v>
      </c>
      <c r="J77" s="409" t="s">
        <v>6260</v>
      </c>
      <c r="K77" s="409" t="s">
        <v>2536</v>
      </c>
      <c r="L77" s="409" t="s">
        <v>2562</v>
      </c>
      <c r="M77" s="409" t="s">
        <v>1248</v>
      </c>
      <c r="N77" s="408" t="s">
        <v>6261</v>
      </c>
      <c r="O77" s="409" t="s">
        <v>6190</v>
      </c>
      <c r="P77" s="408" t="s">
        <v>6565</v>
      </c>
      <c r="V77" s="409" t="s">
        <v>620</v>
      </c>
      <c r="W77" s="409" t="s">
        <v>621</v>
      </c>
      <c r="Z77" s="409" t="s">
        <v>628</v>
      </c>
      <c r="AA77" s="408">
        <f t="shared" si="22"/>
        <v>0</v>
      </c>
      <c r="AB77" s="408">
        <f t="shared" si="12"/>
        <v>0</v>
      </c>
      <c r="AC77" s="408">
        <f t="shared" si="13"/>
        <v>0</v>
      </c>
      <c r="AD77" s="408">
        <f t="shared" si="14"/>
        <v>0</v>
      </c>
      <c r="AE77" s="408">
        <f t="shared" si="15"/>
        <v>0</v>
      </c>
      <c r="AF77" s="408">
        <f t="shared" si="16"/>
        <v>1</v>
      </c>
      <c r="AG77" s="408">
        <f t="shared" si="17"/>
        <v>1</v>
      </c>
      <c r="AH77" s="408">
        <f t="shared" si="18"/>
        <v>0</v>
      </c>
      <c r="AI77" s="408">
        <f t="shared" si="19"/>
        <v>0</v>
      </c>
      <c r="AJ77" s="408">
        <f t="shared" si="20"/>
        <v>1</v>
      </c>
    </row>
    <row r="78" spans="1:36" x14ac:dyDescent="0.25">
      <c r="A78" s="409">
        <f t="shared" si="23"/>
        <v>77</v>
      </c>
      <c r="B78" s="410" t="s">
        <v>2717</v>
      </c>
      <c r="C78" s="410" t="s">
        <v>6193</v>
      </c>
      <c r="D78" s="409">
        <v>2</v>
      </c>
      <c r="E78" s="408"/>
      <c r="F78" s="409" t="str">
        <f>""</f>
        <v/>
      </c>
      <c r="G78" s="409" t="s">
        <v>6835</v>
      </c>
      <c r="H78" s="409" t="s">
        <v>6262</v>
      </c>
      <c r="I78" s="409" t="str">
        <f t="shared" si="21"/>
        <v/>
      </c>
      <c r="J78" s="409" t="s">
        <v>6194</v>
      </c>
      <c r="K78" s="409" t="s">
        <v>2536</v>
      </c>
      <c r="L78" s="409" t="s">
        <v>2562</v>
      </c>
      <c r="M78" s="409" t="s">
        <v>1248</v>
      </c>
      <c r="N78" s="408" t="s">
        <v>6263</v>
      </c>
      <c r="O78" s="409" t="s">
        <v>6190</v>
      </c>
      <c r="P78" s="408" t="s">
        <v>6566</v>
      </c>
      <c r="S78" s="409" t="s">
        <v>624</v>
      </c>
      <c r="AA78" s="408">
        <f t="shared" si="22"/>
        <v>0</v>
      </c>
      <c r="AB78" s="408">
        <f t="shared" si="12"/>
        <v>0</v>
      </c>
      <c r="AC78" s="408">
        <f t="shared" si="13"/>
        <v>1</v>
      </c>
      <c r="AD78" s="408">
        <f t="shared" si="14"/>
        <v>0</v>
      </c>
      <c r="AE78" s="408">
        <f t="shared" si="15"/>
        <v>0</v>
      </c>
      <c r="AF78" s="408">
        <f t="shared" si="16"/>
        <v>0</v>
      </c>
      <c r="AG78" s="408">
        <f t="shared" si="17"/>
        <v>0</v>
      </c>
      <c r="AH78" s="408">
        <f t="shared" si="18"/>
        <v>0</v>
      </c>
      <c r="AI78" s="408">
        <f t="shared" si="19"/>
        <v>0</v>
      </c>
      <c r="AJ78" s="408">
        <f t="shared" si="20"/>
        <v>0</v>
      </c>
    </row>
    <row r="79" spans="1:36" x14ac:dyDescent="0.25">
      <c r="A79" s="409">
        <f t="shared" si="23"/>
        <v>78</v>
      </c>
      <c r="B79" s="410" t="s">
        <v>2721</v>
      </c>
      <c r="C79" s="410" t="s">
        <v>6205</v>
      </c>
      <c r="D79" s="409">
        <v>3</v>
      </c>
      <c r="E79" s="408"/>
      <c r="F79" s="409" t="str">
        <f>""</f>
        <v/>
      </c>
      <c r="G79" s="409" t="s">
        <v>6264</v>
      </c>
      <c r="H79" s="409" t="s">
        <v>424</v>
      </c>
      <c r="I79" s="409" t="str">
        <f t="shared" si="21"/>
        <v/>
      </c>
      <c r="J79" s="409" t="s">
        <v>6192</v>
      </c>
      <c r="K79" s="409" t="s">
        <v>3857</v>
      </c>
      <c r="L79" s="409" t="s">
        <v>2562</v>
      </c>
      <c r="M79" s="409" t="s">
        <v>3857</v>
      </c>
      <c r="N79" s="408" t="str">
        <f>""</f>
        <v/>
      </c>
      <c r="O79" s="409" t="s">
        <v>6184</v>
      </c>
      <c r="P79" s="408" t="s">
        <v>6567</v>
      </c>
      <c r="T79" s="409" t="s">
        <v>626</v>
      </c>
      <c r="U79" s="409" t="s">
        <v>627</v>
      </c>
      <c r="Z79" s="409" t="s">
        <v>628</v>
      </c>
      <c r="AA79" s="408">
        <f t="shared" si="22"/>
        <v>0</v>
      </c>
      <c r="AB79" s="408">
        <f t="shared" si="12"/>
        <v>0</v>
      </c>
      <c r="AC79" s="408">
        <f t="shared" si="13"/>
        <v>0</v>
      </c>
      <c r="AD79" s="408">
        <f t="shared" si="14"/>
        <v>1</v>
      </c>
      <c r="AE79" s="408">
        <f t="shared" si="15"/>
        <v>1</v>
      </c>
      <c r="AF79" s="408">
        <f t="shared" si="16"/>
        <v>0</v>
      </c>
      <c r="AG79" s="408">
        <f t="shared" si="17"/>
        <v>0</v>
      </c>
      <c r="AH79" s="408">
        <f t="shared" si="18"/>
        <v>0</v>
      </c>
      <c r="AI79" s="408">
        <f t="shared" si="19"/>
        <v>0</v>
      </c>
      <c r="AJ79" s="408">
        <f t="shared" si="20"/>
        <v>1</v>
      </c>
    </row>
    <row r="80" spans="1:36" x14ac:dyDescent="0.25">
      <c r="A80" s="409">
        <f t="shared" si="23"/>
        <v>79</v>
      </c>
      <c r="B80" s="410" t="s">
        <v>2724</v>
      </c>
      <c r="C80" s="410" t="s">
        <v>6205</v>
      </c>
      <c r="D80" s="409">
        <v>3</v>
      </c>
      <c r="E80" s="408"/>
      <c r="F80" s="409" t="str">
        <f>""</f>
        <v/>
      </c>
      <c r="G80" s="409" t="s">
        <v>6835</v>
      </c>
      <c r="H80" s="409" t="s">
        <v>5950</v>
      </c>
      <c r="I80" s="409" t="str">
        <f t="shared" si="21"/>
        <v/>
      </c>
      <c r="J80" s="409" t="s">
        <v>6192</v>
      </c>
      <c r="K80" s="409" t="s">
        <v>2536</v>
      </c>
      <c r="L80" s="409" t="s">
        <v>2562</v>
      </c>
      <c r="M80" s="409" t="s">
        <v>3857</v>
      </c>
      <c r="N80" s="408" t="str">
        <f>""</f>
        <v/>
      </c>
      <c r="O80" s="409" t="s">
        <v>6185</v>
      </c>
      <c r="P80" s="408" t="s">
        <v>2725</v>
      </c>
      <c r="R80" s="409" t="s">
        <v>1113</v>
      </c>
      <c r="V80" s="409" t="s">
        <v>620</v>
      </c>
      <c r="AA80" s="408">
        <f t="shared" si="22"/>
        <v>0</v>
      </c>
      <c r="AB80" s="408">
        <f t="shared" si="12"/>
        <v>1</v>
      </c>
      <c r="AC80" s="408">
        <f t="shared" si="13"/>
        <v>0</v>
      </c>
      <c r="AD80" s="408">
        <f t="shared" si="14"/>
        <v>0</v>
      </c>
      <c r="AE80" s="408">
        <f t="shared" si="15"/>
        <v>0</v>
      </c>
      <c r="AF80" s="408">
        <f t="shared" si="16"/>
        <v>1</v>
      </c>
      <c r="AG80" s="408">
        <f t="shared" si="17"/>
        <v>0</v>
      </c>
      <c r="AH80" s="408">
        <f t="shared" si="18"/>
        <v>0</v>
      </c>
      <c r="AI80" s="408">
        <f t="shared" si="19"/>
        <v>0</v>
      </c>
      <c r="AJ80" s="408">
        <f t="shared" si="20"/>
        <v>0</v>
      </c>
    </row>
    <row r="81" spans="1:36" x14ac:dyDescent="0.25">
      <c r="A81" s="409">
        <f t="shared" si="23"/>
        <v>80</v>
      </c>
      <c r="B81" s="410" t="s">
        <v>2726</v>
      </c>
      <c r="C81" s="410" t="s">
        <v>6196</v>
      </c>
      <c r="D81" s="409">
        <v>1</v>
      </c>
      <c r="E81" s="408"/>
      <c r="F81" s="409" t="str">
        <f>""</f>
        <v/>
      </c>
      <c r="G81" s="409" t="s">
        <v>6835</v>
      </c>
      <c r="H81" s="409" t="s">
        <v>5950</v>
      </c>
      <c r="I81" s="409" t="str">
        <f t="shared" si="21"/>
        <v/>
      </c>
      <c r="J81" s="409" t="s">
        <v>6192</v>
      </c>
      <c r="K81" s="409" t="s">
        <v>2536</v>
      </c>
      <c r="L81" s="409" t="s">
        <v>2562</v>
      </c>
      <c r="M81" s="409" t="s">
        <v>1248</v>
      </c>
      <c r="N81" s="408" t="s">
        <v>6265</v>
      </c>
      <c r="O81" s="409" t="s">
        <v>6190</v>
      </c>
      <c r="P81" s="408" t="s">
        <v>6568</v>
      </c>
      <c r="V81" s="409" t="s">
        <v>620</v>
      </c>
      <c r="W81" s="409" t="s">
        <v>621</v>
      </c>
      <c r="AA81" s="408">
        <f t="shared" si="22"/>
        <v>0</v>
      </c>
      <c r="AB81" s="408">
        <f t="shared" si="12"/>
        <v>0</v>
      </c>
      <c r="AC81" s="408">
        <f t="shared" si="13"/>
        <v>0</v>
      </c>
      <c r="AD81" s="408">
        <f t="shared" si="14"/>
        <v>0</v>
      </c>
      <c r="AE81" s="408">
        <f t="shared" si="15"/>
        <v>0</v>
      </c>
      <c r="AF81" s="408">
        <f t="shared" si="16"/>
        <v>1</v>
      </c>
      <c r="AG81" s="408">
        <f t="shared" si="17"/>
        <v>1</v>
      </c>
      <c r="AH81" s="408">
        <f t="shared" si="18"/>
        <v>0</v>
      </c>
      <c r="AI81" s="408">
        <f t="shared" si="19"/>
        <v>0</v>
      </c>
      <c r="AJ81" s="408">
        <f t="shared" si="20"/>
        <v>0</v>
      </c>
    </row>
    <row r="82" spans="1:36" x14ac:dyDescent="0.25">
      <c r="A82" s="409">
        <f t="shared" si="23"/>
        <v>81</v>
      </c>
      <c r="B82" s="410" t="s">
        <v>2730</v>
      </c>
      <c r="C82" s="410" t="s">
        <v>6216</v>
      </c>
      <c r="D82" s="409">
        <v>6</v>
      </c>
      <c r="E82" s="408"/>
      <c r="F82" s="409" t="str">
        <f>""</f>
        <v/>
      </c>
      <c r="G82" s="409" t="s">
        <v>6206</v>
      </c>
      <c r="H82" s="409" t="s">
        <v>5942</v>
      </c>
      <c r="I82" s="409" t="str">
        <f t="shared" si="21"/>
        <v/>
      </c>
      <c r="J82" s="409" t="s">
        <v>6192</v>
      </c>
      <c r="K82" s="409" t="s">
        <v>2536</v>
      </c>
      <c r="L82" s="409" t="s">
        <v>2562</v>
      </c>
      <c r="M82" s="409" t="s">
        <v>1248</v>
      </c>
      <c r="N82" s="408" t="s">
        <v>6266</v>
      </c>
      <c r="O82" s="409" t="s">
        <v>6189</v>
      </c>
      <c r="P82" s="408" t="s">
        <v>6569</v>
      </c>
      <c r="U82" s="409" t="s">
        <v>627</v>
      </c>
      <c r="V82" s="409" t="s">
        <v>620</v>
      </c>
      <c r="Z82" s="409" t="s">
        <v>628</v>
      </c>
      <c r="AA82" s="408">
        <f t="shared" si="22"/>
        <v>0</v>
      </c>
      <c r="AB82" s="408">
        <f t="shared" si="12"/>
        <v>0</v>
      </c>
      <c r="AC82" s="408">
        <f t="shared" si="13"/>
        <v>0</v>
      </c>
      <c r="AD82" s="408">
        <f t="shared" si="14"/>
        <v>0</v>
      </c>
      <c r="AE82" s="408">
        <f t="shared" si="15"/>
        <v>1</v>
      </c>
      <c r="AF82" s="408">
        <f t="shared" si="16"/>
        <v>1</v>
      </c>
      <c r="AG82" s="408">
        <f t="shared" si="17"/>
        <v>0</v>
      </c>
      <c r="AH82" s="408">
        <f t="shared" si="18"/>
        <v>0</v>
      </c>
      <c r="AI82" s="408">
        <f t="shared" si="19"/>
        <v>0</v>
      </c>
      <c r="AJ82" s="408">
        <f t="shared" si="20"/>
        <v>1</v>
      </c>
    </row>
    <row r="83" spans="1:36" x14ac:dyDescent="0.25">
      <c r="A83" s="409">
        <f t="shared" si="23"/>
        <v>82</v>
      </c>
      <c r="B83" s="410" t="s">
        <v>2733</v>
      </c>
      <c r="C83" s="410" t="s">
        <v>6208</v>
      </c>
      <c r="D83" s="409">
        <v>5</v>
      </c>
      <c r="E83" s="408"/>
      <c r="F83" s="409" t="str">
        <f>""</f>
        <v/>
      </c>
      <c r="G83" s="409" t="s">
        <v>6206</v>
      </c>
      <c r="H83" s="409" t="s">
        <v>5950</v>
      </c>
      <c r="I83" s="409" t="str">
        <f t="shared" si="21"/>
        <v/>
      </c>
      <c r="J83" s="409" t="s">
        <v>6224</v>
      </c>
      <c r="K83" s="409" t="s">
        <v>2536</v>
      </c>
      <c r="L83" s="409" t="s">
        <v>2562</v>
      </c>
      <c r="M83" s="409" t="s">
        <v>1248</v>
      </c>
      <c r="N83" s="408" t="s">
        <v>6267</v>
      </c>
      <c r="O83" s="409" t="s">
        <v>6188</v>
      </c>
      <c r="P83" s="408" t="s">
        <v>6570</v>
      </c>
      <c r="T83" s="409" t="s">
        <v>626</v>
      </c>
      <c r="Z83" s="409" t="s">
        <v>628</v>
      </c>
      <c r="AA83" s="408">
        <f t="shared" si="22"/>
        <v>0</v>
      </c>
      <c r="AB83" s="408">
        <f t="shared" si="12"/>
        <v>0</v>
      </c>
      <c r="AC83" s="408">
        <f t="shared" si="13"/>
        <v>0</v>
      </c>
      <c r="AD83" s="408">
        <f t="shared" si="14"/>
        <v>1</v>
      </c>
      <c r="AE83" s="408">
        <f t="shared" si="15"/>
        <v>0</v>
      </c>
      <c r="AF83" s="408">
        <f t="shared" si="16"/>
        <v>0</v>
      </c>
      <c r="AG83" s="408">
        <f t="shared" si="17"/>
        <v>0</v>
      </c>
      <c r="AH83" s="408">
        <f t="shared" si="18"/>
        <v>0</v>
      </c>
      <c r="AI83" s="408">
        <f t="shared" si="19"/>
        <v>0</v>
      </c>
      <c r="AJ83" s="408">
        <f t="shared" si="20"/>
        <v>1</v>
      </c>
    </row>
    <row r="84" spans="1:36" x14ac:dyDescent="0.25">
      <c r="A84" s="409">
        <f t="shared" si="23"/>
        <v>83</v>
      </c>
      <c r="B84" s="410" t="s">
        <v>2737</v>
      </c>
      <c r="C84" s="410" t="s">
        <v>6193</v>
      </c>
      <c r="D84" s="409">
        <v>2</v>
      </c>
      <c r="E84" s="408"/>
      <c r="F84" s="409" t="str">
        <f>""</f>
        <v/>
      </c>
      <c r="G84" s="409" t="s">
        <v>6835</v>
      </c>
      <c r="H84" s="409" t="s">
        <v>6209</v>
      </c>
      <c r="I84" s="409" t="str">
        <f t="shared" si="21"/>
        <v>Concentration</v>
      </c>
      <c r="J84" s="409" t="s">
        <v>6210</v>
      </c>
      <c r="K84" s="409" t="s">
        <v>2536</v>
      </c>
      <c r="L84" s="409" t="s">
        <v>2562</v>
      </c>
      <c r="M84" s="409" t="s">
        <v>3857</v>
      </c>
      <c r="N84" s="408" t="str">
        <f>""</f>
        <v/>
      </c>
      <c r="O84" s="409" t="s">
        <v>6186</v>
      </c>
      <c r="P84" s="408" t="s">
        <v>6571</v>
      </c>
      <c r="Q84" s="409" t="s">
        <v>1112</v>
      </c>
      <c r="T84" s="409" t="s">
        <v>626</v>
      </c>
      <c r="U84" s="409" t="s">
        <v>627</v>
      </c>
      <c r="Z84" s="409" t="s">
        <v>628</v>
      </c>
      <c r="AA84" s="408">
        <f t="shared" si="22"/>
        <v>1</v>
      </c>
      <c r="AB84" s="408">
        <f t="shared" si="12"/>
        <v>0</v>
      </c>
      <c r="AC84" s="408">
        <f t="shared" si="13"/>
        <v>0</v>
      </c>
      <c r="AD84" s="408">
        <f t="shared" si="14"/>
        <v>1</v>
      </c>
      <c r="AE84" s="408">
        <f t="shared" si="15"/>
        <v>1</v>
      </c>
      <c r="AF84" s="408">
        <f t="shared" si="16"/>
        <v>0</v>
      </c>
      <c r="AG84" s="408">
        <f t="shared" si="17"/>
        <v>0</v>
      </c>
      <c r="AH84" s="408">
        <f t="shared" si="18"/>
        <v>0</v>
      </c>
      <c r="AI84" s="408">
        <f t="shared" si="19"/>
        <v>0</v>
      </c>
      <c r="AJ84" s="408">
        <f t="shared" si="20"/>
        <v>1</v>
      </c>
    </row>
    <row r="85" spans="1:36" x14ac:dyDescent="0.25">
      <c r="A85" s="409">
        <f t="shared" si="23"/>
        <v>84</v>
      </c>
      <c r="B85" s="410" t="s">
        <v>2739</v>
      </c>
      <c r="C85" s="410" t="s">
        <v>6205</v>
      </c>
      <c r="D85" s="409">
        <v>3</v>
      </c>
      <c r="E85" s="408"/>
      <c r="F85" s="409" t="str">
        <f>""</f>
        <v/>
      </c>
      <c r="G85" s="409" t="s">
        <v>6835</v>
      </c>
      <c r="H85" s="409" t="s">
        <v>6199</v>
      </c>
      <c r="I85" s="409" t="str">
        <f t="shared" si="21"/>
        <v>Concentration</v>
      </c>
      <c r="J85" s="409" t="s">
        <v>6210</v>
      </c>
      <c r="K85" s="409" t="s">
        <v>2536</v>
      </c>
      <c r="L85" s="409" t="s">
        <v>3857</v>
      </c>
      <c r="M85" s="409" t="s">
        <v>3857</v>
      </c>
      <c r="N85" s="408" t="str">
        <f>""</f>
        <v/>
      </c>
      <c r="O85" s="409" t="s">
        <v>6187</v>
      </c>
      <c r="P85" s="408" t="s">
        <v>2740</v>
      </c>
      <c r="R85" s="409" t="s">
        <v>1113</v>
      </c>
      <c r="AA85" s="408">
        <f t="shared" si="22"/>
        <v>0</v>
      </c>
      <c r="AB85" s="408">
        <f t="shared" si="12"/>
        <v>1</v>
      </c>
      <c r="AC85" s="408">
        <f t="shared" si="13"/>
        <v>0</v>
      </c>
      <c r="AD85" s="408">
        <f t="shared" si="14"/>
        <v>0</v>
      </c>
      <c r="AE85" s="408">
        <f t="shared" si="15"/>
        <v>0</v>
      </c>
      <c r="AF85" s="408">
        <f t="shared" si="16"/>
        <v>0</v>
      </c>
      <c r="AG85" s="408">
        <f t="shared" si="17"/>
        <v>0</v>
      </c>
      <c r="AH85" s="408">
        <f t="shared" si="18"/>
        <v>0</v>
      </c>
      <c r="AI85" s="408">
        <f t="shared" si="19"/>
        <v>0</v>
      </c>
      <c r="AJ85" s="408">
        <f t="shared" si="20"/>
        <v>0</v>
      </c>
    </row>
    <row r="86" spans="1:36" x14ac:dyDescent="0.25">
      <c r="A86" s="409">
        <f t="shared" si="23"/>
        <v>85</v>
      </c>
      <c r="B86" s="410" t="s">
        <v>2741</v>
      </c>
      <c r="C86" s="410" t="s">
        <v>6196</v>
      </c>
      <c r="D86" s="409">
        <v>1</v>
      </c>
      <c r="E86" s="408"/>
      <c r="F86" s="409" t="str">
        <f>""</f>
        <v/>
      </c>
      <c r="G86" s="409" t="s">
        <v>6835</v>
      </c>
      <c r="H86" s="409" t="s">
        <v>6219</v>
      </c>
      <c r="I86" s="409" t="str">
        <f t="shared" si="21"/>
        <v/>
      </c>
      <c r="J86" s="409" t="s">
        <v>6192</v>
      </c>
      <c r="K86" s="409" t="s">
        <v>2536</v>
      </c>
      <c r="L86" s="409" t="s">
        <v>2562</v>
      </c>
      <c r="M86" s="409" t="s">
        <v>3857</v>
      </c>
      <c r="N86" s="408" t="str">
        <f>""</f>
        <v/>
      </c>
      <c r="O86" s="409" t="s">
        <v>6187</v>
      </c>
      <c r="P86" s="408" t="s">
        <v>6572</v>
      </c>
      <c r="Q86" s="409" t="s">
        <v>1112</v>
      </c>
      <c r="R86" s="409" t="s">
        <v>1113</v>
      </c>
      <c r="S86" s="409" t="s">
        <v>624</v>
      </c>
      <c r="V86" s="409" t="s">
        <v>620</v>
      </c>
      <c r="W86" s="409" t="s">
        <v>621</v>
      </c>
      <c r="AA86" s="408">
        <f t="shared" si="22"/>
        <v>1</v>
      </c>
      <c r="AB86" s="408">
        <f t="shared" si="12"/>
        <v>1</v>
      </c>
      <c r="AC86" s="408">
        <f t="shared" si="13"/>
        <v>1</v>
      </c>
      <c r="AD86" s="408">
        <f t="shared" si="14"/>
        <v>0</v>
      </c>
      <c r="AE86" s="408">
        <f t="shared" si="15"/>
        <v>0</v>
      </c>
      <c r="AF86" s="408">
        <f t="shared" si="16"/>
        <v>1</v>
      </c>
      <c r="AG86" s="408">
        <f t="shared" si="17"/>
        <v>1</v>
      </c>
      <c r="AH86" s="408">
        <f t="shared" si="18"/>
        <v>0</v>
      </c>
      <c r="AI86" s="408">
        <f t="shared" si="19"/>
        <v>0</v>
      </c>
      <c r="AJ86" s="408">
        <f t="shared" si="20"/>
        <v>0</v>
      </c>
    </row>
    <row r="87" spans="1:36" x14ac:dyDescent="0.25">
      <c r="A87" s="409">
        <f t="shared" si="23"/>
        <v>86</v>
      </c>
      <c r="B87" s="410" t="s">
        <v>2743</v>
      </c>
      <c r="C87" s="410" t="s">
        <v>6191</v>
      </c>
      <c r="D87" s="409">
        <v>0.5</v>
      </c>
      <c r="E87" s="408"/>
      <c r="F87" s="409" t="str">
        <f>""</f>
        <v/>
      </c>
      <c r="G87" s="409" t="s">
        <v>6835</v>
      </c>
      <c r="H87" s="409" t="s">
        <v>6209</v>
      </c>
      <c r="I87" s="409" t="str">
        <f t="shared" si="21"/>
        <v>Concentration</v>
      </c>
      <c r="J87" s="409" t="s">
        <v>6210</v>
      </c>
      <c r="K87" s="409" t="s">
        <v>2536</v>
      </c>
      <c r="L87" s="409" t="s">
        <v>2562</v>
      </c>
      <c r="M87" s="409" t="s">
        <v>1248</v>
      </c>
      <c r="N87" s="408" t="s">
        <v>6268</v>
      </c>
      <c r="O87" s="409" t="s">
        <v>6187</v>
      </c>
      <c r="P87" s="408" t="s">
        <v>6573</v>
      </c>
      <c r="Q87" s="409" t="s">
        <v>1112</v>
      </c>
      <c r="T87" s="409" t="s">
        <v>626</v>
      </c>
      <c r="Z87" s="409" t="s">
        <v>628</v>
      </c>
      <c r="AA87" s="408">
        <f t="shared" si="22"/>
        <v>1</v>
      </c>
      <c r="AB87" s="408">
        <f t="shared" si="12"/>
        <v>0</v>
      </c>
      <c r="AC87" s="408">
        <f t="shared" si="13"/>
        <v>0</v>
      </c>
      <c r="AD87" s="408">
        <f t="shared" si="14"/>
        <v>1</v>
      </c>
      <c r="AE87" s="408">
        <f t="shared" si="15"/>
        <v>0</v>
      </c>
      <c r="AF87" s="408">
        <f t="shared" si="16"/>
        <v>0</v>
      </c>
      <c r="AG87" s="408">
        <f t="shared" si="17"/>
        <v>0</v>
      </c>
      <c r="AH87" s="408">
        <f t="shared" si="18"/>
        <v>0</v>
      </c>
      <c r="AI87" s="408">
        <f t="shared" si="19"/>
        <v>0</v>
      </c>
      <c r="AJ87" s="408">
        <f t="shared" si="20"/>
        <v>1</v>
      </c>
    </row>
    <row r="88" spans="1:36" x14ac:dyDescent="0.25">
      <c r="A88" s="409">
        <f t="shared" si="23"/>
        <v>87</v>
      </c>
      <c r="B88" s="410" t="s">
        <v>2747</v>
      </c>
      <c r="C88" s="410" t="s">
        <v>6193</v>
      </c>
      <c r="D88" s="409">
        <v>2</v>
      </c>
      <c r="E88" s="408"/>
      <c r="F88" s="409" t="str">
        <f>""</f>
        <v/>
      </c>
      <c r="G88" s="409" t="s">
        <v>6835</v>
      </c>
      <c r="H88" s="409" t="s">
        <v>424</v>
      </c>
      <c r="I88" s="409" t="str">
        <f t="shared" si="21"/>
        <v>Concentration</v>
      </c>
      <c r="J88" s="409" t="s">
        <v>6218</v>
      </c>
      <c r="K88" s="409" t="s">
        <v>2536</v>
      </c>
      <c r="L88" s="409" t="s">
        <v>3857</v>
      </c>
      <c r="M88" s="409" t="s">
        <v>1248</v>
      </c>
      <c r="N88" s="408" t="s">
        <v>6269</v>
      </c>
      <c r="O88" s="409" t="s">
        <v>6187</v>
      </c>
      <c r="P88" s="408" t="s">
        <v>6574</v>
      </c>
      <c r="T88" s="409" t="s">
        <v>626</v>
      </c>
      <c r="U88" s="409" t="s">
        <v>627</v>
      </c>
      <c r="Z88" s="409" t="s">
        <v>628</v>
      </c>
      <c r="AA88" s="408">
        <f t="shared" si="22"/>
        <v>0</v>
      </c>
      <c r="AB88" s="408">
        <f t="shared" si="12"/>
        <v>0</v>
      </c>
      <c r="AC88" s="408">
        <f t="shared" si="13"/>
        <v>0</v>
      </c>
      <c r="AD88" s="408">
        <f t="shared" si="14"/>
        <v>1</v>
      </c>
      <c r="AE88" s="408">
        <f t="shared" si="15"/>
        <v>1</v>
      </c>
      <c r="AF88" s="408">
        <f t="shared" si="16"/>
        <v>0</v>
      </c>
      <c r="AG88" s="408">
        <f t="shared" si="17"/>
        <v>0</v>
      </c>
      <c r="AH88" s="408">
        <f t="shared" si="18"/>
        <v>0</v>
      </c>
      <c r="AI88" s="408">
        <f t="shared" si="19"/>
        <v>0</v>
      </c>
      <c r="AJ88" s="408">
        <f t="shared" si="20"/>
        <v>1</v>
      </c>
    </row>
    <row r="89" spans="1:36" x14ac:dyDescent="0.25">
      <c r="A89" s="409">
        <f t="shared" si="23"/>
        <v>88</v>
      </c>
      <c r="B89" s="410" t="s">
        <v>14</v>
      </c>
      <c r="C89" s="410" t="s">
        <v>6193</v>
      </c>
      <c r="D89" s="409">
        <v>2</v>
      </c>
      <c r="E89" s="408"/>
      <c r="F89" s="409" t="str">
        <f>""</f>
        <v/>
      </c>
      <c r="G89" s="409" t="s">
        <v>6835</v>
      </c>
      <c r="H89" s="409" t="s">
        <v>6219</v>
      </c>
      <c r="I89" s="409" t="str">
        <f t="shared" si="21"/>
        <v/>
      </c>
      <c r="J89" s="409" t="s">
        <v>6194</v>
      </c>
      <c r="K89" s="409" t="s">
        <v>2536</v>
      </c>
      <c r="L89" s="409" t="s">
        <v>2562</v>
      </c>
      <c r="M89" s="409" t="s">
        <v>1248</v>
      </c>
      <c r="N89" s="408" t="s">
        <v>6270</v>
      </c>
      <c r="O89" s="409" t="s">
        <v>6190</v>
      </c>
      <c r="P89" s="408" t="s">
        <v>2751</v>
      </c>
      <c r="S89" s="409" t="s">
        <v>624</v>
      </c>
      <c r="T89" s="409" t="s">
        <v>626</v>
      </c>
      <c r="W89" s="409" t="s">
        <v>621</v>
      </c>
      <c r="Z89" s="409" t="s">
        <v>628</v>
      </c>
      <c r="AA89" s="408">
        <f t="shared" si="22"/>
        <v>0</v>
      </c>
      <c r="AB89" s="408">
        <f t="shared" si="12"/>
        <v>0</v>
      </c>
      <c r="AC89" s="408">
        <f t="shared" si="13"/>
        <v>1</v>
      </c>
      <c r="AD89" s="408">
        <f t="shared" si="14"/>
        <v>1</v>
      </c>
      <c r="AE89" s="408">
        <f t="shared" si="15"/>
        <v>0</v>
      </c>
      <c r="AF89" s="408">
        <f t="shared" si="16"/>
        <v>0</v>
      </c>
      <c r="AG89" s="408">
        <f t="shared" si="17"/>
        <v>1</v>
      </c>
      <c r="AH89" s="408">
        <f t="shared" si="18"/>
        <v>0</v>
      </c>
      <c r="AI89" s="408">
        <f t="shared" si="19"/>
        <v>0</v>
      </c>
      <c r="AJ89" s="408">
        <f t="shared" si="20"/>
        <v>1</v>
      </c>
    </row>
    <row r="90" spans="1:36" x14ac:dyDescent="0.25">
      <c r="A90" s="409">
        <f t="shared" si="23"/>
        <v>89</v>
      </c>
      <c r="B90" s="410" t="s">
        <v>2752</v>
      </c>
      <c r="C90" s="410" t="s">
        <v>6205</v>
      </c>
      <c r="D90" s="409">
        <v>3</v>
      </c>
      <c r="E90" s="408"/>
      <c r="F90" s="409" t="str">
        <f>""</f>
        <v/>
      </c>
      <c r="G90" s="409" t="s">
        <v>6835</v>
      </c>
      <c r="H90" s="409" t="s">
        <v>424</v>
      </c>
      <c r="I90" s="409" t="str">
        <f t="shared" si="21"/>
        <v/>
      </c>
      <c r="J90" s="409" t="s">
        <v>6212</v>
      </c>
      <c r="K90" s="409" t="s">
        <v>2536</v>
      </c>
      <c r="L90" s="409" t="s">
        <v>2562</v>
      </c>
      <c r="M90" s="409" t="s">
        <v>3857</v>
      </c>
      <c r="N90" s="408" t="str">
        <f>""</f>
        <v/>
      </c>
      <c r="O90" s="409" t="s">
        <v>6187</v>
      </c>
      <c r="P90" s="408" t="s">
        <v>6575</v>
      </c>
      <c r="R90" s="409" t="s">
        <v>1113</v>
      </c>
      <c r="S90" s="409" t="s">
        <v>624</v>
      </c>
      <c r="T90" s="409" t="s">
        <v>626</v>
      </c>
      <c r="V90" s="409" t="s">
        <v>620</v>
      </c>
      <c r="W90" s="409" t="s">
        <v>621</v>
      </c>
      <c r="AA90" s="408">
        <f t="shared" si="22"/>
        <v>0</v>
      </c>
      <c r="AB90" s="408">
        <f t="shared" si="12"/>
        <v>1</v>
      </c>
      <c r="AC90" s="408">
        <f t="shared" si="13"/>
        <v>1</v>
      </c>
      <c r="AD90" s="408">
        <f t="shared" si="14"/>
        <v>1</v>
      </c>
      <c r="AE90" s="408">
        <f t="shared" si="15"/>
        <v>0</v>
      </c>
      <c r="AF90" s="408">
        <f t="shared" si="16"/>
        <v>1</v>
      </c>
      <c r="AG90" s="408">
        <f t="shared" si="17"/>
        <v>1</v>
      </c>
      <c r="AH90" s="408">
        <f t="shared" si="18"/>
        <v>0</v>
      </c>
      <c r="AI90" s="408">
        <f t="shared" si="19"/>
        <v>0</v>
      </c>
      <c r="AJ90" s="408">
        <f t="shared" si="20"/>
        <v>0</v>
      </c>
    </row>
    <row r="91" spans="1:36" x14ac:dyDescent="0.25">
      <c r="A91" s="409">
        <f t="shared" si="23"/>
        <v>90</v>
      </c>
      <c r="B91" s="410" t="s">
        <v>2754</v>
      </c>
      <c r="C91" s="410" t="s">
        <v>6214</v>
      </c>
      <c r="D91" s="409">
        <v>4</v>
      </c>
      <c r="E91" s="408"/>
      <c r="F91" s="409" t="str">
        <f>""</f>
        <v/>
      </c>
      <c r="G91" s="409" t="s">
        <v>6835</v>
      </c>
      <c r="H91" s="409" t="s">
        <v>6219</v>
      </c>
      <c r="I91" s="409" t="str">
        <f t="shared" si="21"/>
        <v/>
      </c>
      <c r="J91" s="409" t="s">
        <v>6194</v>
      </c>
      <c r="K91" s="409" t="s">
        <v>2536</v>
      </c>
      <c r="L91" s="409" t="s">
        <v>2562</v>
      </c>
      <c r="M91" s="409" t="s">
        <v>3857</v>
      </c>
      <c r="N91" s="408" t="str">
        <f>""</f>
        <v/>
      </c>
      <c r="O91" s="409" t="s">
        <v>6184</v>
      </c>
      <c r="P91" s="408" t="s">
        <v>6576</v>
      </c>
      <c r="R91" s="409" t="s">
        <v>1113</v>
      </c>
      <c r="V91" s="409" t="s">
        <v>620</v>
      </c>
      <c r="AA91" s="408">
        <f t="shared" si="22"/>
        <v>0</v>
      </c>
      <c r="AB91" s="408">
        <f t="shared" si="12"/>
        <v>1</v>
      </c>
      <c r="AC91" s="408">
        <f t="shared" si="13"/>
        <v>0</v>
      </c>
      <c r="AD91" s="408">
        <f t="shared" si="14"/>
        <v>0</v>
      </c>
      <c r="AE91" s="408">
        <f t="shared" si="15"/>
        <v>0</v>
      </c>
      <c r="AF91" s="408">
        <f t="shared" si="16"/>
        <v>1</v>
      </c>
      <c r="AG91" s="408">
        <f t="shared" si="17"/>
        <v>0</v>
      </c>
      <c r="AH91" s="408">
        <f t="shared" si="18"/>
        <v>0</v>
      </c>
      <c r="AI91" s="408">
        <f t="shared" si="19"/>
        <v>0</v>
      </c>
      <c r="AJ91" s="408">
        <f t="shared" si="20"/>
        <v>0</v>
      </c>
    </row>
    <row r="92" spans="1:36" x14ac:dyDescent="0.25">
      <c r="A92" s="409">
        <f t="shared" si="23"/>
        <v>91</v>
      </c>
      <c r="B92" s="410" t="s">
        <v>2756</v>
      </c>
      <c r="C92" s="410" t="s">
        <v>6251</v>
      </c>
      <c r="D92" s="409">
        <v>7</v>
      </c>
      <c r="E92" s="408"/>
      <c r="F92" s="409" t="str">
        <f>""</f>
        <v/>
      </c>
      <c r="G92" s="409" t="s">
        <v>6835</v>
      </c>
      <c r="H92" s="409" t="s">
        <v>6237</v>
      </c>
      <c r="I92" s="409" t="str">
        <f t="shared" si="21"/>
        <v>Concentration</v>
      </c>
      <c r="J92" s="409" t="s">
        <v>6210</v>
      </c>
      <c r="K92" s="409" t="s">
        <v>2536</v>
      </c>
      <c r="L92" s="409" t="s">
        <v>2562</v>
      </c>
      <c r="M92" s="409" t="s">
        <v>1248</v>
      </c>
      <c r="N92" s="408" t="s">
        <v>6271</v>
      </c>
      <c r="O92" s="409" t="s">
        <v>6187</v>
      </c>
      <c r="P92" s="408" t="s">
        <v>6577</v>
      </c>
      <c r="T92" s="409" t="s">
        <v>626</v>
      </c>
      <c r="Z92" s="409" t="s">
        <v>628</v>
      </c>
      <c r="AA92" s="408">
        <f t="shared" si="22"/>
        <v>0</v>
      </c>
      <c r="AB92" s="408">
        <f t="shared" si="12"/>
        <v>0</v>
      </c>
      <c r="AC92" s="408">
        <f t="shared" si="13"/>
        <v>0</v>
      </c>
      <c r="AD92" s="408">
        <f t="shared" si="14"/>
        <v>1</v>
      </c>
      <c r="AE92" s="408">
        <f t="shared" si="15"/>
        <v>0</v>
      </c>
      <c r="AF92" s="408">
        <f t="shared" si="16"/>
        <v>0</v>
      </c>
      <c r="AG92" s="408">
        <f t="shared" si="17"/>
        <v>0</v>
      </c>
      <c r="AH92" s="408">
        <f t="shared" si="18"/>
        <v>0</v>
      </c>
      <c r="AI92" s="408">
        <f t="shared" si="19"/>
        <v>0</v>
      </c>
      <c r="AJ92" s="408">
        <f t="shared" si="20"/>
        <v>1</v>
      </c>
    </row>
    <row r="93" spans="1:36" x14ac:dyDescent="0.25">
      <c r="A93" s="409">
        <f t="shared" si="23"/>
        <v>92</v>
      </c>
      <c r="B93" s="410" t="s">
        <v>2760</v>
      </c>
      <c r="C93" s="410" t="s">
        <v>6203</v>
      </c>
      <c r="D93" s="409">
        <v>8</v>
      </c>
      <c r="E93" s="408"/>
      <c r="F93" s="409" t="str">
        <f>""</f>
        <v/>
      </c>
      <c r="G93" s="409" t="s">
        <v>6835</v>
      </c>
      <c r="H93" s="409" t="s">
        <v>424</v>
      </c>
      <c r="I93" s="409" t="str">
        <f t="shared" si="21"/>
        <v/>
      </c>
      <c r="J93" s="409" t="s">
        <v>6212</v>
      </c>
      <c r="K93" s="409" t="s">
        <v>3857</v>
      </c>
      <c r="L93" s="409" t="s">
        <v>2562</v>
      </c>
      <c r="M93" s="409" t="s">
        <v>3857</v>
      </c>
      <c r="N93" s="408" t="str">
        <f>""</f>
        <v/>
      </c>
      <c r="O93" s="409" t="s">
        <v>6185</v>
      </c>
      <c r="P93" s="408" t="s">
        <v>6578</v>
      </c>
      <c r="U93" s="409" t="s">
        <v>627</v>
      </c>
      <c r="Z93" s="409" t="s">
        <v>628</v>
      </c>
      <c r="AA93" s="408">
        <f t="shared" si="22"/>
        <v>0</v>
      </c>
      <c r="AB93" s="408">
        <f t="shared" si="12"/>
        <v>0</v>
      </c>
      <c r="AC93" s="408">
        <f t="shared" si="13"/>
        <v>0</v>
      </c>
      <c r="AD93" s="408">
        <f t="shared" si="14"/>
        <v>0</v>
      </c>
      <c r="AE93" s="408">
        <f t="shared" si="15"/>
        <v>1</v>
      </c>
      <c r="AF93" s="408">
        <f t="shared" si="16"/>
        <v>0</v>
      </c>
      <c r="AG93" s="408">
        <f t="shared" si="17"/>
        <v>0</v>
      </c>
      <c r="AH93" s="408">
        <f t="shared" si="18"/>
        <v>0</v>
      </c>
      <c r="AI93" s="408">
        <f t="shared" si="19"/>
        <v>0</v>
      </c>
      <c r="AJ93" s="408">
        <f t="shared" si="20"/>
        <v>1</v>
      </c>
    </row>
    <row r="94" spans="1:36" x14ac:dyDescent="0.25">
      <c r="A94" s="409">
        <f t="shared" si="23"/>
        <v>93</v>
      </c>
      <c r="B94" s="410" t="s">
        <v>2763</v>
      </c>
      <c r="C94" s="410" t="s">
        <v>6208</v>
      </c>
      <c r="D94" s="409">
        <v>5</v>
      </c>
      <c r="E94" s="408"/>
      <c r="F94" s="409" t="str">
        <f>""</f>
        <v/>
      </c>
      <c r="G94" s="409" t="s">
        <v>6835</v>
      </c>
      <c r="H94" s="409" t="s">
        <v>6199</v>
      </c>
      <c r="I94" s="409" t="str">
        <f t="shared" si="21"/>
        <v/>
      </c>
      <c r="J94" s="409" t="s">
        <v>6192</v>
      </c>
      <c r="K94" s="409" t="s">
        <v>2536</v>
      </c>
      <c r="L94" s="409" t="s">
        <v>3857</v>
      </c>
      <c r="M94" s="409" t="s">
        <v>3857</v>
      </c>
      <c r="N94" s="408" t="str">
        <f>""</f>
        <v/>
      </c>
      <c r="O94" s="409" t="s">
        <v>6187</v>
      </c>
      <c r="P94" s="408" t="s">
        <v>2764</v>
      </c>
      <c r="R94" s="409" t="s">
        <v>1113</v>
      </c>
      <c r="AA94" s="408">
        <f t="shared" si="22"/>
        <v>0</v>
      </c>
      <c r="AB94" s="408">
        <f t="shared" si="12"/>
        <v>1</v>
      </c>
      <c r="AC94" s="408">
        <f t="shared" si="13"/>
        <v>0</v>
      </c>
      <c r="AD94" s="408">
        <f t="shared" si="14"/>
        <v>0</v>
      </c>
      <c r="AE94" s="408">
        <f t="shared" si="15"/>
        <v>0</v>
      </c>
      <c r="AF94" s="408">
        <f t="shared" si="16"/>
        <v>0</v>
      </c>
      <c r="AG94" s="408">
        <f t="shared" si="17"/>
        <v>0</v>
      </c>
      <c r="AH94" s="408">
        <f t="shared" si="18"/>
        <v>0</v>
      </c>
      <c r="AI94" s="408">
        <f t="shared" si="19"/>
        <v>0</v>
      </c>
      <c r="AJ94" s="408">
        <f t="shared" si="20"/>
        <v>0</v>
      </c>
    </row>
    <row r="95" spans="1:36" x14ac:dyDescent="0.25">
      <c r="A95" s="409">
        <f t="shared" si="23"/>
        <v>94</v>
      </c>
      <c r="B95" s="410" t="s">
        <v>2765</v>
      </c>
      <c r="C95" s="410" t="s">
        <v>6196</v>
      </c>
      <c r="D95" s="409">
        <v>1</v>
      </c>
      <c r="E95" s="408"/>
      <c r="F95" s="409" t="str">
        <f>""</f>
        <v/>
      </c>
      <c r="G95" s="409" t="s">
        <v>6835</v>
      </c>
      <c r="H95" s="409" t="s">
        <v>6199</v>
      </c>
      <c r="I95" s="409" t="str">
        <f t="shared" si="21"/>
        <v>Concentration</v>
      </c>
      <c r="J95" s="409" t="s">
        <v>6218</v>
      </c>
      <c r="K95" s="409" t="s">
        <v>2536</v>
      </c>
      <c r="L95" s="409" t="s">
        <v>2562</v>
      </c>
      <c r="M95" s="409" t="s">
        <v>3857</v>
      </c>
      <c r="N95" s="408" t="str">
        <f>""</f>
        <v/>
      </c>
      <c r="O95" s="409" t="s">
        <v>2792</v>
      </c>
      <c r="P95" s="408" t="s">
        <v>6579</v>
      </c>
      <c r="R95" s="409" t="s">
        <v>1113</v>
      </c>
      <c r="V95" s="409" t="s">
        <v>620</v>
      </c>
      <c r="AA95" s="408">
        <f t="shared" si="22"/>
        <v>0</v>
      </c>
      <c r="AB95" s="408">
        <f t="shared" si="12"/>
        <v>1</v>
      </c>
      <c r="AC95" s="408">
        <f t="shared" si="13"/>
        <v>0</v>
      </c>
      <c r="AD95" s="408">
        <f t="shared" si="14"/>
        <v>0</v>
      </c>
      <c r="AE95" s="408">
        <f t="shared" si="15"/>
        <v>0</v>
      </c>
      <c r="AF95" s="408">
        <f t="shared" si="16"/>
        <v>1</v>
      </c>
      <c r="AG95" s="408">
        <f t="shared" si="17"/>
        <v>0</v>
      </c>
      <c r="AH95" s="408">
        <f t="shared" si="18"/>
        <v>0</v>
      </c>
      <c r="AI95" s="408">
        <f t="shared" si="19"/>
        <v>0</v>
      </c>
      <c r="AJ95" s="408">
        <f t="shared" si="20"/>
        <v>0</v>
      </c>
    </row>
    <row r="96" spans="1:36" x14ac:dyDescent="0.25">
      <c r="A96" s="409">
        <f t="shared" si="23"/>
        <v>95</v>
      </c>
      <c r="B96" s="410" t="s">
        <v>2768</v>
      </c>
      <c r="C96" s="410" t="s">
        <v>6196</v>
      </c>
      <c r="D96" s="409">
        <v>1</v>
      </c>
      <c r="E96" s="408"/>
      <c r="F96" s="409" t="s">
        <v>6183</v>
      </c>
      <c r="G96" s="409" t="s">
        <v>6836</v>
      </c>
      <c r="H96" s="409" t="s">
        <v>6199</v>
      </c>
      <c r="I96" s="409" t="str">
        <f t="shared" si="21"/>
        <v>Concentration</v>
      </c>
      <c r="J96" s="409" t="s">
        <v>6218</v>
      </c>
      <c r="K96" s="409" t="s">
        <v>2536</v>
      </c>
      <c r="L96" s="409" t="s">
        <v>2562</v>
      </c>
      <c r="M96" s="409" t="s">
        <v>3857</v>
      </c>
      <c r="N96" s="408" t="str">
        <f>""</f>
        <v/>
      </c>
      <c r="O96" s="409" t="s">
        <v>2792</v>
      </c>
      <c r="P96" s="408" t="s">
        <v>6580</v>
      </c>
      <c r="Q96" s="409" t="s">
        <v>1112</v>
      </c>
      <c r="R96" s="409" t="s">
        <v>1113</v>
      </c>
      <c r="S96" s="409" t="s">
        <v>624</v>
      </c>
      <c r="T96" s="409" t="s">
        <v>626</v>
      </c>
      <c r="V96" s="409" t="s">
        <v>620</v>
      </c>
      <c r="W96" s="409" t="s">
        <v>621</v>
      </c>
      <c r="Z96" s="409" t="s">
        <v>628</v>
      </c>
      <c r="AA96" s="408">
        <f t="shared" si="22"/>
        <v>1</v>
      </c>
      <c r="AB96" s="408">
        <f t="shared" si="12"/>
        <v>1</v>
      </c>
      <c r="AC96" s="408">
        <f t="shared" si="13"/>
        <v>1</v>
      </c>
      <c r="AD96" s="408">
        <f t="shared" si="14"/>
        <v>1</v>
      </c>
      <c r="AE96" s="408">
        <f t="shared" si="15"/>
        <v>0</v>
      </c>
      <c r="AF96" s="408">
        <f t="shared" si="16"/>
        <v>1</v>
      </c>
      <c r="AG96" s="408">
        <f t="shared" si="17"/>
        <v>1</v>
      </c>
      <c r="AH96" s="408">
        <f t="shared" si="18"/>
        <v>0</v>
      </c>
      <c r="AI96" s="408">
        <f t="shared" si="19"/>
        <v>0</v>
      </c>
      <c r="AJ96" s="408">
        <f t="shared" si="20"/>
        <v>1</v>
      </c>
    </row>
    <row r="97" spans="1:36" x14ac:dyDescent="0.25">
      <c r="A97" s="409">
        <f t="shared" si="23"/>
        <v>96</v>
      </c>
      <c r="B97" s="410" t="s">
        <v>2770</v>
      </c>
      <c r="C97" s="410" t="s">
        <v>6196</v>
      </c>
      <c r="D97" s="409">
        <v>1</v>
      </c>
      <c r="E97" s="408"/>
      <c r="F97" s="409" t="s">
        <v>6183</v>
      </c>
      <c r="G97" s="409" t="s">
        <v>6836</v>
      </c>
      <c r="H97" s="409" t="s">
        <v>6199</v>
      </c>
      <c r="I97" s="409" t="str">
        <f t="shared" si="21"/>
        <v>Concentration</v>
      </c>
      <c r="J97" s="409" t="s">
        <v>6218</v>
      </c>
      <c r="K97" s="409" t="s">
        <v>2536</v>
      </c>
      <c r="L97" s="409" t="s">
        <v>2562</v>
      </c>
      <c r="M97" s="409" t="s">
        <v>1248</v>
      </c>
      <c r="N97" s="408" t="s">
        <v>6272</v>
      </c>
      <c r="O97" s="409" t="s">
        <v>2792</v>
      </c>
      <c r="P97" s="408" t="s">
        <v>6581</v>
      </c>
      <c r="R97" s="409" t="s">
        <v>1113</v>
      </c>
      <c r="S97" s="409" t="s">
        <v>624</v>
      </c>
      <c r="V97" s="409" t="s">
        <v>620</v>
      </c>
      <c r="W97" s="409" t="s">
        <v>621</v>
      </c>
      <c r="AA97" s="408">
        <f t="shared" si="22"/>
        <v>0</v>
      </c>
      <c r="AB97" s="408">
        <f t="shared" si="12"/>
        <v>1</v>
      </c>
      <c r="AC97" s="408">
        <f t="shared" si="13"/>
        <v>1</v>
      </c>
      <c r="AD97" s="408">
        <f t="shared" si="14"/>
        <v>0</v>
      </c>
      <c r="AE97" s="408">
        <f t="shared" si="15"/>
        <v>0</v>
      </c>
      <c r="AF97" s="408">
        <f t="shared" si="16"/>
        <v>1</v>
      </c>
      <c r="AG97" s="408">
        <f t="shared" si="17"/>
        <v>1</v>
      </c>
      <c r="AH97" s="408">
        <f t="shared" si="18"/>
        <v>0</v>
      </c>
      <c r="AI97" s="408">
        <f t="shared" si="19"/>
        <v>0</v>
      </c>
      <c r="AJ97" s="408">
        <f t="shared" si="20"/>
        <v>0</v>
      </c>
    </row>
    <row r="98" spans="1:36" x14ac:dyDescent="0.25">
      <c r="A98" s="409">
        <f t="shared" si="23"/>
        <v>97</v>
      </c>
      <c r="B98" s="410" t="s">
        <v>2773</v>
      </c>
      <c r="C98" s="410" t="s">
        <v>6193</v>
      </c>
      <c r="D98" s="409">
        <v>2</v>
      </c>
      <c r="E98" s="408"/>
      <c r="F98" s="409" t="str">
        <f>""</f>
        <v/>
      </c>
      <c r="G98" s="409" t="s">
        <v>6835</v>
      </c>
      <c r="H98" s="409" t="s">
        <v>6199</v>
      </c>
      <c r="I98" s="409" t="str">
        <f t="shared" si="21"/>
        <v/>
      </c>
      <c r="J98" s="409" t="s">
        <v>6212</v>
      </c>
      <c r="K98" s="409" t="s">
        <v>2536</v>
      </c>
      <c r="L98" s="409" t="s">
        <v>2562</v>
      </c>
      <c r="M98" s="409" t="s">
        <v>1248</v>
      </c>
      <c r="N98" s="408" t="s">
        <v>6273</v>
      </c>
      <c r="O98" s="409" t="s">
        <v>2792</v>
      </c>
      <c r="P98" s="408" t="s">
        <v>6582</v>
      </c>
      <c r="Q98" s="409" t="s">
        <v>1112</v>
      </c>
      <c r="T98" s="409" t="s">
        <v>626</v>
      </c>
      <c r="Z98" s="409" t="s">
        <v>628</v>
      </c>
      <c r="AA98" s="408">
        <f t="shared" si="22"/>
        <v>1</v>
      </c>
      <c r="AB98" s="408">
        <f t="shared" si="12"/>
        <v>0</v>
      </c>
      <c r="AC98" s="408">
        <f t="shared" si="13"/>
        <v>0</v>
      </c>
      <c r="AD98" s="408">
        <f t="shared" si="14"/>
        <v>1</v>
      </c>
      <c r="AE98" s="408">
        <f t="shared" si="15"/>
        <v>0</v>
      </c>
      <c r="AF98" s="408">
        <f t="shared" si="16"/>
        <v>0</v>
      </c>
      <c r="AG98" s="408">
        <f t="shared" si="17"/>
        <v>0</v>
      </c>
      <c r="AH98" s="408">
        <f t="shared" si="18"/>
        <v>0</v>
      </c>
      <c r="AI98" s="408">
        <f t="shared" si="19"/>
        <v>0</v>
      </c>
      <c r="AJ98" s="408">
        <f t="shared" si="20"/>
        <v>1</v>
      </c>
    </row>
    <row r="99" spans="1:36" x14ac:dyDescent="0.25">
      <c r="A99" s="409">
        <f t="shared" si="23"/>
        <v>98</v>
      </c>
      <c r="B99" s="410" t="s">
        <v>2777</v>
      </c>
      <c r="C99" s="410" t="s">
        <v>6214</v>
      </c>
      <c r="D99" s="409">
        <v>4</v>
      </c>
      <c r="E99" s="408"/>
      <c r="F99" s="409" t="str">
        <f>""</f>
        <v/>
      </c>
      <c r="G99" s="409" t="s">
        <v>6835</v>
      </c>
      <c r="H99" s="409" t="s">
        <v>6217</v>
      </c>
      <c r="I99" s="409" t="str">
        <f t="shared" si="21"/>
        <v/>
      </c>
      <c r="J99" s="409" t="s">
        <v>6192</v>
      </c>
      <c r="K99" s="409" t="s">
        <v>2536</v>
      </c>
      <c r="L99" s="409" t="s">
        <v>3857</v>
      </c>
      <c r="M99" s="409" t="s">
        <v>3857</v>
      </c>
      <c r="N99" s="408" t="str">
        <f>""</f>
        <v/>
      </c>
      <c r="O99" s="409" t="s">
        <v>6185</v>
      </c>
      <c r="P99" s="408" t="s">
        <v>6583</v>
      </c>
      <c r="Q99" s="409" t="s">
        <v>1112</v>
      </c>
      <c r="T99" s="409" t="s">
        <v>626</v>
      </c>
      <c r="U99" s="409" t="s">
        <v>627</v>
      </c>
      <c r="Z99" s="409" t="s">
        <v>628</v>
      </c>
      <c r="AA99" s="408">
        <f t="shared" si="22"/>
        <v>1</v>
      </c>
      <c r="AB99" s="408">
        <f t="shared" si="12"/>
        <v>0</v>
      </c>
      <c r="AC99" s="408">
        <f t="shared" si="13"/>
        <v>0</v>
      </c>
      <c r="AD99" s="408">
        <f t="shared" si="14"/>
        <v>1</v>
      </c>
      <c r="AE99" s="408">
        <f t="shared" si="15"/>
        <v>1</v>
      </c>
      <c r="AF99" s="408">
        <f t="shared" si="16"/>
        <v>0</v>
      </c>
      <c r="AG99" s="408">
        <f t="shared" si="17"/>
        <v>0</v>
      </c>
      <c r="AH99" s="408">
        <f t="shared" si="18"/>
        <v>0</v>
      </c>
      <c r="AI99" s="408">
        <f t="shared" si="19"/>
        <v>0</v>
      </c>
      <c r="AJ99" s="408">
        <f t="shared" si="20"/>
        <v>1</v>
      </c>
    </row>
    <row r="100" spans="1:36" x14ac:dyDescent="0.25">
      <c r="A100" s="409">
        <f t="shared" si="23"/>
        <v>99</v>
      </c>
      <c r="B100" s="410" t="s">
        <v>2779</v>
      </c>
      <c r="C100" s="410" t="s">
        <v>6196</v>
      </c>
      <c r="D100" s="409">
        <v>1</v>
      </c>
      <c r="E100" s="408"/>
      <c r="F100" s="409" t="str">
        <f>""</f>
        <v/>
      </c>
      <c r="G100" s="409" t="s">
        <v>6835</v>
      </c>
      <c r="H100" s="409" t="s">
        <v>6199</v>
      </c>
      <c r="I100" s="409" t="str">
        <f t="shared" si="21"/>
        <v/>
      </c>
      <c r="J100" s="409" t="s">
        <v>6212</v>
      </c>
      <c r="K100" s="409" t="s">
        <v>2536</v>
      </c>
      <c r="L100" s="409" t="s">
        <v>2562</v>
      </c>
      <c r="M100" s="409" t="s">
        <v>3857</v>
      </c>
      <c r="N100" s="408" t="str">
        <f>""</f>
        <v/>
      </c>
      <c r="O100" s="409" t="s">
        <v>6188</v>
      </c>
      <c r="P100" s="408" t="s">
        <v>6584</v>
      </c>
      <c r="T100" s="409" t="s">
        <v>626</v>
      </c>
      <c r="Z100" s="409" t="s">
        <v>628</v>
      </c>
      <c r="AA100" s="408">
        <f t="shared" si="22"/>
        <v>0</v>
      </c>
      <c r="AB100" s="408">
        <f t="shared" si="12"/>
        <v>0</v>
      </c>
      <c r="AC100" s="408">
        <f t="shared" si="13"/>
        <v>0</v>
      </c>
      <c r="AD100" s="408">
        <f t="shared" si="14"/>
        <v>1</v>
      </c>
      <c r="AE100" s="408">
        <f t="shared" si="15"/>
        <v>0</v>
      </c>
      <c r="AF100" s="408">
        <f t="shared" si="16"/>
        <v>0</v>
      </c>
      <c r="AG100" s="408">
        <f t="shared" si="17"/>
        <v>0</v>
      </c>
      <c r="AH100" s="408">
        <f t="shared" si="18"/>
        <v>0</v>
      </c>
      <c r="AI100" s="408">
        <f t="shared" si="19"/>
        <v>0</v>
      </c>
      <c r="AJ100" s="408">
        <f t="shared" si="20"/>
        <v>1</v>
      </c>
    </row>
    <row r="101" spans="1:36" x14ac:dyDescent="0.25">
      <c r="A101" s="409">
        <f t="shared" si="23"/>
        <v>100</v>
      </c>
      <c r="B101" s="410" t="s">
        <v>2781</v>
      </c>
      <c r="C101" s="410" t="s">
        <v>6216</v>
      </c>
      <c r="D101" s="409">
        <v>6</v>
      </c>
      <c r="E101" s="408"/>
      <c r="F101" s="409" t="str">
        <f>""</f>
        <v/>
      </c>
      <c r="G101" s="409" t="s">
        <v>6835</v>
      </c>
      <c r="H101" s="409" t="s">
        <v>424</v>
      </c>
      <c r="I101" s="409" t="str">
        <f t="shared" si="21"/>
        <v/>
      </c>
      <c r="J101" s="409" t="s">
        <v>6192</v>
      </c>
      <c r="K101" s="409" t="s">
        <v>2536</v>
      </c>
      <c r="L101" s="409" t="s">
        <v>2562</v>
      </c>
      <c r="M101" s="409" t="s">
        <v>1248</v>
      </c>
      <c r="N101" s="408" t="s">
        <v>6274</v>
      </c>
      <c r="O101" s="409" t="s">
        <v>6190</v>
      </c>
      <c r="P101" s="408" t="s">
        <v>6585</v>
      </c>
      <c r="T101" s="409" t="s">
        <v>626</v>
      </c>
      <c r="Z101" s="409" t="s">
        <v>628</v>
      </c>
      <c r="AA101" s="408">
        <f t="shared" si="22"/>
        <v>0</v>
      </c>
      <c r="AB101" s="408">
        <f t="shared" si="12"/>
        <v>0</v>
      </c>
      <c r="AC101" s="408">
        <f t="shared" si="13"/>
        <v>0</v>
      </c>
      <c r="AD101" s="408">
        <f t="shared" si="14"/>
        <v>1</v>
      </c>
      <c r="AE101" s="408">
        <f t="shared" si="15"/>
        <v>0</v>
      </c>
      <c r="AF101" s="408">
        <f t="shared" si="16"/>
        <v>0</v>
      </c>
      <c r="AG101" s="408">
        <f t="shared" si="17"/>
        <v>0</v>
      </c>
      <c r="AH101" s="408">
        <f t="shared" si="18"/>
        <v>0</v>
      </c>
      <c r="AI101" s="408">
        <f t="shared" si="19"/>
        <v>0</v>
      </c>
      <c r="AJ101" s="408">
        <f t="shared" si="20"/>
        <v>1</v>
      </c>
    </row>
    <row r="102" spans="1:36" x14ac:dyDescent="0.25">
      <c r="A102" s="409">
        <f t="shared" si="23"/>
        <v>101</v>
      </c>
      <c r="B102" s="410" t="s">
        <v>2785</v>
      </c>
      <c r="C102" s="410" t="s">
        <v>6208</v>
      </c>
      <c r="D102" s="409">
        <v>5</v>
      </c>
      <c r="E102" s="408"/>
      <c r="F102" s="409" t="str">
        <f>""</f>
        <v/>
      </c>
      <c r="G102" s="409" t="s">
        <v>6835</v>
      </c>
      <c r="H102" s="409" t="s">
        <v>6199</v>
      </c>
      <c r="I102" s="409" t="str">
        <f t="shared" si="21"/>
        <v>Concentration</v>
      </c>
      <c r="J102" s="409" t="s">
        <v>6210</v>
      </c>
      <c r="K102" s="409" t="s">
        <v>2536</v>
      </c>
      <c r="L102" s="409" t="s">
        <v>2562</v>
      </c>
      <c r="M102" s="409" t="s">
        <v>1248</v>
      </c>
      <c r="N102" s="408" t="s">
        <v>6275</v>
      </c>
      <c r="O102" s="409" t="s">
        <v>6184</v>
      </c>
      <c r="P102" s="408" t="s">
        <v>6586</v>
      </c>
      <c r="R102" s="409" t="s">
        <v>1113</v>
      </c>
      <c r="V102" s="409" t="s">
        <v>620</v>
      </c>
      <c r="AA102" s="408">
        <f t="shared" si="22"/>
        <v>0</v>
      </c>
      <c r="AB102" s="408">
        <f t="shared" si="12"/>
        <v>1</v>
      </c>
      <c r="AC102" s="408">
        <f t="shared" si="13"/>
        <v>0</v>
      </c>
      <c r="AD102" s="408">
        <f t="shared" si="14"/>
        <v>0</v>
      </c>
      <c r="AE102" s="408">
        <f t="shared" si="15"/>
        <v>0</v>
      </c>
      <c r="AF102" s="408">
        <f t="shared" si="16"/>
        <v>1</v>
      </c>
      <c r="AG102" s="408">
        <f t="shared" si="17"/>
        <v>0</v>
      </c>
      <c r="AH102" s="408">
        <f t="shared" si="18"/>
        <v>0</v>
      </c>
      <c r="AI102" s="408">
        <f t="shared" si="19"/>
        <v>0</v>
      </c>
      <c r="AJ102" s="408">
        <f t="shared" si="20"/>
        <v>0</v>
      </c>
    </row>
    <row r="103" spans="1:36" x14ac:dyDescent="0.25">
      <c r="A103" s="409">
        <f t="shared" si="23"/>
        <v>102</v>
      </c>
      <c r="B103" s="410" t="s">
        <v>2788</v>
      </c>
      <c r="C103" s="410" t="s">
        <v>6205</v>
      </c>
      <c r="D103" s="409">
        <v>3</v>
      </c>
      <c r="E103" s="408"/>
      <c r="F103" s="409" t="str">
        <f>""</f>
        <v/>
      </c>
      <c r="G103" s="409" t="s">
        <v>6835</v>
      </c>
      <c r="H103" s="409" t="s">
        <v>6209</v>
      </c>
      <c r="I103" s="409" t="str">
        <f t="shared" si="21"/>
        <v/>
      </c>
      <c r="J103" s="409" t="s">
        <v>6192</v>
      </c>
      <c r="K103" s="409" t="s">
        <v>2536</v>
      </c>
      <c r="L103" s="409" t="s">
        <v>2562</v>
      </c>
      <c r="M103" s="409" t="s">
        <v>3857</v>
      </c>
      <c r="N103" s="408" t="str">
        <f>""</f>
        <v/>
      </c>
      <c r="O103" s="409" t="s">
        <v>6184</v>
      </c>
      <c r="P103" s="408" t="s">
        <v>6587</v>
      </c>
      <c r="Q103" s="409" t="s">
        <v>1112</v>
      </c>
      <c r="R103" s="409" t="s">
        <v>1113</v>
      </c>
      <c r="T103" s="409" t="s">
        <v>626</v>
      </c>
      <c r="U103" s="409" t="s">
        <v>627</v>
      </c>
      <c r="V103" s="409" t="s">
        <v>620</v>
      </c>
      <c r="W103" s="409" t="s">
        <v>621</v>
      </c>
      <c r="Z103" s="409" t="s">
        <v>628</v>
      </c>
      <c r="AA103" s="408">
        <f t="shared" si="22"/>
        <v>1</v>
      </c>
      <c r="AB103" s="408">
        <f t="shared" si="12"/>
        <v>1</v>
      </c>
      <c r="AC103" s="408">
        <f t="shared" si="13"/>
        <v>0</v>
      </c>
      <c r="AD103" s="408">
        <f t="shared" si="14"/>
        <v>1</v>
      </c>
      <c r="AE103" s="408">
        <f t="shared" si="15"/>
        <v>1</v>
      </c>
      <c r="AF103" s="408">
        <f t="shared" si="16"/>
        <v>1</v>
      </c>
      <c r="AG103" s="408">
        <f t="shared" si="17"/>
        <v>1</v>
      </c>
      <c r="AH103" s="408">
        <f t="shared" si="18"/>
        <v>0</v>
      </c>
      <c r="AI103" s="408">
        <f t="shared" si="19"/>
        <v>0</v>
      </c>
      <c r="AJ103" s="408">
        <f t="shared" si="20"/>
        <v>1</v>
      </c>
    </row>
    <row r="104" spans="1:36" x14ac:dyDescent="0.25">
      <c r="A104" s="409">
        <f t="shared" si="23"/>
        <v>103</v>
      </c>
      <c r="B104" s="410" t="s">
        <v>2790</v>
      </c>
      <c r="C104" s="410" t="s">
        <v>6196</v>
      </c>
      <c r="D104" s="409">
        <v>1</v>
      </c>
      <c r="E104" s="408"/>
      <c r="F104" s="409" t="str">
        <f>""</f>
        <v/>
      </c>
      <c r="G104" s="409" t="s">
        <v>6835</v>
      </c>
      <c r="H104" s="409" t="s">
        <v>424</v>
      </c>
      <c r="I104" s="409" t="str">
        <f t="shared" si="21"/>
        <v/>
      </c>
      <c r="J104" s="409" t="s">
        <v>6192</v>
      </c>
      <c r="K104" s="409" t="s">
        <v>2536</v>
      </c>
      <c r="L104" s="409" t="s">
        <v>3857</v>
      </c>
      <c r="M104" s="409" t="s">
        <v>3857</v>
      </c>
      <c r="O104" s="409" t="s">
        <v>6186</v>
      </c>
      <c r="P104" s="408" t="s">
        <v>6588</v>
      </c>
      <c r="Q104" s="409" t="s">
        <v>1112</v>
      </c>
      <c r="AA104" s="408">
        <f t="shared" si="22"/>
        <v>1</v>
      </c>
      <c r="AB104" s="408">
        <f t="shared" si="12"/>
        <v>0</v>
      </c>
      <c r="AC104" s="408">
        <f t="shared" si="13"/>
        <v>0</v>
      </c>
      <c r="AD104" s="408">
        <f t="shared" si="14"/>
        <v>0</v>
      </c>
      <c r="AE104" s="408">
        <f t="shared" si="15"/>
        <v>0</v>
      </c>
      <c r="AF104" s="408">
        <f t="shared" si="16"/>
        <v>0</v>
      </c>
      <c r="AG104" s="408">
        <f t="shared" si="17"/>
        <v>0</v>
      </c>
      <c r="AH104" s="408">
        <f t="shared" si="18"/>
        <v>0</v>
      </c>
      <c r="AI104" s="408">
        <f t="shared" si="19"/>
        <v>0</v>
      </c>
      <c r="AJ104" s="408">
        <f t="shared" si="20"/>
        <v>0</v>
      </c>
    </row>
    <row r="105" spans="1:36" x14ac:dyDescent="0.25">
      <c r="A105" s="409">
        <f t="shared" si="23"/>
        <v>104</v>
      </c>
      <c r="B105" s="410" t="s">
        <v>2792</v>
      </c>
      <c r="C105" s="410" t="s">
        <v>6214</v>
      </c>
      <c r="D105" s="409">
        <v>4</v>
      </c>
      <c r="E105" s="408"/>
      <c r="F105" s="409" t="s">
        <v>6183</v>
      </c>
      <c r="G105" s="409" t="s">
        <v>6836</v>
      </c>
      <c r="H105" s="409" t="s">
        <v>6199</v>
      </c>
      <c r="I105" s="409" t="str">
        <f t="shared" si="21"/>
        <v/>
      </c>
      <c r="J105" s="409" t="s">
        <v>6192</v>
      </c>
      <c r="K105" s="409" t="s">
        <v>2536</v>
      </c>
      <c r="L105" s="409" t="s">
        <v>2562</v>
      </c>
      <c r="M105" s="409" t="s">
        <v>1248</v>
      </c>
      <c r="N105" s="408" t="s">
        <v>6276</v>
      </c>
      <c r="O105" s="409" t="s">
        <v>2792</v>
      </c>
      <c r="P105" s="408" t="s">
        <v>6589</v>
      </c>
      <c r="V105" s="409" t="s">
        <v>620</v>
      </c>
      <c r="AA105" s="408">
        <f t="shared" si="22"/>
        <v>0</v>
      </c>
      <c r="AB105" s="408">
        <f t="shared" si="12"/>
        <v>0</v>
      </c>
      <c r="AC105" s="408">
        <f t="shared" si="13"/>
        <v>0</v>
      </c>
      <c r="AD105" s="408">
        <f t="shared" si="14"/>
        <v>0</v>
      </c>
      <c r="AE105" s="408">
        <f t="shared" si="15"/>
        <v>0</v>
      </c>
      <c r="AF105" s="408">
        <f t="shared" si="16"/>
        <v>1</v>
      </c>
      <c r="AG105" s="408">
        <f t="shared" si="17"/>
        <v>0</v>
      </c>
      <c r="AH105" s="408">
        <f t="shared" si="18"/>
        <v>0</v>
      </c>
      <c r="AI105" s="408">
        <f t="shared" si="19"/>
        <v>0</v>
      </c>
      <c r="AJ105" s="408">
        <f t="shared" si="20"/>
        <v>0</v>
      </c>
    </row>
    <row r="106" spans="1:36" x14ac:dyDescent="0.25">
      <c r="A106" s="409">
        <f t="shared" si="23"/>
        <v>105</v>
      </c>
      <c r="B106" s="410" t="s">
        <v>2796</v>
      </c>
      <c r="C106" s="410" t="s">
        <v>6196</v>
      </c>
      <c r="D106" s="409">
        <v>1</v>
      </c>
      <c r="E106" s="408"/>
      <c r="F106" s="409" t="str">
        <f>""</f>
        <v/>
      </c>
      <c r="G106" s="409" t="s">
        <v>6841</v>
      </c>
      <c r="H106" s="409" t="s">
        <v>6199</v>
      </c>
      <c r="I106" s="409" t="str">
        <f t="shared" si="21"/>
        <v>Concentration</v>
      </c>
      <c r="J106" s="409" t="s">
        <v>6210</v>
      </c>
      <c r="K106" s="409" t="s">
        <v>2536</v>
      </c>
      <c r="L106" s="409" t="s">
        <v>2562</v>
      </c>
      <c r="M106" s="409" t="s">
        <v>3857</v>
      </c>
      <c r="N106" s="408" t="str">
        <f>""</f>
        <v/>
      </c>
      <c r="O106" s="409" t="s">
        <v>6187</v>
      </c>
      <c r="P106" s="408" t="s">
        <v>2797</v>
      </c>
      <c r="R106" s="409" t="s">
        <v>1113</v>
      </c>
      <c r="AA106" s="408">
        <f t="shared" si="22"/>
        <v>0</v>
      </c>
      <c r="AB106" s="408">
        <f t="shared" si="12"/>
        <v>1</v>
      </c>
      <c r="AC106" s="408">
        <f t="shared" si="13"/>
        <v>0</v>
      </c>
      <c r="AD106" s="408">
        <f t="shared" si="14"/>
        <v>0</v>
      </c>
      <c r="AE106" s="408">
        <f t="shared" si="15"/>
        <v>0</v>
      </c>
      <c r="AF106" s="408">
        <f t="shared" si="16"/>
        <v>0</v>
      </c>
      <c r="AG106" s="408">
        <f t="shared" si="17"/>
        <v>0</v>
      </c>
      <c r="AH106" s="408">
        <f t="shared" si="18"/>
        <v>0</v>
      </c>
      <c r="AI106" s="408">
        <f t="shared" si="19"/>
        <v>0</v>
      </c>
      <c r="AJ106" s="408">
        <f t="shared" si="20"/>
        <v>0</v>
      </c>
    </row>
    <row r="107" spans="1:36" x14ac:dyDescent="0.25">
      <c r="A107" s="409">
        <f t="shared" si="23"/>
        <v>106</v>
      </c>
      <c r="B107" s="410" t="s">
        <v>2798</v>
      </c>
      <c r="C107" s="410" t="s">
        <v>6251</v>
      </c>
      <c r="D107" s="409">
        <v>7</v>
      </c>
      <c r="E107" s="408"/>
      <c r="F107" s="409" t="str">
        <f>""</f>
        <v/>
      </c>
      <c r="G107" s="409" t="s">
        <v>6841</v>
      </c>
      <c r="H107" s="409" t="s">
        <v>5950</v>
      </c>
      <c r="I107" s="409" t="str">
        <f t="shared" si="21"/>
        <v/>
      </c>
      <c r="J107" s="409" t="s">
        <v>6192</v>
      </c>
      <c r="K107" s="409" t="s">
        <v>2536</v>
      </c>
      <c r="L107" s="409" t="s">
        <v>3857</v>
      </c>
      <c r="M107" s="409" t="s">
        <v>3857</v>
      </c>
      <c r="N107" s="408" t="str">
        <f>""</f>
        <v/>
      </c>
      <c r="O107" s="409" t="s">
        <v>6187</v>
      </c>
      <c r="P107" s="408" t="s">
        <v>6590</v>
      </c>
      <c r="V107" s="409" t="s">
        <v>620</v>
      </c>
      <c r="AA107" s="408">
        <f t="shared" si="22"/>
        <v>0</v>
      </c>
      <c r="AB107" s="408">
        <f t="shared" si="12"/>
        <v>0</v>
      </c>
      <c r="AC107" s="408">
        <f t="shared" si="13"/>
        <v>0</v>
      </c>
      <c r="AD107" s="408">
        <f t="shared" si="14"/>
        <v>0</v>
      </c>
      <c r="AE107" s="408">
        <f t="shared" si="15"/>
        <v>0</v>
      </c>
      <c r="AF107" s="408">
        <f t="shared" si="16"/>
        <v>1</v>
      </c>
      <c r="AG107" s="408">
        <f t="shared" si="17"/>
        <v>0</v>
      </c>
      <c r="AH107" s="408">
        <f t="shared" si="18"/>
        <v>0</v>
      </c>
      <c r="AI107" s="408">
        <f t="shared" si="19"/>
        <v>0</v>
      </c>
      <c r="AJ107" s="408">
        <f t="shared" si="20"/>
        <v>0</v>
      </c>
    </row>
    <row r="108" spans="1:36" x14ac:dyDescent="0.25">
      <c r="A108" s="409">
        <f t="shared" si="23"/>
        <v>107</v>
      </c>
      <c r="B108" s="410" t="s">
        <v>2800</v>
      </c>
      <c r="C108" s="410" t="s">
        <v>6214</v>
      </c>
      <c r="D108" s="409">
        <v>4</v>
      </c>
      <c r="E108" s="408"/>
      <c r="F108" s="409" t="str">
        <f>""</f>
        <v/>
      </c>
      <c r="G108" s="409" t="s">
        <v>6835</v>
      </c>
      <c r="H108" s="409" t="s">
        <v>424</v>
      </c>
      <c r="I108" s="409" t="str">
        <f t="shared" si="21"/>
        <v>Concentration</v>
      </c>
      <c r="J108" s="409" t="s">
        <v>6210</v>
      </c>
      <c r="K108" s="409" t="s">
        <v>2536</v>
      </c>
      <c r="L108" s="409" t="s">
        <v>2562</v>
      </c>
      <c r="M108" s="409" t="s">
        <v>3857</v>
      </c>
      <c r="N108" s="408" t="str">
        <f>""</f>
        <v/>
      </c>
      <c r="O108" s="409" t="s">
        <v>6186</v>
      </c>
      <c r="P108" s="408" t="s">
        <v>6591</v>
      </c>
      <c r="T108" s="409" t="s">
        <v>626</v>
      </c>
      <c r="W108" s="409" t="s">
        <v>621</v>
      </c>
      <c r="AA108" s="408">
        <f t="shared" si="22"/>
        <v>0</v>
      </c>
      <c r="AB108" s="408">
        <f t="shared" si="12"/>
        <v>0</v>
      </c>
      <c r="AC108" s="408">
        <f t="shared" si="13"/>
        <v>0</v>
      </c>
      <c r="AD108" s="408">
        <f t="shared" si="14"/>
        <v>1</v>
      </c>
      <c r="AE108" s="408">
        <f t="shared" si="15"/>
        <v>0</v>
      </c>
      <c r="AF108" s="408">
        <f t="shared" si="16"/>
        <v>0</v>
      </c>
      <c r="AG108" s="408">
        <f t="shared" si="17"/>
        <v>1</v>
      </c>
      <c r="AH108" s="408">
        <f t="shared" si="18"/>
        <v>0</v>
      </c>
      <c r="AI108" s="408">
        <f t="shared" si="19"/>
        <v>0</v>
      </c>
      <c r="AJ108" s="408">
        <f t="shared" si="20"/>
        <v>0</v>
      </c>
    </row>
    <row r="109" spans="1:36" x14ac:dyDescent="0.25">
      <c r="A109" s="409">
        <f t="shared" si="23"/>
        <v>108</v>
      </c>
      <c r="B109" s="410" t="s">
        <v>2802</v>
      </c>
      <c r="C109" s="410" t="s">
        <v>6203</v>
      </c>
      <c r="D109" s="409">
        <v>8</v>
      </c>
      <c r="E109" s="408"/>
      <c r="F109" s="409" t="str">
        <f>""</f>
        <v/>
      </c>
      <c r="G109" s="409" t="s">
        <v>6835</v>
      </c>
      <c r="H109" s="409" t="s">
        <v>424</v>
      </c>
      <c r="I109" s="409" t="str">
        <f t="shared" si="21"/>
        <v>Concentration</v>
      </c>
      <c r="J109" s="409" t="s">
        <v>6200</v>
      </c>
      <c r="K109" s="409" t="s">
        <v>2536</v>
      </c>
      <c r="L109" s="409" t="s">
        <v>2562</v>
      </c>
      <c r="M109" s="409" t="s">
        <v>3857</v>
      </c>
      <c r="N109" s="408" t="str">
        <f>""</f>
        <v/>
      </c>
      <c r="O109" s="409" t="s">
        <v>6186</v>
      </c>
      <c r="P109" s="408" t="s">
        <v>6592</v>
      </c>
      <c r="Q109" s="409" t="s">
        <v>1112</v>
      </c>
      <c r="T109" s="409" t="s">
        <v>626</v>
      </c>
      <c r="U109" s="409" t="s">
        <v>627</v>
      </c>
      <c r="Z109" s="409" t="s">
        <v>628</v>
      </c>
      <c r="AA109" s="408">
        <f t="shared" si="22"/>
        <v>1</v>
      </c>
      <c r="AB109" s="408">
        <f t="shared" si="12"/>
        <v>0</v>
      </c>
      <c r="AC109" s="408">
        <f t="shared" si="13"/>
        <v>0</v>
      </c>
      <c r="AD109" s="408">
        <f t="shared" si="14"/>
        <v>1</v>
      </c>
      <c r="AE109" s="408">
        <f t="shared" si="15"/>
        <v>1</v>
      </c>
      <c r="AF109" s="408">
        <f t="shared" si="16"/>
        <v>0</v>
      </c>
      <c r="AG109" s="408">
        <f t="shared" si="17"/>
        <v>0</v>
      </c>
      <c r="AH109" s="408">
        <f t="shared" si="18"/>
        <v>0</v>
      </c>
      <c r="AI109" s="408">
        <f t="shared" si="19"/>
        <v>0</v>
      </c>
      <c r="AJ109" s="408">
        <f t="shared" si="20"/>
        <v>1</v>
      </c>
    </row>
    <row r="110" spans="1:36" x14ac:dyDescent="0.25">
      <c r="A110" s="409">
        <f t="shared" si="23"/>
        <v>109</v>
      </c>
      <c r="B110" s="410" t="s">
        <v>2804</v>
      </c>
      <c r="C110" s="410" t="s">
        <v>6208</v>
      </c>
      <c r="D110" s="409">
        <v>5</v>
      </c>
      <c r="E110" s="408"/>
      <c r="F110" s="409" t="str">
        <f>""</f>
        <v/>
      </c>
      <c r="G110" s="409" t="s">
        <v>6835</v>
      </c>
      <c r="H110" s="409" t="s">
        <v>424</v>
      </c>
      <c r="I110" s="409" t="str">
        <f t="shared" si="21"/>
        <v>Concentration</v>
      </c>
      <c r="J110" s="409" t="s">
        <v>6210</v>
      </c>
      <c r="K110" s="409" t="s">
        <v>2536</v>
      </c>
      <c r="L110" s="409" t="s">
        <v>2562</v>
      </c>
      <c r="M110" s="409" t="s">
        <v>3857</v>
      </c>
      <c r="N110" s="408" t="str">
        <f>""</f>
        <v/>
      </c>
      <c r="O110" s="409" t="s">
        <v>6186</v>
      </c>
      <c r="P110" s="408" t="s">
        <v>6593</v>
      </c>
      <c r="Q110" s="409" t="s">
        <v>1112</v>
      </c>
      <c r="T110" s="409" t="s">
        <v>626</v>
      </c>
      <c r="Z110" s="409" t="s">
        <v>628</v>
      </c>
      <c r="AA110" s="408">
        <f t="shared" si="22"/>
        <v>1</v>
      </c>
      <c r="AB110" s="408">
        <f t="shared" si="12"/>
        <v>0</v>
      </c>
      <c r="AC110" s="408">
        <f t="shared" si="13"/>
        <v>0</v>
      </c>
      <c r="AD110" s="408">
        <f t="shared" si="14"/>
        <v>1</v>
      </c>
      <c r="AE110" s="408">
        <f t="shared" si="15"/>
        <v>0</v>
      </c>
      <c r="AF110" s="408">
        <f t="shared" si="16"/>
        <v>0</v>
      </c>
      <c r="AG110" s="408">
        <f t="shared" si="17"/>
        <v>0</v>
      </c>
      <c r="AH110" s="408">
        <f t="shared" si="18"/>
        <v>0</v>
      </c>
      <c r="AI110" s="408">
        <f t="shared" si="19"/>
        <v>0</v>
      </c>
      <c r="AJ110" s="408">
        <f t="shared" si="20"/>
        <v>1</v>
      </c>
    </row>
    <row r="111" spans="1:36" x14ac:dyDescent="0.25">
      <c r="A111" s="409">
        <f t="shared" si="23"/>
        <v>110</v>
      </c>
      <c r="B111" s="410" t="s">
        <v>6277</v>
      </c>
      <c r="C111" s="410" t="s">
        <v>6216</v>
      </c>
      <c r="D111" s="409">
        <v>6</v>
      </c>
      <c r="E111" s="408"/>
      <c r="F111" s="409" t="s">
        <v>6183</v>
      </c>
      <c r="G111" s="409" t="s">
        <v>6197</v>
      </c>
      <c r="H111" s="409" t="s">
        <v>6219</v>
      </c>
      <c r="I111" s="409" t="str">
        <f t="shared" si="21"/>
        <v/>
      </c>
      <c r="J111" s="409" t="s">
        <v>6220</v>
      </c>
      <c r="K111" s="409" t="s">
        <v>2536</v>
      </c>
      <c r="L111" s="409" t="s">
        <v>2562</v>
      </c>
      <c r="M111" s="409" t="s">
        <v>1248</v>
      </c>
      <c r="N111" s="408" t="s">
        <v>6278</v>
      </c>
      <c r="O111" s="409" t="s">
        <v>6185</v>
      </c>
      <c r="P111" s="408" t="s">
        <v>6594</v>
      </c>
      <c r="Z111" s="409" t="s">
        <v>628</v>
      </c>
      <c r="AA111" s="408">
        <f t="shared" si="22"/>
        <v>0</v>
      </c>
      <c r="AB111" s="408">
        <f t="shared" si="12"/>
        <v>0</v>
      </c>
      <c r="AC111" s="408">
        <f t="shared" si="13"/>
        <v>0</v>
      </c>
      <c r="AD111" s="408">
        <f t="shared" si="14"/>
        <v>0</v>
      </c>
      <c r="AE111" s="408">
        <f t="shared" si="15"/>
        <v>0</v>
      </c>
      <c r="AF111" s="408">
        <f t="shared" si="16"/>
        <v>0</v>
      </c>
      <c r="AG111" s="408">
        <f t="shared" si="17"/>
        <v>0</v>
      </c>
      <c r="AH111" s="408">
        <f t="shared" si="18"/>
        <v>0</v>
      </c>
      <c r="AI111" s="408">
        <f t="shared" si="19"/>
        <v>0</v>
      </c>
      <c r="AJ111" s="408">
        <f t="shared" si="20"/>
        <v>1</v>
      </c>
    </row>
    <row r="112" spans="1:36" x14ac:dyDescent="0.25">
      <c r="A112" s="409">
        <f t="shared" si="23"/>
        <v>111</v>
      </c>
      <c r="B112" s="410" t="s">
        <v>2811</v>
      </c>
      <c r="C112" s="410" t="s">
        <v>6208</v>
      </c>
      <c r="D112" s="409">
        <v>5</v>
      </c>
      <c r="E112" s="408"/>
      <c r="F112" s="409" t="str">
        <f>""</f>
        <v/>
      </c>
      <c r="G112" s="409" t="s">
        <v>6206</v>
      </c>
      <c r="H112" s="409" t="s">
        <v>6224</v>
      </c>
      <c r="I112" s="409" t="str">
        <f t="shared" si="21"/>
        <v/>
      </c>
      <c r="J112" s="409" t="s">
        <v>6194</v>
      </c>
      <c r="K112" s="409" t="s">
        <v>2536</v>
      </c>
      <c r="L112" s="409" t="s">
        <v>2562</v>
      </c>
      <c r="M112" s="409" t="s">
        <v>1248</v>
      </c>
      <c r="N112" s="408" t="s">
        <v>6279</v>
      </c>
      <c r="O112" s="409" t="s">
        <v>6188</v>
      </c>
      <c r="P112" s="408" t="s">
        <v>6595</v>
      </c>
      <c r="Q112" s="409" t="s">
        <v>1112</v>
      </c>
      <c r="U112" s="409" t="s">
        <v>627</v>
      </c>
      <c r="Z112" s="409" t="s">
        <v>628</v>
      </c>
      <c r="AA112" s="408">
        <f t="shared" si="22"/>
        <v>1</v>
      </c>
      <c r="AB112" s="408">
        <f t="shared" si="12"/>
        <v>0</v>
      </c>
      <c r="AC112" s="408">
        <f t="shared" si="13"/>
        <v>0</v>
      </c>
      <c r="AD112" s="408">
        <f t="shared" si="14"/>
        <v>0</v>
      </c>
      <c r="AE112" s="408">
        <f t="shared" si="15"/>
        <v>1</v>
      </c>
      <c r="AF112" s="408">
        <f t="shared" si="16"/>
        <v>0</v>
      </c>
      <c r="AG112" s="408">
        <f t="shared" si="17"/>
        <v>0</v>
      </c>
      <c r="AH112" s="408">
        <f t="shared" si="18"/>
        <v>0</v>
      </c>
      <c r="AI112" s="408">
        <f t="shared" si="19"/>
        <v>0</v>
      </c>
      <c r="AJ112" s="408">
        <f t="shared" si="20"/>
        <v>1</v>
      </c>
    </row>
    <row r="113" spans="1:36" x14ac:dyDescent="0.25">
      <c r="A113" s="409">
        <f t="shared" si="23"/>
        <v>112</v>
      </c>
      <c r="B113" s="410" t="s">
        <v>2814</v>
      </c>
      <c r="C113" s="410" t="s">
        <v>6191</v>
      </c>
      <c r="D113" s="409">
        <v>0.5</v>
      </c>
      <c r="E113" s="408"/>
      <c r="F113" s="409" t="str">
        <f>""</f>
        <v/>
      </c>
      <c r="G113" s="409" t="s">
        <v>6835</v>
      </c>
      <c r="H113" s="409" t="s">
        <v>5950</v>
      </c>
      <c r="I113" s="409" t="str">
        <f t="shared" si="21"/>
        <v/>
      </c>
      <c r="J113" s="409" t="s">
        <v>6192</v>
      </c>
      <c r="K113" s="409" t="s">
        <v>2536</v>
      </c>
      <c r="L113" s="409" t="s">
        <v>2562</v>
      </c>
      <c r="M113" s="409" t="s">
        <v>3857</v>
      </c>
      <c r="N113" s="408" t="str">
        <f>""</f>
        <v/>
      </c>
      <c r="O113" s="409" t="s">
        <v>6190</v>
      </c>
      <c r="P113" s="408" t="s">
        <v>6596</v>
      </c>
      <c r="W113" s="409" t="s">
        <v>621</v>
      </c>
      <c r="AA113" s="408">
        <f t="shared" si="22"/>
        <v>0</v>
      </c>
      <c r="AB113" s="408">
        <f t="shared" si="12"/>
        <v>0</v>
      </c>
      <c r="AC113" s="408">
        <f t="shared" si="13"/>
        <v>0</v>
      </c>
      <c r="AD113" s="408">
        <f t="shared" si="14"/>
        <v>0</v>
      </c>
      <c r="AE113" s="408">
        <f t="shared" si="15"/>
        <v>0</v>
      </c>
      <c r="AF113" s="408">
        <f t="shared" si="16"/>
        <v>0</v>
      </c>
      <c r="AG113" s="408">
        <f t="shared" si="17"/>
        <v>1</v>
      </c>
      <c r="AH113" s="408">
        <f t="shared" si="18"/>
        <v>0</v>
      </c>
      <c r="AI113" s="408">
        <f t="shared" si="19"/>
        <v>0</v>
      </c>
      <c r="AJ113" s="408">
        <f t="shared" si="20"/>
        <v>0</v>
      </c>
    </row>
    <row r="114" spans="1:36" x14ac:dyDescent="0.25">
      <c r="A114" s="409">
        <f>A113+1</f>
        <v>113</v>
      </c>
      <c r="B114" s="410" t="s">
        <v>2817</v>
      </c>
      <c r="C114" s="410" t="s">
        <v>6203</v>
      </c>
      <c r="D114" s="409">
        <v>8</v>
      </c>
      <c r="E114" s="408"/>
      <c r="F114" s="409" t="str">
        <f>""</f>
        <v/>
      </c>
      <c r="G114" s="409" t="s">
        <v>6835</v>
      </c>
      <c r="H114" s="409" t="s">
        <v>6217</v>
      </c>
      <c r="I114" s="409" t="str">
        <f t="shared" si="21"/>
        <v>Concentration</v>
      </c>
      <c r="J114" s="409" t="s">
        <v>6210</v>
      </c>
      <c r="K114" s="409" t="s">
        <v>2536</v>
      </c>
      <c r="L114" s="409" t="s">
        <v>2562</v>
      </c>
      <c r="M114" s="409" t="s">
        <v>1248</v>
      </c>
      <c r="N114" s="408" t="s">
        <v>6280</v>
      </c>
      <c r="O114" s="409" t="s">
        <v>6187</v>
      </c>
      <c r="P114" s="408" t="s">
        <v>6597</v>
      </c>
      <c r="T114" s="409" t="s">
        <v>626</v>
      </c>
      <c r="V114" s="409" t="s">
        <v>620</v>
      </c>
      <c r="W114" s="409" t="s">
        <v>621</v>
      </c>
      <c r="AA114" s="408">
        <f t="shared" si="22"/>
        <v>0</v>
      </c>
      <c r="AB114" s="408">
        <f t="shared" si="12"/>
        <v>0</v>
      </c>
      <c r="AC114" s="408">
        <f t="shared" si="13"/>
        <v>0</v>
      </c>
      <c r="AD114" s="408">
        <f t="shared" si="14"/>
        <v>1</v>
      </c>
      <c r="AE114" s="408">
        <f t="shared" si="15"/>
        <v>0</v>
      </c>
      <c r="AF114" s="408">
        <f t="shared" si="16"/>
        <v>1</v>
      </c>
      <c r="AG114" s="408">
        <f t="shared" si="17"/>
        <v>1</v>
      </c>
      <c r="AH114" s="408">
        <f t="shared" si="18"/>
        <v>0</v>
      </c>
      <c r="AI114" s="408">
        <f t="shared" si="19"/>
        <v>0</v>
      </c>
      <c r="AJ114" s="408">
        <f t="shared" si="20"/>
        <v>0</v>
      </c>
    </row>
    <row r="115" spans="1:36" x14ac:dyDescent="0.25">
      <c r="A115" s="409">
        <f t="shared" si="23"/>
        <v>114</v>
      </c>
      <c r="B115" s="410" t="s">
        <v>2821</v>
      </c>
      <c r="C115" s="410" t="s">
        <v>6191</v>
      </c>
      <c r="D115" s="409">
        <v>0.5</v>
      </c>
      <c r="E115" s="408"/>
      <c r="F115" s="409" t="str">
        <f>""</f>
        <v/>
      </c>
      <c r="G115" s="409" t="s">
        <v>6835</v>
      </c>
      <c r="H115" s="409" t="s">
        <v>6209</v>
      </c>
      <c r="I115" s="409" t="str">
        <f t="shared" si="21"/>
        <v/>
      </c>
      <c r="J115" s="409" t="s">
        <v>6192</v>
      </c>
      <c r="K115" s="409" t="s">
        <v>2536</v>
      </c>
      <c r="L115" s="409" t="s">
        <v>2562</v>
      </c>
      <c r="M115" s="409" t="s">
        <v>3857</v>
      </c>
      <c r="O115" s="409" t="s">
        <v>6187</v>
      </c>
      <c r="P115" s="408" t="s">
        <v>6598</v>
      </c>
      <c r="U115" s="409" t="s">
        <v>627</v>
      </c>
      <c r="AA115" s="408">
        <f t="shared" si="22"/>
        <v>0</v>
      </c>
      <c r="AB115" s="408">
        <f t="shared" si="12"/>
        <v>0</v>
      </c>
      <c r="AC115" s="408">
        <f t="shared" si="13"/>
        <v>0</v>
      </c>
      <c r="AD115" s="408">
        <f t="shared" si="14"/>
        <v>0</v>
      </c>
      <c r="AE115" s="408">
        <f t="shared" si="15"/>
        <v>1</v>
      </c>
      <c r="AF115" s="408">
        <f t="shared" si="16"/>
        <v>0</v>
      </c>
      <c r="AG115" s="408">
        <f t="shared" si="17"/>
        <v>0</v>
      </c>
      <c r="AH115" s="408">
        <f t="shared" si="18"/>
        <v>0</v>
      </c>
      <c r="AI115" s="408">
        <f t="shared" si="19"/>
        <v>0</v>
      </c>
      <c r="AJ115" s="408">
        <f t="shared" si="20"/>
        <v>0</v>
      </c>
    </row>
    <row r="116" spans="1:36" x14ac:dyDescent="0.25">
      <c r="A116" s="409">
        <f t="shared" si="23"/>
        <v>115</v>
      </c>
      <c r="B116" s="410" t="s">
        <v>2823</v>
      </c>
      <c r="C116" s="410" t="s">
        <v>6205</v>
      </c>
      <c r="D116" s="409">
        <v>3</v>
      </c>
      <c r="E116" s="408"/>
      <c r="F116" s="409" t="str">
        <f>""</f>
        <v/>
      </c>
      <c r="G116" s="409" t="s">
        <v>6835</v>
      </c>
      <c r="H116" s="409" t="s">
        <v>6219</v>
      </c>
      <c r="I116" s="409" t="str">
        <f t="shared" si="21"/>
        <v>Concentration</v>
      </c>
      <c r="J116" s="409" t="s">
        <v>6200</v>
      </c>
      <c r="K116" s="409" t="s">
        <v>2536</v>
      </c>
      <c r="L116" s="409" t="s">
        <v>2562</v>
      </c>
      <c r="M116" s="409" t="s">
        <v>3857</v>
      </c>
      <c r="N116" s="408" t="str">
        <f>""</f>
        <v/>
      </c>
      <c r="O116" s="409" t="s">
        <v>6190</v>
      </c>
      <c r="P116" s="408" t="s">
        <v>6843</v>
      </c>
      <c r="R116" s="409" t="s">
        <v>1113</v>
      </c>
      <c r="AA116" s="408">
        <f t="shared" si="22"/>
        <v>0</v>
      </c>
      <c r="AB116" s="408">
        <f t="shared" si="12"/>
        <v>1</v>
      </c>
      <c r="AC116" s="408">
        <f t="shared" si="13"/>
        <v>0</v>
      </c>
      <c r="AD116" s="408">
        <f t="shared" si="14"/>
        <v>0</v>
      </c>
      <c r="AE116" s="408">
        <f t="shared" si="15"/>
        <v>0</v>
      </c>
      <c r="AF116" s="408">
        <f t="shared" si="16"/>
        <v>0</v>
      </c>
      <c r="AG116" s="408">
        <f t="shared" si="17"/>
        <v>0</v>
      </c>
      <c r="AH116" s="408">
        <f t="shared" si="18"/>
        <v>0</v>
      </c>
      <c r="AI116" s="408">
        <f t="shared" si="19"/>
        <v>0</v>
      </c>
      <c r="AJ116" s="408">
        <f t="shared" si="20"/>
        <v>0</v>
      </c>
    </row>
    <row r="117" spans="1:36" x14ac:dyDescent="0.25">
      <c r="A117" s="409">
        <f t="shared" si="23"/>
        <v>116</v>
      </c>
      <c r="B117" s="410" t="s">
        <v>2825</v>
      </c>
      <c r="C117" s="410" t="s">
        <v>6193</v>
      </c>
      <c r="D117" s="409">
        <v>2</v>
      </c>
      <c r="E117" s="408"/>
      <c r="F117" s="409" t="str">
        <f>""</f>
        <v/>
      </c>
      <c r="G117" s="409" t="s">
        <v>6835</v>
      </c>
      <c r="H117" s="409" t="s">
        <v>6219</v>
      </c>
      <c r="I117" s="409" t="str">
        <f t="shared" si="21"/>
        <v>Concentration</v>
      </c>
      <c r="J117" s="409" t="s">
        <v>6200</v>
      </c>
      <c r="K117" s="409" t="s">
        <v>2536</v>
      </c>
      <c r="L117" s="409" t="s">
        <v>2562</v>
      </c>
      <c r="M117" s="409" t="s">
        <v>1248</v>
      </c>
      <c r="N117" s="408" t="s">
        <v>6281</v>
      </c>
      <c r="O117" s="409" t="s">
        <v>6190</v>
      </c>
      <c r="P117" s="408" t="s">
        <v>6599</v>
      </c>
      <c r="Q117" s="409" t="s">
        <v>1112</v>
      </c>
      <c r="T117" s="409" t="s">
        <v>626</v>
      </c>
      <c r="V117" s="409" t="s">
        <v>620</v>
      </c>
      <c r="W117" s="409" t="s">
        <v>621</v>
      </c>
      <c r="AA117" s="408">
        <f t="shared" si="22"/>
        <v>1</v>
      </c>
      <c r="AB117" s="408">
        <f t="shared" si="12"/>
        <v>0</v>
      </c>
      <c r="AC117" s="408">
        <f t="shared" si="13"/>
        <v>0</v>
      </c>
      <c r="AD117" s="408">
        <f t="shared" si="14"/>
        <v>1</v>
      </c>
      <c r="AE117" s="408">
        <f t="shared" si="15"/>
        <v>0</v>
      </c>
      <c r="AF117" s="408">
        <f t="shared" si="16"/>
        <v>1</v>
      </c>
      <c r="AG117" s="408">
        <f t="shared" si="17"/>
        <v>1</v>
      </c>
      <c r="AH117" s="408">
        <f t="shared" si="18"/>
        <v>0</v>
      </c>
      <c r="AI117" s="408">
        <f t="shared" si="19"/>
        <v>0</v>
      </c>
      <c r="AJ117" s="408">
        <f t="shared" si="20"/>
        <v>0</v>
      </c>
    </row>
    <row r="118" spans="1:36" x14ac:dyDescent="0.25">
      <c r="A118" s="409">
        <f t="shared" si="23"/>
        <v>117</v>
      </c>
      <c r="B118" s="410" t="s">
        <v>2829</v>
      </c>
      <c r="C118" s="410" t="s">
        <v>6193</v>
      </c>
      <c r="D118" s="409">
        <v>2</v>
      </c>
      <c r="E118" s="408"/>
      <c r="F118" s="409" t="str">
        <f>""</f>
        <v/>
      </c>
      <c r="G118" s="409" t="s">
        <v>6835</v>
      </c>
      <c r="H118" s="409" t="s">
        <v>5950</v>
      </c>
      <c r="I118" s="409" t="str">
        <f t="shared" si="21"/>
        <v>Concentration</v>
      </c>
      <c r="J118" s="409" t="s">
        <v>6210</v>
      </c>
      <c r="K118" s="409" t="s">
        <v>2536</v>
      </c>
      <c r="L118" s="409" t="s">
        <v>2562</v>
      </c>
      <c r="M118" s="409" t="s">
        <v>1248</v>
      </c>
      <c r="N118" s="408" t="s">
        <v>6282</v>
      </c>
      <c r="O118" s="409" t="s">
        <v>6190</v>
      </c>
      <c r="P118" s="408" t="s">
        <v>6600</v>
      </c>
      <c r="T118" s="409" t="s">
        <v>626</v>
      </c>
      <c r="Z118" s="409" t="s">
        <v>628</v>
      </c>
      <c r="AA118" s="408">
        <f t="shared" si="22"/>
        <v>0</v>
      </c>
      <c r="AB118" s="408">
        <f t="shared" si="12"/>
        <v>0</v>
      </c>
      <c r="AC118" s="408">
        <f t="shared" si="13"/>
        <v>0</v>
      </c>
      <c r="AD118" s="408">
        <f t="shared" si="14"/>
        <v>1</v>
      </c>
      <c r="AE118" s="408">
        <f t="shared" si="15"/>
        <v>0</v>
      </c>
      <c r="AF118" s="408">
        <f t="shared" si="16"/>
        <v>0</v>
      </c>
      <c r="AG118" s="408">
        <f t="shared" si="17"/>
        <v>0</v>
      </c>
      <c r="AH118" s="408">
        <f t="shared" si="18"/>
        <v>0</v>
      </c>
      <c r="AI118" s="408">
        <f t="shared" si="19"/>
        <v>0</v>
      </c>
      <c r="AJ118" s="408">
        <f t="shared" si="20"/>
        <v>1</v>
      </c>
    </row>
    <row r="119" spans="1:36" x14ac:dyDescent="0.25">
      <c r="A119" s="409">
        <f t="shared" si="23"/>
        <v>118</v>
      </c>
      <c r="B119" s="410" t="s">
        <v>2832</v>
      </c>
      <c r="C119" s="410" t="s">
        <v>6196</v>
      </c>
      <c r="D119" s="409">
        <v>1</v>
      </c>
      <c r="E119" s="408"/>
      <c r="F119" s="409" t="str">
        <f>""</f>
        <v/>
      </c>
      <c r="G119" s="409" t="s">
        <v>6841</v>
      </c>
      <c r="H119" s="409" t="s">
        <v>6199</v>
      </c>
      <c r="I119" s="409" t="str">
        <f t="shared" si="21"/>
        <v>Concentration</v>
      </c>
      <c r="J119" s="409" t="s">
        <v>6210</v>
      </c>
      <c r="K119" s="409" t="s">
        <v>2536</v>
      </c>
      <c r="L119" s="409" t="s">
        <v>3857</v>
      </c>
      <c r="M119" s="409" t="s">
        <v>3857</v>
      </c>
      <c r="O119" s="409" t="s">
        <v>6185</v>
      </c>
      <c r="P119" s="408" t="s">
        <v>6601</v>
      </c>
      <c r="AA119" s="408">
        <f t="shared" si="22"/>
        <v>0</v>
      </c>
      <c r="AB119" s="408">
        <f t="shared" si="12"/>
        <v>0</v>
      </c>
      <c r="AC119" s="408">
        <f t="shared" si="13"/>
        <v>0</v>
      </c>
      <c r="AD119" s="408">
        <f t="shared" si="14"/>
        <v>0</v>
      </c>
      <c r="AE119" s="408">
        <f t="shared" si="15"/>
        <v>0</v>
      </c>
      <c r="AF119" s="408">
        <f t="shared" si="16"/>
        <v>0</v>
      </c>
      <c r="AG119" s="408">
        <f t="shared" si="17"/>
        <v>0</v>
      </c>
      <c r="AH119" s="408">
        <f t="shared" si="18"/>
        <v>0</v>
      </c>
      <c r="AI119" s="408">
        <f t="shared" si="19"/>
        <v>0</v>
      </c>
      <c r="AJ119" s="408">
        <f t="shared" si="20"/>
        <v>0</v>
      </c>
    </row>
    <row r="120" spans="1:36" x14ac:dyDescent="0.25">
      <c r="A120" s="409">
        <f t="shared" si="23"/>
        <v>119</v>
      </c>
      <c r="B120" s="410" t="s">
        <v>2834</v>
      </c>
      <c r="C120" s="410" t="s">
        <v>6196</v>
      </c>
      <c r="D120" s="409">
        <v>1</v>
      </c>
      <c r="E120" s="408"/>
      <c r="F120" s="409" t="str">
        <f>""</f>
        <v/>
      </c>
      <c r="G120" s="409" t="s">
        <v>6835</v>
      </c>
      <c r="H120" s="409" t="s">
        <v>6234</v>
      </c>
      <c r="I120" s="409" t="str">
        <f t="shared" si="21"/>
        <v>Concentration</v>
      </c>
      <c r="J120" s="409" t="s">
        <v>6210</v>
      </c>
      <c r="K120" s="409" t="s">
        <v>2536</v>
      </c>
      <c r="L120" s="409" t="s">
        <v>2562</v>
      </c>
      <c r="M120" s="409" t="s">
        <v>3857</v>
      </c>
      <c r="N120" s="408" t="str">
        <f>""</f>
        <v/>
      </c>
      <c r="O120" s="409" t="s">
        <v>6185</v>
      </c>
      <c r="P120" s="408" t="s">
        <v>6602</v>
      </c>
      <c r="W120" s="409" t="s">
        <v>621</v>
      </c>
      <c r="AA120" s="408">
        <f t="shared" si="22"/>
        <v>0</v>
      </c>
      <c r="AB120" s="408">
        <f t="shared" si="12"/>
        <v>0</v>
      </c>
      <c r="AC120" s="408">
        <f t="shared" si="13"/>
        <v>0</v>
      </c>
      <c r="AD120" s="408">
        <f t="shared" si="14"/>
        <v>0</v>
      </c>
      <c r="AE120" s="408">
        <f t="shared" si="15"/>
        <v>0</v>
      </c>
      <c r="AF120" s="408">
        <f t="shared" si="16"/>
        <v>0</v>
      </c>
      <c r="AG120" s="408">
        <f t="shared" si="17"/>
        <v>1</v>
      </c>
      <c r="AH120" s="408">
        <f t="shared" si="18"/>
        <v>0</v>
      </c>
      <c r="AI120" s="408">
        <f t="shared" si="19"/>
        <v>0</v>
      </c>
      <c r="AJ120" s="408">
        <f t="shared" si="20"/>
        <v>0</v>
      </c>
    </row>
    <row r="121" spans="1:36" x14ac:dyDescent="0.25">
      <c r="A121" s="409">
        <f t="shared" si="23"/>
        <v>120</v>
      </c>
      <c r="B121" s="410" t="s">
        <v>2836</v>
      </c>
      <c r="C121" s="410" t="s">
        <v>6193</v>
      </c>
      <c r="D121" s="409">
        <v>2</v>
      </c>
      <c r="E121" s="408"/>
      <c r="F121" s="409" t="str">
        <f>""</f>
        <v/>
      </c>
      <c r="G121" s="409" t="s">
        <v>6835</v>
      </c>
      <c r="H121" s="409" t="s">
        <v>424</v>
      </c>
      <c r="I121" s="409" t="str">
        <f t="shared" si="21"/>
        <v/>
      </c>
      <c r="J121" s="409" t="s">
        <v>6206</v>
      </c>
      <c r="K121" s="409" t="s">
        <v>2536</v>
      </c>
      <c r="L121" s="409" t="s">
        <v>2562</v>
      </c>
      <c r="M121" s="409" t="s">
        <v>3857</v>
      </c>
      <c r="O121" s="409" t="s">
        <v>6186</v>
      </c>
      <c r="P121" s="408" t="s">
        <v>2837</v>
      </c>
      <c r="Q121" s="409" t="s">
        <v>1112</v>
      </c>
      <c r="U121" s="409" t="s">
        <v>627</v>
      </c>
      <c r="AA121" s="408">
        <f t="shared" si="22"/>
        <v>1</v>
      </c>
      <c r="AB121" s="408">
        <f t="shared" si="12"/>
        <v>0</v>
      </c>
      <c r="AC121" s="408">
        <f t="shared" si="13"/>
        <v>0</v>
      </c>
      <c r="AD121" s="408">
        <f t="shared" si="14"/>
        <v>0</v>
      </c>
      <c r="AE121" s="408">
        <f t="shared" si="15"/>
        <v>1</v>
      </c>
      <c r="AF121" s="408">
        <f t="shared" si="16"/>
        <v>0</v>
      </c>
      <c r="AG121" s="408">
        <f t="shared" si="17"/>
        <v>0</v>
      </c>
      <c r="AH121" s="408">
        <f t="shared" si="18"/>
        <v>0</v>
      </c>
      <c r="AI121" s="408">
        <f t="shared" si="19"/>
        <v>0</v>
      </c>
      <c r="AJ121" s="408">
        <f t="shared" si="20"/>
        <v>0</v>
      </c>
    </row>
    <row r="122" spans="1:36" x14ac:dyDescent="0.25">
      <c r="A122" s="409">
        <f t="shared" si="23"/>
        <v>121</v>
      </c>
      <c r="B122" s="410" t="s">
        <v>2838</v>
      </c>
      <c r="C122" s="410" t="s">
        <v>6251</v>
      </c>
      <c r="D122" s="409">
        <v>7</v>
      </c>
      <c r="E122" s="408"/>
      <c r="F122" s="409" t="str">
        <f>""</f>
        <v/>
      </c>
      <c r="G122" s="409" t="s">
        <v>6835</v>
      </c>
      <c r="H122" s="409" t="s">
        <v>6199</v>
      </c>
      <c r="I122" s="409" t="str">
        <f t="shared" si="21"/>
        <v/>
      </c>
      <c r="J122" s="409" t="s">
        <v>6194</v>
      </c>
      <c r="K122" s="409" t="s">
        <v>2536</v>
      </c>
      <c r="L122" s="409" t="s">
        <v>2562</v>
      </c>
      <c r="M122" s="409" t="s">
        <v>3857</v>
      </c>
      <c r="N122" s="408" t="str">
        <f>""</f>
        <v/>
      </c>
      <c r="O122" s="409" t="s">
        <v>6190</v>
      </c>
      <c r="P122" s="408" t="s">
        <v>6603</v>
      </c>
      <c r="Q122" s="409" t="s">
        <v>1112</v>
      </c>
      <c r="T122" s="409" t="s">
        <v>626</v>
      </c>
      <c r="U122" s="409" t="s">
        <v>627</v>
      </c>
      <c r="V122" s="409" t="s">
        <v>620</v>
      </c>
      <c r="Z122" s="409" t="s">
        <v>628</v>
      </c>
      <c r="AA122" s="408">
        <f t="shared" si="22"/>
        <v>1</v>
      </c>
      <c r="AB122" s="408">
        <f t="shared" si="12"/>
        <v>0</v>
      </c>
      <c r="AC122" s="408">
        <f t="shared" si="13"/>
        <v>0</v>
      </c>
      <c r="AD122" s="408">
        <f t="shared" si="14"/>
        <v>1</v>
      </c>
      <c r="AE122" s="408">
        <f t="shared" si="15"/>
        <v>1</v>
      </c>
      <c r="AF122" s="408">
        <f t="shared" si="16"/>
        <v>1</v>
      </c>
      <c r="AG122" s="408">
        <f t="shared" si="17"/>
        <v>0</v>
      </c>
      <c r="AH122" s="408">
        <f t="shared" si="18"/>
        <v>0</v>
      </c>
      <c r="AI122" s="408">
        <f t="shared" si="19"/>
        <v>0</v>
      </c>
      <c r="AJ122" s="408">
        <f t="shared" si="20"/>
        <v>1</v>
      </c>
    </row>
    <row r="123" spans="1:36" x14ac:dyDescent="0.25">
      <c r="A123" s="409">
        <f t="shared" si="23"/>
        <v>122</v>
      </c>
      <c r="B123" s="410" t="s">
        <v>2842</v>
      </c>
      <c r="C123" s="410" t="s">
        <v>6214</v>
      </c>
      <c r="D123" s="409">
        <v>4</v>
      </c>
      <c r="E123" s="408"/>
      <c r="F123" s="409" t="str">
        <f>""</f>
        <v/>
      </c>
      <c r="G123" s="409" t="s">
        <v>6835</v>
      </c>
      <c r="H123" s="409" t="s">
        <v>6234</v>
      </c>
      <c r="I123" s="409" t="str">
        <f t="shared" si="21"/>
        <v>Concentration</v>
      </c>
      <c r="J123" s="409" t="s">
        <v>6210</v>
      </c>
      <c r="K123" s="409" t="s">
        <v>2536</v>
      </c>
      <c r="L123" s="409" t="s">
        <v>2562</v>
      </c>
      <c r="M123" s="409" t="s">
        <v>1248</v>
      </c>
      <c r="N123" s="408" t="s">
        <v>6283</v>
      </c>
      <c r="O123" s="409" t="s">
        <v>6185</v>
      </c>
      <c r="P123" s="408" t="s">
        <v>6604</v>
      </c>
      <c r="Z123" s="409" t="s">
        <v>628</v>
      </c>
      <c r="AA123" s="408">
        <f t="shared" si="22"/>
        <v>0</v>
      </c>
      <c r="AB123" s="408">
        <f t="shared" si="12"/>
        <v>0</v>
      </c>
      <c r="AC123" s="408">
        <f t="shared" si="13"/>
        <v>0</v>
      </c>
      <c r="AD123" s="408">
        <f t="shared" si="14"/>
        <v>0</v>
      </c>
      <c r="AE123" s="408">
        <f t="shared" si="15"/>
        <v>0</v>
      </c>
      <c r="AF123" s="408">
        <f t="shared" si="16"/>
        <v>0</v>
      </c>
      <c r="AG123" s="408">
        <f t="shared" si="17"/>
        <v>0</v>
      </c>
      <c r="AH123" s="408">
        <f t="shared" si="18"/>
        <v>0</v>
      </c>
      <c r="AI123" s="408">
        <f t="shared" si="19"/>
        <v>0</v>
      </c>
      <c r="AJ123" s="408">
        <f t="shared" si="20"/>
        <v>1</v>
      </c>
    </row>
    <row r="124" spans="1:36" x14ac:dyDescent="0.25">
      <c r="A124" s="409">
        <f t="shared" si="23"/>
        <v>123</v>
      </c>
      <c r="B124" s="410" t="s">
        <v>2845</v>
      </c>
      <c r="C124" s="410" t="s">
        <v>6196</v>
      </c>
      <c r="D124" s="409">
        <v>1</v>
      </c>
      <c r="E124" s="408"/>
      <c r="F124" s="409" t="str">
        <f>""</f>
        <v/>
      </c>
      <c r="G124" s="409" t="s">
        <v>6841</v>
      </c>
      <c r="H124" s="409" t="s">
        <v>6199</v>
      </c>
      <c r="I124" s="409" t="str">
        <f t="shared" si="21"/>
        <v>Concentration</v>
      </c>
      <c r="J124" s="409" t="s">
        <v>6218</v>
      </c>
      <c r="K124" s="409" t="s">
        <v>2536</v>
      </c>
      <c r="L124" s="409" t="s">
        <v>2562</v>
      </c>
      <c r="M124" s="409" t="s">
        <v>3857</v>
      </c>
      <c r="N124" s="408" t="str">
        <f>""</f>
        <v/>
      </c>
      <c r="O124" s="409" t="s">
        <v>6190</v>
      </c>
      <c r="P124" s="408" t="s">
        <v>2846</v>
      </c>
      <c r="T124" s="409" t="s">
        <v>626</v>
      </c>
      <c r="U124" s="409" t="s">
        <v>627</v>
      </c>
      <c r="Z124" s="409" t="s">
        <v>628</v>
      </c>
      <c r="AA124" s="408">
        <f t="shared" si="22"/>
        <v>0</v>
      </c>
      <c r="AB124" s="408">
        <f t="shared" si="12"/>
        <v>0</v>
      </c>
      <c r="AC124" s="408">
        <f t="shared" si="13"/>
        <v>0</v>
      </c>
      <c r="AD124" s="408">
        <f t="shared" si="14"/>
        <v>1</v>
      </c>
      <c r="AE124" s="408">
        <f t="shared" si="15"/>
        <v>1</v>
      </c>
      <c r="AF124" s="408">
        <f t="shared" si="16"/>
        <v>0</v>
      </c>
      <c r="AG124" s="408">
        <f t="shared" si="17"/>
        <v>0</v>
      </c>
      <c r="AH124" s="408">
        <f t="shared" si="18"/>
        <v>0</v>
      </c>
      <c r="AI124" s="408">
        <f t="shared" si="19"/>
        <v>0</v>
      </c>
      <c r="AJ124" s="408">
        <f t="shared" si="20"/>
        <v>1</v>
      </c>
    </row>
    <row r="125" spans="1:36" x14ac:dyDescent="0.25">
      <c r="A125" s="409">
        <f t="shared" si="23"/>
        <v>124</v>
      </c>
      <c r="B125" s="410" t="s">
        <v>2847</v>
      </c>
      <c r="C125" s="410" t="s">
        <v>6216</v>
      </c>
      <c r="D125" s="409">
        <v>6</v>
      </c>
      <c r="E125" s="408"/>
      <c r="F125" s="409" t="str">
        <f>""</f>
        <v/>
      </c>
      <c r="G125" s="409" t="s">
        <v>6835</v>
      </c>
      <c r="H125" s="409" t="s">
        <v>6199</v>
      </c>
      <c r="I125" s="409" t="str">
        <f t="shared" si="21"/>
        <v>Concentration</v>
      </c>
      <c r="J125" s="409" t="s">
        <v>6210</v>
      </c>
      <c r="K125" s="409" t="s">
        <v>2536</v>
      </c>
      <c r="L125" s="409" t="s">
        <v>2562</v>
      </c>
      <c r="M125" s="409" t="s">
        <v>3857</v>
      </c>
      <c r="N125" s="408" t="str">
        <f>""</f>
        <v/>
      </c>
      <c r="O125" s="409" t="s">
        <v>6189</v>
      </c>
      <c r="P125" s="408" t="s">
        <v>6605</v>
      </c>
      <c r="Q125" s="409" t="s">
        <v>1112</v>
      </c>
      <c r="T125" s="409" t="s">
        <v>626</v>
      </c>
      <c r="U125" s="409" t="s">
        <v>627</v>
      </c>
      <c r="Z125" s="409" t="s">
        <v>628</v>
      </c>
      <c r="AA125" s="408">
        <f t="shared" si="22"/>
        <v>1</v>
      </c>
      <c r="AB125" s="408">
        <f t="shared" si="12"/>
        <v>0</v>
      </c>
      <c r="AC125" s="408">
        <f t="shared" si="13"/>
        <v>0</v>
      </c>
      <c r="AD125" s="408">
        <f t="shared" si="14"/>
        <v>1</v>
      </c>
      <c r="AE125" s="408">
        <f t="shared" si="15"/>
        <v>1</v>
      </c>
      <c r="AF125" s="408">
        <f t="shared" si="16"/>
        <v>0</v>
      </c>
      <c r="AG125" s="408">
        <f t="shared" si="17"/>
        <v>0</v>
      </c>
      <c r="AH125" s="408">
        <f t="shared" si="18"/>
        <v>0</v>
      </c>
      <c r="AI125" s="408">
        <f t="shared" si="19"/>
        <v>0</v>
      </c>
      <c r="AJ125" s="408">
        <f t="shared" si="20"/>
        <v>1</v>
      </c>
    </row>
    <row r="126" spans="1:36" x14ac:dyDescent="0.25">
      <c r="A126" s="409">
        <f t="shared" si="23"/>
        <v>125</v>
      </c>
      <c r="B126" s="410" t="s">
        <v>2849</v>
      </c>
      <c r="C126" s="410" t="s">
        <v>6214</v>
      </c>
      <c r="D126" s="409">
        <v>4</v>
      </c>
      <c r="E126" s="408"/>
      <c r="F126" s="409" t="str">
        <f>""</f>
        <v/>
      </c>
      <c r="G126" s="409" t="s">
        <v>6241</v>
      </c>
      <c r="H126" s="409" t="s">
        <v>6209</v>
      </c>
      <c r="I126" s="409" t="str">
        <f t="shared" si="21"/>
        <v/>
      </c>
      <c r="J126" s="409" t="s">
        <v>6192</v>
      </c>
      <c r="K126" s="409" t="s">
        <v>2536</v>
      </c>
      <c r="L126" s="409" t="s">
        <v>2562</v>
      </c>
      <c r="M126" s="409" t="s">
        <v>3857</v>
      </c>
      <c r="N126" s="408" t="str">
        <f>""</f>
        <v/>
      </c>
      <c r="O126" s="409" t="s">
        <v>6190</v>
      </c>
      <c r="P126" s="408" t="s">
        <v>6606</v>
      </c>
      <c r="Z126" s="409" t="s">
        <v>628</v>
      </c>
      <c r="AA126" s="408">
        <f t="shared" si="22"/>
        <v>0</v>
      </c>
      <c r="AB126" s="408">
        <f t="shared" si="12"/>
        <v>0</v>
      </c>
      <c r="AC126" s="408">
        <f t="shared" si="13"/>
        <v>0</v>
      </c>
      <c r="AD126" s="408">
        <f t="shared" si="14"/>
        <v>0</v>
      </c>
      <c r="AE126" s="408">
        <f t="shared" si="15"/>
        <v>0</v>
      </c>
      <c r="AF126" s="408">
        <f t="shared" si="16"/>
        <v>0</v>
      </c>
      <c r="AG126" s="408">
        <f t="shared" si="17"/>
        <v>0</v>
      </c>
      <c r="AH126" s="408">
        <f t="shared" si="18"/>
        <v>0</v>
      </c>
      <c r="AI126" s="408">
        <f t="shared" si="19"/>
        <v>0</v>
      </c>
      <c r="AJ126" s="408">
        <f t="shared" si="20"/>
        <v>1</v>
      </c>
    </row>
    <row r="127" spans="1:36" x14ac:dyDescent="0.25">
      <c r="A127" s="409">
        <f t="shared" si="23"/>
        <v>126</v>
      </c>
      <c r="B127" s="410" t="s">
        <v>2851</v>
      </c>
      <c r="C127" s="410" t="s">
        <v>6196</v>
      </c>
      <c r="D127" s="409">
        <v>1</v>
      </c>
      <c r="E127" s="408"/>
      <c r="F127" s="409" t="str">
        <f>""</f>
        <v/>
      </c>
      <c r="G127" s="409" t="s">
        <v>6835</v>
      </c>
      <c r="H127" s="409" t="s">
        <v>424</v>
      </c>
      <c r="I127" s="409" t="str">
        <f t="shared" si="21"/>
        <v>Concentration</v>
      </c>
      <c r="J127" s="409" t="s">
        <v>6210</v>
      </c>
      <c r="K127" s="409" t="s">
        <v>2536</v>
      </c>
      <c r="L127" s="409" t="s">
        <v>3857</v>
      </c>
      <c r="M127" s="409" t="s">
        <v>3857</v>
      </c>
      <c r="N127" s="408" t="str">
        <f>""</f>
        <v/>
      </c>
      <c r="O127" s="409" t="s">
        <v>6187</v>
      </c>
      <c r="P127" s="408" t="s">
        <v>6607</v>
      </c>
      <c r="Q127" s="409" t="s">
        <v>1112</v>
      </c>
      <c r="W127" s="409" t="s">
        <v>621</v>
      </c>
      <c r="AA127" s="408">
        <f t="shared" si="22"/>
        <v>1</v>
      </c>
      <c r="AB127" s="408">
        <f t="shared" si="12"/>
        <v>0</v>
      </c>
      <c r="AC127" s="408">
        <f t="shared" si="13"/>
        <v>0</v>
      </c>
      <c r="AD127" s="408">
        <f t="shared" si="14"/>
        <v>0</v>
      </c>
      <c r="AE127" s="408">
        <f t="shared" si="15"/>
        <v>0</v>
      </c>
      <c r="AF127" s="408">
        <f t="shared" si="16"/>
        <v>0</v>
      </c>
      <c r="AG127" s="408">
        <f t="shared" si="17"/>
        <v>1</v>
      </c>
      <c r="AH127" s="408">
        <f t="shared" si="18"/>
        <v>0</v>
      </c>
      <c r="AI127" s="408">
        <f t="shared" si="19"/>
        <v>0</v>
      </c>
      <c r="AJ127" s="408">
        <f t="shared" si="20"/>
        <v>0</v>
      </c>
    </row>
    <row r="128" spans="1:36" x14ac:dyDescent="0.25">
      <c r="A128" s="409">
        <f t="shared" si="23"/>
        <v>127</v>
      </c>
      <c r="B128" s="410" t="s">
        <v>2853</v>
      </c>
      <c r="C128" s="410" t="s">
        <v>6196</v>
      </c>
      <c r="D128" s="409">
        <v>1</v>
      </c>
      <c r="E128" s="408"/>
      <c r="F128" s="409" t="str">
        <f>""</f>
        <v/>
      </c>
      <c r="G128" s="409" t="s">
        <v>6835</v>
      </c>
      <c r="H128" s="409" t="s">
        <v>6199</v>
      </c>
      <c r="I128" s="409" t="str">
        <f t="shared" si="21"/>
        <v/>
      </c>
      <c r="J128" s="409" t="s">
        <v>6212</v>
      </c>
      <c r="K128" s="409" t="s">
        <v>2536</v>
      </c>
      <c r="L128" s="409" t="s">
        <v>2562</v>
      </c>
      <c r="M128" s="409" t="s">
        <v>1248</v>
      </c>
      <c r="N128" s="408" t="s">
        <v>6284</v>
      </c>
      <c r="O128" s="409" t="s">
        <v>6189</v>
      </c>
      <c r="P128" s="408" t="s">
        <v>6608</v>
      </c>
      <c r="T128" s="409" t="s">
        <v>626</v>
      </c>
      <c r="Z128" s="409" t="s">
        <v>628</v>
      </c>
      <c r="AA128" s="408">
        <f t="shared" si="22"/>
        <v>0</v>
      </c>
      <c r="AB128" s="408">
        <f t="shared" si="12"/>
        <v>0</v>
      </c>
      <c r="AC128" s="408">
        <f t="shared" si="13"/>
        <v>0</v>
      </c>
      <c r="AD128" s="408">
        <f t="shared" si="14"/>
        <v>1</v>
      </c>
      <c r="AE128" s="408">
        <f t="shared" si="15"/>
        <v>0</v>
      </c>
      <c r="AF128" s="408">
        <f t="shared" si="16"/>
        <v>0</v>
      </c>
      <c r="AG128" s="408">
        <f t="shared" si="17"/>
        <v>0</v>
      </c>
      <c r="AH128" s="408">
        <f t="shared" si="18"/>
        <v>0</v>
      </c>
      <c r="AI128" s="408">
        <f t="shared" si="19"/>
        <v>0</v>
      </c>
      <c r="AJ128" s="408">
        <f t="shared" si="20"/>
        <v>1</v>
      </c>
    </row>
    <row r="129" spans="1:36" x14ac:dyDescent="0.25">
      <c r="A129" s="409">
        <f t="shared" si="23"/>
        <v>128</v>
      </c>
      <c r="B129" s="410" t="s">
        <v>1587</v>
      </c>
      <c r="C129" s="410" t="s">
        <v>6205</v>
      </c>
      <c r="D129" s="409">
        <v>3</v>
      </c>
      <c r="E129" s="408"/>
      <c r="F129" s="409" t="str">
        <f>""</f>
        <v/>
      </c>
      <c r="G129" s="409" t="s">
        <v>6835</v>
      </c>
      <c r="H129" s="409" t="s">
        <v>6199</v>
      </c>
      <c r="I129" s="409" t="str">
        <f t="shared" si="21"/>
        <v>Concentration</v>
      </c>
      <c r="J129" s="409" t="s">
        <v>6210</v>
      </c>
      <c r="K129" s="409" t="s">
        <v>2536</v>
      </c>
      <c r="L129" s="409" t="s">
        <v>2562</v>
      </c>
      <c r="M129" s="409" t="s">
        <v>1248</v>
      </c>
      <c r="N129" s="408" t="s">
        <v>6285</v>
      </c>
      <c r="O129" s="409" t="s">
        <v>6188</v>
      </c>
      <c r="P129" s="408" t="s">
        <v>6609</v>
      </c>
      <c r="Q129" s="409" t="s">
        <v>1112</v>
      </c>
      <c r="T129" s="409" t="s">
        <v>626</v>
      </c>
      <c r="U129" s="409" t="s">
        <v>627</v>
      </c>
      <c r="Z129" s="409" t="s">
        <v>628</v>
      </c>
      <c r="AA129" s="408">
        <f t="shared" si="22"/>
        <v>1</v>
      </c>
      <c r="AB129" s="408">
        <f t="shared" si="12"/>
        <v>0</v>
      </c>
      <c r="AC129" s="408">
        <f t="shared" si="13"/>
        <v>0</v>
      </c>
      <c r="AD129" s="408">
        <f t="shared" si="14"/>
        <v>1</v>
      </c>
      <c r="AE129" s="408">
        <f t="shared" si="15"/>
        <v>1</v>
      </c>
      <c r="AF129" s="408">
        <f t="shared" si="16"/>
        <v>0</v>
      </c>
      <c r="AG129" s="408">
        <f t="shared" si="17"/>
        <v>0</v>
      </c>
      <c r="AH129" s="408">
        <f t="shared" si="18"/>
        <v>0</v>
      </c>
      <c r="AI129" s="408">
        <f t="shared" si="19"/>
        <v>0</v>
      </c>
      <c r="AJ129" s="408">
        <f t="shared" si="20"/>
        <v>1</v>
      </c>
    </row>
    <row r="130" spans="1:36" x14ac:dyDescent="0.25">
      <c r="A130" s="409">
        <f t="shared" si="23"/>
        <v>129</v>
      </c>
      <c r="B130" s="410" t="s">
        <v>2861</v>
      </c>
      <c r="C130" s="410" t="s">
        <v>6196</v>
      </c>
      <c r="D130" s="409">
        <v>1</v>
      </c>
      <c r="E130" s="408"/>
      <c r="F130" s="409" t="str">
        <f>""</f>
        <v/>
      </c>
      <c r="G130" s="409" t="s">
        <v>6264</v>
      </c>
      <c r="H130" s="409" t="s">
        <v>424</v>
      </c>
      <c r="I130" s="409" t="str">
        <f t="shared" si="21"/>
        <v/>
      </c>
      <c r="J130" s="409" t="s">
        <v>6206</v>
      </c>
      <c r="K130" s="409" t="s">
        <v>2536</v>
      </c>
      <c r="L130" s="409" t="s">
        <v>3857</v>
      </c>
      <c r="M130" s="409" t="s">
        <v>1248</v>
      </c>
      <c r="N130" s="408" t="s">
        <v>6286</v>
      </c>
      <c r="O130" s="409" t="s">
        <v>6190</v>
      </c>
      <c r="P130" s="408" t="s">
        <v>2864</v>
      </c>
      <c r="Q130" s="409" t="s">
        <v>1112</v>
      </c>
      <c r="T130" s="409" t="s">
        <v>626</v>
      </c>
      <c r="Z130" s="409" t="s">
        <v>628</v>
      </c>
      <c r="AA130" s="408">
        <f t="shared" si="22"/>
        <v>1</v>
      </c>
      <c r="AB130" s="408">
        <f t="shared" ref="AB130:AB193" si="24">IF(R130=R$1,1,0)</f>
        <v>0</v>
      </c>
      <c r="AC130" s="408">
        <f t="shared" ref="AC130:AC193" si="25">IF(S130=S$1,1,0)</f>
        <v>0</v>
      </c>
      <c r="AD130" s="408">
        <f t="shared" ref="AD130:AD193" si="26">IF(T130=T$1,1,0)</f>
        <v>1</v>
      </c>
      <c r="AE130" s="408">
        <f t="shared" ref="AE130:AE193" si="27">IF(U130=U$1,1,0)</f>
        <v>0</v>
      </c>
      <c r="AF130" s="408">
        <f t="shared" ref="AF130:AF193" si="28">IF(V130=V$1,1,0)</f>
        <v>0</v>
      </c>
      <c r="AG130" s="408">
        <f t="shared" ref="AG130:AG193" si="29">IF(W130=W$1,1,0)</f>
        <v>0</v>
      </c>
      <c r="AH130" s="408">
        <f t="shared" ref="AH130:AH193" si="30">IF(X130=X$1,1,0)</f>
        <v>0</v>
      </c>
      <c r="AI130" s="408">
        <f t="shared" ref="AI130:AI193" si="31">IF(Y130=Y$1,1,0)</f>
        <v>0</v>
      </c>
      <c r="AJ130" s="408">
        <f t="shared" ref="AJ130:AJ193" si="32">IF(Z130=Z$1,1,0)</f>
        <v>1</v>
      </c>
    </row>
    <row r="131" spans="1:36" x14ac:dyDescent="0.25">
      <c r="A131" s="409">
        <f t="shared" si="23"/>
        <v>130</v>
      </c>
      <c r="B131" s="410" t="s">
        <v>2865</v>
      </c>
      <c r="C131" s="410" t="s">
        <v>6203</v>
      </c>
      <c r="D131" s="409">
        <v>8</v>
      </c>
      <c r="E131" s="408"/>
      <c r="F131" s="409" t="str">
        <f>""</f>
        <v/>
      </c>
      <c r="G131" s="409" t="s">
        <v>6835</v>
      </c>
      <c r="H131" s="409" t="s">
        <v>6237</v>
      </c>
      <c r="I131" s="409" t="str">
        <f t="shared" ref="I131:I194" si="33">IF(IFERROR(SEARCH("con",J131,1),0)&gt;0,"Concentration","")</f>
        <v/>
      </c>
      <c r="J131" s="409" t="s">
        <v>6192</v>
      </c>
      <c r="K131" s="409" t="s">
        <v>2536</v>
      </c>
      <c r="L131" s="409" t="s">
        <v>2562</v>
      </c>
      <c r="M131" s="409" t="s">
        <v>1248</v>
      </c>
      <c r="N131" s="408" t="s">
        <v>6287</v>
      </c>
      <c r="O131" s="409" t="s">
        <v>6186</v>
      </c>
      <c r="P131" s="408" t="s">
        <v>6610</v>
      </c>
      <c r="Q131" s="409" t="s">
        <v>1112</v>
      </c>
      <c r="U131" s="409" t="s">
        <v>627</v>
      </c>
      <c r="W131" s="409" t="s">
        <v>621</v>
      </c>
      <c r="Z131" s="409" t="s">
        <v>628</v>
      </c>
      <c r="AA131" s="408">
        <f t="shared" ref="AA131:AA194" si="34">IF(Q131=Q$1,1,0)</f>
        <v>1</v>
      </c>
      <c r="AB131" s="408">
        <f t="shared" si="24"/>
        <v>0</v>
      </c>
      <c r="AC131" s="408">
        <f t="shared" si="25"/>
        <v>0</v>
      </c>
      <c r="AD131" s="408">
        <f t="shared" si="26"/>
        <v>0</v>
      </c>
      <c r="AE131" s="408">
        <f t="shared" si="27"/>
        <v>1</v>
      </c>
      <c r="AF131" s="408">
        <f t="shared" si="28"/>
        <v>0</v>
      </c>
      <c r="AG131" s="408">
        <f t="shared" si="29"/>
        <v>1</v>
      </c>
      <c r="AH131" s="408">
        <f t="shared" si="30"/>
        <v>0</v>
      </c>
      <c r="AI131" s="408">
        <f t="shared" si="31"/>
        <v>0</v>
      </c>
      <c r="AJ131" s="408">
        <f t="shared" si="32"/>
        <v>1</v>
      </c>
    </row>
    <row r="132" spans="1:36" x14ac:dyDescent="0.25">
      <c r="A132" s="409">
        <f t="shared" si="23"/>
        <v>131</v>
      </c>
      <c r="B132" s="410" t="s">
        <v>2868</v>
      </c>
      <c r="C132" s="410" t="s">
        <v>6205</v>
      </c>
      <c r="D132" s="409">
        <v>3</v>
      </c>
      <c r="E132" s="408"/>
      <c r="F132" s="409" t="s">
        <v>6183</v>
      </c>
      <c r="G132" s="409" t="s">
        <v>6836</v>
      </c>
      <c r="H132" s="409" t="s">
        <v>6219</v>
      </c>
      <c r="I132" s="409" t="str">
        <f t="shared" si="33"/>
        <v/>
      </c>
      <c r="J132" s="409" t="s">
        <v>6212</v>
      </c>
      <c r="K132" s="409" t="s">
        <v>2536</v>
      </c>
      <c r="L132" s="409" t="s">
        <v>2562</v>
      </c>
      <c r="M132" s="409" t="s">
        <v>1248</v>
      </c>
      <c r="N132" s="408" t="s">
        <v>6288</v>
      </c>
      <c r="O132" s="409" t="s">
        <v>6189</v>
      </c>
      <c r="P132" s="408" t="s">
        <v>6611</v>
      </c>
      <c r="Q132" s="409" t="s">
        <v>1112</v>
      </c>
      <c r="V132" s="409" t="s">
        <v>620</v>
      </c>
      <c r="W132" s="409" t="s">
        <v>621</v>
      </c>
      <c r="Z132" s="409" t="s">
        <v>628</v>
      </c>
      <c r="AA132" s="408">
        <f t="shared" si="34"/>
        <v>1</v>
      </c>
      <c r="AB132" s="408">
        <f t="shared" si="24"/>
        <v>0</v>
      </c>
      <c r="AC132" s="408">
        <f t="shared" si="25"/>
        <v>0</v>
      </c>
      <c r="AD132" s="408">
        <f t="shared" si="26"/>
        <v>0</v>
      </c>
      <c r="AE132" s="408">
        <f t="shared" si="27"/>
        <v>0</v>
      </c>
      <c r="AF132" s="408">
        <f t="shared" si="28"/>
        <v>1</v>
      </c>
      <c r="AG132" s="408">
        <f t="shared" si="29"/>
        <v>1</v>
      </c>
      <c r="AH132" s="408">
        <f t="shared" si="30"/>
        <v>0</v>
      </c>
      <c r="AI132" s="408">
        <f t="shared" si="31"/>
        <v>0</v>
      </c>
      <c r="AJ132" s="408">
        <f t="shared" si="32"/>
        <v>1</v>
      </c>
    </row>
    <row r="133" spans="1:36" x14ac:dyDescent="0.25">
      <c r="A133" s="409">
        <f t="shared" ref="A133:A196" si="35">A132+1</f>
        <v>132</v>
      </c>
      <c r="B133" s="410" t="s">
        <v>2872</v>
      </c>
      <c r="C133" s="410" t="s">
        <v>6196</v>
      </c>
      <c r="D133" s="409">
        <v>1</v>
      </c>
      <c r="E133" s="408"/>
      <c r="F133" s="409" t="s">
        <v>6183</v>
      </c>
      <c r="G133" s="409" t="s">
        <v>6289</v>
      </c>
      <c r="H133" s="409" t="s">
        <v>5942</v>
      </c>
      <c r="I133" s="409" t="str">
        <f t="shared" si="33"/>
        <v/>
      </c>
      <c r="J133" s="409" t="s">
        <v>6192</v>
      </c>
      <c r="K133" s="409" t="s">
        <v>2536</v>
      </c>
      <c r="L133" s="409" t="s">
        <v>2562</v>
      </c>
      <c r="M133" s="409" t="s">
        <v>1248</v>
      </c>
      <c r="N133" s="408" t="s">
        <v>6290</v>
      </c>
      <c r="O133" s="409" t="s">
        <v>6185</v>
      </c>
      <c r="P133" s="408" t="s">
        <v>6612</v>
      </c>
      <c r="Z133" s="409" t="s">
        <v>628</v>
      </c>
      <c r="AA133" s="408">
        <f t="shared" si="34"/>
        <v>0</v>
      </c>
      <c r="AB133" s="408">
        <f t="shared" si="24"/>
        <v>0</v>
      </c>
      <c r="AC133" s="408">
        <f t="shared" si="25"/>
        <v>0</v>
      </c>
      <c r="AD133" s="408">
        <f t="shared" si="26"/>
        <v>0</v>
      </c>
      <c r="AE133" s="408">
        <f t="shared" si="27"/>
        <v>0</v>
      </c>
      <c r="AF133" s="408">
        <f t="shared" si="28"/>
        <v>0</v>
      </c>
      <c r="AG133" s="408">
        <f t="shared" si="29"/>
        <v>0</v>
      </c>
      <c r="AH133" s="408">
        <f t="shared" si="30"/>
        <v>0</v>
      </c>
      <c r="AI133" s="408">
        <f t="shared" si="31"/>
        <v>0</v>
      </c>
      <c r="AJ133" s="408">
        <f t="shared" si="32"/>
        <v>1</v>
      </c>
    </row>
    <row r="134" spans="1:36" x14ac:dyDescent="0.25">
      <c r="A134" s="409">
        <f t="shared" si="35"/>
        <v>133</v>
      </c>
      <c r="B134" s="410" t="s">
        <v>2876</v>
      </c>
      <c r="C134" s="410" t="s">
        <v>6193</v>
      </c>
      <c r="D134" s="409">
        <v>2</v>
      </c>
      <c r="E134" s="408"/>
      <c r="F134" s="409" t="str">
        <f>""</f>
        <v/>
      </c>
      <c r="G134" s="409" t="s">
        <v>6241</v>
      </c>
      <c r="H134" s="409" t="s">
        <v>5950</v>
      </c>
      <c r="I134" s="409" t="str">
        <f t="shared" si="33"/>
        <v/>
      </c>
      <c r="J134" s="409" t="s">
        <v>6192</v>
      </c>
      <c r="K134" s="409" t="s">
        <v>2536</v>
      </c>
      <c r="L134" s="409" t="s">
        <v>2562</v>
      </c>
      <c r="M134" s="409" t="s">
        <v>3857</v>
      </c>
      <c r="O134" s="409" t="s">
        <v>6185</v>
      </c>
      <c r="P134" s="408" t="s">
        <v>6613</v>
      </c>
      <c r="R134" s="409" t="s">
        <v>1113</v>
      </c>
      <c r="AA134" s="408">
        <f t="shared" si="34"/>
        <v>0</v>
      </c>
      <c r="AB134" s="408">
        <f t="shared" si="24"/>
        <v>1</v>
      </c>
      <c r="AC134" s="408">
        <f t="shared" si="25"/>
        <v>0</v>
      </c>
      <c r="AD134" s="408">
        <f t="shared" si="26"/>
        <v>0</v>
      </c>
      <c r="AE134" s="408">
        <f t="shared" si="27"/>
        <v>0</v>
      </c>
      <c r="AF134" s="408">
        <f t="shared" si="28"/>
        <v>0</v>
      </c>
      <c r="AG134" s="408">
        <f t="shared" si="29"/>
        <v>0</v>
      </c>
      <c r="AH134" s="408">
        <f t="shared" si="30"/>
        <v>0</v>
      </c>
      <c r="AI134" s="408">
        <f t="shared" si="31"/>
        <v>0</v>
      </c>
      <c r="AJ134" s="408">
        <f t="shared" si="32"/>
        <v>0</v>
      </c>
    </row>
    <row r="135" spans="1:36" x14ac:dyDescent="0.25">
      <c r="A135" s="409">
        <f t="shared" si="35"/>
        <v>134</v>
      </c>
      <c r="B135" s="410" t="s">
        <v>2878</v>
      </c>
      <c r="C135" s="410" t="s">
        <v>6216</v>
      </c>
      <c r="D135" s="409">
        <v>6</v>
      </c>
      <c r="E135" s="408"/>
      <c r="F135" s="409" t="str">
        <f>""</f>
        <v/>
      </c>
      <c r="G135" s="409" t="s">
        <v>6206</v>
      </c>
      <c r="H135" s="409" t="s">
        <v>6199</v>
      </c>
      <c r="I135" s="409" t="str">
        <f t="shared" si="33"/>
        <v>Concentration</v>
      </c>
      <c r="J135" s="409" t="s">
        <v>6291</v>
      </c>
      <c r="K135" s="409" t="s">
        <v>2536</v>
      </c>
      <c r="L135" s="409" t="s">
        <v>2562</v>
      </c>
      <c r="M135" s="409" t="s">
        <v>1248</v>
      </c>
      <c r="N135" s="408" t="s">
        <v>6292</v>
      </c>
      <c r="O135" s="409" t="s">
        <v>2792</v>
      </c>
      <c r="P135" s="408" t="s">
        <v>6614</v>
      </c>
      <c r="Q135" s="409" t="s">
        <v>1112</v>
      </c>
      <c r="V135" s="409" t="s">
        <v>620</v>
      </c>
      <c r="W135" s="409" t="s">
        <v>621</v>
      </c>
      <c r="AA135" s="408">
        <f t="shared" si="34"/>
        <v>1</v>
      </c>
      <c r="AB135" s="408">
        <f t="shared" si="24"/>
        <v>0</v>
      </c>
      <c r="AC135" s="408">
        <f t="shared" si="25"/>
        <v>0</v>
      </c>
      <c r="AD135" s="408">
        <f t="shared" si="26"/>
        <v>0</v>
      </c>
      <c r="AE135" s="408">
        <f t="shared" si="27"/>
        <v>0</v>
      </c>
      <c r="AF135" s="408">
        <f t="shared" si="28"/>
        <v>1</v>
      </c>
      <c r="AG135" s="408">
        <f t="shared" si="29"/>
        <v>1</v>
      </c>
      <c r="AH135" s="408">
        <f t="shared" si="30"/>
        <v>0</v>
      </c>
      <c r="AI135" s="408">
        <f t="shared" si="31"/>
        <v>0</v>
      </c>
      <c r="AJ135" s="408">
        <f t="shared" si="32"/>
        <v>0</v>
      </c>
    </row>
    <row r="136" spans="1:36" x14ac:dyDescent="0.25">
      <c r="A136" s="409">
        <f t="shared" si="35"/>
        <v>135</v>
      </c>
      <c r="B136" s="410" t="s">
        <v>2883</v>
      </c>
      <c r="C136" s="410" t="s">
        <v>6193</v>
      </c>
      <c r="D136" s="409">
        <v>2</v>
      </c>
      <c r="E136" s="408"/>
      <c r="F136" s="409" t="str">
        <f>""</f>
        <v/>
      </c>
      <c r="G136" s="409" t="s">
        <v>6835</v>
      </c>
      <c r="H136" s="409" t="s">
        <v>6209</v>
      </c>
      <c r="I136" s="409" t="str">
        <f t="shared" si="33"/>
        <v/>
      </c>
      <c r="J136" s="409" t="s">
        <v>6192</v>
      </c>
      <c r="K136" s="409" t="s">
        <v>2536</v>
      </c>
      <c r="L136" s="409" t="s">
        <v>2562</v>
      </c>
      <c r="M136" s="409" t="s">
        <v>3857</v>
      </c>
      <c r="N136" s="408" t="str">
        <f>""</f>
        <v/>
      </c>
      <c r="O136" s="409" t="s">
        <v>2792</v>
      </c>
      <c r="P136" s="408" t="s">
        <v>6615</v>
      </c>
      <c r="V136" s="409" t="s">
        <v>620</v>
      </c>
      <c r="W136" s="409" t="s">
        <v>621</v>
      </c>
      <c r="AA136" s="408">
        <f t="shared" si="34"/>
        <v>0</v>
      </c>
      <c r="AB136" s="408">
        <f t="shared" si="24"/>
        <v>0</v>
      </c>
      <c r="AC136" s="408">
        <f t="shared" si="25"/>
        <v>0</v>
      </c>
      <c r="AD136" s="408">
        <f t="shared" si="26"/>
        <v>0</v>
      </c>
      <c r="AE136" s="408">
        <f t="shared" si="27"/>
        <v>0</v>
      </c>
      <c r="AF136" s="408">
        <f t="shared" si="28"/>
        <v>1</v>
      </c>
      <c r="AG136" s="408">
        <f t="shared" si="29"/>
        <v>1</v>
      </c>
      <c r="AH136" s="408">
        <f t="shared" si="30"/>
        <v>0</v>
      </c>
      <c r="AI136" s="408">
        <f t="shared" si="31"/>
        <v>0</v>
      </c>
      <c r="AJ136" s="408">
        <f t="shared" si="32"/>
        <v>0</v>
      </c>
    </row>
    <row r="137" spans="1:36" x14ac:dyDescent="0.25">
      <c r="A137" s="409">
        <f t="shared" si="35"/>
        <v>136</v>
      </c>
      <c r="B137" s="410" t="s">
        <v>2885</v>
      </c>
      <c r="C137" s="410" t="s">
        <v>6251</v>
      </c>
      <c r="D137" s="409">
        <v>7</v>
      </c>
      <c r="E137" s="408"/>
      <c r="F137" s="409" t="str">
        <f>""</f>
        <v/>
      </c>
      <c r="G137" s="409" t="s">
        <v>6835</v>
      </c>
      <c r="H137" s="409" t="s">
        <v>424</v>
      </c>
      <c r="I137" s="409" t="str">
        <f t="shared" si="33"/>
        <v/>
      </c>
      <c r="J137" s="409" t="s">
        <v>6192</v>
      </c>
      <c r="K137" s="409" t="s">
        <v>2536</v>
      </c>
      <c r="L137" s="409" t="s">
        <v>2562</v>
      </c>
      <c r="M137" s="409" t="s">
        <v>3857</v>
      </c>
      <c r="N137" s="408" t="str">
        <f>""</f>
        <v/>
      </c>
      <c r="O137" s="409" t="s">
        <v>6189</v>
      </c>
      <c r="P137" s="408" t="s">
        <v>6616</v>
      </c>
      <c r="T137" s="409" t="s">
        <v>626</v>
      </c>
      <c r="U137" s="409" t="s">
        <v>627</v>
      </c>
      <c r="Z137" s="409" t="s">
        <v>628</v>
      </c>
      <c r="AA137" s="408">
        <f t="shared" si="34"/>
        <v>0</v>
      </c>
      <c r="AB137" s="408">
        <f t="shared" si="24"/>
        <v>0</v>
      </c>
      <c r="AC137" s="408">
        <f t="shared" si="25"/>
        <v>0</v>
      </c>
      <c r="AD137" s="408">
        <f t="shared" si="26"/>
        <v>1</v>
      </c>
      <c r="AE137" s="408">
        <f t="shared" si="27"/>
        <v>1</v>
      </c>
      <c r="AF137" s="408">
        <f t="shared" si="28"/>
        <v>0</v>
      </c>
      <c r="AG137" s="408">
        <f t="shared" si="29"/>
        <v>0</v>
      </c>
      <c r="AH137" s="408">
        <f t="shared" si="30"/>
        <v>0</v>
      </c>
      <c r="AI137" s="408">
        <f t="shared" si="31"/>
        <v>0</v>
      </c>
      <c r="AJ137" s="408">
        <f t="shared" si="32"/>
        <v>1</v>
      </c>
    </row>
    <row r="138" spans="1:36" x14ac:dyDescent="0.25">
      <c r="A138" s="409">
        <f t="shared" si="35"/>
        <v>137</v>
      </c>
      <c r="B138" s="410" t="s">
        <v>2890</v>
      </c>
      <c r="C138" s="410" t="s">
        <v>6191</v>
      </c>
      <c r="D138" s="409">
        <v>0.5</v>
      </c>
      <c r="E138" s="408"/>
      <c r="F138" s="409" t="str">
        <f>""</f>
        <v/>
      </c>
      <c r="G138" s="409" t="s">
        <v>6835</v>
      </c>
      <c r="H138" s="409" t="s">
        <v>6209</v>
      </c>
      <c r="I138" s="409" t="str">
        <f t="shared" si="33"/>
        <v/>
      </c>
      <c r="J138" s="409" t="s">
        <v>6192</v>
      </c>
      <c r="K138" s="409" t="s">
        <v>2536</v>
      </c>
      <c r="L138" s="409" t="s">
        <v>2562</v>
      </c>
      <c r="M138" s="409" t="s">
        <v>3857</v>
      </c>
      <c r="N138" s="408" t="str">
        <f>""</f>
        <v/>
      </c>
      <c r="O138" s="409" t="s">
        <v>6187</v>
      </c>
      <c r="P138" s="408" t="s">
        <v>6617</v>
      </c>
      <c r="T138" s="409" t="s">
        <v>626</v>
      </c>
      <c r="Z138" s="409" t="s">
        <v>628</v>
      </c>
      <c r="AA138" s="408">
        <f t="shared" si="34"/>
        <v>0</v>
      </c>
      <c r="AB138" s="408">
        <f t="shared" si="24"/>
        <v>0</v>
      </c>
      <c r="AC138" s="408">
        <f t="shared" si="25"/>
        <v>0</v>
      </c>
      <c r="AD138" s="408">
        <f t="shared" si="26"/>
        <v>1</v>
      </c>
      <c r="AE138" s="408">
        <f t="shared" si="27"/>
        <v>0</v>
      </c>
      <c r="AF138" s="408">
        <f t="shared" si="28"/>
        <v>0</v>
      </c>
      <c r="AG138" s="408">
        <f t="shared" si="29"/>
        <v>0</v>
      </c>
      <c r="AH138" s="408">
        <f t="shared" si="30"/>
        <v>0</v>
      </c>
      <c r="AI138" s="408">
        <f t="shared" si="31"/>
        <v>0</v>
      </c>
      <c r="AJ138" s="408">
        <f t="shared" si="32"/>
        <v>1</v>
      </c>
    </row>
    <row r="139" spans="1:36" x14ac:dyDescent="0.25">
      <c r="A139" s="409">
        <f t="shared" si="35"/>
        <v>138</v>
      </c>
      <c r="B139" s="410" t="s">
        <v>2892</v>
      </c>
      <c r="C139" s="410" t="s">
        <v>6214</v>
      </c>
      <c r="D139" s="409">
        <v>4</v>
      </c>
      <c r="E139" s="408"/>
      <c r="F139" s="409" t="str">
        <f>""</f>
        <v/>
      </c>
      <c r="G139" s="409" t="s">
        <v>6835</v>
      </c>
      <c r="H139" s="409" t="s">
        <v>6199</v>
      </c>
      <c r="I139" s="409" t="str">
        <f t="shared" si="33"/>
        <v/>
      </c>
      <c r="J139" s="409" t="s">
        <v>6241</v>
      </c>
      <c r="K139" s="409" t="s">
        <v>2536</v>
      </c>
      <c r="L139" s="409" t="s">
        <v>2562</v>
      </c>
      <c r="M139" s="409" t="s">
        <v>1248</v>
      </c>
      <c r="N139" s="408" t="s">
        <v>6293</v>
      </c>
      <c r="O139" s="409" t="s">
        <v>6187</v>
      </c>
      <c r="P139" s="408" t="s">
        <v>6618</v>
      </c>
      <c r="Z139" s="409" t="s">
        <v>628</v>
      </c>
      <c r="AA139" s="408">
        <f t="shared" si="34"/>
        <v>0</v>
      </c>
      <c r="AB139" s="408">
        <f t="shared" si="24"/>
        <v>0</v>
      </c>
      <c r="AC139" s="408">
        <f t="shared" si="25"/>
        <v>0</v>
      </c>
      <c r="AD139" s="408">
        <f t="shared" si="26"/>
        <v>0</v>
      </c>
      <c r="AE139" s="408">
        <f t="shared" si="27"/>
        <v>0</v>
      </c>
      <c r="AF139" s="408">
        <f t="shared" si="28"/>
        <v>0</v>
      </c>
      <c r="AG139" s="408">
        <f t="shared" si="29"/>
        <v>0</v>
      </c>
      <c r="AH139" s="408">
        <f t="shared" si="30"/>
        <v>0</v>
      </c>
      <c r="AI139" s="408">
        <f t="shared" si="31"/>
        <v>0</v>
      </c>
      <c r="AJ139" s="408">
        <f t="shared" si="32"/>
        <v>1</v>
      </c>
    </row>
    <row r="140" spans="1:36" x14ac:dyDescent="0.25">
      <c r="A140" s="409">
        <f>A139+1</f>
        <v>139</v>
      </c>
      <c r="B140" s="410" t="s">
        <v>2896</v>
      </c>
      <c r="C140" s="410" t="s">
        <v>6251</v>
      </c>
      <c r="D140" s="409">
        <v>7</v>
      </c>
      <c r="E140" s="408"/>
      <c r="F140" s="409" t="str">
        <f>""</f>
        <v/>
      </c>
      <c r="G140" s="409" t="s">
        <v>6835</v>
      </c>
      <c r="H140" s="409" t="s">
        <v>6237</v>
      </c>
      <c r="I140" s="409" t="str">
        <f t="shared" si="33"/>
        <v/>
      </c>
      <c r="J140" s="409" t="s">
        <v>6192</v>
      </c>
      <c r="K140" s="409" t="s">
        <v>2536</v>
      </c>
      <c r="L140" s="409" t="s">
        <v>2562</v>
      </c>
      <c r="M140" s="409" t="s">
        <v>3857</v>
      </c>
      <c r="N140" s="408" t="str">
        <f>""</f>
        <v/>
      </c>
      <c r="O140" s="409" t="s">
        <v>6187</v>
      </c>
      <c r="P140" s="408" t="s">
        <v>6619</v>
      </c>
      <c r="T140" s="409" t="s">
        <v>626</v>
      </c>
      <c r="V140" s="409" t="s">
        <v>620</v>
      </c>
      <c r="W140" s="409" t="s">
        <v>621</v>
      </c>
      <c r="AA140" s="408">
        <f t="shared" si="34"/>
        <v>0</v>
      </c>
      <c r="AB140" s="408">
        <f t="shared" si="24"/>
        <v>0</v>
      </c>
      <c r="AC140" s="408">
        <f t="shared" si="25"/>
        <v>0</v>
      </c>
      <c r="AD140" s="408">
        <f t="shared" si="26"/>
        <v>1</v>
      </c>
      <c r="AE140" s="408">
        <f t="shared" si="27"/>
        <v>0</v>
      </c>
      <c r="AF140" s="408">
        <f t="shared" si="28"/>
        <v>1</v>
      </c>
      <c r="AG140" s="408">
        <f t="shared" si="29"/>
        <v>1</v>
      </c>
      <c r="AH140" s="408">
        <f t="shared" si="30"/>
        <v>0</v>
      </c>
      <c r="AI140" s="408">
        <f t="shared" si="31"/>
        <v>0</v>
      </c>
      <c r="AJ140" s="408">
        <f t="shared" si="32"/>
        <v>0</v>
      </c>
    </row>
    <row r="141" spans="1:36" x14ac:dyDescent="0.25">
      <c r="A141" s="409">
        <f t="shared" si="35"/>
        <v>140</v>
      </c>
      <c r="B141" s="410" t="s">
        <v>2888</v>
      </c>
      <c r="C141" s="410" t="s">
        <v>6205</v>
      </c>
      <c r="D141" s="409">
        <v>3</v>
      </c>
      <c r="E141" s="408"/>
      <c r="F141" s="409" t="str">
        <f>""</f>
        <v/>
      </c>
      <c r="G141" s="409" t="s">
        <v>6835</v>
      </c>
      <c r="H141" s="409" t="s">
        <v>6237</v>
      </c>
      <c r="I141" s="409" t="str">
        <f t="shared" si="33"/>
        <v/>
      </c>
      <c r="J141" s="409" t="s">
        <v>6192</v>
      </c>
      <c r="K141" s="409" t="s">
        <v>2536</v>
      </c>
      <c r="L141" s="409" t="s">
        <v>2562</v>
      </c>
      <c r="M141" s="409" t="s">
        <v>1248</v>
      </c>
      <c r="N141" s="408" t="s">
        <v>6271</v>
      </c>
      <c r="O141" s="409" t="s">
        <v>6187</v>
      </c>
      <c r="P141" s="408" t="s">
        <v>6620</v>
      </c>
      <c r="T141" s="409" t="s">
        <v>626</v>
      </c>
      <c r="Z141" s="409" t="s">
        <v>628</v>
      </c>
      <c r="AA141" s="408">
        <f t="shared" si="34"/>
        <v>0</v>
      </c>
      <c r="AB141" s="408">
        <f t="shared" si="24"/>
        <v>0</v>
      </c>
      <c r="AC141" s="408">
        <f t="shared" si="25"/>
        <v>0</v>
      </c>
      <c r="AD141" s="408">
        <f t="shared" si="26"/>
        <v>1</v>
      </c>
      <c r="AE141" s="408">
        <f t="shared" si="27"/>
        <v>0</v>
      </c>
      <c r="AF141" s="408">
        <f t="shared" si="28"/>
        <v>0</v>
      </c>
      <c r="AG141" s="408">
        <f t="shared" si="29"/>
        <v>0</v>
      </c>
      <c r="AH141" s="408">
        <f t="shared" si="30"/>
        <v>0</v>
      </c>
      <c r="AI141" s="408">
        <f t="shared" si="31"/>
        <v>0</v>
      </c>
      <c r="AJ141" s="408">
        <f t="shared" si="32"/>
        <v>1</v>
      </c>
    </row>
    <row r="142" spans="1:36" x14ac:dyDescent="0.25">
      <c r="A142" s="409">
        <f t="shared" si="35"/>
        <v>141</v>
      </c>
      <c r="B142" s="410" t="s">
        <v>2898</v>
      </c>
      <c r="C142" s="410" t="s">
        <v>6193</v>
      </c>
      <c r="D142" s="409">
        <v>2</v>
      </c>
      <c r="E142" s="408"/>
      <c r="F142" s="409" t="str">
        <f>""</f>
        <v/>
      </c>
      <c r="G142" s="409" t="s">
        <v>6841</v>
      </c>
      <c r="H142" s="409" t="s">
        <v>6199</v>
      </c>
      <c r="I142" s="409" t="str">
        <f t="shared" si="33"/>
        <v>Concentration</v>
      </c>
      <c r="J142" s="409" t="s">
        <v>6218</v>
      </c>
      <c r="K142" s="409" t="s">
        <v>2536</v>
      </c>
      <c r="L142" s="409" t="s">
        <v>2562</v>
      </c>
      <c r="M142" s="409" t="s">
        <v>1248</v>
      </c>
      <c r="N142" s="408" t="s">
        <v>6294</v>
      </c>
      <c r="O142" s="409" t="s">
        <v>6187</v>
      </c>
      <c r="P142" s="408" t="s">
        <v>6621</v>
      </c>
      <c r="W142" s="409" t="s">
        <v>621</v>
      </c>
      <c r="AA142" s="408">
        <f t="shared" si="34"/>
        <v>0</v>
      </c>
      <c r="AB142" s="408">
        <f t="shared" si="24"/>
        <v>0</v>
      </c>
      <c r="AC142" s="408">
        <f t="shared" si="25"/>
        <v>0</v>
      </c>
      <c r="AD142" s="408">
        <f t="shared" si="26"/>
        <v>0</v>
      </c>
      <c r="AE142" s="408">
        <f t="shared" si="27"/>
        <v>0</v>
      </c>
      <c r="AF142" s="408">
        <f t="shared" si="28"/>
        <v>0</v>
      </c>
      <c r="AG142" s="408">
        <f t="shared" si="29"/>
        <v>1</v>
      </c>
      <c r="AH142" s="408">
        <f t="shared" si="30"/>
        <v>0</v>
      </c>
      <c r="AI142" s="408">
        <f t="shared" si="31"/>
        <v>0</v>
      </c>
      <c r="AJ142" s="408">
        <f t="shared" si="32"/>
        <v>0</v>
      </c>
    </row>
    <row r="143" spans="1:36" x14ac:dyDescent="0.25">
      <c r="A143" s="409">
        <f t="shared" si="35"/>
        <v>142</v>
      </c>
      <c r="B143" s="410" t="s">
        <v>2901</v>
      </c>
      <c r="C143" s="410" t="s">
        <v>6208</v>
      </c>
      <c r="D143" s="409">
        <v>5</v>
      </c>
      <c r="E143" s="408"/>
      <c r="F143" s="409" t="str">
        <f>""</f>
        <v/>
      </c>
      <c r="G143" s="409" t="s">
        <v>6835</v>
      </c>
      <c r="H143" s="409" t="s">
        <v>424</v>
      </c>
      <c r="I143" s="409" t="str">
        <f t="shared" si="33"/>
        <v/>
      </c>
      <c r="J143" s="409" t="s">
        <v>6192</v>
      </c>
      <c r="K143" s="409" t="s">
        <v>2536</v>
      </c>
      <c r="L143" s="409" t="s">
        <v>2562</v>
      </c>
      <c r="M143" s="409" t="s">
        <v>1248</v>
      </c>
      <c r="N143" s="408" t="s">
        <v>6295</v>
      </c>
      <c r="O143" s="409" t="s">
        <v>6187</v>
      </c>
      <c r="P143" s="408" t="s">
        <v>6622</v>
      </c>
      <c r="V143" s="409" t="s">
        <v>620</v>
      </c>
      <c r="AA143" s="408">
        <f t="shared" si="34"/>
        <v>0</v>
      </c>
      <c r="AB143" s="408">
        <f t="shared" si="24"/>
        <v>0</v>
      </c>
      <c r="AC143" s="408">
        <f t="shared" si="25"/>
        <v>0</v>
      </c>
      <c r="AD143" s="408">
        <f t="shared" si="26"/>
        <v>0</v>
      </c>
      <c r="AE143" s="408">
        <f t="shared" si="27"/>
        <v>0</v>
      </c>
      <c r="AF143" s="408">
        <f t="shared" si="28"/>
        <v>1</v>
      </c>
      <c r="AG143" s="408">
        <f t="shared" si="29"/>
        <v>0</v>
      </c>
      <c r="AH143" s="408">
        <f t="shared" si="30"/>
        <v>0</v>
      </c>
      <c r="AI143" s="408">
        <f t="shared" si="31"/>
        <v>0</v>
      </c>
      <c r="AJ143" s="408">
        <f t="shared" si="32"/>
        <v>0</v>
      </c>
    </row>
    <row r="144" spans="1:36" x14ac:dyDescent="0.25">
      <c r="A144" s="409">
        <f t="shared" si="35"/>
        <v>143</v>
      </c>
      <c r="B144" s="410" t="s">
        <v>2904</v>
      </c>
      <c r="C144" s="410" t="s">
        <v>6193</v>
      </c>
      <c r="D144" s="409">
        <v>2</v>
      </c>
      <c r="E144" s="408"/>
      <c r="F144" s="409" t="str">
        <f>""</f>
        <v/>
      </c>
      <c r="G144" s="409" t="s">
        <v>6835</v>
      </c>
      <c r="H144" s="409" t="s">
        <v>424</v>
      </c>
      <c r="I144" s="409" t="str">
        <f t="shared" si="33"/>
        <v>Concentration</v>
      </c>
      <c r="J144" s="409" t="s">
        <v>6210</v>
      </c>
      <c r="K144" s="409" t="s">
        <v>2536</v>
      </c>
      <c r="L144" s="409" t="s">
        <v>2562</v>
      </c>
      <c r="M144" s="409" t="s">
        <v>1248</v>
      </c>
      <c r="N144" s="408" t="s">
        <v>6296</v>
      </c>
      <c r="O144" s="409" t="s">
        <v>6185</v>
      </c>
      <c r="P144" s="408" t="s">
        <v>6623</v>
      </c>
      <c r="W144" s="409" t="s">
        <v>621</v>
      </c>
      <c r="Z144" s="409" t="s">
        <v>628</v>
      </c>
      <c r="AA144" s="408">
        <f t="shared" si="34"/>
        <v>0</v>
      </c>
      <c r="AB144" s="408">
        <f t="shared" si="24"/>
        <v>0</v>
      </c>
      <c r="AC144" s="408">
        <f t="shared" si="25"/>
        <v>0</v>
      </c>
      <c r="AD144" s="408">
        <f t="shared" si="26"/>
        <v>0</v>
      </c>
      <c r="AE144" s="408">
        <f t="shared" si="27"/>
        <v>0</v>
      </c>
      <c r="AF144" s="408">
        <f t="shared" si="28"/>
        <v>0</v>
      </c>
      <c r="AG144" s="408">
        <f t="shared" si="29"/>
        <v>1</v>
      </c>
      <c r="AH144" s="408">
        <f t="shared" si="30"/>
        <v>0</v>
      </c>
      <c r="AI144" s="408">
        <f t="shared" si="31"/>
        <v>0</v>
      </c>
      <c r="AJ144" s="408">
        <f t="shared" si="32"/>
        <v>1</v>
      </c>
    </row>
    <row r="145" spans="1:36" x14ac:dyDescent="0.25">
      <c r="A145" s="409">
        <f t="shared" si="35"/>
        <v>144</v>
      </c>
      <c r="B145" s="410" t="s">
        <v>2907</v>
      </c>
      <c r="C145" s="410" t="s">
        <v>6216</v>
      </c>
      <c r="D145" s="409">
        <v>6</v>
      </c>
      <c r="E145" s="408"/>
      <c r="F145" s="409" t="str">
        <f>""</f>
        <v/>
      </c>
      <c r="G145" s="409" t="s">
        <v>6835</v>
      </c>
      <c r="H145" s="409" t="s">
        <v>424</v>
      </c>
      <c r="I145" s="409" t="str">
        <f t="shared" si="33"/>
        <v>Concentration</v>
      </c>
      <c r="J145" s="409" t="s">
        <v>6210</v>
      </c>
      <c r="K145" s="409" t="s">
        <v>2536</v>
      </c>
      <c r="L145" s="409" t="s">
        <v>2562</v>
      </c>
      <c r="M145" s="409" t="s">
        <v>1248</v>
      </c>
      <c r="N145" s="408" t="s">
        <v>6297</v>
      </c>
      <c r="O145" s="409" t="s">
        <v>6190</v>
      </c>
      <c r="P145" s="408" t="s">
        <v>6624</v>
      </c>
      <c r="U145" s="409" t="s">
        <v>627</v>
      </c>
      <c r="Z145" s="409" t="s">
        <v>628</v>
      </c>
      <c r="AA145" s="408">
        <f t="shared" si="34"/>
        <v>0</v>
      </c>
      <c r="AB145" s="408">
        <f t="shared" si="24"/>
        <v>0</v>
      </c>
      <c r="AC145" s="408">
        <f t="shared" si="25"/>
        <v>0</v>
      </c>
      <c r="AD145" s="408">
        <f t="shared" si="26"/>
        <v>0</v>
      </c>
      <c r="AE145" s="408">
        <f t="shared" si="27"/>
        <v>1</v>
      </c>
      <c r="AF145" s="408">
        <f t="shared" si="28"/>
        <v>0</v>
      </c>
      <c r="AG145" s="408">
        <f t="shared" si="29"/>
        <v>0</v>
      </c>
      <c r="AH145" s="408">
        <f t="shared" si="30"/>
        <v>0</v>
      </c>
      <c r="AI145" s="408">
        <f t="shared" si="31"/>
        <v>0</v>
      </c>
      <c r="AJ145" s="408">
        <f t="shared" si="32"/>
        <v>1</v>
      </c>
    </row>
    <row r="146" spans="1:36" x14ac:dyDescent="0.25">
      <c r="A146" s="409">
        <f t="shared" si="35"/>
        <v>145</v>
      </c>
      <c r="B146" s="410" t="s">
        <v>2910</v>
      </c>
      <c r="C146" s="410" t="s">
        <v>6205</v>
      </c>
      <c r="D146" s="409">
        <v>3</v>
      </c>
      <c r="E146" s="408"/>
      <c r="F146" s="409" t="str">
        <f>""</f>
        <v/>
      </c>
      <c r="G146" s="409" t="s">
        <v>6835</v>
      </c>
      <c r="H146" s="409" t="s">
        <v>6219</v>
      </c>
      <c r="I146" s="409" t="str">
        <f t="shared" si="33"/>
        <v>Concentration</v>
      </c>
      <c r="J146" s="409" t="s">
        <v>6218</v>
      </c>
      <c r="K146" s="409" t="s">
        <v>2536</v>
      </c>
      <c r="L146" s="409" t="s">
        <v>2562</v>
      </c>
      <c r="M146" s="409" t="s">
        <v>1248</v>
      </c>
      <c r="N146" s="408" t="s">
        <v>6298</v>
      </c>
      <c r="O146" s="409" t="s">
        <v>6190</v>
      </c>
      <c r="P146" s="408" t="s">
        <v>6625</v>
      </c>
      <c r="T146" s="409" t="s">
        <v>626</v>
      </c>
      <c r="U146" s="409" t="s">
        <v>627</v>
      </c>
      <c r="Z146" s="409" t="s">
        <v>628</v>
      </c>
      <c r="AA146" s="408">
        <f t="shared" si="34"/>
        <v>0</v>
      </c>
      <c r="AB146" s="408">
        <f t="shared" si="24"/>
        <v>0</v>
      </c>
      <c r="AC146" s="408">
        <f t="shared" si="25"/>
        <v>0</v>
      </c>
      <c r="AD146" s="408">
        <f t="shared" si="26"/>
        <v>1</v>
      </c>
      <c r="AE146" s="408">
        <f t="shared" si="27"/>
        <v>1</v>
      </c>
      <c r="AF146" s="408">
        <f t="shared" si="28"/>
        <v>0</v>
      </c>
      <c r="AG146" s="408">
        <f t="shared" si="29"/>
        <v>0</v>
      </c>
      <c r="AH146" s="408">
        <f t="shared" si="30"/>
        <v>0</v>
      </c>
      <c r="AI146" s="408">
        <f t="shared" si="31"/>
        <v>0</v>
      </c>
      <c r="AJ146" s="408">
        <f t="shared" si="32"/>
        <v>1</v>
      </c>
    </row>
    <row r="147" spans="1:36" x14ac:dyDescent="0.25">
      <c r="A147" s="409">
        <f t="shared" si="35"/>
        <v>146</v>
      </c>
      <c r="B147" s="410" t="s">
        <v>2913</v>
      </c>
      <c r="C147" s="410" t="s">
        <v>6196</v>
      </c>
      <c r="D147" s="409">
        <v>1</v>
      </c>
      <c r="E147" s="408"/>
      <c r="F147" s="409" t="str">
        <f>""</f>
        <v/>
      </c>
      <c r="G147" s="409" t="s">
        <v>6835</v>
      </c>
      <c r="H147" s="409" t="s">
        <v>6209</v>
      </c>
      <c r="I147" s="409" t="str">
        <f t="shared" si="33"/>
        <v>Concentration</v>
      </c>
      <c r="J147" s="409" t="s">
        <v>6200</v>
      </c>
      <c r="K147" s="409" t="s">
        <v>2536</v>
      </c>
      <c r="L147" s="409" t="s">
        <v>2562</v>
      </c>
      <c r="M147" s="409" t="s">
        <v>3857</v>
      </c>
      <c r="N147" s="408" t="str">
        <f>""</f>
        <v/>
      </c>
      <c r="O147" s="409" t="s">
        <v>6185</v>
      </c>
      <c r="P147" s="408" t="s">
        <v>6626</v>
      </c>
      <c r="S147" s="409" t="s">
        <v>624</v>
      </c>
      <c r="T147" s="409" t="s">
        <v>626</v>
      </c>
      <c r="W147" s="409" t="s">
        <v>621</v>
      </c>
      <c r="Z147" s="409" t="s">
        <v>628</v>
      </c>
      <c r="AA147" s="408">
        <f t="shared" si="34"/>
        <v>0</v>
      </c>
      <c r="AB147" s="408">
        <f t="shared" si="24"/>
        <v>0</v>
      </c>
      <c r="AC147" s="408">
        <f t="shared" si="25"/>
        <v>1</v>
      </c>
      <c r="AD147" s="408">
        <f t="shared" si="26"/>
        <v>1</v>
      </c>
      <c r="AE147" s="408">
        <f t="shared" si="27"/>
        <v>0</v>
      </c>
      <c r="AF147" s="408">
        <f t="shared" si="28"/>
        <v>0</v>
      </c>
      <c r="AG147" s="408">
        <f t="shared" si="29"/>
        <v>1</v>
      </c>
      <c r="AH147" s="408">
        <f t="shared" si="30"/>
        <v>0</v>
      </c>
      <c r="AI147" s="408">
        <f t="shared" si="31"/>
        <v>0</v>
      </c>
      <c r="AJ147" s="408">
        <f t="shared" si="32"/>
        <v>1</v>
      </c>
    </row>
    <row r="148" spans="1:36" x14ac:dyDescent="0.25">
      <c r="A148" s="409">
        <f t="shared" si="35"/>
        <v>147</v>
      </c>
      <c r="B148" s="410" t="s">
        <v>2915</v>
      </c>
      <c r="C148" s="410" t="s">
        <v>6216</v>
      </c>
      <c r="D148" s="409">
        <v>6</v>
      </c>
      <c r="E148" s="408"/>
      <c r="F148" s="409" t="s">
        <v>6183</v>
      </c>
      <c r="G148" s="409" t="s">
        <v>6299</v>
      </c>
      <c r="H148" s="409" t="s">
        <v>6219</v>
      </c>
      <c r="I148" s="409" t="str">
        <f t="shared" si="33"/>
        <v/>
      </c>
      <c r="J148" s="409" t="s">
        <v>2918</v>
      </c>
      <c r="K148" s="409" t="s">
        <v>2536</v>
      </c>
      <c r="L148" s="409" t="s">
        <v>2562</v>
      </c>
      <c r="M148" s="409" t="s">
        <v>1248</v>
      </c>
      <c r="N148" s="408" t="s">
        <v>6300</v>
      </c>
      <c r="O148" s="409" t="s">
        <v>6184</v>
      </c>
      <c r="P148" s="408" t="s">
        <v>6627</v>
      </c>
      <c r="V148" s="409" t="s">
        <v>620</v>
      </c>
      <c r="AA148" s="408">
        <f t="shared" si="34"/>
        <v>0</v>
      </c>
      <c r="AB148" s="408">
        <f t="shared" si="24"/>
        <v>0</v>
      </c>
      <c r="AC148" s="408">
        <f t="shared" si="25"/>
        <v>0</v>
      </c>
      <c r="AD148" s="408">
        <f t="shared" si="26"/>
        <v>0</v>
      </c>
      <c r="AE148" s="408">
        <f t="shared" si="27"/>
        <v>0</v>
      </c>
      <c r="AF148" s="408">
        <f t="shared" si="28"/>
        <v>1</v>
      </c>
      <c r="AG148" s="408">
        <f t="shared" si="29"/>
        <v>0</v>
      </c>
      <c r="AH148" s="408">
        <f t="shared" si="30"/>
        <v>0</v>
      </c>
      <c r="AI148" s="408">
        <f t="shared" si="31"/>
        <v>0</v>
      </c>
      <c r="AJ148" s="408">
        <f t="shared" si="32"/>
        <v>0</v>
      </c>
    </row>
    <row r="149" spans="1:36" x14ac:dyDescent="0.25">
      <c r="A149" s="409">
        <f t="shared" si="35"/>
        <v>148</v>
      </c>
      <c r="B149" s="410" t="s">
        <v>2920</v>
      </c>
      <c r="C149" s="410" t="s">
        <v>6251</v>
      </c>
      <c r="D149" s="409">
        <v>7</v>
      </c>
      <c r="E149" s="408"/>
      <c r="F149" s="409" t="str">
        <f>""</f>
        <v/>
      </c>
      <c r="G149" s="409" t="s">
        <v>6835</v>
      </c>
      <c r="H149" s="409" t="s">
        <v>6301</v>
      </c>
      <c r="I149" s="409" t="str">
        <f t="shared" si="33"/>
        <v/>
      </c>
      <c r="J149" s="409" t="s">
        <v>6212</v>
      </c>
      <c r="K149" s="409" t="s">
        <v>2536</v>
      </c>
      <c r="L149" s="409" t="s">
        <v>2562</v>
      </c>
      <c r="M149" s="409" t="s">
        <v>1248</v>
      </c>
      <c r="N149" s="408" t="s">
        <v>6302</v>
      </c>
      <c r="O149" s="409" t="s">
        <v>6187</v>
      </c>
      <c r="P149" s="408" t="s">
        <v>6628</v>
      </c>
      <c r="Q149" s="409" t="s">
        <v>1112</v>
      </c>
      <c r="U149" s="409" t="s">
        <v>627</v>
      </c>
      <c r="Z149" s="409" t="s">
        <v>628</v>
      </c>
      <c r="AA149" s="408">
        <f t="shared" si="34"/>
        <v>1</v>
      </c>
      <c r="AB149" s="408">
        <f t="shared" si="24"/>
        <v>0</v>
      </c>
      <c r="AC149" s="408">
        <f t="shared" si="25"/>
        <v>0</v>
      </c>
      <c r="AD149" s="408">
        <f t="shared" si="26"/>
        <v>0</v>
      </c>
      <c r="AE149" s="408">
        <f t="shared" si="27"/>
        <v>1</v>
      </c>
      <c r="AF149" s="408">
        <f t="shared" si="28"/>
        <v>0</v>
      </c>
      <c r="AG149" s="408">
        <f t="shared" si="29"/>
        <v>0</v>
      </c>
      <c r="AH149" s="408">
        <f t="shared" si="30"/>
        <v>0</v>
      </c>
      <c r="AI149" s="408">
        <f t="shared" si="31"/>
        <v>0</v>
      </c>
      <c r="AJ149" s="408">
        <f t="shared" si="32"/>
        <v>1</v>
      </c>
    </row>
    <row r="150" spans="1:36" x14ac:dyDescent="0.25">
      <c r="A150" s="409">
        <f t="shared" si="35"/>
        <v>149</v>
      </c>
      <c r="B150" s="410" t="s">
        <v>2924</v>
      </c>
      <c r="C150" s="410" t="s">
        <v>6223</v>
      </c>
      <c r="D150" s="409">
        <v>9</v>
      </c>
      <c r="E150" s="408"/>
      <c r="F150" s="409" t="str">
        <f>""</f>
        <v/>
      </c>
      <c r="G150" s="409" t="s">
        <v>6206</v>
      </c>
      <c r="H150" s="409" t="s">
        <v>6219</v>
      </c>
      <c r="I150" s="409" t="str">
        <f t="shared" si="33"/>
        <v/>
      </c>
      <c r="J150" s="409" t="s">
        <v>6194</v>
      </c>
      <c r="K150" s="409" t="s">
        <v>2536</v>
      </c>
      <c r="L150" s="409" t="s">
        <v>2562</v>
      </c>
      <c r="M150" s="409" t="s">
        <v>1248</v>
      </c>
      <c r="N150" s="408" t="s">
        <v>6303</v>
      </c>
      <c r="O150" s="409" t="s">
        <v>2792</v>
      </c>
      <c r="P150" s="408" t="s">
        <v>6629</v>
      </c>
      <c r="Q150" s="409" t="s">
        <v>1112</v>
      </c>
      <c r="U150" s="409" t="s">
        <v>627</v>
      </c>
      <c r="W150" s="409" t="s">
        <v>621</v>
      </c>
      <c r="Z150" s="409" t="s">
        <v>628</v>
      </c>
      <c r="AA150" s="408">
        <f t="shared" si="34"/>
        <v>1</v>
      </c>
      <c r="AB150" s="408">
        <f t="shared" si="24"/>
        <v>0</v>
      </c>
      <c r="AC150" s="408">
        <f t="shared" si="25"/>
        <v>0</v>
      </c>
      <c r="AD150" s="408">
        <f t="shared" si="26"/>
        <v>0</v>
      </c>
      <c r="AE150" s="408">
        <f t="shared" si="27"/>
        <v>1</v>
      </c>
      <c r="AF150" s="408">
        <f t="shared" si="28"/>
        <v>0</v>
      </c>
      <c r="AG150" s="408">
        <f t="shared" si="29"/>
        <v>1</v>
      </c>
      <c r="AH150" s="408">
        <f t="shared" si="30"/>
        <v>0</v>
      </c>
      <c r="AI150" s="408">
        <f t="shared" si="31"/>
        <v>0</v>
      </c>
      <c r="AJ150" s="408">
        <f t="shared" si="32"/>
        <v>1</v>
      </c>
    </row>
    <row r="151" spans="1:36" x14ac:dyDescent="0.25">
      <c r="A151" s="409">
        <f t="shared" si="35"/>
        <v>150</v>
      </c>
      <c r="B151" s="410" t="s">
        <v>2928</v>
      </c>
      <c r="C151" s="410" t="s">
        <v>6214</v>
      </c>
      <c r="D151" s="409">
        <v>4</v>
      </c>
      <c r="E151" s="408"/>
      <c r="F151" s="409" t="str">
        <f>""</f>
        <v/>
      </c>
      <c r="G151" s="409" t="s">
        <v>6835</v>
      </c>
      <c r="H151" s="409" t="s">
        <v>6219</v>
      </c>
      <c r="I151" s="409" t="str">
        <f t="shared" si="33"/>
        <v/>
      </c>
      <c r="J151" s="409" t="s">
        <v>6212</v>
      </c>
      <c r="K151" s="409" t="s">
        <v>2536</v>
      </c>
      <c r="L151" s="409" t="s">
        <v>2562</v>
      </c>
      <c r="M151" s="409" t="s">
        <v>1248</v>
      </c>
      <c r="N151" s="408" t="s">
        <v>6304</v>
      </c>
      <c r="O151" s="409" t="s">
        <v>6184</v>
      </c>
      <c r="P151" s="408" t="s">
        <v>6630</v>
      </c>
      <c r="Q151" s="409" t="s">
        <v>1112</v>
      </c>
      <c r="S151" s="409" t="s">
        <v>624</v>
      </c>
      <c r="V151" s="409" t="s">
        <v>620</v>
      </c>
      <c r="W151" s="409" t="s">
        <v>621</v>
      </c>
      <c r="AA151" s="408">
        <f t="shared" si="34"/>
        <v>1</v>
      </c>
      <c r="AB151" s="408">
        <f t="shared" si="24"/>
        <v>0</v>
      </c>
      <c r="AC151" s="408">
        <f t="shared" si="25"/>
        <v>1</v>
      </c>
      <c r="AD151" s="408">
        <f t="shared" si="26"/>
        <v>0</v>
      </c>
      <c r="AE151" s="408">
        <f t="shared" si="27"/>
        <v>0</v>
      </c>
      <c r="AF151" s="408">
        <f t="shared" si="28"/>
        <v>1</v>
      </c>
      <c r="AG151" s="408">
        <f t="shared" si="29"/>
        <v>1</v>
      </c>
      <c r="AH151" s="408">
        <f t="shared" si="30"/>
        <v>0</v>
      </c>
      <c r="AI151" s="408">
        <f t="shared" si="31"/>
        <v>0</v>
      </c>
      <c r="AJ151" s="408">
        <f t="shared" si="32"/>
        <v>0</v>
      </c>
    </row>
    <row r="152" spans="1:36" x14ac:dyDescent="0.25">
      <c r="A152" s="409">
        <f t="shared" si="35"/>
        <v>151</v>
      </c>
      <c r="B152" s="410" t="s">
        <v>2931</v>
      </c>
      <c r="C152" s="410" t="s">
        <v>6191</v>
      </c>
      <c r="D152" s="409">
        <v>0.5</v>
      </c>
      <c r="E152" s="408"/>
      <c r="F152" s="409" t="str">
        <f>""</f>
        <v/>
      </c>
      <c r="G152" s="409" t="s">
        <v>6835</v>
      </c>
      <c r="H152" s="409" t="s">
        <v>6199</v>
      </c>
      <c r="I152" s="409" t="str">
        <f t="shared" si="33"/>
        <v>Concentration</v>
      </c>
      <c r="J152" s="409" t="s">
        <v>6210</v>
      </c>
      <c r="K152" s="409" t="s">
        <v>3857</v>
      </c>
      <c r="L152" s="409" t="s">
        <v>2562</v>
      </c>
      <c r="M152" s="409" t="s">
        <v>1248</v>
      </c>
      <c r="N152" s="408" t="s">
        <v>6305</v>
      </c>
      <c r="O152" s="409" t="s">
        <v>6186</v>
      </c>
      <c r="P152" s="408" t="s">
        <v>2934</v>
      </c>
      <c r="Q152" s="409" t="s">
        <v>1112</v>
      </c>
      <c r="T152" s="409" t="s">
        <v>626</v>
      </c>
      <c r="U152" s="409" t="s">
        <v>627</v>
      </c>
      <c r="Z152" s="409" t="s">
        <v>628</v>
      </c>
      <c r="AA152" s="408">
        <f t="shared" si="34"/>
        <v>1</v>
      </c>
      <c r="AB152" s="408">
        <f t="shared" si="24"/>
        <v>0</v>
      </c>
      <c r="AC152" s="408">
        <f t="shared" si="25"/>
        <v>0</v>
      </c>
      <c r="AD152" s="408">
        <f t="shared" si="26"/>
        <v>1</v>
      </c>
      <c r="AE152" s="408">
        <f t="shared" si="27"/>
        <v>1</v>
      </c>
      <c r="AF152" s="408">
        <f t="shared" si="28"/>
        <v>0</v>
      </c>
      <c r="AG152" s="408">
        <f t="shared" si="29"/>
        <v>0</v>
      </c>
      <c r="AH152" s="408">
        <f t="shared" si="30"/>
        <v>0</v>
      </c>
      <c r="AI152" s="408">
        <f t="shared" si="31"/>
        <v>0</v>
      </c>
      <c r="AJ152" s="408">
        <f t="shared" si="32"/>
        <v>1</v>
      </c>
    </row>
    <row r="153" spans="1:36" x14ac:dyDescent="0.25">
      <c r="A153" s="409">
        <f t="shared" si="35"/>
        <v>152</v>
      </c>
      <c r="B153" s="410" t="s">
        <v>2935</v>
      </c>
      <c r="C153" s="410" t="s">
        <v>6205</v>
      </c>
      <c r="D153" s="409">
        <v>3</v>
      </c>
      <c r="E153" s="408"/>
      <c r="F153" s="409" t="str">
        <f>""</f>
        <v/>
      </c>
      <c r="G153" s="409" t="s">
        <v>6835</v>
      </c>
      <c r="H153" s="409" t="s">
        <v>6219</v>
      </c>
      <c r="I153" s="409" t="str">
        <f t="shared" si="33"/>
        <v>Concentration</v>
      </c>
      <c r="J153" s="409" t="s">
        <v>6200</v>
      </c>
      <c r="K153" s="409" t="s">
        <v>2536</v>
      </c>
      <c r="L153" s="409" t="s">
        <v>2562</v>
      </c>
      <c r="M153" s="409" t="s">
        <v>1248</v>
      </c>
      <c r="N153" s="408" t="s">
        <v>6306</v>
      </c>
      <c r="O153" s="409" t="s">
        <v>6190</v>
      </c>
      <c r="P153" s="408" t="s">
        <v>6631</v>
      </c>
      <c r="T153" s="409" t="s">
        <v>626</v>
      </c>
      <c r="U153" s="409" t="s">
        <v>627</v>
      </c>
      <c r="Z153" s="409" t="s">
        <v>628</v>
      </c>
      <c r="AA153" s="408">
        <f t="shared" si="34"/>
        <v>0</v>
      </c>
      <c r="AB153" s="408">
        <f t="shared" si="24"/>
        <v>0</v>
      </c>
      <c r="AC153" s="408">
        <f t="shared" si="25"/>
        <v>0</v>
      </c>
      <c r="AD153" s="408">
        <f t="shared" si="26"/>
        <v>1</v>
      </c>
      <c r="AE153" s="408">
        <f t="shared" si="27"/>
        <v>1</v>
      </c>
      <c r="AF153" s="408">
        <f t="shared" si="28"/>
        <v>0</v>
      </c>
      <c r="AG153" s="408">
        <f t="shared" si="29"/>
        <v>0</v>
      </c>
      <c r="AH153" s="408">
        <f t="shared" si="30"/>
        <v>0</v>
      </c>
      <c r="AI153" s="408">
        <f t="shared" si="31"/>
        <v>0</v>
      </c>
      <c r="AJ153" s="408">
        <f t="shared" si="32"/>
        <v>1</v>
      </c>
    </row>
    <row r="154" spans="1:36" x14ac:dyDescent="0.25">
      <c r="A154" s="409">
        <f t="shared" si="35"/>
        <v>153</v>
      </c>
      <c r="B154" s="410" t="s">
        <v>2938</v>
      </c>
      <c r="C154" s="410" t="s">
        <v>6223</v>
      </c>
      <c r="D154" s="409">
        <v>9</v>
      </c>
      <c r="E154" s="408"/>
      <c r="F154" s="409" t="str">
        <f>""</f>
        <v/>
      </c>
      <c r="G154" s="409" t="s">
        <v>6835</v>
      </c>
      <c r="H154" s="409" t="s">
        <v>424</v>
      </c>
      <c r="I154" s="409" t="str">
        <f t="shared" si="33"/>
        <v>Concentration</v>
      </c>
      <c r="J154" s="409" t="s">
        <v>6210</v>
      </c>
      <c r="K154" s="409" t="s">
        <v>2536</v>
      </c>
      <c r="L154" s="409" t="s">
        <v>2562</v>
      </c>
      <c r="M154" s="409" t="s">
        <v>1248</v>
      </c>
      <c r="N154" s="408" t="s">
        <v>6307</v>
      </c>
      <c r="O154" s="409" t="s">
        <v>6185</v>
      </c>
      <c r="P154" s="408" t="s">
        <v>6632</v>
      </c>
      <c r="T154" s="409" t="s">
        <v>626</v>
      </c>
      <c r="V154" s="409" t="s">
        <v>620</v>
      </c>
      <c r="Z154" s="409" t="s">
        <v>628</v>
      </c>
      <c r="AA154" s="408">
        <f t="shared" si="34"/>
        <v>0</v>
      </c>
      <c r="AB154" s="408">
        <f t="shared" si="24"/>
        <v>0</v>
      </c>
      <c r="AC154" s="408">
        <f t="shared" si="25"/>
        <v>0</v>
      </c>
      <c r="AD154" s="408">
        <f t="shared" si="26"/>
        <v>1</v>
      </c>
      <c r="AE154" s="408">
        <f t="shared" si="27"/>
        <v>0</v>
      </c>
      <c r="AF154" s="408">
        <f t="shared" si="28"/>
        <v>1</v>
      </c>
      <c r="AG154" s="408">
        <f t="shared" si="29"/>
        <v>0</v>
      </c>
      <c r="AH154" s="408">
        <f t="shared" si="30"/>
        <v>0</v>
      </c>
      <c r="AI154" s="408">
        <f t="shared" si="31"/>
        <v>0</v>
      </c>
      <c r="AJ154" s="408">
        <f t="shared" si="32"/>
        <v>1</v>
      </c>
    </row>
    <row r="155" spans="1:36" x14ac:dyDescent="0.25">
      <c r="A155" s="409">
        <f t="shared" si="35"/>
        <v>154</v>
      </c>
      <c r="B155" s="410" t="s">
        <v>2942</v>
      </c>
      <c r="C155" s="410" t="s">
        <v>6208</v>
      </c>
      <c r="D155" s="409">
        <v>5</v>
      </c>
      <c r="E155" s="408"/>
      <c r="F155" s="409" t="str">
        <f>""</f>
        <v/>
      </c>
      <c r="G155" s="409" t="s">
        <v>6206</v>
      </c>
      <c r="H155" s="409" t="s">
        <v>424</v>
      </c>
      <c r="I155" s="409" t="str">
        <f t="shared" si="33"/>
        <v/>
      </c>
      <c r="J155" s="409" t="s">
        <v>2943</v>
      </c>
      <c r="K155" s="409" t="s">
        <v>2536</v>
      </c>
      <c r="L155" s="409" t="s">
        <v>3857</v>
      </c>
      <c r="M155" s="409" t="s">
        <v>3857</v>
      </c>
      <c r="N155" s="408" t="str">
        <f>""</f>
        <v/>
      </c>
      <c r="O155" s="409" t="s">
        <v>6186</v>
      </c>
      <c r="P155" s="408" t="s">
        <v>6633</v>
      </c>
      <c r="Q155" s="409" t="s">
        <v>1112</v>
      </c>
      <c r="R155" s="409" t="s">
        <v>1113</v>
      </c>
      <c r="V155" s="409" t="s">
        <v>620</v>
      </c>
      <c r="W155" s="409" t="s">
        <v>621</v>
      </c>
      <c r="Z155" s="409" t="s">
        <v>628</v>
      </c>
      <c r="AA155" s="408">
        <f t="shared" si="34"/>
        <v>1</v>
      </c>
      <c r="AB155" s="408">
        <f t="shared" si="24"/>
        <v>1</v>
      </c>
      <c r="AC155" s="408">
        <f t="shared" si="25"/>
        <v>0</v>
      </c>
      <c r="AD155" s="408">
        <f t="shared" si="26"/>
        <v>0</v>
      </c>
      <c r="AE155" s="408">
        <f t="shared" si="27"/>
        <v>0</v>
      </c>
      <c r="AF155" s="408">
        <f t="shared" si="28"/>
        <v>1</v>
      </c>
      <c r="AG155" s="408">
        <f t="shared" si="29"/>
        <v>1</v>
      </c>
      <c r="AH155" s="408">
        <f t="shared" si="30"/>
        <v>0</v>
      </c>
      <c r="AI155" s="408">
        <f t="shared" si="31"/>
        <v>0</v>
      </c>
      <c r="AJ155" s="408">
        <f t="shared" si="32"/>
        <v>1</v>
      </c>
    </row>
    <row r="156" spans="1:36" x14ac:dyDescent="0.25">
      <c r="A156" s="409">
        <f>A155+1</f>
        <v>155</v>
      </c>
      <c r="B156" s="410" t="s">
        <v>2945</v>
      </c>
      <c r="C156" s="410" t="s">
        <v>6193</v>
      </c>
      <c r="D156" s="409">
        <v>2</v>
      </c>
      <c r="E156" s="408"/>
      <c r="F156" s="409" t="s">
        <v>6183</v>
      </c>
      <c r="G156" s="409" t="s">
        <v>6836</v>
      </c>
      <c r="H156" s="409" t="s">
        <v>6219</v>
      </c>
      <c r="I156" s="409" t="str">
        <f t="shared" si="33"/>
        <v/>
      </c>
      <c r="J156" s="409" t="s">
        <v>2502</v>
      </c>
      <c r="K156" s="409" t="s">
        <v>2536</v>
      </c>
      <c r="L156" s="409" t="s">
        <v>2562</v>
      </c>
      <c r="M156" s="409" t="s">
        <v>1248</v>
      </c>
      <c r="N156" s="408" t="s">
        <v>6308</v>
      </c>
      <c r="O156" s="409" t="s">
        <v>6189</v>
      </c>
      <c r="P156" s="408" t="s">
        <v>6634</v>
      </c>
      <c r="V156" s="409" t="s">
        <v>620</v>
      </c>
      <c r="Z156" s="409" t="s">
        <v>628</v>
      </c>
      <c r="AA156" s="408">
        <f t="shared" si="34"/>
        <v>0</v>
      </c>
      <c r="AB156" s="408">
        <f t="shared" si="24"/>
        <v>0</v>
      </c>
      <c r="AC156" s="408">
        <f t="shared" si="25"/>
        <v>0</v>
      </c>
      <c r="AD156" s="408">
        <f t="shared" si="26"/>
        <v>0</v>
      </c>
      <c r="AE156" s="408">
        <f t="shared" si="27"/>
        <v>0</v>
      </c>
      <c r="AF156" s="408">
        <f t="shared" si="28"/>
        <v>1</v>
      </c>
      <c r="AG156" s="408">
        <f t="shared" si="29"/>
        <v>0</v>
      </c>
      <c r="AH156" s="408">
        <f t="shared" si="30"/>
        <v>0</v>
      </c>
      <c r="AI156" s="408">
        <f t="shared" si="31"/>
        <v>0</v>
      </c>
      <c r="AJ156" s="408">
        <f t="shared" si="32"/>
        <v>1</v>
      </c>
    </row>
    <row r="157" spans="1:36" x14ac:dyDescent="0.25">
      <c r="A157" s="409">
        <f t="shared" si="35"/>
        <v>156</v>
      </c>
      <c r="B157" s="410" t="s">
        <v>2949</v>
      </c>
      <c r="C157" s="410" t="s">
        <v>6214</v>
      </c>
      <c r="D157" s="409">
        <v>4</v>
      </c>
      <c r="E157" s="408"/>
      <c r="F157" s="409" t="str">
        <f>""</f>
        <v/>
      </c>
      <c r="G157" s="409" t="s">
        <v>6835</v>
      </c>
      <c r="H157" s="409" t="s">
        <v>5950</v>
      </c>
      <c r="I157" s="409" t="str">
        <f t="shared" si="33"/>
        <v>Concentration</v>
      </c>
      <c r="J157" s="409" t="s">
        <v>6218</v>
      </c>
      <c r="K157" s="409" t="s">
        <v>2536</v>
      </c>
      <c r="L157" s="409" t="s">
        <v>2562</v>
      </c>
      <c r="M157" s="409" t="s">
        <v>3857</v>
      </c>
      <c r="O157" s="409" t="s">
        <v>6190</v>
      </c>
      <c r="P157" s="408" t="s">
        <v>6635</v>
      </c>
      <c r="W157" s="409" t="s">
        <v>621</v>
      </c>
      <c r="AA157" s="408">
        <f t="shared" si="34"/>
        <v>0</v>
      </c>
      <c r="AB157" s="408">
        <f t="shared" si="24"/>
        <v>0</v>
      </c>
      <c r="AC157" s="408">
        <f t="shared" si="25"/>
        <v>0</v>
      </c>
      <c r="AD157" s="408">
        <f t="shared" si="26"/>
        <v>0</v>
      </c>
      <c r="AE157" s="408">
        <f t="shared" si="27"/>
        <v>0</v>
      </c>
      <c r="AF157" s="408">
        <f t="shared" si="28"/>
        <v>0</v>
      </c>
      <c r="AG157" s="408">
        <f t="shared" si="29"/>
        <v>1</v>
      </c>
      <c r="AH157" s="408">
        <f t="shared" si="30"/>
        <v>0</v>
      </c>
      <c r="AI157" s="408">
        <f t="shared" si="31"/>
        <v>0</v>
      </c>
      <c r="AJ157" s="408">
        <f t="shared" si="32"/>
        <v>0</v>
      </c>
    </row>
    <row r="158" spans="1:36" x14ac:dyDescent="0.25">
      <c r="A158" s="409">
        <f t="shared" si="35"/>
        <v>157</v>
      </c>
      <c r="B158" s="410" t="s">
        <v>2951</v>
      </c>
      <c r="C158" s="410" t="s">
        <v>6203</v>
      </c>
      <c r="D158" s="409">
        <v>8</v>
      </c>
      <c r="E158" s="408"/>
      <c r="F158" s="409" t="str">
        <f>""</f>
        <v/>
      </c>
      <c r="G158" s="409" t="s">
        <v>6835</v>
      </c>
      <c r="H158" s="409" t="s">
        <v>6199</v>
      </c>
      <c r="I158" s="409" t="str">
        <f t="shared" si="33"/>
        <v/>
      </c>
      <c r="J158" s="409" t="s">
        <v>6212</v>
      </c>
      <c r="K158" s="409" t="s">
        <v>2536</v>
      </c>
      <c r="L158" s="409" t="s">
        <v>3857</v>
      </c>
      <c r="M158" s="409" t="s">
        <v>3857</v>
      </c>
      <c r="O158" s="409" t="s">
        <v>6190</v>
      </c>
      <c r="P158" s="408" t="s">
        <v>2952</v>
      </c>
      <c r="U158" s="409" t="s">
        <v>627</v>
      </c>
      <c r="AA158" s="408">
        <f t="shared" si="34"/>
        <v>0</v>
      </c>
      <c r="AB158" s="408">
        <f t="shared" si="24"/>
        <v>0</v>
      </c>
      <c r="AC158" s="408">
        <f t="shared" si="25"/>
        <v>0</v>
      </c>
      <c r="AD158" s="408">
        <f t="shared" si="26"/>
        <v>0</v>
      </c>
      <c r="AE158" s="408">
        <f t="shared" si="27"/>
        <v>1</v>
      </c>
      <c r="AF158" s="408">
        <f t="shared" si="28"/>
        <v>0</v>
      </c>
      <c r="AG158" s="408">
        <f t="shared" si="29"/>
        <v>0</v>
      </c>
      <c r="AH158" s="408">
        <f t="shared" si="30"/>
        <v>0</v>
      </c>
      <c r="AI158" s="408">
        <f t="shared" si="31"/>
        <v>0</v>
      </c>
      <c r="AJ158" s="408">
        <f t="shared" si="32"/>
        <v>0</v>
      </c>
    </row>
    <row r="159" spans="1:36" x14ac:dyDescent="0.25">
      <c r="A159" s="409">
        <f t="shared" si="35"/>
        <v>158</v>
      </c>
      <c r="B159" s="410" t="s">
        <v>2953</v>
      </c>
      <c r="C159" s="410" t="s">
        <v>6216</v>
      </c>
      <c r="D159" s="409">
        <v>6</v>
      </c>
      <c r="E159" s="408"/>
      <c r="F159" s="409" t="str">
        <f>""</f>
        <v/>
      </c>
      <c r="G159" s="409" t="s">
        <v>6835</v>
      </c>
      <c r="H159" s="409" t="s">
        <v>6199</v>
      </c>
      <c r="I159" s="409" t="str">
        <f t="shared" si="33"/>
        <v>Concentration</v>
      </c>
      <c r="J159" s="409" t="s">
        <v>6210</v>
      </c>
      <c r="K159" s="409" t="s">
        <v>2536</v>
      </c>
      <c r="L159" s="409" t="s">
        <v>2562</v>
      </c>
      <c r="M159" s="409" t="s">
        <v>1248</v>
      </c>
      <c r="N159" s="408" t="s">
        <v>6309</v>
      </c>
      <c r="O159" s="409" t="s">
        <v>6184</v>
      </c>
      <c r="P159" s="408" t="s">
        <v>6636</v>
      </c>
      <c r="T159" s="409" t="s">
        <v>626</v>
      </c>
      <c r="Z159" s="409" t="s">
        <v>628</v>
      </c>
      <c r="AA159" s="408">
        <f t="shared" si="34"/>
        <v>0</v>
      </c>
      <c r="AB159" s="408">
        <f t="shared" si="24"/>
        <v>0</v>
      </c>
      <c r="AC159" s="408">
        <f t="shared" si="25"/>
        <v>0</v>
      </c>
      <c r="AD159" s="408">
        <f t="shared" si="26"/>
        <v>1</v>
      </c>
      <c r="AE159" s="408">
        <f t="shared" si="27"/>
        <v>0</v>
      </c>
      <c r="AF159" s="408">
        <f t="shared" si="28"/>
        <v>0</v>
      </c>
      <c r="AG159" s="408">
        <f t="shared" si="29"/>
        <v>0</v>
      </c>
      <c r="AH159" s="408">
        <f t="shared" si="30"/>
        <v>0</v>
      </c>
      <c r="AI159" s="408">
        <f t="shared" si="31"/>
        <v>0</v>
      </c>
      <c r="AJ159" s="408">
        <f t="shared" si="32"/>
        <v>1</v>
      </c>
    </row>
    <row r="160" spans="1:36" x14ac:dyDescent="0.25">
      <c r="A160" s="409">
        <f t="shared" si="35"/>
        <v>159</v>
      </c>
      <c r="B160" s="410" t="s">
        <v>2957</v>
      </c>
      <c r="C160" s="410" t="s">
        <v>6205</v>
      </c>
      <c r="D160" s="409">
        <v>3</v>
      </c>
      <c r="E160" s="408"/>
      <c r="F160" s="409" t="str">
        <f>""</f>
        <v/>
      </c>
      <c r="G160" s="409" t="s">
        <v>6212</v>
      </c>
      <c r="H160" s="409" t="s">
        <v>6219</v>
      </c>
      <c r="I160" s="409" t="str">
        <f t="shared" si="33"/>
        <v/>
      </c>
      <c r="J160" s="409" t="s">
        <v>6310</v>
      </c>
      <c r="K160" s="409" t="s">
        <v>2536</v>
      </c>
      <c r="L160" s="409" t="s">
        <v>2562</v>
      </c>
      <c r="M160" s="409" t="s">
        <v>1248</v>
      </c>
      <c r="N160" s="408" t="s">
        <v>6311</v>
      </c>
      <c r="O160" s="409" t="s">
        <v>6184</v>
      </c>
      <c r="P160" s="408" t="s">
        <v>6637</v>
      </c>
      <c r="Q160" s="409" t="s">
        <v>1112</v>
      </c>
      <c r="V160" s="409" t="s">
        <v>620</v>
      </c>
      <c r="Z160" s="409" t="s">
        <v>628</v>
      </c>
      <c r="AA160" s="408">
        <f t="shared" si="34"/>
        <v>1</v>
      </c>
      <c r="AB160" s="408">
        <f t="shared" si="24"/>
        <v>0</v>
      </c>
      <c r="AC160" s="408">
        <f t="shared" si="25"/>
        <v>0</v>
      </c>
      <c r="AD160" s="408">
        <f t="shared" si="26"/>
        <v>0</v>
      </c>
      <c r="AE160" s="408">
        <f t="shared" si="27"/>
        <v>0</v>
      </c>
      <c r="AF160" s="408">
        <f t="shared" si="28"/>
        <v>1</v>
      </c>
      <c r="AG160" s="408">
        <f t="shared" si="29"/>
        <v>0</v>
      </c>
      <c r="AH160" s="408">
        <f t="shared" si="30"/>
        <v>0</v>
      </c>
      <c r="AI160" s="408">
        <f t="shared" si="31"/>
        <v>0</v>
      </c>
      <c r="AJ160" s="408">
        <f t="shared" si="32"/>
        <v>1</v>
      </c>
    </row>
    <row r="161" spans="1:36" x14ac:dyDescent="0.25">
      <c r="A161" s="409">
        <f t="shared" si="35"/>
        <v>160</v>
      </c>
      <c r="B161" s="410" t="s">
        <v>2961</v>
      </c>
      <c r="C161" s="410" t="s">
        <v>6196</v>
      </c>
      <c r="D161" s="409">
        <v>1</v>
      </c>
      <c r="E161" s="408"/>
      <c r="F161" s="409" t="str">
        <f>""</f>
        <v/>
      </c>
      <c r="G161" s="409" t="s">
        <v>6835</v>
      </c>
      <c r="H161" s="409" t="s">
        <v>6219</v>
      </c>
      <c r="I161" s="409" t="str">
        <f t="shared" si="33"/>
        <v/>
      </c>
      <c r="J161" s="409" t="s">
        <v>6192</v>
      </c>
      <c r="K161" s="409" t="s">
        <v>2536</v>
      </c>
      <c r="L161" s="409" t="s">
        <v>2562</v>
      </c>
      <c r="M161" s="409" t="s">
        <v>1248</v>
      </c>
      <c r="N161" s="408" t="s">
        <v>6312</v>
      </c>
      <c r="O161" s="409" t="s">
        <v>6190</v>
      </c>
      <c r="P161" s="408" t="s">
        <v>6313</v>
      </c>
      <c r="S161" s="409" t="s">
        <v>624</v>
      </c>
      <c r="W161" s="409" t="s">
        <v>621</v>
      </c>
      <c r="AA161" s="408">
        <f t="shared" si="34"/>
        <v>0</v>
      </c>
      <c r="AB161" s="408">
        <f t="shared" si="24"/>
        <v>0</v>
      </c>
      <c r="AC161" s="408">
        <f t="shared" si="25"/>
        <v>1</v>
      </c>
      <c r="AD161" s="408">
        <f t="shared" si="26"/>
        <v>0</v>
      </c>
      <c r="AE161" s="408">
        <f t="shared" si="27"/>
        <v>0</v>
      </c>
      <c r="AF161" s="408">
        <f t="shared" si="28"/>
        <v>0</v>
      </c>
      <c r="AG161" s="408">
        <f t="shared" si="29"/>
        <v>1</v>
      </c>
      <c r="AH161" s="408">
        <f t="shared" si="30"/>
        <v>0</v>
      </c>
      <c r="AI161" s="408">
        <f t="shared" si="31"/>
        <v>0</v>
      </c>
      <c r="AJ161" s="408">
        <f t="shared" si="32"/>
        <v>0</v>
      </c>
    </row>
    <row r="162" spans="1:36" x14ac:dyDescent="0.25">
      <c r="A162" s="409">
        <f t="shared" si="35"/>
        <v>161</v>
      </c>
      <c r="B162" s="410" t="s">
        <v>2964</v>
      </c>
      <c r="C162" s="410" t="s">
        <v>6214</v>
      </c>
      <c r="D162" s="409">
        <v>4</v>
      </c>
      <c r="E162" s="408"/>
      <c r="F162" s="409" t="str">
        <f>""</f>
        <v/>
      </c>
      <c r="G162" s="409" t="s">
        <v>6841</v>
      </c>
      <c r="H162" s="409" t="s">
        <v>5950</v>
      </c>
      <c r="I162" s="409" t="str">
        <f t="shared" si="33"/>
        <v>Concentration</v>
      </c>
      <c r="J162" s="409" t="s">
        <v>6210</v>
      </c>
      <c r="K162" s="409" t="s">
        <v>2536</v>
      </c>
      <c r="L162" s="409" t="s">
        <v>2562</v>
      </c>
      <c r="M162" s="409" t="s">
        <v>3857</v>
      </c>
      <c r="N162" s="408" t="str">
        <f>""</f>
        <v/>
      </c>
      <c r="O162" s="409" t="s">
        <v>6185</v>
      </c>
      <c r="P162" s="408" t="s">
        <v>6638</v>
      </c>
      <c r="S162" s="409" t="s">
        <v>624</v>
      </c>
      <c r="W162" s="409" t="s">
        <v>621</v>
      </c>
      <c r="AA162" s="408">
        <f t="shared" si="34"/>
        <v>0</v>
      </c>
      <c r="AB162" s="408">
        <f t="shared" si="24"/>
        <v>0</v>
      </c>
      <c r="AC162" s="408">
        <f t="shared" si="25"/>
        <v>1</v>
      </c>
      <c r="AD162" s="408">
        <f t="shared" si="26"/>
        <v>0</v>
      </c>
      <c r="AE162" s="408">
        <f t="shared" si="27"/>
        <v>0</v>
      </c>
      <c r="AF162" s="408">
        <f t="shared" si="28"/>
        <v>0</v>
      </c>
      <c r="AG162" s="408">
        <f t="shared" si="29"/>
        <v>1</v>
      </c>
      <c r="AH162" s="408">
        <f t="shared" si="30"/>
        <v>0</v>
      </c>
      <c r="AI162" s="408">
        <f t="shared" si="31"/>
        <v>0</v>
      </c>
      <c r="AJ162" s="408">
        <f t="shared" si="32"/>
        <v>0</v>
      </c>
    </row>
    <row r="163" spans="1:36" x14ac:dyDescent="0.25">
      <c r="A163" s="409">
        <f t="shared" si="35"/>
        <v>162</v>
      </c>
      <c r="B163" s="410" t="s">
        <v>2966</v>
      </c>
      <c r="C163" s="410" t="s">
        <v>6196</v>
      </c>
      <c r="D163" s="409">
        <v>1</v>
      </c>
      <c r="E163" s="408"/>
      <c r="F163" s="409" t="str">
        <f>""</f>
        <v/>
      </c>
      <c r="G163" s="409" t="s">
        <v>6835</v>
      </c>
      <c r="H163" s="409" t="s">
        <v>424</v>
      </c>
      <c r="I163" s="409" t="str">
        <f t="shared" si="33"/>
        <v/>
      </c>
      <c r="J163" s="409" t="s">
        <v>6206</v>
      </c>
      <c r="K163" s="409" t="s">
        <v>2536</v>
      </c>
      <c r="L163" s="409" t="s">
        <v>2562</v>
      </c>
      <c r="M163" s="409" t="s">
        <v>1248</v>
      </c>
      <c r="N163" s="408" t="s">
        <v>6314</v>
      </c>
      <c r="O163" s="409" t="s">
        <v>6185</v>
      </c>
      <c r="P163" s="408" t="s">
        <v>6639</v>
      </c>
      <c r="Z163" s="409" t="s">
        <v>628</v>
      </c>
      <c r="AA163" s="408">
        <f t="shared" si="34"/>
        <v>0</v>
      </c>
      <c r="AB163" s="408">
        <f t="shared" si="24"/>
        <v>0</v>
      </c>
      <c r="AC163" s="408">
        <f t="shared" si="25"/>
        <v>0</v>
      </c>
      <c r="AD163" s="408">
        <f t="shared" si="26"/>
        <v>0</v>
      </c>
      <c r="AE163" s="408">
        <f t="shared" si="27"/>
        <v>0</v>
      </c>
      <c r="AF163" s="408">
        <f t="shared" si="28"/>
        <v>0</v>
      </c>
      <c r="AG163" s="408">
        <f t="shared" si="29"/>
        <v>0</v>
      </c>
      <c r="AH163" s="408">
        <f t="shared" si="30"/>
        <v>0</v>
      </c>
      <c r="AI163" s="408">
        <f t="shared" si="31"/>
        <v>0</v>
      </c>
      <c r="AJ163" s="408">
        <f t="shared" si="32"/>
        <v>1</v>
      </c>
    </row>
    <row r="164" spans="1:36" x14ac:dyDescent="0.25">
      <c r="A164" s="409">
        <f t="shared" si="35"/>
        <v>163</v>
      </c>
      <c r="B164" s="410" t="s">
        <v>2969</v>
      </c>
      <c r="C164" s="410" t="s">
        <v>6214</v>
      </c>
      <c r="D164" s="409">
        <v>4</v>
      </c>
      <c r="E164" s="408"/>
      <c r="F164" s="409" t="str">
        <f>""</f>
        <v/>
      </c>
      <c r="G164" s="409" t="s">
        <v>6835</v>
      </c>
      <c r="H164" s="409" t="s">
        <v>6219</v>
      </c>
      <c r="I164" s="409" t="str">
        <f t="shared" si="33"/>
        <v>Concentration</v>
      </c>
      <c r="J164" s="409" t="s">
        <v>6210</v>
      </c>
      <c r="K164" s="409" t="s">
        <v>2536</v>
      </c>
      <c r="L164" s="409" t="s">
        <v>2562</v>
      </c>
      <c r="M164" s="409" t="s">
        <v>3857</v>
      </c>
      <c r="N164" s="408" t="str">
        <f>""</f>
        <v/>
      </c>
      <c r="O164" s="409" t="s">
        <v>6188</v>
      </c>
      <c r="P164" s="408" t="s">
        <v>2971</v>
      </c>
      <c r="Q164" s="409" t="s">
        <v>1112</v>
      </c>
      <c r="T164" s="409" t="s">
        <v>626</v>
      </c>
      <c r="Z164" s="409" t="s">
        <v>628</v>
      </c>
      <c r="AA164" s="408">
        <f t="shared" si="34"/>
        <v>1</v>
      </c>
      <c r="AB164" s="408">
        <f t="shared" si="24"/>
        <v>0</v>
      </c>
      <c r="AC164" s="408">
        <f t="shared" si="25"/>
        <v>0</v>
      </c>
      <c r="AD164" s="408">
        <f t="shared" si="26"/>
        <v>1</v>
      </c>
      <c r="AE164" s="408">
        <f t="shared" si="27"/>
        <v>0</v>
      </c>
      <c r="AF164" s="408">
        <f t="shared" si="28"/>
        <v>0</v>
      </c>
      <c r="AG164" s="408">
        <f t="shared" si="29"/>
        <v>0</v>
      </c>
      <c r="AH164" s="408">
        <f t="shared" si="30"/>
        <v>0</v>
      </c>
      <c r="AI164" s="408">
        <f t="shared" si="31"/>
        <v>0</v>
      </c>
      <c r="AJ164" s="408">
        <f t="shared" si="32"/>
        <v>1</v>
      </c>
    </row>
    <row r="165" spans="1:36" x14ac:dyDescent="0.25">
      <c r="A165" s="409">
        <f t="shared" si="35"/>
        <v>164</v>
      </c>
      <c r="B165" s="410" t="s">
        <v>2972</v>
      </c>
      <c r="C165" s="410" t="s">
        <v>6208</v>
      </c>
      <c r="D165" s="409">
        <v>5</v>
      </c>
      <c r="E165" s="408"/>
      <c r="F165" s="409" t="str">
        <f>""</f>
        <v/>
      </c>
      <c r="G165" s="409" t="s">
        <v>6835</v>
      </c>
      <c r="H165" s="409" t="s">
        <v>6219</v>
      </c>
      <c r="I165" s="409" t="str">
        <f t="shared" si="33"/>
        <v/>
      </c>
      <c r="J165" s="409" t="s">
        <v>6192</v>
      </c>
      <c r="K165" s="409" t="s">
        <v>2536</v>
      </c>
      <c r="L165" s="409" t="s">
        <v>2562</v>
      </c>
      <c r="M165" s="409" t="s">
        <v>1248</v>
      </c>
      <c r="N165" s="408" t="s">
        <v>6315</v>
      </c>
      <c r="O165" s="409" t="s">
        <v>6184</v>
      </c>
      <c r="P165" s="408" t="s">
        <v>6640</v>
      </c>
      <c r="Q165" s="409" t="s">
        <v>1112</v>
      </c>
      <c r="V165" s="409" t="s">
        <v>620</v>
      </c>
      <c r="W165" s="409" t="s">
        <v>621</v>
      </c>
      <c r="AA165" s="408">
        <f t="shared" si="34"/>
        <v>1</v>
      </c>
      <c r="AB165" s="408">
        <f t="shared" si="24"/>
        <v>0</v>
      </c>
      <c r="AC165" s="408">
        <f t="shared" si="25"/>
        <v>0</v>
      </c>
      <c r="AD165" s="408">
        <f t="shared" si="26"/>
        <v>0</v>
      </c>
      <c r="AE165" s="408">
        <f t="shared" si="27"/>
        <v>0</v>
      </c>
      <c r="AF165" s="408">
        <f t="shared" si="28"/>
        <v>1</v>
      </c>
      <c r="AG165" s="408">
        <f t="shared" si="29"/>
        <v>1</v>
      </c>
      <c r="AH165" s="408">
        <f t="shared" si="30"/>
        <v>0</v>
      </c>
      <c r="AI165" s="408">
        <f t="shared" si="31"/>
        <v>0</v>
      </c>
      <c r="AJ165" s="408">
        <f t="shared" si="32"/>
        <v>0</v>
      </c>
    </row>
    <row r="166" spans="1:36" x14ac:dyDescent="0.25">
      <c r="A166" s="409">
        <f t="shared" si="35"/>
        <v>165</v>
      </c>
      <c r="B166" s="410" t="s">
        <v>2975</v>
      </c>
      <c r="C166" s="410" t="s">
        <v>6214</v>
      </c>
      <c r="D166" s="409">
        <v>4</v>
      </c>
      <c r="E166" s="408"/>
      <c r="F166" s="409" t="str">
        <f>""</f>
        <v/>
      </c>
      <c r="G166" s="409" t="s">
        <v>6835</v>
      </c>
      <c r="H166" s="409" t="s">
        <v>5950</v>
      </c>
      <c r="I166" s="409" t="str">
        <f t="shared" si="33"/>
        <v/>
      </c>
      <c r="J166" s="409" t="s">
        <v>6194</v>
      </c>
      <c r="K166" s="409" t="s">
        <v>2536</v>
      </c>
      <c r="L166" s="409" t="s">
        <v>3857</v>
      </c>
      <c r="M166" s="409" t="s">
        <v>3857</v>
      </c>
      <c r="N166" s="408" t="str">
        <f>""</f>
        <v/>
      </c>
      <c r="O166" s="409" t="s">
        <v>6185</v>
      </c>
      <c r="P166" s="408" t="s">
        <v>6641</v>
      </c>
      <c r="V166" s="409" t="s">
        <v>620</v>
      </c>
      <c r="AA166" s="408">
        <f t="shared" si="34"/>
        <v>0</v>
      </c>
      <c r="AB166" s="408">
        <f t="shared" si="24"/>
        <v>0</v>
      </c>
      <c r="AC166" s="408">
        <f t="shared" si="25"/>
        <v>0</v>
      </c>
      <c r="AD166" s="408">
        <f t="shared" si="26"/>
        <v>0</v>
      </c>
      <c r="AE166" s="408">
        <f t="shared" si="27"/>
        <v>0</v>
      </c>
      <c r="AF166" s="408">
        <f t="shared" si="28"/>
        <v>1</v>
      </c>
      <c r="AG166" s="408">
        <f t="shared" si="29"/>
        <v>0</v>
      </c>
      <c r="AH166" s="408">
        <f t="shared" si="30"/>
        <v>0</v>
      </c>
      <c r="AI166" s="408">
        <f t="shared" si="31"/>
        <v>0</v>
      </c>
      <c r="AJ166" s="408">
        <f t="shared" si="32"/>
        <v>0</v>
      </c>
    </row>
    <row r="167" spans="1:36" x14ac:dyDescent="0.25">
      <c r="A167" s="409">
        <f t="shared" si="35"/>
        <v>166</v>
      </c>
      <c r="B167" s="410" t="s">
        <v>2977</v>
      </c>
      <c r="C167" s="410" t="s">
        <v>6216</v>
      </c>
      <c r="D167" s="409">
        <v>6</v>
      </c>
      <c r="E167" s="408"/>
      <c r="F167" s="409" t="str">
        <f>""</f>
        <v/>
      </c>
      <c r="G167" s="409" t="s">
        <v>6241</v>
      </c>
      <c r="H167" s="409" t="s">
        <v>6219</v>
      </c>
      <c r="I167" s="409" t="str">
        <f t="shared" si="33"/>
        <v/>
      </c>
      <c r="J167" s="409" t="s">
        <v>6201</v>
      </c>
      <c r="K167" s="409" t="s">
        <v>2536</v>
      </c>
      <c r="L167" s="409" t="s">
        <v>2562</v>
      </c>
      <c r="M167" s="409" t="s">
        <v>1248</v>
      </c>
      <c r="N167" s="408" t="s">
        <v>6316</v>
      </c>
      <c r="O167" s="409" t="s">
        <v>6184</v>
      </c>
      <c r="P167" s="408" t="s">
        <v>6642</v>
      </c>
      <c r="Q167" s="409" t="s">
        <v>1112</v>
      </c>
      <c r="Z167" s="409" t="s">
        <v>628</v>
      </c>
      <c r="AA167" s="408">
        <f t="shared" si="34"/>
        <v>1</v>
      </c>
      <c r="AB167" s="408">
        <f t="shared" si="24"/>
        <v>0</v>
      </c>
      <c r="AC167" s="408">
        <f t="shared" si="25"/>
        <v>0</v>
      </c>
      <c r="AD167" s="408">
        <f t="shared" si="26"/>
        <v>0</v>
      </c>
      <c r="AE167" s="408">
        <f t="shared" si="27"/>
        <v>0</v>
      </c>
      <c r="AF167" s="408">
        <f t="shared" si="28"/>
        <v>0</v>
      </c>
      <c r="AG167" s="408">
        <f t="shared" si="29"/>
        <v>0</v>
      </c>
      <c r="AH167" s="408">
        <f t="shared" si="30"/>
        <v>0</v>
      </c>
      <c r="AI167" s="408">
        <f t="shared" si="31"/>
        <v>0</v>
      </c>
      <c r="AJ167" s="408">
        <f t="shared" si="32"/>
        <v>1</v>
      </c>
    </row>
    <row r="168" spans="1:36" x14ac:dyDescent="0.25">
      <c r="A168" s="409">
        <f t="shared" si="35"/>
        <v>167</v>
      </c>
      <c r="B168" s="410" t="s">
        <v>2980</v>
      </c>
      <c r="C168" s="410" t="s">
        <v>6191</v>
      </c>
      <c r="D168" s="409">
        <v>0.5</v>
      </c>
      <c r="E168" s="408"/>
      <c r="F168" s="409" t="str">
        <f>""</f>
        <v/>
      </c>
      <c r="G168" s="409" t="s">
        <v>6835</v>
      </c>
      <c r="H168" s="409" t="s">
        <v>6219</v>
      </c>
      <c r="I168" s="409" t="str">
        <f t="shared" si="33"/>
        <v>Concentration</v>
      </c>
      <c r="J168" s="409" t="s">
        <v>6210</v>
      </c>
      <c r="K168" s="409" t="s">
        <v>2536</v>
      </c>
      <c r="L168" s="409" t="s">
        <v>2562</v>
      </c>
      <c r="M168" s="409" t="s">
        <v>3857</v>
      </c>
      <c r="N168" s="408" t="str">
        <f>""</f>
        <v/>
      </c>
      <c r="O168" s="409" t="s">
        <v>2792</v>
      </c>
      <c r="P168" s="408" t="s">
        <v>2982</v>
      </c>
      <c r="V168" s="409" t="s">
        <v>620</v>
      </c>
      <c r="W168" s="409" t="s">
        <v>621</v>
      </c>
      <c r="AA168" s="408">
        <f t="shared" si="34"/>
        <v>0</v>
      </c>
      <c r="AB168" s="408">
        <f t="shared" si="24"/>
        <v>0</v>
      </c>
      <c r="AC168" s="408">
        <f t="shared" si="25"/>
        <v>0</v>
      </c>
      <c r="AD168" s="408">
        <f t="shared" si="26"/>
        <v>0</v>
      </c>
      <c r="AE168" s="408">
        <f t="shared" si="27"/>
        <v>0</v>
      </c>
      <c r="AF168" s="408">
        <f t="shared" si="28"/>
        <v>1</v>
      </c>
      <c r="AG168" s="408">
        <f t="shared" si="29"/>
        <v>1</v>
      </c>
      <c r="AH168" s="408">
        <f t="shared" si="30"/>
        <v>0</v>
      </c>
      <c r="AI168" s="408">
        <f t="shared" si="31"/>
        <v>0</v>
      </c>
      <c r="AJ168" s="408">
        <f t="shared" si="32"/>
        <v>0</v>
      </c>
    </row>
    <row r="169" spans="1:36" x14ac:dyDescent="0.25">
      <c r="A169" s="409">
        <f t="shared" si="35"/>
        <v>168</v>
      </c>
      <c r="B169" s="410" t="s">
        <v>2983</v>
      </c>
      <c r="C169" s="410" t="s">
        <v>6196</v>
      </c>
      <c r="D169" s="409">
        <v>1</v>
      </c>
      <c r="E169" s="408"/>
      <c r="F169" s="409" t="str">
        <f>""</f>
        <v/>
      </c>
      <c r="G169" s="409" t="s">
        <v>6835</v>
      </c>
      <c r="H169" s="409" t="s">
        <v>6209</v>
      </c>
      <c r="I169" s="409" t="str">
        <f t="shared" si="33"/>
        <v/>
      </c>
      <c r="J169" s="409" t="s">
        <v>6235</v>
      </c>
      <c r="K169" s="409" t="s">
        <v>2536</v>
      </c>
      <c r="L169" s="409" t="s">
        <v>2562</v>
      </c>
      <c r="M169" s="409" t="s">
        <v>3857</v>
      </c>
      <c r="N169" s="408" t="str">
        <f>""</f>
        <v/>
      </c>
      <c r="O169" s="409" t="s">
        <v>6187</v>
      </c>
      <c r="P169" s="408" t="s">
        <v>6643</v>
      </c>
      <c r="V169" s="409" t="s">
        <v>620</v>
      </c>
      <c r="AA169" s="408">
        <f t="shared" si="34"/>
        <v>0</v>
      </c>
      <c r="AB169" s="408">
        <f t="shared" si="24"/>
        <v>0</v>
      </c>
      <c r="AC169" s="408">
        <f t="shared" si="25"/>
        <v>0</v>
      </c>
      <c r="AD169" s="408">
        <f t="shared" si="26"/>
        <v>0</v>
      </c>
      <c r="AE169" s="408">
        <f t="shared" si="27"/>
        <v>0</v>
      </c>
      <c r="AF169" s="408">
        <f t="shared" si="28"/>
        <v>1</v>
      </c>
      <c r="AG169" s="408">
        <f t="shared" si="29"/>
        <v>0</v>
      </c>
      <c r="AH169" s="408">
        <f t="shared" si="30"/>
        <v>0</v>
      </c>
      <c r="AI169" s="408">
        <f t="shared" si="31"/>
        <v>0</v>
      </c>
      <c r="AJ169" s="408">
        <f t="shared" si="32"/>
        <v>0</v>
      </c>
    </row>
    <row r="170" spans="1:36" x14ac:dyDescent="0.25">
      <c r="A170" s="409">
        <f t="shared" si="35"/>
        <v>169</v>
      </c>
      <c r="B170" s="410" t="s">
        <v>2985</v>
      </c>
      <c r="C170" s="410" t="s">
        <v>6193</v>
      </c>
      <c r="D170" s="409">
        <v>2</v>
      </c>
      <c r="E170" s="408"/>
      <c r="F170" s="409" t="str">
        <f>""</f>
        <v/>
      </c>
      <c r="G170" s="409" t="s">
        <v>6835</v>
      </c>
      <c r="H170" s="409" t="s">
        <v>6199</v>
      </c>
      <c r="I170" s="409" t="str">
        <f t="shared" si="33"/>
        <v>Concentration</v>
      </c>
      <c r="J170" s="409" t="s">
        <v>6210</v>
      </c>
      <c r="K170" s="409" t="s">
        <v>2536</v>
      </c>
      <c r="L170" s="409" t="s">
        <v>2562</v>
      </c>
      <c r="M170" s="409" t="s">
        <v>1248</v>
      </c>
      <c r="N170" s="408" t="s">
        <v>6317</v>
      </c>
      <c r="O170" s="409" t="s">
        <v>6187</v>
      </c>
      <c r="P170" s="408" t="s">
        <v>6644</v>
      </c>
      <c r="T170" s="409" t="s">
        <v>626</v>
      </c>
      <c r="W170" s="409" t="s">
        <v>621</v>
      </c>
      <c r="Z170" s="409" t="s">
        <v>628</v>
      </c>
      <c r="AA170" s="408">
        <f t="shared" si="34"/>
        <v>0</v>
      </c>
      <c r="AB170" s="408">
        <f t="shared" si="24"/>
        <v>0</v>
      </c>
      <c r="AC170" s="408">
        <f t="shared" si="25"/>
        <v>0</v>
      </c>
      <c r="AD170" s="408">
        <f t="shared" si="26"/>
        <v>1</v>
      </c>
      <c r="AE170" s="408">
        <f t="shared" si="27"/>
        <v>0</v>
      </c>
      <c r="AF170" s="408">
        <f t="shared" si="28"/>
        <v>0</v>
      </c>
      <c r="AG170" s="408">
        <f t="shared" si="29"/>
        <v>1</v>
      </c>
      <c r="AH170" s="408">
        <f t="shared" si="30"/>
        <v>0</v>
      </c>
      <c r="AI170" s="408">
        <f t="shared" si="31"/>
        <v>0</v>
      </c>
      <c r="AJ170" s="408">
        <f t="shared" si="32"/>
        <v>1</v>
      </c>
    </row>
    <row r="171" spans="1:36" x14ac:dyDescent="0.25">
      <c r="A171" s="409">
        <f t="shared" si="35"/>
        <v>170</v>
      </c>
      <c r="B171" s="410" t="s">
        <v>2989</v>
      </c>
      <c r="C171" s="410" t="s">
        <v>6196</v>
      </c>
      <c r="D171" s="409">
        <v>1</v>
      </c>
      <c r="E171" s="408"/>
      <c r="F171" s="409" t="str">
        <f>""</f>
        <v/>
      </c>
      <c r="G171" s="409" t="s">
        <v>6841</v>
      </c>
      <c r="H171" s="409" t="s">
        <v>6199</v>
      </c>
      <c r="I171" s="409" t="str">
        <f t="shared" si="33"/>
        <v>Concentration</v>
      </c>
      <c r="J171" s="409" t="s">
        <v>6210</v>
      </c>
      <c r="K171" s="409" t="s">
        <v>2536</v>
      </c>
      <c r="L171" s="409" t="s">
        <v>3857</v>
      </c>
      <c r="M171" s="409" t="s">
        <v>3857</v>
      </c>
      <c r="N171" s="408" t="str">
        <f>""</f>
        <v/>
      </c>
      <c r="O171" s="409" t="s">
        <v>6185</v>
      </c>
      <c r="P171" s="408" t="s">
        <v>6645</v>
      </c>
      <c r="S171" s="409" t="s">
        <v>624</v>
      </c>
      <c r="AA171" s="408">
        <f t="shared" si="34"/>
        <v>0</v>
      </c>
      <c r="AB171" s="408">
        <f t="shared" si="24"/>
        <v>0</v>
      </c>
      <c r="AC171" s="408">
        <f t="shared" si="25"/>
        <v>1</v>
      </c>
      <c r="AD171" s="408">
        <f t="shared" si="26"/>
        <v>0</v>
      </c>
      <c r="AE171" s="408">
        <f t="shared" si="27"/>
        <v>0</v>
      </c>
      <c r="AF171" s="408">
        <f t="shared" si="28"/>
        <v>0</v>
      </c>
      <c r="AG171" s="408">
        <f t="shared" si="29"/>
        <v>0</v>
      </c>
      <c r="AH171" s="408">
        <f t="shared" si="30"/>
        <v>0</v>
      </c>
      <c r="AI171" s="408">
        <f t="shared" si="31"/>
        <v>0</v>
      </c>
      <c r="AJ171" s="408">
        <f t="shared" si="32"/>
        <v>0</v>
      </c>
    </row>
    <row r="172" spans="1:36" x14ac:dyDescent="0.25">
      <c r="A172" s="409">
        <f t="shared" si="35"/>
        <v>171</v>
      </c>
      <c r="B172" s="410" t="s">
        <v>2991</v>
      </c>
      <c r="C172" s="410" t="s">
        <v>6208</v>
      </c>
      <c r="D172" s="409">
        <v>5</v>
      </c>
      <c r="E172" s="408"/>
      <c r="F172" s="409" t="str">
        <f>""</f>
        <v/>
      </c>
      <c r="G172" s="409" t="s">
        <v>6201</v>
      </c>
      <c r="H172" s="409" t="s">
        <v>6219</v>
      </c>
      <c r="I172" s="409" t="str">
        <f t="shared" si="33"/>
        <v/>
      </c>
      <c r="J172" s="409" t="s">
        <v>6220</v>
      </c>
      <c r="K172" s="409" t="s">
        <v>2536</v>
      </c>
      <c r="L172" s="409" t="s">
        <v>2562</v>
      </c>
      <c r="M172" s="409" t="s">
        <v>1248</v>
      </c>
      <c r="N172" s="408" t="s">
        <v>6318</v>
      </c>
      <c r="O172" s="409" t="s">
        <v>6187</v>
      </c>
      <c r="P172" s="408" t="s">
        <v>6646</v>
      </c>
      <c r="V172" s="409" t="s">
        <v>620</v>
      </c>
      <c r="AA172" s="408">
        <f t="shared" si="34"/>
        <v>0</v>
      </c>
      <c r="AB172" s="408">
        <f t="shared" si="24"/>
        <v>0</v>
      </c>
      <c r="AC172" s="408">
        <f t="shared" si="25"/>
        <v>0</v>
      </c>
      <c r="AD172" s="408">
        <f t="shared" si="26"/>
        <v>0</v>
      </c>
      <c r="AE172" s="408">
        <f t="shared" si="27"/>
        <v>0</v>
      </c>
      <c r="AF172" s="408">
        <f t="shared" si="28"/>
        <v>1</v>
      </c>
      <c r="AG172" s="408">
        <f t="shared" si="29"/>
        <v>0</v>
      </c>
      <c r="AH172" s="408">
        <f t="shared" si="30"/>
        <v>0</v>
      </c>
      <c r="AI172" s="408">
        <f t="shared" si="31"/>
        <v>0</v>
      </c>
      <c r="AJ172" s="408">
        <f t="shared" si="32"/>
        <v>0</v>
      </c>
    </row>
    <row r="173" spans="1:36" x14ac:dyDescent="0.25">
      <c r="A173" s="409">
        <f t="shared" si="35"/>
        <v>172</v>
      </c>
      <c r="B173" s="410" t="s">
        <v>2995</v>
      </c>
      <c r="C173" s="410" t="s">
        <v>6214</v>
      </c>
      <c r="D173" s="409">
        <v>4</v>
      </c>
      <c r="E173" s="408"/>
      <c r="F173" s="409" t="str">
        <f>""</f>
        <v/>
      </c>
      <c r="G173" s="409" t="s">
        <v>6241</v>
      </c>
      <c r="H173" s="409" t="s">
        <v>6257</v>
      </c>
      <c r="I173" s="409" t="str">
        <f t="shared" si="33"/>
        <v/>
      </c>
      <c r="J173" s="409" t="s">
        <v>6201</v>
      </c>
      <c r="K173" s="409" t="s">
        <v>2536</v>
      </c>
      <c r="L173" s="409" t="s">
        <v>2562</v>
      </c>
      <c r="M173" s="409" t="s">
        <v>1248</v>
      </c>
      <c r="N173" s="408" t="s">
        <v>6319</v>
      </c>
      <c r="O173" s="409" t="s">
        <v>6188</v>
      </c>
      <c r="P173" s="408" t="s">
        <v>6647</v>
      </c>
      <c r="Q173" s="409" t="s">
        <v>1112</v>
      </c>
      <c r="U173" s="409" t="s">
        <v>627</v>
      </c>
      <c r="W173" s="409" t="s">
        <v>621</v>
      </c>
      <c r="Z173" s="409" t="s">
        <v>628</v>
      </c>
      <c r="AA173" s="408">
        <f t="shared" si="34"/>
        <v>1</v>
      </c>
      <c r="AB173" s="408">
        <f t="shared" si="24"/>
        <v>0</v>
      </c>
      <c r="AC173" s="408">
        <f t="shared" si="25"/>
        <v>0</v>
      </c>
      <c r="AD173" s="408">
        <f t="shared" si="26"/>
        <v>0</v>
      </c>
      <c r="AE173" s="408">
        <f t="shared" si="27"/>
        <v>1</v>
      </c>
      <c r="AF173" s="408">
        <f t="shared" si="28"/>
        <v>0</v>
      </c>
      <c r="AG173" s="408">
        <f t="shared" si="29"/>
        <v>1</v>
      </c>
      <c r="AH173" s="408">
        <f t="shared" si="30"/>
        <v>0</v>
      </c>
      <c r="AI173" s="408">
        <f t="shared" si="31"/>
        <v>0</v>
      </c>
      <c r="AJ173" s="408">
        <f t="shared" si="32"/>
        <v>1</v>
      </c>
    </row>
    <row r="174" spans="1:36" x14ac:dyDescent="0.25">
      <c r="A174" s="409">
        <f t="shared" si="35"/>
        <v>173</v>
      </c>
      <c r="B174" s="410" t="s">
        <v>2998</v>
      </c>
      <c r="C174" s="410" t="s">
        <v>6216</v>
      </c>
      <c r="D174" s="409">
        <v>6</v>
      </c>
      <c r="E174" s="408"/>
      <c r="F174" s="409" t="str">
        <f>""</f>
        <v/>
      </c>
      <c r="G174" s="409" t="s">
        <v>6835</v>
      </c>
      <c r="H174" s="409" t="s">
        <v>424</v>
      </c>
      <c r="I174" s="409" t="str">
        <f t="shared" si="33"/>
        <v/>
      </c>
      <c r="J174" s="409" t="s">
        <v>6192</v>
      </c>
      <c r="K174" s="409" t="s">
        <v>2536</v>
      </c>
      <c r="L174" s="409" t="s">
        <v>2562</v>
      </c>
      <c r="M174" s="409" t="s">
        <v>3857</v>
      </c>
      <c r="N174" s="408" t="str">
        <f>""</f>
        <v/>
      </c>
      <c r="O174" s="409" t="s">
        <v>6189</v>
      </c>
      <c r="P174" s="408" t="s">
        <v>2999</v>
      </c>
      <c r="V174" s="409" t="s">
        <v>620</v>
      </c>
      <c r="AA174" s="408">
        <f t="shared" si="34"/>
        <v>0</v>
      </c>
      <c r="AB174" s="408">
        <f t="shared" si="24"/>
        <v>0</v>
      </c>
      <c r="AC174" s="408">
        <f t="shared" si="25"/>
        <v>0</v>
      </c>
      <c r="AD174" s="408">
        <f t="shared" si="26"/>
        <v>0</v>
      </c>
      <c r="AE174" s="408">
        <f t="shared" si="27"/>
        <v>0</v>
      </c>
      <c r="AF174" s="408">
        <f t="shared" si="28"/>
        <v>1</v>
      </c>
      <c r="AG174" s="408">
        <f t="shared" si="29"/>
        <v>0</v>
      </c>
      <c r="AH174" s="408">
        <f t="shared" si="30"/>
        <v>0</v>
      </c>
      <c r="AI174" s="408">
        <f t="shared" si="31"/>
        <v>0</v>
      </c>
      <c r="AJ174" s="408">
        <f t="shared" si="32"/>
        <v>0</v>
      </c>
    </row>
    <row r="175" spans="1:36" x14ac:dyDescent="0.25">
      <c r="A175" s="409">
        <f t="shared" si="35"/>
        <v>174</v>
      </c>
      <c r="B175" s="410" t="s">
        <v>3000</v>
      </c>
      <c r="C175" s="410" t="s">
        <v>6205</v>
      </c>
      <c r="D175" s="409">
        <v>3</v>
      </c>
      <c r="E175" s="408"/>
      <c r="F175" s="409" t="str">
        <f>""</f>
        <v/>
      </c>
      <c r="G175" s="409" t="s">
        <v>6835</v>
      </c>
      <c r="H175" s="409" t="s">
        <v>5950</v>
      </c>
      <c r="I175" s="409" t="str">
        <f t="shared" si="33"/>
        <v>Concentration</v>
      </c>
      <c r="J175" s="409" t="s">
        <v>6210</v>
      </c>
      <c r="K175" s="409" t="s">
        <v>2536</v>
      </c>
      <c r="L175" s="409" t="s">
        <v>2562</v>
      </c>
      <c r="M175" s="409" t="s">
        <v>1248</v>
      </c>
      <c r="N175" s="408" t="s">
        <v>6320</v>
      </c>
      <c r="O175" s="409" t="s">
        <v>6190</v>
      </c>
      <c r="P175" s="408" t="s">
        <v>6648</v>
      </c>
      <c r="T175" s="409" t="s">
        <v>626</v>
      </c>
      <c r="Z175" s="409" t="s">
        <v>628</v>
      </c>
      <c r="AA175" s="408">
        <f t="shared" si="34"/>
        <v>0</v>
      </c>
      <c r="AB175" s="408">
        <f t="shared" si="24"/>
        <v>0</v>
      </c>
      <c r="AC175" s="408">
        <f t="shared" si="25"/>
        <v>0</v>
      </c>
      <c r="AD175" s="408">
        <f t="shared" si="26"/>
        <v>1</v>
      </c>
      <c r="AE175" s="408">
        <f t="shared" si="27"/>
        <v>0</v>
      </c>
      <c r="AF175" s="408">
        <f t="shared" si="28"/>
        <v>0</v>
      </c>
      <c r="AG175" s="408">
        <f t="shared" si="29"/>
        <v>0</v>
      </c>
      <c r="AH175" s="408">
        <f t="shared" si="30"/>
        <v>0</v>
      </c>
      <c r="AI175" s="408">
        <f t="shared" si="31"/>
        <v>0</v>
      </c>
      <c r="AJ175" s="408">
        <f t="shared" si="32"/>
        <v>1</v>
      </c>
    </row>
    <row r="176" spans="1:36" x14ac:dyDescent="0.25">
      <c r="A176" s="409">
        <f t="shared" si="35"/>
        <v>175</v>
      </c>
      <c r="B176" s="410" t="s">
        <v>3003</v>
      </c>
      <c r="C176" s="410" t="s">
        <v>6216</v>
      </c>
      <c r="D176" s="409">
        <v>6</v>
      </c>
      <c r="E176" s="408"/>
      <c r="F176" s="409" t="str">
        <f>""</f>
        <v/>
      </c>
      <c r="G176" s="409" t="s">
        <v>6835</v>
      </c>
      <c r="H176" s="409" t="s">
        <v>424</v>
      </c>
      <c r="I176" s="409" t="str">
        <f t="shared" si="33"/>
        <v/>
      </c>
      <c r="J176" s="409" t="s">
        <v>6192</v>
      </c>
      <c r="K176" s="409" t="s">
        <v>2536</v>
      </c>
      <c r="L176" s="409" t="s">
        <v>2562</v>
      </c>
      <c r="M176" s="409" t="s">
        <v>3857</v>
      </c>
      <c r="N176" s="408" t="str">
        <f>""</f>
        <v/>
      </c>
      <c r="O176" s="409" t="s">
        <v>6187</v>
      </c>
      <c r="P176" s="408" t="s">
        <v>6649</v>
      </c>
      <c r="V176" s="409" t="s">
        <v>620</v>
      </c>
      <c r="W176" s="409" t="s">
        <v>621</v>
      </c>
      <c r="AA176" s="408">
        <f t="shared" si="34"/>
        <v>0</v>
      </c>
      <c r="AB176" s="408">
        <f t="shared" si="24"/>
        <v>0</v>
      </c>
      <c r="AC176" s="408">
        <f t="shared" si="25"/>
        <v>0</v>
      </c>
      <c r="AD176" s="408">
        <f t="shared" si="26"/>
        <v>0</v>
      </c>
      <c r="AE176" s="408">
        <f t="shared" si="27"/>
        <v>0</v>
      </c>
      <c r="AF176" s="408">
        <f t="shared" si="28"/>
        <v>1</v>
      </c>
      <c r="AG176" s="408">
        <f t="shared" si="29"/>
        <v>1</v>
      </c>
      <c r="AH176" s="408">
        <f t="shared" si="30"/>
        <v>0</v>
      </c>
      <c r="AI176" s="408">
        <f t="shared" si="31"/>
        <v>0</v>
      </c>
      <c r="AJ176" s="408">
        <f t="shared" si="32"/>
        <v>0</v>
      </c>
    </row>
    <row r="177" spans="1:36" x14ac:dyDescent="0.25">
      <c r="A177" s="409">
        <f t="shared" si="35"/>
        <v>176</v>
      </c>
      <c r="B177" s="410" t="s">
        <v>3005</v>
      </c>
      <c r="C177" s="410" t="s">
        <v>6196</v>
      </c>
      <c r="D177" s="409">
        <v>1</v>
      </c>
      <c r="E177" s="408"/>
      <c r="F177" s="409" t="str">
        <f>""</f>
        <v/>
      </c>
      <c r="G177" s="409" t="s">
        <v>6841</v>
      </c>
      <c r="H177" s="409" t="s">
        <v>424</v>
      </c>
      <c r="I177" s="409" t="str">
        <f t="shared" si="33"/>
        <v/>
      </c>
      <c r="J177" s="409" t="s">
        <v>6192</v>
      </c>
      <c r="K177" s="409" t="s">
        <v>2536</v>
      </c>
      <c r="L177" s="409" t="s">
        <v>3857</v>
      </c>
      <c r="M177" s="409" t="s">
        <v>3857</v>
      </c>
      <c r="N177" s="408" t="str">
        <f>""</f>
        <v/>
      </c>
      <c r="O177" s="409" t="s">
        <v>6187</v>
      </c>
      <c r="P177" s="408" t="s">
        <v>6650</v>
      </c>
      <c r="Q177" s="409" t="s">
        <v>1112</v>
      </c>
      <c r="V177" s="409" t="s">
        <v>620</v>
      </c>
      <c r="W177" s="409" t="s">
        <v>621</v>
      </c>
      <c r="AA177" s="408">
        <f t="shared" si="34"/>
        <v>1</v>
      </c>
      <c r="AB177" s="408">
        <f t="shared" si="24"/>
        <v>0</v>
      </c>
      <c r="AC177" s="408">
        <f t="shared" si="25"/>
        <v>0</v>
      </c>
      <c r="AD177" s="408">
        <f t="shared" si="26"/>
        <v>0</v>
      </c>
      <c r="AE177" s="408">
        <f t="shared" si="27"/>
        <v>0</v>
      </c>
      <c r="AF177" s="408">
        <f t="shared" si="28"/>
        <v>1</v>
      </c>
      <c r="AG177" s="408">
        <f t="shared" si="29"/>
        <v>1</v>
      </c>
      <c r="AH177" s="408">
        <f t="shared" si="30"/>
        <v>0</v>
      </c>
      <c r="AI177" s="408">
        <f t="shared" si="31"/>
        <v>0</v>
      </c>
      <c r="AJ177" s="408">
        <f t="shared" si="32"/>
        <v>0</v>
      </c>
    </row>
    <row r="178" spans="1:36" x14ac:dyDescent="0.25">
      <c r="A178" s="409">
        <f t="shared" si="35"/>
        <v>177</v>
      </c>
      <c r="B178" s="410" t="s">
        <v>3007</v>
      </c>
      <c r="C178" s="410" t="s">
        <v>6193</v>
      </c>
      <c r="D178" s="409">
        <v>2</v>
      </c>
      <c r="E178" s="408"/>
      <c r="F178" s="409" t="str">
        <f>""</f>
        <v/>
      </c>
      <c r="G178" s="409" t="s">
        <v>6835</v>
      </c>
      <c r="H178" s="409" t="s">
        <v>424</v>
      </c>
      <c r="I178" s="409" t="str">
        <f t="shared" si="33"/>
        <v>Concentration</v>
      </c>
      <c r="J178" s="409" t="s">
        <v>6210</v>
      </c>
      <c r="K178" s="409" t="s">
        <v>2536</v>
      </c>
      <c r="L178" s="409" t="s">
        <v>2562</v>
      </c>
      <c r="M178" s="409" t="s">
        <v>1248</v>
      </c>
      <c r="N178" s="408" t="s">
        <v>6321</v>
      </c>
      <c r="O178" s="409" t="s">
        <v>6190</v>
      </c>
      <c r="P178" s="408" t="s">
        <v>6651</v>
      </c>
      <c r="Q178" s="409" t="s">
        <v>1112</v>
      </c>
      <c r="W178" s="409" t="s">
        <v>621</v>
      </c>
      <c r="AA178" s="408">
        <f t="shared" si="34"/>
        <v>1</v>
      </c>
      <c r="AB178" s="408">
        <f t="shared" si="24"/>
        <v>0</v>
      </c>
      <c r="AC178" s="408">
        <f t="shared" si="25"/>
        <v>0</v>
      </c>
      <c r="AD178" s="408">
        <f t="shared" si="26"/>
        <v>0</v>
      </c>
      <c r="AE178" s="408">
        <f t="shared" si="27"/>
        <v>0</v>
      </c>
      <c r="AF178" s="408">
        <f t="shared" si="28"/>
        <v>0</v>
      </c>
      <c r="AG178" s="408">
        <f t="shared" si="29"/>
        <v>1</v>
      </c>
      <c r="AH178" s="408">
        <f t="shared" si="30"/>
        <v>0</v>
      </c>
      <c r="AI178" s="408">
        <f t="shared" si="31"/>
        <v>0</v>
      </c>
      <c r="AJ178" s="408">
        <f t="shared" si="32"/>
        <v>0</v>
      </c>
    </row>
    <row r="179" spans="1:36" x14ac:dyDescent="0.25">
      <c r="A179" s="409">
        <f t="shared" si="35"/>
        <v>178</v>
      </c>
      <c r="B179" s="410" t="s">
        <v>3010</v>
      </c>
      <c r="C179" s="410" t="s">
        <v>6196</v>
      </c>
      <c r="D179" s="409">
        <v>1</v>
      </c>
      <c r="E179" s="408"/>
      <c r="F179" s="409" t="str">
        <f>""</f>
        <v/>
      </c>
      <c r="G179" s="409" t="s">
        <v>6264</v>
      </c>
      <c r="H179" s="409" t="s">
        <v>424</v>
      </c>
      <c r="I179" s="409" t="str">
        <f t="shared" si="33"/>
        <v/>
      </c>
      <c r="J179" s="409" t="s">
        <v>6192</v>
      </c>
      <c r="K179" s="409" t="s">
        <v>2536</v>
      </c>
      <c r="L179" s="409" t="s">
        <v>2562</v>
      </c>
      <c r="M179" s="409" t="s">
        <v>3857</v>
      </c>
      <c r="O179" s="409" t="s">
        <v>6187</v>
      </c>
      <c r="P179" s="408" t="s">
        <v>6652</v>
      </c>
      <c r="U179" s="409" t="s">
        <v>627</v>
      </c>
      <c r="AA179" s="408">
        <f t="shared" si="34"/>
        <v>0</v>
      </c>
      <c r="AB179" s="408">
        <f t="shared" si="24"/>
        <v>0</v>
      </c>
      <c r="AC179" s="408">
        <f t="shared" si="25"/>
        <v>0</v>
      </c>
      <c r="AD179" s="408">
        <f t="shared" si="26"/>
        <v>0</v>
      </c>
      <c r="AE179" s="408">
        <f t="shared" si="27"/>
        <v>1</v>
      </c>
      <c r="AF179" s="408">
        <f t="shared" si="28"/>
        <v>0</v>
      </c>
      <c r="AG179" s="408">
        <f t="shared" si="29"/>
        <v>0</v>
      </c>
      <c r="AH179" s="408">
        <f t="shared" si="30"/>
        <v>0</v>
      </c>
      <c r="AI179" s="408">
        <f t="shared" si="31"/>
        <v>0</v>
      </c>
      <c r="AJ179" s="408">
        <f t="shared" si="32"/>
        <v>0</v>
      </c>
    </row>
    <row r="180" spans="1:36" x14ac:dyDescent="0.25">
      <c r="A180" s="409">
        <f t="shared" si="35"/>
        <v>179</v>
      </c>
      <c r="B180" s="410" t="s">
        <v>3013</v>
      </c>
      <c r="C180" s="410" t="s">
        <v>6216</v>
      </c>
      <c r="D180" s="409">
        <v>6</v>
      </c>
      <c r="E180" s="408"/>
      <c r="F180" s="409" t="str">
        <f>""</f>
        <v/>
      </c>
      <c r="G180" s="409" t="s">
        <v>6241</v>
      </c>
      <c r="H180" s="409" t="s">
        <v>5950</v>
      </c>
      <c r="I180" s="409" t="str">
        <f t="shared" si="33"/>
        <v/>
      </c>
      <c r="J180" s="409" t="s">
        <v>6192</v>
      </c>
      <c r="K180" s="409" t="s">
        <v>2536</v>
      </c>
      <c r="L180" s="409" t="s">
        <v>2562</v>
      </c>
      <c r="M180" s="409" t="s">
        <v>1248</v>
      </c>
      <c r="N180" s="408" t="s">
        <v>6322</v>
      </c>
      <c r="O180" s="409" t="s">
        <v>6185</v>
      </c>
      <c r="P180" s="408" t="s">
        <v>6653</v>
      </c>
      <c r="V180" s="409" t="s">
        <v>620</v>
      </c>
      <c r="W180" s="409" t="s">
        <v>621</v>
      </c>
      <c r="AA180" s="408">
        <f t="shared" si="34"/>
        <v>0</v>
      </c>
      <c r="AB180" s="408">
        <f t="shared" si="24"/>
        <v>0</v>
      </c>
      <c r="AC180" s="408">
        <f t="shared" si="25"/>
        <v>0</v>
      </c>
      <c r="AD180" s="408">
        <f t="shared" si="26"/>
        <v>0</v>
      </c>
      <c r="AE180" s="408">
        <f t="shared" si="27"/>
        <v>0</v>
      </c>
      <c r="AF180" s="408">
        <f t="shared" si="28"/>
        <v>1</v>
      </c>
      <c r="AG180" s="408">
        <f t="shared" si="29"/>
        <v>1</v>
      </c>
      <c r="AH180" s="408">
        <f t="shared" si="30"/>
        <v>0</v>
      </c>
      <c r="AI180" s="408">
        <f t="shared" si="31"/>
        <v>0</v>
      </c>
      <c r="AJ180" s="408">
        <f t="shared" si="32"/>
        <v>0</v>
      </c>
    </row>
    <row r="181" spans="1:36" x14ac:dyDescent="0.25">
      <c r="A181" s="409">
        <f t="shared" si="35"/>
        <v>180</v>
      </c>
      <c r="B181" s="410" t="s">
        <v>3016</v>
      </c>
      <c r="C181" s="410" t="s">
        <v>6196</v>
      </c>
      <c r="D181" s="409">
        <v>1</v>
      </c>
      <c r="E181" s="408"/>
      <c r="F181" s="409" t="str">
        <f>""</f>
        <v/>
      </c>
      <c r="G181" s="409" t="s">
        <v>6835</v>
      </c>
      <c r="H181" s="409" t="s">
        <v>6219</v>
      </c>
      <c r="I181" s="409" t="str">
        <f t="shared" si="33"/>
        <v>Concentration</v>
      </c>
      <c r="J181" s="409" t="s">
        <v>6210</v>
      </c>
      <c r="K181" s="409" t="s">
        <v>2536</v>
      </c>
      <c r="L181" s="409" t="s">
        <v>2562</v>
      </c>
      <c r="M181" s="409" t="s">
        <v>3857</v>
      </c>
      <c r="O181" s="409" t="s">
        <v>6186</v>
      </c>
      <c r="P181" s="408" t="s">
        <v>6654</v>
      </c>
      <c r="Q181" s="409" t="s">
        <v>1112</v>
      </c>
      <c r="R181" s="409" t="s">
        <v>1113</v>
      </c>
      <c r="AA181" s="408">
        <f t="shared" si="34"/>
        <v>1</v>
      </c>
      <c r="AB181" s="408">
        <f t="shared" si="24"/>
        <v>1</v>
      </c>
      <c r="AC181" s="408">
        <f t="shared" si="25"/>
        <v>0</v>
      </c>
      <c r="AD181" s="408">
        <f t="shared" si="26"/>
        <v>0</v>
      </c>
      <c r="AE181" s="408">
        <f t="shared" si="27"/>
        <v>0</v>
      </c>
      <c r="AF181" s="408">
        <f t="shared" si="28"/>
        <v>0</v>
      </c>
      <c r="AG181" s="408">
        <f t="shared" si="29"/>
        <v>0</v>
      </c>
      <c r="AH181" s="408">
        <f t="shared" si="30"/>
        <v>0</v>
      </c>
      <c r="AI181" s="408">
        <f t="shared" si="31"/>
        <v>0</v>
      </c>
      <c r="AJ181" s="408">
        <f t="shared" si="32"/>
        <v>0</v>
      </c>
    </row>
    <row r="182" spans="1:36" x14ac:dyDescent="0.25">
      <c r="A182" s="409">
        <f t="shared" si="35"/>
        <v>181</v>
      </c>
      <c r="B182" s="410" t="s">
        <v>3018</v>
      </c>
      <c r="C182" s="410" t="s">
        <v>6196</v>
      </c>
      <c r="D182" s="409">
        <v>1</v>
      </c>
      <c r="E182" s="408"/>
      <c r="F182" s="409" t="str">
        <f>""</f>
        <v/>
      </c>
      <c r="G182" s="409" t="s">
        <v>6841</v>
      </c>
      <c r="H182" s="409" t="s">
        <v>6234</v>
      </c>
      <c r="I182" s="409" t="str">
        <f t="shared" si="33"/>
        <v>Concentration</v>
      </c>
      <c r="J182" s="409" t="s">
        <v>6200</v>
      </c>
      <c r="K182" s="409" t="s">
        <v>2536</v>
      </c>
      <c r="L182" s="409" t="s">
        <v>2562</v>
      </c>
      <c r="M182" s="409" t="s">
        <v>1248</v>
      </c>
      <c r="N182" s="408" t="s">
        <v>6323</v>
      </c>
      <c r="O182" s="409" t="s">
        <v>6186</v>
      </c>
      <c r="P182" s="408" t="s">
        <v>6655</v>
      </c>
      <c r="U182" s="409" t="s">
        <v>627</v>
      </c>
      <c r="AA182" s="408">
        <f t="shared" si="34"/>
        <v>0</v>
      </c>
      <c r="AB182" s="408">
        <f t="shared" si="24"/>
        <v>0</v>
      </c>
      <c r="AC182" s="408">
        <f t="shared" si="25"/>
        <v>0</v>
      </c>
      <c r="AD182" s="408">
        <f t="shared" si="26"/>
        <v>0</v>
      </c>
      <c r="AE182" s="408">
        <f t="shared" si="27"/>
        <v>1</v>
      </c>
      <c r="AF182" s="408">
        <f t="shared" si="28"/>
        <v>0</v>
      </c>
      <c r="AG182" s="408">
        <f t="shared" si="29"/>
        <v>0</v>
      </c>
      <c r="AH182" s="408">
        <f t="shared" si="30"/>
        <v>0</v>
      </c>
      <c r="AI182" s="408">
        <f t="shared" si="31"/>
        <v>0</v>
      </c>
      <c r="AJ182" s="408">
        <f t="shared" si="32"/>
        <v>0</v>
      </c>
    </row>
    <row r="183" spans="1:36" x14ac:dyDescent="0.25">
      <c r="A183" s="409">
        <f t="shared" si="35"/>
        <v>182</v>
      </c>
      <c r="B183" s="410" t="s">
        <v>3021</v>
      </c>
      <c r="C183" s="410" t="s">
        <v>6208</v>
      </c>
      <c r="D183" s="409">
        <v>5</v>
      </c>
      <c r="E183" s="408"/>
      <c r="F183" s="409" t="str">
        <f>""</f>
        <v/>
      </c>
      <c r="G183" s="409" t="s">
        <v>6835</v>
      </c>
      <c r="H183" s="409" t="s">
        <v>6234</v>
      </c>
      <c r="I183" s="409" t="str">
        <f t="shared" si="33"/>
        <v>Concentration</v>
      </c>
      <c r="J183" s="409" t="s">
        <v>6210</v>
      </c>
      <c r="K183" s="409" t="s">
        <v>2536</v>
      </c>
      <c r="L183" s="409" t="s">
        <v>2562</v>
      </c>
      <c r="M183" s="409" t="s">
        <v>1248</v>
      </c>
      <c r="N183" s="408" t="s">
        <v>6324</v>
      </c>
      <c r="O183" s="409" t="s">
        <v>6186</v>
      </c>
      <c r="P183" s="408" t="s">
        <v>6656</v>
      </c>
      <c r="Q183" s="409" t="s">
        <v>1112</v>
      </c>
      <c r="T183" s="409" t="s">
        <v>626</v>
      </c>
      <c r="U183" s="409" t="s">
        <v>627</v>
      </c>
      <c r="Z183" s="409" t="s">
        <v>628</v>
      </c>
      <c r="AA183" s="408">
        <f t="shared" si="34"/>
        <v>1</v>
      </c>
      <c r="AB183" s="408">
        <f t="shared" si="24"/>
        <v>0</v>
      </c>
      <c r="AC183" s="408">
        <f t="shared" si="25"/>
        <v>0</v>
      </c>
      <c r="AD183" s="408">
        <f t="shared" si="26"/>
        <v>1</v>
      </c>
      <c r="AE183" s="408">
        <f t="shared" si="27"/>
        <v>1</v>
      </c>
      <c r="AF183" s="408">
        <f t="shared" si="28"/>
        <v>0</v>
      </c>
      <c r="AG183" s="408">
        <f t="shared" si="29"/>
        <v>0</v>
      </c>
      <c r="AH183" s="408">
        <f t="shared" si="30"/>
        <v>0</v>
      </c>
      <c r="AI183" s="408">
        <f t="shared" si="31"/>
        <v>0</v>
      </c>
      <c r="AJ183" s="408">
        <f t="shared" si="32"/>
        <v>1</v>
      </c>
    </row>
    <row r="184" spans="1:36" x14ac:dyDescent="0.25">
      <c r="A184" s="409">
        <f t="shared" si="35"/>
        <v>183</v>
      </c>
      <c r="B184" s="410" t="s">
        <v>3024</v>
      </c>
      <c r="C184" s="410" t="s">
        <v>6193</v>
      </c>
      <c r="D184" s="409">
        <v>2</v>
      </c>
      <c r="E184" s="408"/>
      <c r="F184" s="409" t="str">
        <f>""</f>
        <v/>
      </c>
      <c r="G184" s="409" t="s">
        <v>6835</v>
      </c>
      <c r="H184" s="409" t="s">
        <v>424</v>
      </c>
      <c r="I184" s="409" t="str">
        <f t="shared" si="33"/>
        <v>Concentration</v>
      </c>
      <c r="J184" s="409" t="s">
        <v>6210</v>
      </c>
      <c r="K184" s="409" t="s">
        <v>2536</v>
      </c>
      <c r="L184" s="409" t="s">
        <v>2562</v>
      </c>
      <c r="M184" s="409" t="s">
        <v>1248</v>
      </c>
      <c r="N184" s="408" t="s">
        <v>6324</v>
      </c>
      <c r="O184" s="409" t="s">
        <v>6186</v>
      </c>
      <c r="P184" s="408" t="s">
        <v>6657</v>
      </c>
      <c r="Q184" s="409" t="s">
        <v>1112</v>
      </c>
      <c r="T184" s="409" t="s">
        <v>626</v>
      </c>
      <c r="U184" s="409" t="s">
        <v>627</v>
      </c>
      <c r="V184" s="409" t="s">
        <v>620</v>
      </c>
      <c r="W184" s="409" t="s">
        <v>621</v>
      </c>
      <c r="Z184" s="409" t="s">
        <v>628</v>
      </c>
      <c r="AA184" s="408">
        <f t="shared" si="34"/>
        <v>1</v>
      </c>
      <c r="AB184" s="408">
        <f t="shared" si="24"/>
        <v>0</v>
      </c>
      <c r="AC184" s="408">
        <f t="shared" si="25"/>
        <v>0</v>
      </c>
      <c r="AD184" s="408">
        <f t="shared" si="26"/>
        <v>1</v>
      </c>
      <c r="AE184" s="408">
        <f t="shared" si="27"/>
        <v>1</v>
      </c>
      <c r="AF184" s="408">
        <f t="shared" si="28"/>
        <v>1</v>
      </c>
      <c r="AG184" s="408">
        <f t="shared" si="29"/>
        <v>1</v>
      </c>
      <c r="AH184" s="408">
        <f t="shared" si="30"/>
        <v>0</v>
      </c>
      <c r="AI184" s="408">
        <f t="shared" si="31"/>
        <v>0</v>
      </c>
      <c r="AJ184" s="408">
        <f t="shared" si="32"/>
        <v>1</v>
      </c>
    </row>
    <row r="185" spans="1:36" x14ac:dyDescent="0.25">
      <c r="A185" s="409">
        <f t="shared" si="35"/>
        <v>184</v>
      </c>
      <c r="B185" s="410" t="s">
        <v>3026</v>
      </c>
      <c r="C185" s="410" t="s">
        <v>6203</v>
      </c>
      <c r="D185" s="409">
        <v>8</v>
      </c>
      <c r="E185" s="408"/>
      <c r="F185" s="409" t="str">
        <f>""</f>
        <v/>
      </c>
      <c r="G185" s="409" t="s">
        <v>6835</v>
      </c>
      <c r="H185" s="409" t="s">
        <v>6199</v>
      </c>
      <c r="I185" s="409" t="str">
        <f t="shared" si="33"/>
        <v>Concentration</v>
      </c>
      <c r="J185" s="409" t="s">
        <v>6210</v>
      </c>
      <c r="K185" s="409" t="s">
        <v>2536</v>
      </c>
      <c r="L185" s="409" t="s">
        <v>2562</v>
      </c>
      <c r="M185" s="409" t="s">
        <v>1248</v>
      </c>
      <c r="N185" s="408" t="s">
        <v>6325</v>
      </c>
      <c r="O185" s="409" t="s">
        <v>6184</v>
      </c>
      <c r="P185" s="408" t="s">
        <v>3028</v>
      </c>
      <c r="V185" s="409" t="s">
        <v>620</v>
      </c>
      <c r="AA185" s="408">
        <f t="shared" si="34"/>
        <v>0</v>
      </c>
      <c r="AB185" s="408">
        <f t="shared" si="24"/>
        <v>0</v>
      </c>
      <c r="AC185" s="408">
        <f t="shared" si="25"/>
        <v>0</v>
      </c>
      <c r="AD185" s="408">
        <f t="shared" si="26"/>
        <v>0</v>
      </c>
      <c r="AE185" s="408">
        <f t="shared" si="27"/>
        <v>0</v>
      </c>
      <c r="AF185" s="408">
        <f t="shared" si="28"/>
        <v>1</v>
      </c>
      <c r="AG185" s="408">
        <f t="shared" si="29"/>
        <v>0</v>
      </c>
      <c r="AH185" s="408">
        <f t="shared" si="30"/>
        <v>0</v>
      </c>
      <c r="AI185" s="408">
        <f t="shared" si="31"/>
        <v>0</v>
      </c>
      <c r="AJ185" s="408">
        <f t="shared" si="32"/>
        <v>0</v>
      </c>
    </row>
    <row r="186" spans="1:36" x14ac:dyDescent="0.25">
      <c r="A186" s="409">
        <f t="shared" si="35"/>
        <v>185</v>
      </c>
      <c r="B186" s="410" t="s">
        <v>3029</v>
      </c>
      <c r="C186" s="410" t="s">
        <v>6205</v>
      </c>
      <c r="D186" s="409">
        <v>3</v>
      </c>
      <c r="E186" s="408"/>
      <c r="F186" s="409" t="str">
        <f>""</f>
        <v/>
      </c>
      <c r="G186" s="409" t="s">
        <v>6835</v>
      </c>
      <c r="H186" s="409" t="s">
        <v>6237</v>
      </c>
      <c r="I186" s="409" t="str">
        <f t="shared" si="33"/>
        <v>Concentration</v>
      </c>
      <c r="J186" s="409" t="s">
        <v>6210</v>
      </c>
      <c r="K186" s="409" t="s">
        <v>2536</v>
      </c>
      <c r="L186" s="409" t="s">
        <v>2562</v>
      </c>
      <c r="M186" s="409" t="s">
        <v>1248</v>
      </c>
      <c r="N186" s="408" t="s">
        <v>6326</v>
      </c>
      <c r="O186" s="409" t="s">
        <v>6185</v>
      </c>
      <c r="P186" s="408" t="s">
        <v>6658</v>
      </c>
      <c r="U186" s="409" t="s">
        <v>627</v>
      </c>
      <c r="AA186" s="408">
        <f t="shared" si="34"/>
        <v>0</v>
      </c>
      <c r="AB186" s="408">
        <f t="shared" si="24"/>
        <v>0</v>
      </c>
      <c r="AC186" s="408">
        <f t="shared" si="25"/>
        <v>0</v>
      </c>
      <c r="AD186" s="408">
        <f t="shared" si="26"/>
        <v>0</v>
      </c>
      <c r="AE186" s="408">
        <f t="shared" si="27"/>
        <v>1</v>
      </c>
      <c r="AF186" s="408">
        <f t="shared" si="28"/>
        <v>0</v>
      </c>
      <c r="AG186" s="408">
        <f t="shared" si="29"/>
        <v>0</v>
      </c>
      <c r="AH186" s="408">
        <f t="shared" si="30"/>
        <v>0</v>
      </c>
      <c r="AI186" s="408">
        <f t="shared" si="31"/>
        <v>0</v>
      </c>
      <c r="AJ186" s="408">
        <f t="shared" si="32"/>
        <v>0</v>
      </c>
    </row>
    <row r="187" spans="1:36" x14ac:dyDescent="0.25">
      <c r="A187" s="409">
        <f t="shared" si="35"/>
        <v>186</v>
      </c>
      <c r="B187" s="410" t="s">
        <v>3032</v>
      </c>
      <c r="C187" s="410" t="s">
        <v>6196</v>
      </c>
      <c r="D187" s="409">
        <v>1</v>
      </c>
      <c r="E187" s="408"/>
      <c r="F187" s="409" t="str">
        <f>""</f>
        <v/>
      </c>
      <c r="G187" s="409" t="s">
        <v>6841</v>
      </c>
      <c r="H187" s="409" t="s">
        <v>6234</v>
      </c>
      <c r="I187" s="409" t="str">
        <f t="shared" si="33"/>
        <v>Concentration</v>
      </c>
      <c r="J187" s="409" t="s">
        <v>6200</v>
      </c>
      <c r="K187" s="409" t="s">
        <v>2536</v>
      </c>
      <c r="L187" s="409" t="s">
        <v>3857</v>
      </c>
      <c r="M187" s="409" t="s">
        <v>3857</v>
      </c>
      <c r="N187" s="408" t="str">
        <f>""</f>
        <v/>
      </c>
      <c r="O187" s="409" t="s">
        <v>2792</v>
      </c>
      <c r="P187" s="408" t="s">
        <v>6659</v>
      </c>
      <c r="S187" s="409" t="s">
        <v>624</v>
      </c>
      <c r="AA187" s="408">
        <f t="shared" si="34"/>
        <v>0</v>
      </c>
      <c r="AB187" s="408">
        <f t="shared" si="24"/>
        <v>0</v>
      </c>
      <c r="AC187" s="408">
        <f t="shared" si="25"/>
        <v>1</v>
      </c>
      <c r="AD187" s="408">
        <f t="shared" si="26"/>
        <v>0</v>
      </c>
      <c r="AE187" s="408">
        <f t="shared" si="27"/>
        <v>0</v>
      </c>
      <c r="AF187" s="408">
        <f t="shared" si="28"/>
        <v>0</v>
      </c>
      <c r="AG187" s="408">
        <f t="shared" si="29"/>
        <v>0</v>
      </c>
      <c r="AH187" s="408">
        <f t="shared" si="30"/>
        <v>0</v>
      </c>
      <c r="AI187" s="408">
        <f t="shared" si="31"/>
        <v>0</v>
      </c>
      <c r="AJ187" s="408">
        <f t="shared" si="32"/>
        <v>0</v>
      </c>
    </row>
    <row r="188" spans="1:36" x14ac:dyDescent="0.25">
      <c r="A188" s="409">
        <f t="shared" si="35"/>
        <v>187</v>
      </c>
      <c r="B188" s="410" t="s">
        <v>3034</v>
      </c>
      <c r="C188" s="410" t="s">
        <v>6205</v>
      </c>
      <c r="D188" s="409">
        <v>3</v>
      </c>
      <c r="E188" s="408"/>
      <c r="F188" s="409" t="str">
        <f>""</f>
        <v/>
      </c>
      <c r="G188" s="409" t="s">
        <v>6835</v>
      </c>
      <c r="H188" s="409" t="s">
        <v>6209</v>
      </c>
      <c r="I188" s="409" t="str">
        <f t="shared" si="33"/>
        <v>Concentration</v>
      </c>
      <c r="J188" s="409" t="s">
        <v>6210</v>
      </c>
      <c r="K188" s="409" t="s">
        <v>3857</v>
      </c>
      <c r="L188" s="409" t="s">
        <v>2562</v>
      </c>
      <c r="M188" s="409" t="s">
        <v>1248</v>
      </c>
      <c r="N188" s="408" t="s">
        <v>6327</v>
      </c>
      <c r="O188" s="409" t="s">
        <v>6188</v>
      </c>
      <c r="P188" s="408" t="s">
        <v>6660</v>
      </c>
      <c r="Q188" s="409" t="s">
        <v>1112</v>
      </c>
      <c r="T188" s="409" t="s">
        <v>626</v>
      </c>
      <c r="U188" s="409" t="s">
        <v>627</v>
      </c>
      <c r="Z188" s="409" t="s">
        <v>628</v>
      </c>
      <c r="AA188" s="408">
        <f t="shared" si="34"/>
        <v>1</v>
      </c>
      <c r="AB188" s="408">
        <f t="shared" si="24"/>
        <v>0</v>
      </c>
      <c r="AC188" s="408">
        <f t="shared" si="25"/>
        <v>0</v>
      </c>
      <c r="AD188" s="408">
        <f t="shared" si="26"/>
        <v>1</v>
      </c>
      <c r="AE188" s="408">
        <f t="shared" si="27"/>
        <v>1</v>
      </c>
      <c r="AF188" s="408">
        <f t="shared" si="28"/>
        <v>0</v>
      </c>
      <c r="AG188" s="408">
        <f t="shared" si="29"/>
        <v>0</v>
      </c>
      <c r="AH188" s="408">
        <f t="shared" si="30"/>
        <v>0</v>
      </c>
      <c r="AI188" s="408">
        <f t="shared" si="31"/>
        <v>0</v>
      </c>
      <c r="AJ188" s="408">
        <f t="shared" si="32"/>
        <v>1</v>
      </c>
    </row>
    <row r="189" spans="1:36" x14ac:dyDescent="0.25">
      <c r="A189" s="409">
        <f t="shared" si="35"/>
        <v>188</v>
      </c>
      <c r="B189" s="410" t="s">
        <v>3037</v>
      </c>
      <c r="C189" s="410" t="s">
        <v>6214</v>
      </c>
      <c r="D189" s="409">
        <v>4</v>
      </c>
      <c r="E189" s="408"/>
      <c r="F189" s="409" t="str">
        <f>""</f>
        <v/>
      </c>
      <c r="G189" s="409" t="s">
        <v>6835</v>
      </c>
      <c r="H189" s="409" t="s">
        <v>6257</v>
      </c>
      <c r="I189" s="409" t="str">
        <f t="shared" si="33"/>
        <v/>
      </c>
      <c r="J189" s="409" t="s">
        <v>6192</v>
      </c>
      <c r="K189" s="409" t="s">
        <v>2536</v>
      </c>
      <c r="L189" s="409" t="s">
        <v>2562</v>
      </c>
      <c r="M189" s="409" t="s">
        <v>1248</v>
      </c>
      <c r="N189" s="408" t="s">
        <v>6328</v>
      </c>
      <c r="O189" s="409" t="s">
        <v>6187</v>
      </c>
      <c r="P189" s="408" t="s">
        <v>6661</v>
      </c>
      <c r="T189" s="409" t="s">
        <v>626</v>
      </c>
      <c r="W189" s="409" t="s">
        <v>621</v>
      </c>
      <c r="Z189" s="409" t="s">
        <v>628</v>
      </c>
      <c r="AA189" s="408">
        <f t="shared" si="34"/>
        <v>0</v>
      </c>
      <c r="AB189" s="408">
        <f t="shared" si="24"/>
        <v>0</v>
      </c>
      <c r="AC189" s="408">
        <f t="shared" si="25"/>
        <v>0</v>
      </c>
      <c r="AD189" s="408">
        <f t="shared" si="26"/>
        <v>1</v>
      </c>
      <c r="AE189" s="408">
        <f t="shared" si="27"/>
        <v>0</v>
      </c>
      <c r="AF189" s="408">
        <f t="shared" si="28"/>
        <v>0</v>
      </c>
      <c r="AG189" s="408">
        <f t="shared" si="29"/>
        <v>1</v>
      </c>
      <c r="AH189" s="408">
        <f t="shared" si="30"/>
        <v>0</v>
      </c>
      <c r="AI189" s="408">
        <f t="shared" si="31"/>
        <v>0</v>
      </c>
      <c r="AJ189" s="408">
        <f t="shared" si="32"/>
        <v>1</v>
      </c>
    </row>
    <row r="190" spans="1:36" x14ac:dyDescent="0.25">
      <c r="A190" s="409">
        <f t="shared" si="35"/>
        <v>189</v>
      </c>
      <c r="B190" s="410" t="s">
        <v>3040</v>
      </c>
      <c r="C190" s="410" t="s">
        <v>6196</v>
      </c>
      <c r="D190" s="409">
        <v>1</v>
      </c>
      <c r="E190" s="408"/>
      <c r="F190" s="409" t="s">
        <v>6183</v>
      </c>
      <c r="G190" s="409" t="s">
        <v>6197</v>
      </c>
      <c r="H190" s="409" t="s">
        <v>6219</v>
      </c>
      <c r="I190" s="409" t="str">
        <f t="shared" si="33"/>
        <v/>
      </c>
      <c r="J190" s="409" t="s">
        <v>6192</v>
      </c>
      <c r="K190" s="409" t="s">
        <v>2536</v>
      </c>
      <c r="L190" s="409" t="s">
        <v>2562</v>
      </c>
      <c r="M190" s="409" t="s">
        <v>1248</v>
      </c>
      <c r="N190" s="408" t="s">
        <v>6329</v>
      </c>
      <c r="O190" s="409" t="s">
        <v>2792</v>
      </c>
      <c r="P190" s="408" t="s">
        <v>6662</v>
      </c>
      <c r="Q190" s="409" t="s">
        <v>1112</v>
      </c>
      <c r="Z190" s="409" t="s">
        <v>628</v>
      </c>
      <c r="AA190" s="408">
        <f t="shared" si="34"/>
        <v>1</v>
      </c>
      <c r="AB190" s="408">
        <f t="shared" si="24"/>
        <v>0</v>
      </c>
      <c r="AC190" s="408">
        <f t="shared" si="25"/>
        <v>0</v>
      </c>
      <c r="AD190" s="408">
        <f t="shared" si="26"/>
        <v>0</v>
      </c>
      <c r="AE190" s="408">
        <f t="shared" si="27"/>
        <v>0</v>
      </c>
      <c r="AF190" s="408">
        <f t="shared" si="28"/>
        <v>0</v>
      </c>
      <c r="AG190" s="408">
        <f t="shared" si="29"/>
        <v>0</v>
      </c>
      <c r="AH190" s="408">
        <f t="shared" si="30"/>
        <v>0</v>
      </c>
      <c r="AI190" s="408">
        <f t="shared" si="31"/>
        <v>0</v>
      </c>
      <c r="AJ190" s="408">
        <f t="shared" si="32"/>
        <v>1</v>
      </c>
    </row>
    <row r="191" spans="1:36" x14ac:dyDescent="0.25">
      <c r="A191" s="409">
        <f t="shared" si="35"/>
        <v>190</v>
      </c>
      <c r="B191" s="410" t="s">
        <v>3043</v>
      </c>
      <c r="C191" s="410" t="s">
        <v>6196</v>
      </c>
      <c r="D191" s="409">
        <v>1</v>
      </c>
      <c r="E191" s="408"/>
      <c r="F191" s="409" t="s">
        <v>6183</v>
      </c>
      <c r="G191" s="409" t="s">
        <v>6197</v>
      </c>
      <c r="H191" s="409" t="s">
        <v>6219</v>
      </c>
      <c r="I191" s="409" t="str">
        <f t="shared" si="33"/>
        <v/>
      </c>
      <c r="J191" s="409" t="s">
        <v>2502</v>
      </c>
      <c r="K191" s="409" t="s">
        <v>3857</v>
      </c>
      <c r="L191" s="409" t="s">
        <v>2562</v>
      </c>
      <c r="M191" s="409" t="s">
        <v>1248</v>
      </c>
      <c r="N191" s="408" t="s">
        <v>6330</v>
      </c>
      <c r="O191" s="409" t="s">
        <v>6188</v>
      </c>
      <c r="P191" s="408" t="s">
        <v>6663</v>
      </c>
      <c r="Q191" s="409" t="s">
        <v>1112</v>
      </c>
      <c r="U191" s="409" t="s">
        <v>627</v>
      </c>
      <c r="Z191" s="409" t="s">
        <v>628</v>
      </c>
      <c r="AA191" s="408">
        <f t="shared" si="34"/>
        <v>1</v>
      </c>
      <c r="AB191" s="408">
        <f t="shared" si="24"/>
        <v>0</v>
      </c>
      <c r="AC191" s="408">
        <f t="shared" si="25"/>
        <v>0</v>
      </c>
      <c r="AD191" s="408">
        <f t="shared" si="26"/>
        <v>0</v>
      </c>
      <c r="AE191" s="408">
        <f t="shared" si="27"/>
        <v>1</v>
      </c>
      <c r="AF191" s="408">
        <f t="shared" si="28"/>
        <v>0</v>
      </c>
      <c r="AG191" s="408">
        <f t="shared" si="29"/>
        <v>0</v>
      </c>
      <c r="AH191" s="408">
        <f t="shared" si="30"/>
        <v>0</v>
      </c>
      <c r="AI191" s="408">
        <f t="shared" si="31"/>
        <v>0</v>
      </c>
      <c r="AJ191" s="408">
        <f t="shared" si="32"/>
        <v>1</v>
      </c>
    </row>
    <row r="192" spans="1:36" x14ac:dyDescent="0.25">
      <c r="A192" s="409">
        <f t="shared" si="35"/>
        <v>191</v>
      </c>
      <c r="B192" s="410" t="s">
        <v>3047</v>
      </c>
      <c r="C192" s="410" t="s">
        <v>6223</v>
      </c>
      <c r="D192" s="409">
        <v>9</v>
      </c>
      <c r="E192" s="408"/>
      <c r="F192" s="409" t="str">
        <f>""</f>
        <v/>
      </c>
      <c r="G192" s="409" t="s">
        <v>6206</v>
      </c>
      <c r="H192" s="409" t="s">
        <v>5950</v>
      </c>
      <c r="I192" s="409" t="str">
        <f t="shared" si="33"/>
        <v/>
      </c>
      <c r="J192" s="409" t="s">
        <v>6220</v>
      </c>
      <c r="K192" s="409" t="s">
        <v>2536</v>
      </c>
      <c r="L192" s="409" t="s">
        <v>2562</v>
      </c>
      <c r="M192" s="409" t="s">
        <v>1248</v>
      </c>
      <c r="N192" s="408" t="s">
        <v>6331</v>
      </c>
      <c r="O192" s="409" t="s">
        <v>6184</v>
      </c>
      <c r="P192" s="408" t="s">
        <v>6664</v>
      </c>
      <c r="U192" s="409" t="s">
        <v>627</v>
      </c>
      <c r="Z192" s="409" t="s">
        <v>628</v>
      </c>
      <c r="AA192" s="408">
        <f t="shared" si="34"/>
        <v>0</v>
      </c>
      <c r="AB192" s="408">
        <f t="shared" si="24"/>
        <v>0</v>
      </c>
      <c r="AC192" s="408">
        <f t="shared" si="25"/>
        <v>0</v>
      </c>
      <c r="AD192" s="408">
        <f t="shared" si="26"/>
        <v>0</v>
      </c>
      <c r="AE192" s="408">
        <f t="shared" si="27"/>
        <v>1</v>
      </c>
      <c r="AF192" s="408">
        <f t="shared" si="28"/>
        <v>0</v>
      </c>
      <c r="AG192" s="408">
        <f t="shared" si="29"/>
        <v>0</v>
      </c>
      <c r="AH192" s="408">
        <f t="shared" si="30"/>
        <v>0</v>
      </c>
      <c r="AI192" s="408">
        <f t="shared" si="31"/>
        <v>0</v>
      </c>
      <c r="AJ192" s="408">
        <f t="shared" si="32"/>
        <v>1</v>
      </c>
    </row>
    <row r="193" spans="1:36" x14ac:dyDescent="0.25">
      <c r="A193" s="409">
        <f t="shared" si="35"/>
        <v>192</v>
      </c>
      <c r="B193" s="410" t="s">
        <v>3051</v>
      </c>
      <c r="C193" s="410" t="s">
        <v>6203</v>
      </c>
      <c r="D193" s="409">
        <v>8</v>
      </c>
      <c r="E193" s="408"/>
      <c r="F193" s="409" t="str">
        <f>""</f>
        <v/>
      </c>
      <c r="G193" s="409" t="s">
        <v>6835</v>
      </c>
      <c r="H193" s="409" t="s">
        <v>6237</v>
      </c>
      <c r="I193" s="409" t="str">
        <f t="shared" si="33"/>
        <v>Concentration</v>
      </c>
      <c r="J193" s="409" t="s">
        <v>6210</v>
      </c>
      <c r="K193" s="409" t="s">
        <v>2536</v>
      </c>
      <c r="L193" s="409" t="s">
        <v>2562</v>
      </c>
      <c r="M193" s="409" t="s">
        <v>3857</v>
      </c>
      <c r="N193" s="408" t="str">
        <f>""</f>
        <v/>
      </c>
      <c r="O193" s="409" t="s">
        <v>6185</v>
      </c>
      <c r="P193" s="408" t="s">
        <v>6665</v>
      </c>
      <c r="T193" s="409" t="s">
        <v>626</v>
      </c>
      <c r="Z193" s="409" t="s">
        <v>628</v>
      </c>
      <c r="AA193" s="408">
        <f t="shared" si="34"/>
        <v>0</v>
      </c>
      <c r="AB193" s="408">
        <f t="shared" si="24"/>
        <v>0</v>
      </c>
      <c r="AC193" s="408">
        <f t="shared" si="25"/>
        <v>0</v>
      </c>
      <c r="AD193" s="408">
        <f t="shared" si="26"/>
        <v>1</v>
      </c>
      <c r="AE193" s="408">
        <f t="shared" si="27"/>
        <v>0</v>
      </c>
      <c r="AF193" s="408">
        <f t="shared" si="28"/>
        <v>0</v>
      </c>
      <c r="AG193" s="408">
        <f t="shared" si="29"/>
        <v>0</v>
      </c>
      <c r="AH193" s="408">
        <f t="shared" si="30"/>
        <v>0</v>
      </c>
      <c r="AI193" s="408">
        <f t="shared" si="31"/>
        <v>0</v>
      </c>
      <c r="AJ193" s="408">
        <f t="shared" si="32"/>
        <v>1</v>
      </c>
    </row>
    <row r="194" spans="1:36" x14ac:dyDescent="0.25">
      <c r="A194" s="409">
        <f t="shared" si="35"/>
        <v>193</v>
      </c>
      <c r="B194" s="410" t="s">
        <v>3053</v>
      </c>
      <c r="C194" s="410" t="s">
        <v>6196</v>
      </c>
      <c r="D194" s="409">
        <v>1</v>
      </c>
      <c r="E194" s="408"/>
      <c r="F194" s="409" t="str">
        <f>""</f>
        <v/>
      </c>
      <c r="G194" s="409" t="s">
        <v>6835</v>
      </c>
      <c r="H194" s="409" t="s">
        <v>6219</v>
      </c>
      <c r="I194" s="409" t="str">
        <f t="shared" si="33"/>
        <v/>
      </c>
      <c r="J194" s="409" t="s">
        <v>6192</v>
      </c>
      <c r="K194" s="409" t="s">
        <v>2536</v>
      </c>
      <c r="L194" s="409" t="s">
        <v>2562</v>
      </c>
      <c r="M194" s="409" t="s">
        <v>3857</v>
      </c>
      <c r="N194" s="408" t="str">
        <f>""</f>
        <v/>
      </c>
      <c r="O194" s="409" t="s">
        <v>6189</v>
      </c>
      <c r="P194" s="408" t="s">
        <v>6666</v>
      </c>
      <c r="V194" s="409" t="s">
        <v>620</v>
      </c>
      <c r="AA194" s="408">
        <f t="shared" si="34"/>
        <v>0</v>
      </c>
      <c r="AB194" s="408">
        <f t="shared" ref="AB194:AB257" si="36">IF(R194=R$1,1,0)</f>
        <v>0</v>
      </c>
      <c r="AC194" s="408">
        <f t="shared" ref="AC194:AC257" si="37">IF(S194=S$1,1,0)</f>
        <v>0</v>
      </c>
      <c r="AD194" s="408">
        <f t="shared" ref="AD194:AD257" si="38">IF(T194=T$1,1,0)</f>
        <v>0</v>
      </c>
      <c r="AE194" s="408">
        <f t="shared" ref="AE194:AE257" si="39">IF(U194=U$1,1,0)</f>
        <v>0</v>
      </c>
      <c r="AF194" s="408">
        <f t="shared" ref="AF194:AF257" si="40">IF(V194=V$1,1,0)</f>
        <v>1</v>
      </c>
      <c r="AG194" s="408">
        <f t="shared" ref="AG194:AG257" si="41">IF(W194=W$1,1,0)</f>
        <v>0</v>
      </c>
      <c r="AH194" s="408">
        <f t="shared" ref="AH194:AH257" si="42">IF(X194=X$1,1,0)</f>
        <v>0</v>
      </c>
      <c r="AI194" s="408">
        <f t="shared" ref="AI194:AI257" si="43">IF(Y194=Y$1,1,0)</f>
        <v>0</v>
      </c>
      <c r="AJ194" s="408">
        <f t="shared" ref="AJ194:AJ257" si="44">IF(Z194=Z$1,1,0)</f>
        <v>0</v>
      </c>
    </row>
    <row r="195" spans="1:36" x14ac:dyDescent="0.25">
      <c r="A195" s="409">
        <f t="shared" si="35"/>
        <v>194</v>
      </c>
      <c r="B195" s="410" t="s">
        <v>3055</v>
      </c>
      <c r="C195" s="410" t="s">
        <v>6208</v>
      </c>
      <c r="D195" s="409">
        <v>5</v>
      </c>
      <c r="E195" s="408"/>
      <c r="F195" s="409" t="str">
        <f>""</f>
        <v/>
      </c>
      <c r="G195" s="409" t="s">
        <v>6835</v>
      </c>
      <c r="H195" s="409" t="s">
        <v>6257</v>
      </c>
      <c r="I195" s="409" t="str">
        <f t="shared" ref="I195:I258" si="45">IF(IFERROR(SEARCH("con",J195,1),0)&gt;0,"Concentration","")</f>
        <v>Concentration</v>
      </c>
      <c r="J195" s="409" t="s">
        <v>6218</v>
      </c>
      <c r="K195" s="409" t="s">
        <v>2536</v>
      </c>
      <c r="L195" s="409" t="s">
        <v>2562</v>
      </c>
      <c r="M195" s="409" t="s">
        <v>1248</v>
      </c>
      <c r="N195" s="408" t="s">
        <v>6332</v>
      </c>
      <c r="O195" s="409" t="s">
        <v>6185</v>
      </c>
      <c r="P195" s="408" t="s">
        <v>6667</v>
      </c>
      <c r="T195" s="409" t="s">
        <v>626</v>
      </c>
      <c r="V195" s="409" t="s">
        <v>620</v>
      </c>
      <c r="W195" s="409" t="s">
        <v>621</v>
      </c>
      <c r="AA195" s="408">
        <f t="shared" ref="AA195:AA258" si="46">IF(Q195=Q$1,1,0)</f>
        <v>0</v>
      </c>
      <c r="AB195" s="408">
        <f t="shared" si="36"/>
        <v>0</v>
      </c>
      <c r="AC195" s="408">
        <f t="shared" si="37"/>
        <v>0</v>
      </c>
      <c r="AD195" s="408">
        <f t="shared" si="38"/>
        <v>1</v>
      </c>
      <c r="AE195" s="408">
        <f t="shared" si="39"/>
        <v>0</v>
      </c>
      <c r="AF195" s="408">
        <f t="shared" si="40"/>
        <v>1</v>
      </c>
      <c r="AG195" s="408">
        <f t="shared" si="41"/>
        <v>1</v>
      </c>
      <c r="AH195" s="408">
        <f t="shared" si="42"/>
        <v>0</v>
      </c>
      <c r="AI195" s="408">
        <f t="shared" si="43"/>
        <v>0</v>
      </c>
      <c r="AJ195" s="408">
        <f t="shared" si="44"/>
        <v>0</v>
      </c>
    </row>
    <row r="196" spans="1:36" x14ac:dyDescent="0.25">
      <c r="A196" s="409">
        <f t="shared" si="35"/>
        <v>195</v>
      </c>
      <c r="B196" s="410" t="s">
        <v>3058</v>
      </c>
      <c r="C196" s="410" t="s">
        <v>6193</v>
      </c>
      <c r="D196" s="409">
        <v>2</v>
      </c>
      <c r="E196" s="408"/>
      <c r="F196" s="409" t="str">
        <f>""</f>
        <v/>
      </c>
      <c r="G196" s="409" t="s">
        <v>6835</v>
      </c>
      <c r="H196" s="409" t="s">
        <v>6219</v>
      </c>
      <c r="I196" s="409" t="str">
        <f t="shared" si="45"/>
        <v>Concentration</v>
      </c>
      <c r="J196" s="409" t="s">
        <v>6200</v>
      </c>
      <c r="K196" s="409" t="s">
        <v>2536</v>
      </c>
      <c r="L196" s="409" t="s">
        <v>2562</v>
      </c>
      <c r="M196" s="409" t="s">
        <v>1248</v>
      </c>
      <c r="N196" s="408" t="s">
        <v>6333</v>
      </c>
      <c r="O196" s="409" t="s">
        <v>6188</v>
      </c>
      <c r="P196" s="408" t="s">
        <v>6668</v>
      </c>
      <c r="Q196" s="409" t="s">
        <v>1112</v>
      </c>
      <c r="T196" s="409" t="s">
        <v>626</v>
      </c>
      <c r="U196" s="409" t="s">
        <v>627</v>
      </c>
      <c r="Z196" s="409" t="s">
        <v>628</v>
      </c>
      <c r="AA196" s="408">
        <f t="shared" si="46"/>
        <v>1</v>
      </c>
      <c r="AB196" s="408">
        <f t="shared" si="36"/>
        <v>0</v>
      </c>
      <c r="AC196" s="408">
        <f t="shared" si="37"/>
        <v>0</v>
      </c>
      <c r="AD196" s="408">
        <f t="shared" si="38"/>
        <v>1</v>
      </c>
      <c r="AE196" s="408">
        <f t="shared" si="39"/>
        <v>1</v>
      </c>
      <c r="AF196" s="408">
        <f t="shared" si="40"/>
        <v>0</v>
      </c>
      <c r="AG196" s="408">
        <f t="shared" si="41"/>
        <v>0</v>
      </c>
      <c r="AH196" s="408">
        <f t="shared" si="42"/>
        <v>0</v>
      </c>
      <c r="AI196" s="408">
        <f t="shared" si="43"/>
        <v>0</v>
      </c>
      <c r="AJ196" s="408">
        <f t="shared" si="44"/>
        <v>1</v>
      </c>
    </row>
    <row r="197" spans="1:36" x14ac:dyDescent="0.25">
      <c r="A197" s="409">
        <f t="shared" ref="A197:A205" si="47">A196+1</f>
        <v>196</v>
      </c>
      <c r="B197" s="410" t="s">
        <v>3061</v>
      </c>
      <c r="C197" s="410" t="s">
        <v>6196</v>
      </c>
      <c r="D197" s="409">
        <v>1</v>
      </c>
      <c r="E197" s="408"/>
      <c r="F197" s="409" t="str">
        <f>""</f>
        <v/>
      </c>
      <c r="G197" s="409" t="s">
        <v>6835</v>
      </c>
      <c r="H197" s="409" t="s">
        <v>6219</v>
      </c>
      <c r="I197" s="409" t="str">
        <f t="shared" si="45"/>
        <v/>
      </c>
      <c r="J197" s="409" t="s">
        <v>6206</v>
      </c>
      <c r="K197" s="409" t="s">
        <v>2536</v>
      </c>
      <c r="L197" s="409" t="s">
        <v>2562</v>
      </c>
      <c r="M197" s="409" t="s">
        <v>1248</v>
      </c>
      <c r="N197" s="408" t="s">
        <v>6334</v>
      </c>
      <c r="O197" s="409" t="s">
        <v>6190</v>
      </c>
      <c r="P197" s="408" t="s">
        <v>3063</v>
      </c>
      <c r="T197" s="409" t="s">
        <v>626</v>
      </c>
      <c r="W197" s="409" t="s">
        <v>621</v>
      </c>
      <c r="Z197" s="409" t="s">
        <v>628</v>
      </c>
      <c r="AA197" s="408">
        <f t="shared" si="46"/>
        <v>0</v>
      </c>
      <c r="AB197" s="408">
        <f t="shared" si="36"/>
        <v>0</v>
      </c>
      <c r="AC197" s="408">
        <f t="shared" si="37"/>
        <v>0</v>
      </c>
      <c r="AD197" s="408">
        <f t="shared" si="38"/>
        <v>1</v>
      </c>
      <c r="AE197" s="408">
        <f t="shared" si="39"/>
        <v>0</v>
      </c>
      <c r="AF197" s="408">
        <f t="shared" si="40"/>
        <v>0</v>
      </c>
      <c r="AG197" s="408">
        <f t="shared" si="41"/>
        <v>1</v>
      </c>
      <c r="AH197" s="408">
        <f t="shared" si="42"/>
        <v>0</v>
      </c>
      <c r="AI197" s="408">
        <f t="shared" si="43"/>
        <v>0</v>
      </c>
      <c r="AJ197" s="408">
        <f t="shared" si="44"/>
        <v>1</v>
      </c>
    </row>
    <row r="198" spans="1:36" x14ac:dyDescent="0.25">
      <c r="A198" s="409">
        <f t="shared" si="47"/>
        <v>197</v>
      </c>
      <c r="B198" s="410" t="s">
        <v>3064</v>
      </c>
      <c r="C198" s="410" t="s">
        <v>6193</v>
      </c>
      <c r="D198" s="409">
        <v>2</v>
      </c>
      <c r="E198" s="408"/>
      <c r="F198" s="409" t="str">
        <f>""</f>
        <v/>
      </c>
      <c r="G198" s="409" t="s">
        <v>6835</v>
      </c>
      <c r="H198" s="409" t="s">
        <v>424</v>
      </c>
      <c r="I198" s="409" t="str">
        <f t="shared" si="45"/>
        <v/>
      </c>
      <c r="J198" s="409" t="s">
        <v>6192</v>
      </c>
      <c r="K198" s="409" t="s">
        <v>2536</v>
      </c>
      <c r="L198" s="409" t="s">
        <v>3857</v>
      </c>
      <c r="M198" s="409" t="s">
        <v>3857</v>
      </c>
      <c r="N198" s="408" t="str">
        <f>""</f>
        <v/>
      </c>
      <c r="O198" s="409" t="s">
        <v>6190</v>
      </c>
      <c r="P198" s="408" t="s">
        <v>6669</v>
      </c>
      <c r="Q198" s="409" t="s">
        <v>1112</v>
      </c>
      <c r="T198" s="409" t="s">
        <v>626</v>
      </c>
      <c r="Z198" s="409" t="s">
        <v>628</v>
      </c>
      <c r="AA198" s="408">
        <f t="shared" si="46"/>
        <v>1</v>
      </c>
      <c r="AB198" s="408">
        <f t="shared" si="36"/>
        <v>0</v>
      </c>
      <c r="AC198" s="408">
        <f t="shared" si="37"/>
        <v>0</v>
      </c>
      <c r="AD198" s="408">
        <f t="shared" si="38"/>
        <v>1</v>
      </c>
      <c r="AE198" s="408">
        <f t="shared" si="39"/>
        <v>0</v>
      </c>
      <c r="AF198" s="408">
        <f t="shared" si="40"/>
        <v>0</v>
      </c>
      <c r="AG198" s="408">
        <f t="shared" si="41"/>
        <v>0</v>
      </c>
      <c r="AH198" s="408">
        <f t="shared" si="42"/>
        <v>0</v>
      </c>
      <c r="AI198" s="408">
        <f t="shared" si="43"/>
        <v>0</v>
      </c>
      <c r="AJ198" s="408">
        <f t="shared" si="44"/>
        <v>1</v>
      </c>
    </row>
    <row r="199" spans="1:36" x14ac:dyDescent="0.25">
      <c r="A199" s="409">
        <f t="shared" si="47"/>
        <v>198</v>
      </c>
      <c r="B199" s="410" t="s">
        <v>3066</v>
      </c>
      <c r="C199" s="410" t="s">
        <v>6208</v>
      </c>
      <c r="D199" s="409">
        <v>5</v>
      </c>
      <c r="E199" s="408"/>
      <c r="F199" s="409" t="str">
        <f>""</f>
        <v/>
      </c>
      <c r="G199" s="409" t="s">
        <v>6241</v>
      </c>
      <c r="H199" s="409" t="s">
        <v>6199</v>
      </c>
      <c r="I199" s="409" t="str">
        <f t="shared" si="45"/>
        <v/>
      </c>
      <c r="J199" s="409" t="s">
        <v>6192</v>
      </c>
      <c r="K199" s="409" t="s">
        <v>2536</v>
      </c>
      <c r="L199" s="409" t="s">
        <v>2562</v>
      </c>
      <c r="M199" s="409" t="s">
        <v>1248</v>
      </c>
      <c r="N199" s="408" t="s">
        <v>6335</v>
      </c>
      <c r="O199" s="409" t="s">
        <v>2792</v>
      </c>
      <c r="P199" s="408" t="s">
        <v>6670</v>
      </c>
      <c r="Q199" s="409" t="s">
        <v>1112</v>
      </c>
      <c r="V199" s="409" t="s">
        <v>620</v>
      </c>
      <c r="Z199" s="409" t="s">
        <v>628</v>
      </c>
      <c r="AA199" s="408">
        <f t="shared" si="46"/>
        <v>1</v>
      </c>
      <c r="AB199" s="408">
        <f t="shared" si="36"/>
        <v>0</v>
      </c>
      <c r="AC199" s="408">
        <f t="shared" si="37"/>
        <v>0</v>
      </c>
      <c r="AD199" s="408">
        <f t="shared" si="38"/>
        <v>0</v>
      </c>
      <c r="AE199" s="408">
        <f t="shared" si="39"/>
        <v>0</v>
      </c>
      <c r="AF199" s="408">
        <f t="shared" si="40"/>
        <v>1</v>
      </c>
      <c r="AG199" s="408">
        <f t="shared" si="41"/>
        <v>0</v>
      </c>
      <c r="AH199" s="408">
        <f t="shared" si="42"/>
        <v>0</v>
      </c>
      <c r="AI199" s="408">
        <f t="shared" si="43"/>
        <v>0</v>
      </c>
      <c r="AJ199" s="408">
        <f t="shared" si="44"/>
        <v>1</v>
      </c>
    </row>
    <row r="200" spans="1:36" x14ac:dyDescent="0.25">
      <c r="A200" s="409">
        <f t="shared" si="47"/>
        <v>199</v>
      </c>
      <c r="B200" s="410" t="s">
        <v>3070</v>
      </c>
      <c r="C200" s="410" t="s">
        <v>6214</v>
      </c>
      <c r="D200" s="409">
        <v>4</v>
      </c>
      <c r="E200" s="408"/>
      <c r="F200" s="409" t="str">
        <f>""</f>
        <v/>
      </c>
      <c r="G200" s="409" t="s">
        <v>6835</v>
      </c>
      <c r="H200" s="409" t="s">
        <v>6219</v>
      </c>
      <c r="I200" s="409" t="str">
        <f t="shared" si="45"/>
        <v/>
      </c>
      <c r="J200" s="409" t="s">
        <v>6192</v>
      </c>
      <c r="K200" s="409" t="s">
        <v>2536</v>
      </c>
      <c r="L200" s="409" t="s">
        <v>2562</v>
      </c>
      <c r="M200" s="409" t="s">
        <v>1248</v>
      </c>
      <c r="N200" s="408" t="s">
        <v>6336</v>
      </c>
      <c r="O200" s="409" t="s">
        <v>6185</v>
      </c>
      <c r="P200" s="408" t="s">
        <v>6671</v>
      </c>
      <c r="Z200" s="409" t="s">
        <v>628</v>
      </c>
      <c r="AA200" s="408">
        <f t="shared" si="46"/>
        <v>0</v>
      </c>
      <c r="AB200" s="408">
        <f t="shared" si="36"/>
        <v>0</v>
      </c>
      <c r="AC200" s="408">
        <f t="shared" si="37"/>
        <v>0</v>
      </c>
      <c r="AD200" s="408">
        <f t="shared" si="38"/>
        <v>0</v>
      </c>
      <c r="AE200" s="408">
        <f t="shared" si="39"/>
        <v>0</v>
      </c>
      <c r="AF200" s="408">
        <f t="shared" si="40"/>
        <v>0</v>
      </c>
      <c r="AG200" s="408">
        <f t="shared" si="41"/>
        <v>0</v>
      </c>
      <c r="AH200" s="408">
        <f t="shared" si="42"/>
        <v>0</v>
      </c>
      <c r="AI200" s="408">
        <f t="shared" si="43"/>
        <v>0</v>
      </c>
      <c r="AJ200" s="408">
        <f t="shared" si="44"/>
        <v>1</v>
      </c>
    </row>
    <row r="201" spans="1:36" x14ac:dyDescent="0.25">
      <c r="A201" s="409">
        <f t="shared" si="47"/>
        <v>200</v>
      </c>
      <c r="B201" s="410" t="s">
        <v>3073</v>
      </c>
      <c r="C201" s="410" t="s">
        <v>6205</v>
      </c>
      <c r="D201" s="409">
        <v>3</v>
      </c>
      <c r="E201" s="408"/>
      <c r="F201" s="409" t="s">
        <v>6183</v>
      </c>
      <c r="G201" s="409" t="s">
        <v>6197</v>
      </c>
      <c r="H201" s="409" t="s">
        <v>6199</v>
      </c>
      <c r="I201" s="409" t="str">
        <f t="shared" si="45"/>
        <v/>
      </c>
      <c r="J201" s="409" t="s">
        <v>6194</v>
      </c>
      <c r="K201" s="409" t="s">
        <v>2536</v>
      </c>
      <c r="L201" s="409" t="s">
        <v>2562</v>
      </c>
      <c r="M201" s="409" t="s">
        <v>1248</v>
      </c>
      <c r="N201" s="408" t="s">
        <v>6337</v>
      </c>
      <c r="O201" s="409" t="s">
        <v>6187</v>
      </c>
      <c r="P201" s="408" t="s">
        <v>6672</v>
      </c>
      <c r="Q201" s="409" t="s">
        <v>1112</v>
      </c>
      <c r="Z201" s="409" t="s">
        <v>628</v>
      </c>
      <c r="AA201" s="408">
        <f t="shared" si="46"/>
        <v>1</v>
      </c>
      <c r="AB201" s="408">
        <f t="shared" si="36"/>
        <v>0</v>
      </c>
      <c r="AC201" s="408">
        <f t="shared" si="37"/>
        <v>0</v>
      </c>
      <c r="AD201" s="408">
        <f t="shared" si="38"/>
        <v>0</v>
      </c>
      <c r="AE201" s="408">
        <f t="shared" si="39"/>
        <v>0</v>
      </c>
      <c r="AF201" s="408">
        <f t="shared" si="40"/>
        <v>0</v>
      </c>
      <c r="AG201" s="408">
        <f t="shared" si="41"/>
        <v>0</v>
      </c>
      <c r="AH201" s="408">
        <f t="shared" si="42"/>
        <v>0</v>
      </c>
      <c r="AI201" s="408">
        <f t="shared" si="43"/>
        <v>0</v>
      </c>
      <c r="AJ201" s="408">
        <f t="shared" si="44"/>
        <v>1</v>
      </c>
    </row>
    <row r="202" spans="1:36" x14ac:dyDescent="0.25">
      <c r="A202" s="409">
        <f t="shared" si="47"/>
        <v>201</v>
      </c>
      <c r="B202" s="410" t="s">
        <v>3078</v>
      </c>
      <c r="C202" s="410" t="s">
        <v>6193</v>
      </c>
      <c r="D202" s="409">
        <v>2</v>
      </c>
      <c r="E202" s="408"/>
      <c r="F202" s="409" t="str">
        <f>""</f>
        <v/>
      </c>
      <c r="G202" s="409" t="s">
        <v>6835</v>
      </c>
      <c r="H202" s="409" t="s">
        <v>6219</v>
      </c>
      <c r="I202" s="409" t="str">
        <f t="shared" si="45"/>
        <v/>
      </c>
      <c r="J202" s="409" t="s">
        <v>6192</v>
      </c>
      <c r="K202" s="409" t="s">
        <v>2536</v>
      </c>
      <c r="L202" s="409" t="s">
        <v>2562</v>
      </c>
      <c r="M202" s="409" t="s">
        <v>3857</v>
      </c>
      <c r="N202" s="408" t="str">
        <f>""</f>
        <v/>
      </c>
      <c r="O202" s="409" t="s">
        <v>6184</v>
      </c>
      <c r="P202" s="408" t="s">
        <v>3079</v>
      </c>
      <c r="Q202" s="409" t="s">
        <v>1112</v>
      </c>
      <c r="R202" s="409" t="s">
        <v>1113</v>
      </c>
      <c r="S202" s="409" t="s">
        <v>624</v>
      </c>
      <c r="V202" s="409" t="s">
        <v>620</v>
      </c>
      <c r="W202" s="409" t="s">
        <v>621</v>
      </c>
      <c r="AA202" s="408">
        <f t="shared" si="46"/>
        <v>1</v>
      </c>
      <c r="AB202" s="408">
        <f t="shared" si="36"/>
        <v>1</v>
      </c>
      <c r="AC202" s="408">
        <f t="shared" si="37"/>
        <v>1</v>
      </c>
      <c r="AD202" s="408">
        <f t="shared" si="38"/>
        <v>0</v>
      </c>
      <c r="AE202" s="408">
        <f t="shared" si="39"/>
        <v>0</v>
      </c>
      <c r="AF202" s="408">
        <f t="shared" si="40"/>
        <v>1</v>
      </c>
      <c r="AG202" s="408">
        <f t="shared" si="41"/>
        <v>1</v>
      </c>
      <c r="AH202" s="408">
        <f t="shared" si="42"/>
        <v>0</v>
      </c>
      <c r="AI202" s="408">
        <f t="shared" si="43"/>
        <v>0</v>
      </c>
      <c r="AJ202" s="408">
        <f t="shared" si="44"/>
        <v>0</v>
      </c>
    </row>
    <row r="203" spans="1:36" x14ac:dyDescent="0.25">
      <c r="A203" s="409">
        <f t="shared" si="47"/>
        <v>202</v>
      </c>
      <c r="B203" s="410" t="s">
        <v>3080</v>
      </c>
      <c r="C203" s="410" t="s">
        <v>6193</v>
      </c>
      <c r="D203" s="409">
        <v>2</v>
      </c>
      <c r="E203" s="408"/>
      <c r="F203" s="409" t="str">
        <f>""</f>
        <v/>
      </c>
      <c r="G203" s="409" t="s">
        <v>6835</v>
      </c>
      <c r="H203" s="409" t="s">
        <v>424</v>
      </c>
      <c r="I203" s="409" t="str">
        <f t="shared" si="45"/>
        <v>Concentration</v>
      </c>
      <c r="J203" s="409" t="s">
        <v>6218</v>
      </c>
      <c r="K203" s="409" t="s">
        <v>2536</v>
      </c>
      <c r="L203" s="409" t="s">
        <v>2562</v>
      </c>
      <c r="M203" s="409" t="s">
        <v>1248</v>
      </c>
      <c r="N203" s="408" t="s">
        <v>6338</v>
      </c>
      <c r="O203" s="409" t="s">
        <v>6190</v>
      </c>
      <c r="P203" s="408" t="s">
        <v>6673</v>
      </c>
      <c r="T203" s="409" t="s">
        <v>626</v>
      </c>
      <c r="Z203" s="409" t="s">
        <v>628</v>
      </c>
      <c r="AA203" s="408">
        <f t="shared" si="46"/>
        <v>0</v>
      </c>
      <c r="AB203" s="408">
        <f t="shared" si="36"/>
        <v>0</v>
      </c>
      <c r="AC203" s="408">
        <f t="shared" si="37"/>
        <v>0</v>
      </c>
      <c r="AD203" s="408">
        <f t="shared" si="38"/>
        <v>1</v>
      </c>
      <c r="AE203" s="408">
        <f t="shared" si="39"/>
        <v>0</v>
      </c>
      <c r="AF203" s="408">
        <f t="shared" si="40"/>
        <v>0</v>
      </c>
      <c r="AG203" s="408">
        <f t="shared" si="41"/>
        <v>0</v>
      </c>
      <c r="AH203" s="408">
        <f t="shared" si="42"/>
        <v>0</v>
      </c>
      <c r="AI203" s="408">
        <f t="shared" si="43"/>
        <v>0</v>
      </c>
      <c r="AJ203" s="408">
        <f t="shared" si="44"/>
        <v>1</v>
      </c>
    </row>
    <row r="204" spans="1:36" x14ac:dyDescent="0.25">
      <c r="A204" s="409">
        <f t="shared" si="47"/>
        <v>203</v>
      </c>
      <c r="B204" s="410" t="s">
        <v>122</v>
      </c>
      <c r="C204" s="410" t="s">
        <v>6191</v>
      </c>
      <c r="D204" s="409">
        <v>0.5</v>
      </c>
      <c r="E204" s="408"/>
      <c r="F204" s="409" t="str">
        <f>""</f>
        <v/>
      </c>
      <c r="G204" s="409" t="s">
        <v>6835</v>
      </c>
      <c r="H204" s="409" t="s">
        <v>6219</v>
      </c>
      <c r="I204" s="409" t="str">
        <f t="shared" si="45"/>
        <v/>
      </c>
      <c r="J204" s="409" t="s">
        <v>6212</v>
      </c>
      <c r="K204" s="409" t="s">
        <v>2536</v>
      </c>
      <c r="L204" s="409" t="s">
        <v>3857</v>
      </c>
      <c r="M204" s="409" t="s">
        <v>1248</v>
      </c>
      <c r="N204" s="408" t="s">
        <v>6339</v>
      </c>
      <c r="O204" s="409" t="s">
        <v>6187</v>
      </c>
      <c r="P204" s="408" t="s">
        <v>6674</v>
      </c>
      <c r="Q204" s="409" t="s">
        <v>1112</v>
      </c>
      <c r="T204" s="409" t="s">
        <v>626</v>
      </c>
      <c r="V204" s="409" t="s">
        <v>620</v>
      </c>
      <c r="Z204" s="409" t="s">
        <v>628</v>
      </c>
      <c r="AA204" s="408">
        <f t="shared" si="46"/>
        <v>1</v>
      </c>
      <c r="AB204" s="408">
        <f t="shared" si="36"/>
        <v>0</v>
      </c>
      <c r="AC204" s="408">
        <f t="shared" si="37"/>
        <v>0</v>
      </c>
      <c r="AD204" s="408">
        <f t="shared" si="38"/>
        <v>1</v>
      </c>
      <c r="AE204" s="408">
        <f t="shared" si="39"/>
        <v>0</v>
      </c>
      <c r="AF204" s="408">
        <f t="shared" si="40"/>
        <v>1</v>
      </c>
      <c r="AG204" s="408">
        <f t="shared" si="41"/>
        <v>0</v>
      </c>
      <c r="AH204" s="408">
        <f t="shared" si="42"/>
        <v>0</v>
      </c>
      <c r="AI204" s="408">
        <f t="shared" si="43"/>
        <v>0</v>
      </c>
      <c r="AJ204" s="408">
        <f t="shared" si="44"/>
        <v>1</v>
      </c>
    </row>
    <row r="205" spans="1:36" x14ac:dyDescent="0.25">
      <c r="A205" s="409">
        <f t="shared" si="47"/>
        <v>204</v>
      </c>
      <c r="B205" s="410" t="s">
        <v>3085</v>
      </c>
      <c r="C205" s="410" t="s">
        <v>6205</v>
      </c>
      <c r="D205" s="409">
        <v>3</v>
      </c>
      <c r="E205" s="408"/>
      <c r="F205" s="409" t="str">
        <f>""</f>
        <v/>
      </c>
      <c r="G205" s="409" t="s">
        <v>6841</v>
      </c>
      <c r="H205" s="409" t="s">
        <v>6199</v>
      </c>
      <c r="I205" s="409" t="str">
        <f t="shared" si="45"/>
        <v>Concentration</v>
      </c>
      <c r="J205" s="409" t="s">
        <v>6210</v>
      </c>
      <c r="K205" s="409" t="s">
        <v>2536</v>
      </c>
      <c r="L205" s="409" t="s">
        <v>2562</v>
      </c>
      <c r="M205" s="409" t="s">
        <v>3857</v>
      </c>
      <c r="O205" s="409" t="s">
        <v>6190</v>
      </c>
      <c r="P205" s="408" t="s">
        <v>6675</v>
      </c>
      <c r="AA205" s="408">
        <f t="shared" si="46"/>
        <v>0</v>
      </c>
      <c r="AB205" s="408">
        <f t="shared" si="36"/>
        <v>0</v>
      </c>
      <c r="AC205" s="408">
        <f t="shared" si="37"/>
        <v>0</v>
      </c>
      <c r="AD205" s="408">
        <f t="shared" si="38"/>
        <v>0</v>
      </c>
      <c r="AE205" s="408">
        <f t="shared" si="39"/>
        <v>0</v>
      </c>
      <c r="AF205" s="408">
        <f t="shared" si="40"/>
        <v>0</v>
      </c>
      <c r="AG205" s="408">
        <f t="shared" si="41"/>
        <v>0</v>
      </c>
      <c r="AH205" s="408">
        <f t="shared" si="42"/>
        <v>0</v>
      </c>
      <c r="AI205" s="408">
        <f t="shared" si="43"/>
        <v>0</v>
      </c>
      <c r="AJ205" s="408">
        <f t="shared" si="44"/>
        <v>0</v>
      </c>
    </row>
    <row r="206" spans="1:36" x14ac:dyDescent="0.25">
      <c r="A206" s="409">
        <f>A205+1</f>
        <v>205</v>
      </c>
      <c r="B206" s="410" t="s">
        <v>3087</v>
      </c>
      <c r="C206" s="410" t="s">
        <v>6205</v>
      </c>
      <c r="D206" s="409">
        <v>3</v>
      </c>
      <c r="E206" s="408"/>
      <c r="F206" s="409" t="str">
        <f>""</f>
        <v/>
      </c>
      <c r="G206" s="409" t="s">
        <v>6835</v>
      </c>
      <c r="H206" s="409" t="s">
        <v>6301</v>
      </c>
      <c r="I206" s="409" t="str">
        <f t="shared" si="45"/>
        <v/>
      </c>
      <c r="J206" s="409" t="s">
        <v>6192</v>
      </c>
      <c r="K206" s="409" t="s">
        <v>2536</v>
      </c>
      <c r="L206" s="409" t="s">
        <v>2562</v>
      </c>
      <c r="M206" s="409" t="s">
        <v>1248</v>
      </c>
      <c r="N206" s="408" t="s">
        <v>6340</v>
      </c>
      <c r="O206" s="409" t="s">
        <v>6187</v>
      </c>
      <c r="P206" s="408" t="s">
        <v>6676</v>
      </c>
      <c r="T206" s="409" t="s">
        <v>626</v>
      </c>
      <c r="Z206" s="409" t="s">
        <v>628</v>
      </c>
      <c r="AA206" s="408">
        <f t="shared" si="46"/>
        <v>0</v>
      </c>
      <c r="AB206" s="408">
        <f t="shared" si="36"/>
        <v>0</v>
      </c>
      <c r="AC206" s="408">
        <f t="shared" si="37"/>
        <v>0</v>
      </c>
      <c r="AD206" s="408">
        <f t="shared" si="38"/>
        <v>1</v>
      </c>
      <c r="AE206" s="408">
        <f t="shared" si="39"/>
        <v>0</v>
      </c>
      <c r="AF206" s="408">
        <f t="shared" si="40"/>
        <v>0</v>
      </c>
      <c r="AG206" s="408">
        <f t="shared" si="41"/>
        <v>0</v>
      </c>
      <c r="AH206" s="408">
        <f t="shared" si="42"/>
        <v>0</v>
      </c>
      <c r="AI206" s="408">
        <f t="shared" si="43"/>
        <v>0</v>
      </c>
      <c r="AJ206" s="408">
        <f t="shared" si="44"/>
        <v>1</v>
      </c>
    </row>
    <row r="207" spans="1:36" x14ac:dyDescent="0.25">
      <c r="A207" s="409">
        <f t="shared" ref="A207:A270" si="48">A206+1</f>
        <v>206</v>
      </c>
      <c r="B207" s="410" t="s">
        <v>3091</v>
      </c>
      <c r="C207" s="410" t="s">
        <v>6193</v>
      </c>
      <c r="D207" s="409">
        <v>2</v>
      </c>
      <c r="E207" s="408"/>
      <c r="F207" s="409" t="s">
        <v>6183</v>
      </c>
      <c r="G207" s="409" t="s">
        <v>6836</v>
      </c>
      <c r="H207" s="409" t="s">
        <v>6199</v>
      </c>
      <c r="I207" s="409" t="str">
        <f t="shared" si="45"/>
        <v/>
      </c>
      <c r="J207" s="409" t="s">
        <v>6192</v>
      </c>
      <c r="K207" s="409" t="s">
        <v>2536</v>
      </c>
      <c r="L207" s="409" t="s">
        <v>2562</v>
      </c>
      <c r="M207" s="409" t="s">
        <v>1248</v>
      </c>
      <c r="N207" s="408" t="s">
        <v>6341</v>
      </c>
      <c r="O207" s="409" t="s">
        <v>2792</v>
      </c>
      <c r="P207" s="408" t="s">
        <v>3093</v>
      </c>
      <c r="Q207" s="409" t="s">
        <v>1112</v>
      </c>
      <c r="S207" s="409" t="s">
        <v>624</v>
      </c>
      <c r="W207" s="409" t="s">
        <v>621</v>
      </c>
      <c r="AA207" s="408">
        <f t="shared" si="46"/>
        <v>1</v>
      </c>
      <c r="AB207" s="408">
        <f t="shared" si="36"/>
        <v>0</v>
      </c>
      <c r="AC207" s="408">
        <f t="shared" si="37"/>
        <v>1</v>
      </c>
      <c r="AD207" s="408">
        <f t="shared" si="38"/>
        <v>0</v>
      </c>
      <c r="AE207" s="408">
        <f t="shared" si="39"/>
        <v>0</v>
      </c>
      <c r="AF207" s="408">
        <f t="shared" si="40"/>
        <v>0</v>
      </c>
      <c r="AG207" s="408">
        <f t="shared" si="41"/>
        <v>1</v>
      </c>
      <c r="AH207" s="408">
        <f t="shared" si="42"/>
        <v>0</v>
      </c>
      <c r="AI207" s="408">
        <f t="shared" si="43"/>
        <v>0</v>
      </c>
      <c r="AJ207" s="408">
        <f t="shared" si="44"/>
        <v>0</v>
      </c>
    </row>
    <row r="208" spans="1:36" x14ac:dyDescent="0.25">
      <c r="A208" s="409">
        <f t="shared" si="48"/>
        <v>207</v>
      </c>
      <c r="B208" s="410" t="s">
        <v>3094</v>
      </c>
      <c r="C208" s="410" t="s">
        <v>6214</v>
      </c>
      <c r="D208" s="409">
        <v>4</v>
      </c>
      <c r="E208" s="408"/>
      <c r="F208" s="409" t="str">
        <f>""</f>
        <v/>
      </c>
      <c r="G208" s="409" t="s">
        <v>6835</v>
      </c>
      <c r="H208" s="409" t="s">
        <v>6199</v>
      </c>
      <c r="I208" s="409" t="str">
        <f t="shared" si="45"/>
        <v>Concentration</v>
      </c>
      <c r="J208" s="409" t="s">
        <v>6200</v>
      </c>
      <c r="K208" s="409" t="s">
        <v>2536</v>
      </c>
      <c r="L208" s="409" t="s">
        <v>2562</v>
      </c>
      <c r="M208" s="409" t="s">
        <v>1248</v>
      </c>
      <c r="N208" s="408" t="s">
        <v>6341</v>
      </c>
      <c r="O208" s="409" t="s">
        <v>2792</v>
      </c>
      <c r="P208" s="408" t="s">
        <v>6677</v>
      </c>
      <c r="Q208" s="409" t="s">
        <v>1112</v>
      </c>
      <c r="R208" s="409" t="s">
        <v>1113</v>
      </c>
      <c r="V208" s="409" t="s">
        <v>620</v>
      </c>
      <c r="Z208" s="409" t="s">
        <v>628</v>
      </c>
      <c r="AA208" s="408">
        <f t="shared" si="46"/>
        <v>1</v>
      </c>
      <c r="AB208" s="408">
        <f t="shared" si="36"/>
        <v>1</v>
      </c>
      <c r="AC208" s="408">
        <f t="shared" si="37"/>
        <v>0</v>
      </c>
      <c r="AD208" s="408">
        <f t="shared" si="38"/>
        <v>0</v>
      </c>
      <c r="AE208" s="408">
        <f t="shared" si="39"/>
        <v>0</v>
      </c>
      <c r="AF208" s="408">
        <f t="shared" si="40"/>
        <v>1</v>
      </c>
      <c r="AG208" s="408">
        <f t="shared" si="41"/>
        <v>0</v>
      </c>
      <c r="AH208" s="408">
        <f t="shared" si="42"/>
        <v>0</v>
      </c>
      <c r="AI208" s="408">
        <f t="shared" si="43"/>
        <v>0</v>
      </c>
      <c r="AJ208" s="408">
        <f t="shared" si="44"/>
        <v>1</v>
      </c>
    </row>
    <row r="209" spans="1:36" x14ac:dyDescent="0.25">
      <c r="A209" s="409">
        <f t="shared" si="48"/>
        <v>208</v>
      </c>
      <c r="B209" s="410" t="s">
        <v>3096</v>
      </c>
      <c r="C209" s="410" t="s">
        <v>6193</v>
      </c>
      <c r="D209" s="409">
        <v>2</v>
      </c>
      <c r="E209" s="408"/>
      <c r="F209" s="409" t="str">
        <f>""</f>
        <v/>
      </c>
      <c r="G209" s="409" t="s">
        <v>6835</v>
      </c>
      <c r="H209" s="409" t="s">
        <v>6199</v>
      </c>
      <c r="I209" s="409" t="str">
        <f t="shared" si="45"/>
        <v>Concentration</v>
      </c>
      <c r="J209" s="409" t="s">
        <v>6218</v>
      </c>
      <c r="K209" s="409" t="s">
        <v>2536</v>
      </c>
      <c r="L209" s="409" t="s">
        <v>2562</v>
      </c>
      <c r="M209" s="409" t="s">
        <v>1248</v>
      </c>
      <c r="N209" s="408" t="s">
        <v>6342</v>
      </c>
      <c r="O209" s="409" t="s">
        <v>2792</v>
      </c>
      <c r="P209" s="408" t="s">
        <v>6678</v>
      </c>
      <c r="Q209" s="409" t="s">
        <v>1112</v>
      </c>
      <c r="R209" s="409" t="s">
        <v>1113</v>
      </c>
      <c r="V209" s="409" t="s">
        <v>620</v>
      </c>
      <c r="Z209" s="409" t="s">
        <v>628</v>
      </c>
      <c r="AA209" s="408">
        <f t="shared" si="46"/>
        <v>1</v>
      </c>
      <c r="AB209" s="408">
        <f t="shared" si="36"/>
        <v>1</v>
      </c>
      <c r="AC209" s="408">
        <f t="shared" si="37"/>
        <v>0</v>
      </c>
      <c r="AD209" s="408">
        <f t="shared" si="38"/>
        <v>0</v>
      </c>
      <c r="AE209" s="408">
        <f t="shared" si="39"/>
        <v>0</v>
      </c>
      <c r="AF209" s="408">
        <f t="shared" si="40"/>
        <v>1</v>
      </c>
      <c r="AG209" s="408">
        <f t="shared" si="41"/>
        <v>0</v>
      </c>
      <c r="AH209" s="408">
        <f t="shared" si="42"/>
        <v>0</v>
      </c>
      <c r="AI209" s="408">
        <f t="shared" si="43"/>
        <v>0</v>
      </c>
      <c r="AJ209" s="408">
        <f t="shared" si="44"/>
        <v>1</v>
      </c>
    </row>
    <row r="210" spans="1:36" x14ac:dyDescent="0.25">
      <c r="A210" s="409">
        <f t="shared" si="48"/>
        <v>209</v>
      </c>
      <c r="B210" s="410" t="s">
        <v>3099</v>
      </c>
      <c r="C210" s="410" t="s">
        <v>6196</v>
      </c>
      <c r="D210" s="409">
        <v>1</v>
      </c>
      <c r="E210" s="408"/>
      <c r="F210" s="409" t="str">
        <f>""</f>
        <v/>
      </c>
      <c r="G210" s="409" t="s">
        <v>6835</v>
      </c>
      <c r="H210" s="409" t="s">
        <v>6219</v>
      </c>
      <c r="I210" s="409" t="str">
        <f t="shared" si="45"/>
        <v/>
      </c>
      <c r="J210" s="409" t="s">
        <v>6212</v>
      </c>
      <c r="K210" s="409" t="s">
        <v>2536</v>
      </c>
      <c r="L210" s="409" t="s">
        <v>2562</v>
      </c>
      <c r="M210" s="409" t="s">
        <v>1248</v>
      </c>
      <c r="N210" s="408" t="s">
        <v>6343</v>
      </c>
      <c r="O210" s="409" t="s">
        <v>6190</v>
      </c>
      <c r="P210" s="408" t="s">
        <v>6344</v>
      </c>
      <c r="Q210" s="409" t="s">
        <v>1112</v>
      </c>
      <c r="S210" s="409" t="s">
        <v>624</v>
      </c>
      <c r="W210" s="409" t="s">
        <v>621</v>
      </c>
      <c r="Z210" s="409" t="s">
        <v>628</v>
      </c>
      <c r="AA210" s="408">
        <f t="shared" si="46"/>
        <v>1</v>
      </c>
      <c r="AB210" s="408">
        <f t="shared" si="36"/>
        <v>0</v>
      </c>
      <c r="AC210" s="408">
        <f t="shared" si="37"/>
        <v>1</v>
      </c>
      <c r="AD210" s="408">
        <f t="shared" si="38"/>
        <v>0</v>
      </c>
      <c r="AE210" s="408">
        <f t="shared" si="39"/>
        <v>0</v>
      </c>
      <c r="AF210" s="408">
        <f t="shared" si="40"/>
        <v>0</v>
      </c>
      <c r="AG210" s="408">
        <f t="shared" si="41"/>
        <v>1</v>
      </c>
      <c r="AH210" s="408">
        <f t="shared" si="42"/>
        <v>0</v>
      </c>
      <c r="AI210" s="408">
        <f t="shared" si="43"/>
        <v>0</v>
      </c>
      <c r="AJ210" s="408">
        <f t="shared" si="44"/>
        <v>1</v>
      </c>
    </row>
    <row r="211" spans="1:36" x14ac:dyDescent="0.25">
      <c r="A211" s="409">
        <f t="shared" si="48"/>
        <v>210</v>
      </c>
      <c r="B211" s="410" t="s">
        <v>3102</v>
      </c>
      <c r="C211" s="410" t="s">
        <v>6196</v>
      </c>
      <c r="D211" s="409">
        <v>1</v>
      </c>
      <c r="E211" s="408"/>
      <c r="F211" s="409" t="str">
        <f>""</f>
        <v/>
      </c>
      <c r="G211" s="409" t="s">
        <v>6835</v>
      </c>
      <c r="H211" s="409" t="s">
        <v>6219</v>
      </c>
      <c r="I211" s="409" t="str">
        <f t="shared" si="45"/>
        <v/>
      </c>
      <c r="J211" s="409" t="s">
        <v>6194</v>
      </c>
      <c r="K211" s="409" t="s">
        <v>2536</v>
      </c>
      <c r="L211" s="409" t="s">
        <v>2562</v>
      </c>
      <c r="M211" s="409" t="s">
        <v>1248</v>
      </c>
      <c r="N211" s="408" t="s">
        <v>6345</v>
      </c>
      <c r="O211" s="409" t="s">
        <v>6184</v>
      </c>
      <c r="P211" s="408" t="s">
        <v>3104</v>
      </c>
      <c r="T211" s="409" t="s">
        <v>626</v>
      </c>
      <c r="Z211" s="409" t="s">
        <v>628</v>
      </c>
      <c r="AA211" s="408">
        <f t="shared" si="46"/>
        <v>0</v>
      </c>
      <c r="AB211" s="408">
        <f t="shared" si="36"/>
        <v>0</v>
      </c>
      <c r="AC211" s="408">
        <f t="shared" si="37"/>
        <v>0</v>
      </c>
      <c r="AD211" s="408">
        <f t="shared" si="38"/>
        <v>1</v>
      </c>
      <c r="AE211" s="408">
        <f t="shared" si="39"/>
        <v>0</v>
      </c>
      <c r="AF211" s="408">
        <f t="shared" si="40"/>
        <v>0</v>
      </c>
      <c r="AG211" s="408">
        <f t="shared" si="41"/>
        <v>0</v>
      </c>
      <c r="AH211" s="408">
        <f t="shared" si="42"/>
        <v>0</v>
      </c>
      <c r="AI211" s="408">
        <f t="shared" si="43"/>
        <v>0</v>
      </c>
      <c r="AJ211" s="408">
        <f t="shared" si="44"/>
        <v>1</v>
      </c>
    </row>
    <row r="212" spans="1:36" x14ac:dyDescent="0.25">
      <c r="A212" s="409">
        <f t="shared" si="48"/>
        <v>211</v>
      </c>
      <c r="B212" s="410" t="s">
        <v>3105</v>
      </c>
      <c r="C212" s="410" t="s">
        <v>6191</v>
      </c>
      <c r="D212" s="409">
        <v>0.5</v>
      </c>
      <c r="E212" s="408"/>
      <c r="F212" s="409" t="str">
        <f>""</f>
        <v/>
      </c>
      <c r="G212" s="409" t="s">
        <v>6835</v>
      </c>
      <c r="H212" s="409" t="s">
        <v>5950</v>
      </c>
      <c r="I212" s="409" t="str">
        <f t="shared" si="45"/>
        <v/>
      </c>
      <c r="J212" s="409" t="s">
        <v>6206</v>
      </c>
      <c r="K212" s="409" t="s">
        <v>2536</v>
      </c>
      <c r="L212" s="409" t="s">
        <v>2562</v>
      </c>
      <c r="M212" s="409" t="s">
        <v>3857</v>
      </c>
      <c r="N212" s="408" t="str">
        <f>""</f>
        <v/>
      </c>
      <c r="O212" s="409" t="s">
        <v>6185</v>
      </c>
      <c r="P212" s="408" t="s">
        <v>6679</v>
      </c>
      <c r="Q212" s="409" t="s">
        <v>1112</v>
      </c>
      <c r="T212" s="409" t="s">
        <v>626</v>
      </c>
      <c r="U212" s="409" t="s">
        <v>627</v>
      </c>
      <c r="Z212" s="409" t="s">
        <v>628</v>
      </c>
      <c r="AA212" s="408">
        <f t="shared" si="46"/>
        <v>1</v>
      </c>
      <c r="AB212" s="408">
        <f t="shared" si="36"/>
        <v>0</v>
      </c>
      <c r="AC212" s="408">
        <f t="shared" si="37"/>
        <v>0</v>
      </c>
      <c r="AD212" s="408">
        <f t="shared" si="38"/>
        <v>1</v>
      </c>
      <c r="AE212" s="408">
        <f t="shared" si="39"/>
        <v>1</v>
      </c>
      <c r="AF212" s="408">
        <f t="shared" si="40"/>
        <v>0</v>
      </c>
      <c r="AG212" s="408">
        <f t="shared" si="41"/>
        <v>0</v>
      </c>
      <c r="AH212" s="408">
        <f t="shared" si="42"/>
        <v>0</v>
      </c>
      <c r="AI212" s="408">
        <f t="shared" si="43"/>
        <v>0</v>
      </c>
      <c r="AJ212" s="408">
        <f t="shared" si="44"/>
        <v>1</v>
      </c>
    </row>
    <row r="213" spans="1:36" x14ac:dyDescent="0.25">
      <c r="A213" s="409">
        <f t="shared" si="48"/>
        <v>212</v>
      </c>
      <c r="B213" s="410" t="s">
        <v>3107</v>
      </c>
      <c r="C213" s="410" t="s">
        <v>6205</v>
      </c>
      <c r="D213" s="409">
        <v>3</v>
      </c>
      <c r="E213" s="408"/>
      <c r="F213" s="409" t="str">
        <f>""</f>
        <v/>
      </c>
      <c r="G213" s="409" t="s">
        <v>6206</v>
      </c>
      <c r="H213" s="409" t="s">
        <v>5942</v>
      </c>
      <c r="I213" s="409" t="str">
        <f t="shared" si="45"/>
        <v/>
      </c>
      <c r="J213" s="409" t="s">
        <v>6212</v>
      </c>
      <c r="K213" s="409" t="s">
        <v>2536</v>
      </c>
      <c r="L213" s="409" t="s">
        <v>2562</v>
      </c>
      <c r="M213" s="409" t="s">
        <v>1248</v>
      </c>
      <c r="N213" s="408" t="s">
        <v>6346</v>
      </c>
      <c r="O213" s="409" t="s">
        <v>6184</v>
      </c>
      <c r="P213" s="408" t="s">
        <v>6680</v>
      </c>
      <c r="R213" s="409" t="s">
        <v>1113</v>
      </c>
      <c r="U213" s="409" t="s">
        <v>627</v>
      </c>
      <c r="V213" s="409" t="s">
        <v>620</v>
      </c>
      <c r="Z213" s="409" t="s">
        <v>628</v>
      </c>
      <c r="AA213" s="408">
        <f t="shared" si="46"/>
        <v>0</v>
      </c>
      <c r="AB213" s="408">
        <f t="shared" si="36"/>
        <v>1</v>
      </c>
      <c r="AC213" s="408">
        <f t="shared" si="37"/>
        <v>0</v>
      </c>
      <c r="AD213" s="408">
        <f t="shared" si="38"/>
        <v>0</v>
      </c>
      <c r="AE213" s="408">
        <f t="shared" si="39"/>
        <v>1</v>
      </c>
      <c r="AF213" s="408">
        <f t="shared" si="40"/>
        <v>1</v>
      </c>
      <c r="AG213" s="408">
        <f t="shared" si="41"/>
        <v>0</v>
      </c>
      <c r="AH213" s="408">
        <f t="shared" si="42"/>
        <v>0</v>
      </c>
      <c r="AI213" s="408">
        <f t="shared" si="43"/>
        <v>0</v>
      </c>
      <c r="AJ213" s="408">
        <f t="shared" si="44"/>
        <v>1</v>
      </c>
    </row>
    <row r="214" spans="1:36" x14ac:dyDescent="0.25">
      <c r="A214" s="409">
        <f t="shared" si="48"/>
        <v>213</v>
      </c>
      <c r="B214" s="410" t="s">
        <v>3110</v>
      </c>
      <c r="C214" s="410" t="s">
        <v>6216</v>
      </c>
      <c r="D214" s="409">
        <v>6</v>
      </c>
      <c r="E214" s="408"/>
      <c r="F214" s="409" t="str">
        <f>""</f>
        <v/>
      </c>
      <c r="G214" s="409" t="s">
        <v>6206</v>
      </c>
      <c r="H214" s="409" t="s">
        <v>6199</v>
      </c>
      <c r="I214" s="409" t="str">
        <f t="shared" si="45"/>
        <v/>
      </c>
      <c r="J214" s="409" t="s">
        <v>6220</v>
      </c>
      <c r="K214" s="409" t="s">
        <v>2536</v>
      </c>
      <c r="L214" s="409" t="s">
        <v>2562</v>
      </c>
      <c r="M214" s="409" t="s">
        <v>1248</v>
      </c>
      <c r="N214" s="408" t="s">
        <v>6347</v>
      </c>
      <c r="O214" s="409" t="s">
        <v>6189</v>
      </c>
      <c r="P214" s="408" t="s">
        <v>6681</v>
      </c>
      <c r="Z214" s="409" t="s">
        <v>628</v>
      </c>
      <c r="AA214" s="408">
        <f t="shared" si="46"/>
        <v>0</v>
      </c>
      <c r="AB214" s="408">
        <f t="shared" si="36"/>
        <v>0</v>
      </c>
      <c r="AC214" s="408">
        <f t="shared" si="37"/>
        <v>0</v>
      </c>
      <c r="AD214" s="408">
        <f t="shared" si="38"/>
        <v>0</v>
      </c>
      <c r="AE214" s="408">
        <f t="shared" si="39"/>
        <v>0</v>
      </c>
      <c r="AF214" s="408">
        <f t="shared" si="40"/>
        <v>0</v>
      </c>
      <c r="AG214" s="408">
        <f t="shared" si="41"/>
        <v>0</v>
      </c>
      <c r="AH214" s="408">
        <f t="shared" si="42"/>
        <v>0</v>
      </c>
      <c r="AI214" s="408">
        <f t="shared" si="43"/>
        <v>0</v>
      </c>
      <c r="AJ214" s="408">
        <f t="shared" si="44"/>
        <v>1</v>
      </c>
    </row>
    <row r="215" spans="1:36" x14ac:dyDescent="0.25">
      <c r="A215" s="409">
        <f t="shared" si="48"/>
        <v>214</v>
      </c>
      <c r="B215" s="410" t="s">
        <v>3113</v>
      </c>
      <c r="C215" s="410" t="s">
        <v>6196</v>
      </c>
      <c r="D215" s="409">
        <v>1</v>
      </c>
      <c r="E215" s="408"/>
      <c r="F215" s="409" t="str">
        <f>""</f>
        <v/>
      </c>
      <c r="G215" s="409" t="s">
        <v>6835</v>
      </c>
      <c r="H215" s="409" t="s">
        <v>6209</v>
      </c>
      <c r="I215" s="409" t="str">
        <f t="shared" si="45"/>
        <v/>
      </c>
      <c r="J215" s="409" t="s">
        <v>6192</v>
      </c>
      <c r="K215" s="409" t="s">
        <v>2536</v>
      </c>
      <c r="L215" s="409" t="s">
        <v>2562</v>
      </c>
      <c r="M215" s="409" t="s">
        <v>3857</v>
      </c>
      <c r="N215" s="408" t="str">
        <f>""</f>
        <v/>
      </c>
      <c r="O215" s="409" t="s">
        <v>6187</v>
      </c>
      <c r="P215" s="408" t="s">
        <v>6682</v>
      </c>
      <c r="T215" s="409" t="s">
        <v>626</v>
      </c>
      <c r="Z215" s="409" t="s">
        <v>628</v>
      </c>
      <c r="AA215" s="408">
        <f t="shared" si="46"/>
        <v>0</v>
      </c>
      <c r="AB215" s="408">
        <f t="shared" si="36"/>
        <v>0</v>
      </c>
      <c r="AC215" s="408">
        <f t="shared" si="37"/>
        <v>0</v>
      </c>
      <c r="AD215" s="408">
        <f t="shared" si="38"/>
        <v>1</v>
      </c>
      <c r="AE215" s="408">
        <f t="shared" si="39"/>
        <v>0</v>
      </c>
      <c r="AF215" s="408">
        <f t="shared" si="40"/>
        <v>0</v>
      </c>
      <c r="AG215" s="408">
        <f t="shared" si="41"/>
        <v>0</v>
      </c>
      <c r="AH215" s="408">
        <f t="shared" si="42"/>
        <v>0</v>
      </c>
      <c r="AI215" s="408">
        <f t="shared" si="43"/>
        <v>0</v>
      </c>
      <c r="AJ215" s="408">
        <f t="shared" si="44"/>
        <v>1</v>
      </c>
    </row>
    <row r="216" spans="1:36" x14ac:dyDescent="0.25">
      <c r="A216" s="409">
        <f t="shared" si="48"/>
        <v>215</v>
      </c>
      <c r="B216" s="410" t="s">
        <v>3115</v>
      </c>
      <c r="C216" s="410" t="s">
        <v>6193</v>
      </c>
      <c r="D216" s="409">
        <v>2</v>
      </c>
      <c r="E216" s="408"/>
      <c r="F216" s="409" t="s">
        <v>6183</v>
      </c>
      <c r="G216" s="409" t="s">
        <v>6197</v>
      </c>
      <c r="H216" s="409" t="s">
        <v>5950</v>
      </c>
      <c r="I216" s="409" t="str">
        <f t="shared" si="45"/>
        <v/>
      </c>
      <c r="J216" s="409" t="s">
        <v>6220</v>
      </c>
      <c r="K216" s="409" t="s">
        <v>2536</v>
      </c>
      <c r="L216" s="409" t="s">
        <v>2562</v>
      </c>
      <c r="M216" s="409" t="s">
        <v>1248</v>
      </c>
      <c r="N216" s="408" t="s">
        <v>6348</v>
      </c>
      <c r="O216" s="409" t="s">
        <v>6188</v>
      </c>
      <c r="P216" s="408" t="s">
        <v>6683</v>
      </c>
      <c r="Q216" s="409" t="s">
        <v>1112</v>
      </c>
      <c r="Z216" s="409" t="s">
        <v>628</v>
      </c>
      <c r="AA216" s="408">
        <f t="shared" si="46"/>
        <v>1</v>
      </c>
      <c r="AB216" s="408">
        <f t="shared" si="36"/>
        <v>0</v>
      </c>
      <c r="AC216" s="408">
        <f t="shared" si="37"/>
        <v>0</v>
      </c>
      <c r="AD216" s="408">
        <f t="shared" si="38"/>
        <v>0</v>
      </c>
      <c r="AE216" s="408">
        <f t="shared" si="39"/>
        <v>0</v>
      </c>
      <c r="AF216" s="408">
        <f t="shared" si="40"/>
        <v>0</v>
      </c>
      <c r="AG216" s="408">
        <f t="shared" si="41"/>
        <v>0</v>
      </c>
      <c r="AH216" s="408">
        <f t="shared" si="42"/>
        <v>0</v>
      </c>
      <c r="AI216" s="408">
        <f t="shared" si="43"/>
        <v>0</v>
      </c>
      <c r="AJ216" s="408">
        <f t="shared" si="44"/>
        <v>1</v>
      </c>
    </row>
    <row r="217" spans="1:36" x14ac:dyDescent="0.25">
      <c r="A217" s="409">
        <f t="shared" si="48"/>
        <v>216</v>
      </c>
      <c r="B217" s="410" t="s">
        <v>3119</v>
      </c>
      <c r="C217" s="410" t="s">
        <v>6193</v>
      </c>
      <c r="D217" s="409">
        <v>2</v>
      </c>
      <c r="E217" s="408"/>
      <c r="F217" s="409" t="str">
        <f>""</f>
        <v/>
      </c>
      <c r="G217" s="409" t="s">
        <v>6841</v>
      </c>
      <c r="H217" s="409" t="s">
        <v>6219</v>
      </c>
      <c r="I217" s="409" t="str">
        <f t="shared" si="45"/>
        <v>Concentration</v>
      </c>
      <c r="J217" s="409" t="s">
        <v>6200</v>
      </c>
      <c r="K217" s="409" t="s">
        <v>2536</v>
      </c>
      <c r="L217" s="409" t="s">
        <v>2562</v>
      </c>
      <c r="M217" s="409" t="s">
        <v>3857</v>
      </c>
      <c r="N217" s="408" t="str">
        <f>""</f>
        <v/>
      </c>
      <c r="O217" s="409" t="s">
        <v>6190</v>
      </c>
      <c r="P217" s="408" t="s">
        <v>6844</v>
      </c>
      <c r="R217" s="409" t="s">
        <v>1113</v>
      </c>
      <c r="Z217" s="409" t="s">
        <v>628</v>
      </c>
      <c r="AA217" s="408">
        <f t="shared" si="46"/>
        <v>0</v>
      </c>
      <c r="AB217" s="408">
        <f t="shared" si="36"/>
        <v>1</v>
      </c>
      <c r="AC217" s="408">
        <f t="shared" si="37"/>
        <v>0</v>
      </c>
      <c r="AD217" s="408">
        <f t="shared" si="38"/>
        <v>0</v>
      </c>
      <c r="AE217" s="408">
        <f t="shared" si="39"/>
        <v>0</v>
      </c>
      <c r="AF217" s="408">
        <f t="shared" si="40"/>
        <v>0</v>
      </c>
      <c r="AG217" s="408">
        <f t="shared" si="41"/>
        <v>0</v>
      </c>
      <c r="AH217" s="408">
        <f t="shared" si="42"/>
        <v>0</v>
      </c>
      <c r="AI217" s="408">
        <f t="shared" si="43"/>
        <v>0</v>
      </c>
      <c r="AJ217" s="408">
        <f t="shared" si="44"/>
        <v>1</v>
      </c>
    </row>
    <row r="218" spans="1:36" x14ac:dyDescent="0.25">
      <c r="A218" s="409">
        <f t="shared" si="48"/>
        <v>217</v>
      </c>
      <c r="B218" s="410" t="s">
        <v>3121</v>
      </c>
      <c r="C218" s="410" t="s">
        <v>6205</v>
      </c>
      <c r="D218" s="409">
        <v>3</v>
      </c>
      <c r="E218" s="408"/>
      <c r="F218" s="409" t="str">
        <f>""</f>
        <v/>
      </c>
      <c r="G218" s="409" t="s">
        <v>6835</v>
      </c>
      <c r="H218" s="409" t="s">
        <v>6301</v>
      </c>
      <c r="I218" s="409" t="str">
        <f t="shared" si="45"/>
        <v>Concentration</v>
      </c>
      <c r="J218" s="409" t="s">
        <v>6218</v>
      </c>
      <c r="K218" s="409" t="s">
        <v>2536</v>
      </c>
      <c r="L218" s="409" t="s">
        <v>2562</v>
      </c>
      <c r="M218" s="409" t="s">
        <v>1248</v>
      </c>
      <c r="N218" s="408" t="s">
        <v>6349</v>
      </c>
      <c r="O218" s="409" t="s">
        <v>6188</v>
      </c>
      <c r="P218" s="408" t="s">
        <v>6684</v>
      </c>
      <c r="Q218" s="409" t="s">
        <v>1112</v>
      </c>
      <c r="T218" s="409" t="s">
        <v>626</v>
      </c>
      <c r="U218" s="409" t="s">
        <v>627</v>
      </c>
      <c r="Z218" s="409" t="s">
        <v>628</v>
      </c>
      <c r="AA218" s="408">
        <f t="shared" si="46"/>
        <v>1</v>
      </c>
      <c r="AB218" s="408">
        <f t="shared" si="36"/>
        <v>0</v>
      </c>
      <c r="AC218" s="408">
        <f t="shared" si="37"/>
        <v>0</v>
      </c>
      <c r="AD218" s="408">
        <f t="shared" si="38"/>
        <v>1</v>
      </c>
      <c r="AE218" s="408">
        <f t="shared" si="39"/>
        <v>1</v>
      </c>
      <c r="AF218" s="408">
        <f t="shared" si="40"/>
        <v>0</v>
      </c>
      <c r="AG218" s="408">
        <f t="shared" si="41"/>
        <v>0</v>
      </c>
      <c r="AH218" s="408">
        <f t="shared" si="42"/>
        <v>0</v>
      </c>
      <c r="AI218" s="408">
        <f t="shared" si="43"/>
        <v>0</v>
      </c>
      <c r="AJ218" s="408">
        <f t="shared" si="44"/>
        <v>1</v>
      </c>
    </row>
    <row r="219" spans="1:36" x14ac:dyDescent="0.25">
      <c r="A219" s="409">
        <f t="shared" si="48"/>
        <v>218</v>
      </c>
      <c r="B219" s="410" t="s">
        <v>3124</v>
      </c>
      <c r="C219" s="410" t="s">
        <v>6208</v>
      </c>
      <c r="D219" s="409">
        <v>5</v>
      </c>
      <c r="E219" s="408"/>
      <c r="F219" s="409" t="str">
        <f>""</f>
        <v/>
      </c>
      <c r="G219" s="409" t="s">
        <v>6835</v>
      </c>
      <c r="H219" s="409" t="s">
        <v>424</v>
      </c>
      <c r="I219" s="409" t="str">
        <f t="shared" si="45"/>
        <v/>
      </c>
      <c r="J219" s="409" t="s">
        <v>6192</v>
      </c>
      <c r="K219" s="409" t="s">
        <v>2536</v>
      </c>
      <c r="L219" s="409" t="s">
        <v>2562</v>
      </c>
      <c r="M219" s="409" t="s">
        <v>3857</v>
      </c>
      <c r="N219" s="408" t="str">
        <f>""</f>
        <v/>
      </c>
      <c r="O219" s="409" t="s">
        <v>6185</v>
      </c>
      <c r="P219" s="408" t="s">
        <v>6685</v>
      </c>
      <c r="Q219" s="409" t="s">
        <v>1112</v>
      </c>
      <c r="V219" s="409" t="s">
        <v>620</v>
      </c>
      <c r="W219" s="409" t="s">
        <v>621</v>
      </c>
      <c r="AA219" s="408">
        <f t="shared" si="46"/>
        <v>1</v>
      </c>
      <c r="AB219" s="408">
        <f t="shared" si="36"/>
        <v>0</v>
      </c>
      <c r="AC219" s="408">
        <f t="shared" si="37"/>
        <v>0</v>
      </c>
      <c r="AD219" s="408">
        <f t="shared" si="38"/>
        <v>0</v>
      </c>
      <c r="AE219" s="408">
        <f t="shared" si="39"/>
        <v>0</v>
      </c>
      <c r="AF219" s="408">
        <f t="shared" si="40"/>
        <v>1</v>
      </c>
      <c r="AG219" s="408">
        <f t="shared" si="41"/>
        <v>1</v>
      </c>
      <c r="AH219" s="408">
        <f t="shared" si="42"/>
        <v>0</v>
      </c>
      <c r="AI219" s="408">
        <f t="shared" si="43"/>
        <v>0</v>
      </c>
      <c r="AJ219" s="408">
        <f t="shared" si="44"/>
        <v>0</v>
      </c>
    </row>
    <row r="220" spans="1:36" x14ac:dyDescent="0.25">
      <c r="A220" s="409">
        <f t="shared" si="48"/>
        <v>219</v>
      </c>
      <c r="B220" s="410" t="s">
        <v>3126</v>
      </c>
      <c r="C220" s="410" t="s">
        <v>6223</v>
      </c>
      <c r="D220" s="409">
        <v>9</v>
      </c>
      <c r="E220" s="408"/>
      <c r="F220" s="409" t="str">
        <f>""</f>
        <v/>
      </c>
      <c r="G220" s="409" t="s">
        <v>6835</v>
      </c>
      <c r="H220" s="409" t="s">
        <v>424</v>
      </c>
      <c r="I220" s="409" t="str">
        <f t="shared" si="45"/>
        <v/>
      </c>
      <c r="J220" s="409" t="s">
        <v>6192</v>
      </c>
      <c r="K220" s="409" t="s">
        <v>2536</v>
      </c>
      <c r="L220" s="409" t="s">
        <v>2562</v>
      </c>
      <c r="M220" s="409" t="s">
        <v>3857</v>
      </c>
      <c r="N220" s="408" t="str">
        <f>""</f>
        <v/>
      </c>
      <c r="O220" s="409" t="s">
        <v>6185</v>
      </c>
      <c r="P220" s="408" t="s">
        <v>3127</v>
      </c>
      <c r="V220" s="409" t="s">
        <v>620</v>
      </c>
      <c r="AA220" s="408">
        <f t="shared" si="46"/>
        <v>0</v>
      </c>
      <c r="AB220" s="408">
        <f t="shared" si="36"/>
        <v>0</v>
      </c>
      <c r="AC220" s="408">
        <f t="shared" si="37"/>
        <v>0</v>
      </c>
      <c r="AD220" s="408">
        <f t="shared" si="38"/>
        <v>0</v>
      </c>
      <c r="AE220" s="408">
        <f t="shared" si="39"/>
        <v>0</v>
      </c>
      <c r="AF220" s="408">
        <f t="shared" si="40"/>
        <v>1</v>
      </c>
      <c r="AG220" s="408">
        <f t="shared" si="41"/>
        <v>0</v>
      </c>
      <c r="AH220" s="408">
        <f t="shared" si="42"/>
        <v>0</v>
      </c>
      <c r="AI220" s="408">
        <f t="shared" si="43"/>
        <v>0</v>
      </c>
      <c r="AJ220" s="408">
        <f t="shared" si="44"/>
        <v>0</v>
      </c>
    </row>
    <row r="221" spans="1:36" x14ac:dyDescent="0.25">
      <c r="A221" s="409">
        <f t="shared" si="48"/>
        <v>220</v>
      </c>
      <c r="B221" s="410" t="s">
        <v>3128</v>
      </c>
      <c r="C221" s="410" t="s">
        <v>6205</v>
      </c>
      <c r="D221" s="409">
        <v>3</v>
      </c>
      <c r="E221" s="408"/>
      <c r="F221" s="409" t="str">
        <f>""</f>
        <v/>
      </c>
      <c r="G221" s="409" t="s">
        <v>6841</v>
      </c>
      <c r="H221" s="409" t="s">
        <v>424</v>
      </c>
      <c r="I221" s="409" t="str">
        <f t="shared" si="45"/>
        <v/>
      </c>
      <c r="J221" s="409" t="s">
        <v>6192</v>
      </c>
      <c r="K221" s="409" t="s">
        <v>2536</v>
      </c>
      <c r="L221" s="409" t="s">
        <v>3857</v>
      </c>
      <c r="M221" s="409" t="s">
        <v>3857</v>
      </c>
      <c r="N221" s="408" t="str">
        <f>""</f>
        <v/>
      </c>
      <c r="O221" s="409" t="s">
        <v>6187</v>
      </c>
      <c r="P221" s="408" t="s">
        <v>6686</v>
      </c>
      <c r="V221" s="409" t="s">
        <v>620</v>
      </c>
      <c r="AA221" s="408">
        <f t="shared" si="46"/>
        <v>0</v>
      </c>
      <c r="AB221" s="408">
        <f t="shared" si="36"/>
        <v>0</v>
      </c>
      <c r="AC221" s="408">
        <f t="shared" si="37"/>
        <v>0</v>
      </c>
      <c r="AD221" s="408">
        <f t="shared" si="38"/>
        <v>0</v>
      </c>
      <c r="AE221" s="408">
        <f t="shared" si="39"/>
        <v>0</v>
      </c>
      <c r="AF221" s="408">
        <f t="shared" si="40"/>
        <v>1</v>
      </c>
      <c r="AG221" s="408">
        <f t="shared" si="41"/>
        <v>0</v>
      </c>
      <c r="AH221" s="408">
        <f t="shared" si="42"/>
        <v>0</v>
      </c>
      <c r="AI221" s="408">
        <f t="shared" si="43"/>
        <v>0</v>
      </c>
      <c r="AJ221" s="408">
        <f t="shared" si="44"/>
        <v>0</v>
      </c>
    </row>
    <row r="222" spans="1:36" x14ac:dyDescent="0.25">
      <c r="A222" s="409">
        <f t="shared" si="48"/>
        <v>221</v>
      </c>
      <c r="B222" s="410" t="s">
        <v>3130</v>
      </c>
      <c r="C222" s="410" t="s">
        <v>6216</v>
      </c>
      <c r="D222" s="409">
        <v>6</v>
      </c>
      <c r="E222" s="408"/>
      <c r="F222" s="409" t="str">
        <f>""</f>
        <v/>
      </c>
      <c r="G222" s="409" t="s">
        <v>6835</v>
      </c>
      <c r="H222" s="409" t="s">
        <v>424</v>
      </c>
      <c r="I222" s="409" t="str">
        <f t="shared" si="45"/>
        <v/>
      </c>
      <c r="J222" s="409" t="s">
        <v>2918</v>
      </c>
      <c r="K222" s="409" t="s">
        <v>2536</v>
      </c>
      <c r="L222" s="409" t="s">
        <v>3857</v>
      </c>
      <c r="M222" s="409" t="s">
        <v>1248</v>
      </c>
      <c r="N222" s="408" t="s">
        <v>6350</v>
      </c>
      <c r="O222" s="409" t="s">
        <v>6186</v>
      </c>
      <c r="P222" s="408" t="s">
        <v>6687</v>
      </c>
      <c r="Q222" s="409" t="s">
        <v>1112</v>
      </c>
      <c r="T222" s="409" t="s">
        <v>626</v>
      </c>
      <c r="U222" s="409" t="s">
        <v>627</v>
      </c>
      <c r="Z222" s="409" t="s">
        <v>628</v>
      </c>
      <c r="AA222" s="408">
        <f t="shared" si="46"/>
        <v>1</v>
      </c>
      <c r="AB222" s="408">
        <f t="shared" si="36"/>
        <v>0</v>
      </c>
      <c r="AC222" s="408">
        <f t="shared" si="37"/>
        <v>0</v>
      </c>
      <c r="AD222" s="408">
        <f t="shared" si="38"/>
        <v>1</v>
      </c>
      <c r="AE222" s="408">
        <f t="shared" si="39"/>
        <v>1</v>
      </c>
      <c r="AF222" s="408">
        <f t="shared" si="40"/>
        <v>0</v>
      </c>
      <c r="AG222" s="408">
        <f t="shared" si="41"/>
        <v>0</v>
      </c>
      <c r="AH222" s="408">
        <f t="shared" si="42"/>
        <v>0</v>
      </c>
      <c r="AI222" s="408">
        <f t="shared" si="43"/>
        <v>0</v>
      </c>
      <c r="AJ222" s="408">
        <f t="shared" si="44"/>
        <v>1</v>
      </c>
    </row>
    <row r="223" spans="1:36" x14ac:dyDescent="0.25">
      <c r="A223" s="409">
        <f t="shared" si="48"/>
        <v>222</v>
      </c>
      <c r="B223" s="410" t="s">
        <v>3134</v>
      </c>
      <c r="C223" s="410" t="s">
        <v>6203</v>
      </c>
      <c r="D223" s="409">
        <v>8</v>
      </c>
      <c r="E223" s="408"/>
      <c r="F223" s="409" t="str">
        <f>""</f>
        <v/>
      </c>
      <c r="G223" s="409" t="s">
        <v>6835</v>
      </c>
      <c r="H223" s="409" t="s">
        <v>424</v>
      </c>
      <c r="I223" s="409" t="str">
        <f t="shared" si="45"/>
        <v>Concentration</v>
      </c>
      <c r="J223" s="409" t="s">
        <v>6218</v>
      </c>
      <c r="K223" s="409" t="s">
        <v>2536</v>
      </c>
      <c r="L223" s="409" t="s">
        <v>2562</v>
      </c>
      <c r="M223" s="409" t="s">
        <v>3857</v>
      </c>
      <c r="N223" s="408" t="str">
        <f>""</f>
        <v/>
      </c>
      <c r="O223" s="409" t="s">
        <v>6185</v>
      </c>
      <c r="P223" s="408" t="s">
        <v>6688</v>
      </c>
      <c r="Z223" s="409" t="s">
        <v>628</v>
      </c>
      <c r="AA223" s="408">
        <f t="shared" si="46"/>
        <v>0</v>
      </c>
      <c r="AB223" s="408">
        <f t="shared" si="36"/>
        <v>0</v>
      </c>
      <c r="AC223" s="408">
        <f t="shared" si="37"/>
        <v>0</v>
      </c>
      <c r="AD223" s="408">
        <f t="shared" si="38"/>
        <v>0</v>
      </c>
      <c r="AE223" s="408">
        <f t="shared" si="39"/>
        <v>0</v>
      </c>
      <c r="AF223" s="408">
        <f t="shared" si="40"/>
        <v>0</v>
      </c>
      <c r="AG223" s="408">
        <f t="shared" si="41"/>
        <v>0</v>
      </c>
      <c r="AH223" s="408">
        <f t="shared" si="42"/>
        <v>0</v>
      </c>
      <c r="AI223" s="408">
        <f t="shared" si="43"/>
        <v>0</v>
      </c>
      <c r="AJ223" s="408">
        <f t="shared" si="44"/>
        <v>1</v>
      </c>
    </row>
    <row r="224" spans="1:36" x14ac:dyDescent="0.25">
      <c r="A224" s="409">
        <f t="shared" si="48"/>
        <v>223</v>
      </c>
      <c r="B224" s="410" t="s">
        <v>3136</v>
      </c>
      <c r="C224" s="410" t="s">
        <v>6205</v>
      </c>
      <c r="D224" s="409">
        <v>3</v>
      </c>
      <c r="E224" s="408"/>
      <c r="F224" s="409" t="s">
        <v>6183</v>
      </c>
      <c r="G224" s="409" t="s">
        <v>6836</v>
      </c>
      <c r="H224" s="409" t="s">
        <v>6219</v>
      </c>
      <c r="I224" s="409" t="str">
        <f t="shared" si="45"/>
        <v/>
      </c>
      <c r="J224" s="409" t="s">
        <v>6194</v>
      </c>
      <c r="K224" s="409" t="s">
        <v>2536</v>
      </c>
      <c r="L224" s="409" t="s">
        <v>2562</v>
      </c>
      <c r="M224" s="409" t="s">
        <v>3857</v>
      </c>
      <c r="N224" s="408" t="str">
        <f>""</f>
        <v/>
      </c>
      <c r="O224" s="409" t="s">
        <v>6190</v>
      </c>
      <c r="P224" s="408" t="s">
        <v>6689</v>
      </c>
      <c r="V224" s="409" t="s">
        <v>620</v>
      </c>
      <c r="W224" s="409" t="s">
        <v>621</v>
      </c>
      <c r="AA224" s="408">
        <f t="shared" si="46"/>
        <v>0</v>
      </c>
      <c r="AB224" s="408">
        <f t="shared" si="36"/>
        <v>0</v>
      </c>
      <c r="AC224" s="408">
        <f t="shared" si="37"/>
        <v>0</v>
      </c>
      <c r="AD224" s="408">
        <f t="shared" si="38"/>
        <v>0</v>
      </c>
      <c r="AE224" s="408">
        <f t="shared" si="39"/>
        <v>0</v>
      </c>
      <c r="AF224" s="408">
        <f t="shared" si="40"/>
        <v>1</v>
      </c>
      <c r="AG224" s="408">
        <f t="shared" si="41"/>
        <v>1</v>
      </c>
      <c r="AH224" s="408">
        <f t="shared" si="42"/>
        <v>0</v>
      </c>
      <c r="AI224" s="408">
        <f t="shared" si="43"/>
        <v>0</v>
      </c>
      <c r="AJ224" s="408">
        <f t="shared" si="44"/>
        <v>0</v>
      </c>
    </row>
    <row r="225" spans="1:36" x14ac:dyDescent="0.25">
      <c r="A225" s="409">
        <f t="shared" si="48"/>
        <v>224</v>
      </c>
      <c r="B225" s="410" t="s">
        <v>3139</v>
      </c>
      <c r="C225" s="410" t="s">
        <v>6193</v>
      </c>
      <c r="D225" s="409">
        <v>2</v>
      </c>
      <c r="E225" s="408"/>
      <c r="F225" s="409" t="str">
        <f>""</f>
        <v/>
      </c>
      <c r="G225" s="409" t="s">
        <v>6835</v>
      </c>
      <c r="H225" s="409" t="s">
        <v>6234</v>
      </c>
      <c r="I225" s="409" t="str">
        <f t="shared" si="45"/>
        <v/>
      </c>
      <c r="J225" s="409" t="s">
        <v>6192</v>
      </c>
      <c r="K225" s="409" t="s">
        <v>2536</v>
      </c>
      <c r="L225" s="409" t="s">
        <v>2562</v>
      </c>
      <c r="M225" s="409" t="s">
        <v>1248</v>
      </c>
      <c r="N225" s="408" t="s">
        <v>6351</v>
      </c>
      <c r="O225" s="409" t="s">
        <v>6187</v>
      </c>
      <c r="P225" s="408" t="s">
        <v>6690</v>
      </c>
      <c r="Z225" s="409" t="s">
        <v>628</v>
      </c>
      <c r="AA225" s="408">
        <f t="shared" si="46"/>
        <v>0</v>
      </c>
      <c r="AB225" s="408">
        <f t="shared" si="36"/>
        <v>0</v>
      </c>
      <c r="AC225" s="408">
        <f t="shared" si="37"/>
        <v>0</v>
      </c>
      <c r="AD225" s="408">
        <f t="shared" si="38"/>
        <v>0</v>
      </c>
      <c r="AE225" s="408">
        <f t="shared" si="39"/>
        <v>0</v>
      </c>
      <c r="AF225" s="408">
        <f t="shared" si="40"/>
        <v>0</v>
      </c>
      <c r="AG225" s="408">
        <f t="shared" si="41"/>
        <v>0</v>
      </c>
      <c r="AH225" s="408">
        <f t="shared" si="42"/>
        <v>0</v>
      </c>
      <c r="AI225" s="408">
        <f t="shared" si="43"/>
        <v>0</v>
      </c>
      <c r="AJ225" s="408">
        <f t="shared" si="44"/>
        <v>1</v>
      </c>
    </row>
    <row r="226" spans="1:36" x14ac:dyDescent="0.25">
      <c r="A226" s="409">
        <f t="shared" si="48"/>
        <v>225</v>
      </c>
      <c r="B226" s="410" t="s">
        <v>3142</v>
      </c>
      <c r="C226" s="410" t="s">
        <v>6191</v>
      </c>
      <c r="D226" s="409">
        <v>0.5</v>
      </c>
      <c r="E226" s="408"/>
      <c r="F226" s="409" t="str">
        <f>""</f>
        <v/>
      </c>
      <c r="G226" s="409" t="s">
        <v>6206</v>
      </c>
      <c r="H226" s="409" t="s">
        <v>6219</v>
      </c>
      <c r="I226" s="409" t="str">
        <f t="shared" si="45"/>
        <v/>
      </c>
      <c r="J226" s="409" t="s">
        <v>6192</v>
      </c>
      <c r="K226" s="409" t="s">
        <v>2536</v>
      </c>
      <c r="L226" s="409" t="s">
        <v>2562</v>
      </c>
      <c r="M226" s="409" t="s">
        <v>3857</v>
      </c>
      <c r="N226" s="408" t="str">
        <f>""</f>
        <v/>
      </c>
      <c r="O226" s="409" t="s">
        <v>6190</v>
      </c>
      <c r="P226" s="408" t="s">
        <v>6352</v>
      </c>
      <c r="Q226" s="409" t="s">
        <v>1112</v>
      </c>
      <c r="T226" s="409" t="s">
        <v>626</v>
      </c>
      <c r="W226" s="409" t="s">
        <v>621</v>
      </c>
      <c r="Z226" s="409" t="s">
        <v>628</v>
      </c>
      <c r="AA226" s="408">
        <f t="shared" si="46"/>
        <v>1</v>
      </c>
      <c r="AB226" s="408">
        <f t="shared" si="36"/>
        <v>0</v>
      </c>
      <c r="AC226" s="408">
        <f t="shared" si="37"/>
        <v>0</v>
      </c>
      <c r="AD226" s="408">
        <f t="shared" si="38"/>
        <v>1</v>
      </c>
      <c r="AE226" s="408">
        <f t="shared" si="39"/>
        <v>0</v>
      </c>
      <c r="AF226" s="408">
        <f t="shared" si="40"/>
        <v>0</v>
      </c>
      <c r="AG226" s="408">
        <f t="shared" si="41"/>
        <v>1</v>
      </c>
      <c r="AH226" s="408">
        <f t="shared" si="42"/>
        <v>0</v>
      </c>
      <c r="AI226" s="408">
        <f t="shared" si="43"/>
        <v>0</v>
      </c>
      <c r="AJ226" s="408">
        <f t="shared" si="44"/>
        <v>1</v>
      </c>
    </row>
    <row r="227" spans="1:36" x14ac:dyDescent="0.25">
      <c r="A227" s="409">
        <f t="shared" si="48"/>
        <v>226</v>
      </c>
      <c r="B227" s="410" t="s">
        <v>3145</v>
      </c>
      <c r="C227" s="410" t="s">
        <v>6191</v>
      </c>
      <c r="D227" s="409">
        <v>0.5</v>
      </c>
      <c r="E227" s="408"/>
      <c r="F227" s="409" t="str">
        <f>""</f>
        <v/>
      </c>
      <c r="G227" s="409" t="s">
        <v>6835</v>
      </c>
      <c r="H227" s="409" t="s">
        <v>6209</v>
      </c>
      <c r="I227" s="409" t="str">
        <f t="shared" si="45"/>
        <v/>
      </c>
      <c r="J227" s="409" t="s">
        <v>6235</v>
      </c>
      <c r="K227" s="409" t="s">
        <v>2536</v>
      </c>
      <c r="L227" s="409" t="s">
        <v>2562</v>
      </c>
      <c r="M227" s="409" t="s">
        <v>1248</v>
      </c>
      <c r="N227" s="408" t="s">
        <v>6353</v>
      </c>
      <c r="O227" s="409" t="s">
        <v>6190</v>
      </c>
      <c r="P227" s="408" t="s">
        <v>6691</v>
      </c>
      <c r="Q227" s="409" t="s">
        <v>1112</v>
      </c>
      <c r="T227" s="409" t="s">
        <v>626</v>
      </c>
      <c r="Z227" s="409" t="s">
        <v>628</v>
      </c>
      <c r="AA227" s="408">
        <f t="shared" si="46"/>
        <v>1</v>
      </c>
      <c r="AB227" s="408">
        <f t="shared" si="36"/>
        <v>0</v>
      </c>
      <c r="AC227" s="408">
        <f t="shared" si="37"/>
        <v>0</v>
      </c>
      <c r="AD227" s="408">
        <f t="shared" si="38"/>
        <v>1</v>
      </c>
      <c r="AE227" s="408">
        <f t="shared" si="39"/>
        <v>0</v>
      </c>
      <c r="AF227" s="408">
        <f t="shared" si="40"/>
        <v>0</v>
      </c>
      <c r="AG227" s="408">
        <f t="shared" si="41"/>
        <v>0</v>
      </c>
      <c r="AH227" s="408">
        <f t="shared" si="42"/>
        <v>0</v>
      </c>
      <c r="AI227" s="408">
        <f t="shared" si="43"/>
        <v>0</v>
      </c>
      <c r="AJ227" s="408">
        <f t="shared" si="44"/>
        <v>1</v>
      </c>
    </row>
    <row r="228" spans="1:36" x14ac:dyDescent="0.25">
      <c r="A228" s="409">
        <f t="shared" si="48"/>
        <v>227</v>
      </c>
      <c r="B228" s="410" t="s">
        <v>3148</v>
      </c>
      <c r="C228" s="410" t="s">
        <v>6223</v>
      </c>
      <c r="D228" s="409">
        <v>9</v>
      </c>
      <c r="E228" s="408"/>
      <c r="F228" s="409" t="str">
        <f>""</f>
        <v/>
      </c>
      <c r="G228" s="409" t="s">
        <v>6835</v>
      </c>
      <c r="H228" s="409" t="s">
        <v>2630</v>
      </c>
      <c r="I228" s="409" t="str">
        <f t="shared" si="45"/>
        <v/>
      </c>
      <c r="J228" s="409" t="s">
        <v>6192</v>
      </c>
      <c r="K228" s="409" t="s">
        <v>2536</v>
      </c>
      <c r="L228" s="409" t="s">
        <v>2562</v>
      </c>
      <c r="M228" s="409" t="s">
        <v>3857</v>
      </c>
      <c r="N228" s="408" t="str">
        <f>""</f>
        <v/>
      </c>
      <c r="O228" s="409" t="s">
        <v>6187</v>
      </c>
      <c r="P228" s="408" t="s">
        <v>6354</v>
      </c>
      <c r="T228" s="409" t="s">
        <v>626</v>
      </c>
      <c r="Z228" s="409" t="s">
        <v>628</v>
      </c>
      <c r="AA228" s="408">
        <f t="shared" si="46"/>
        <v>0</v>
      </c>
      <c r="AB228" s="408">
        <f t="shared" si="36"/>
        <v>0</v>
      </c>
      <c r="AC228" s="408">
        <f t="shared" si="37"/>
        <v>0</v>
      </c>
      <c r="AD228" s="408">
        <f t="shared" si="38"/>
        <v>1</v>
      </c>
      <c r="AE228" s="408">
        <f t="shared" si="39"/>
        <v>0</v>
      </c>
      <c r="AF228" s="408">
        <f t="shared" si="40"/>
        <v>0</v>
      </c>
      <c r="AG228" s="408">
        <f t="shared" si="41"/>
        <v>0</v>
      </c>
      <c r="AH228" s="408">
        <f t="shared" si="42"/>
        <v>0</v>
      </c>
      <c r="AI228" s="408">
        <f t="shared" si="43"/>
        <v>0</v>
      </c>
      <c r="AJ228" s="408">
        <f t="shared" si="44"/>
        <v>1</v>
      </c>
    </row>
    <row r="229" spans="1:36" x14ac:dyDescent="0.25">
      <c r="A229" s="409">
        <f t="shared" si="48"/>
        <v>228</v>
      </c>
      <c r="B229" s="410" t="s">
        <v>3151</v>
      </c>
      <c r="C229" s="410" t="s">
        <v>6203</v>
      </c>
      <c r="D229" s="409">
        <v>8</v>
      </c>
      <c r="E229" s="408"/>
      <c r="F229" s="409" t="str">
        <f>""</f>
        <v/>
      </c>
      <c r="G229" s="409" t="s">
        <v>6835</v>
      </c>
      <c r="H229" s="409" t="s">
        <v>6219</v>
      </c>
      <c r="I229" s="409" t="str">
        <f t="shared" si="45"/>
        <v/>
      </c>
      <c r="J229" s="409" t="s">
        <v>6201</v>
      </c>
      <c r="K229" s="409" t="s">
        <v>2536</v>
      </c>
      <c r="L229" s="409" t="s">
        <v>2562</v>
      </c>
      <c r="M229" s="409" t="s">
        <v>3857</v>
      </c>
      <c r="N229" s="408" t="str">
        <f>""</f>
        <v/>
      </c>
      <c r="O229" s="409" t="s">
        <v>6184</v>
      </c>
      <c r="P229" s="408" t="s">
        <v>3152</v>
      </c>
      <c r="Q229" s="409" t="s">
        <v>1112</v>
      </c>
      <c r="Z229" s="409" t="s">
        <v>628</v>
      </c>
      <c r="AA229" s="408">
        <f t="shared" si="46"/>
        <v>1</v>
      </c>
      <c r="AB229" s="408">
        <f t="shared" si="36"/>
        <v>0</v>
      </c>
      <c r="AC229" s="408">
        <f t="shared" si="37"/>
        <v>0</v>
      </c>
      <c r="AD229" s="408">
        <f t="shared" si="38"/>
        <v>0</v>
      </c>
      <c r="AE229" s="408">
        <f t="shared" si="39"/>
        <v>0</v>
      </c>
      <c r="AF229" s="408">
        <f t="shared" si="40"/>
        <v>0</v>
      </c>
      <c r="AG229" s="408">
        <f t="shared" si="41"/>
        <v>0</v>
      </c>
      <c r="AH229" s="408">
        <f t="shared" si="42"/>
        <v>0</v>
      </c>
      <c r="AI229" s="408">
        <f t="shared" si="43"/>
        <v>0</v>
      </c>
      <c r="AJ229" s="408">
        <f t="shared" si="44"/>
        <v>1</v>
      </c>
    </row>
    <row r="230" spans="1:36" x14ac:dyDescent="0.25">
      <c r="A230" s="409">
        <f t="shared" si="48"/>
        <v>229</v>
      </c>
      <c r="B230" s="410" t="s">
        <v>3153</v>
      </c>
      <c r="C230" s="410" t="s">
        <v>6191</v>
      </c>
      <c r="D230" s="409">
        <v>0.5</v>
      </c>
      <c r="E230" s="408"/>
      <c r="F230" s="409" t="str">
        <f>""</f>
        <v/>
      </c>
      <c r="G230" s="409" t="s">
        <v>6835</v>
      </c>
      <c r="H230" s="409" t="s">
        <v>5950</v>
      </c>
      <c r="I230" s="409" t="str">
        <f t="shared" si="45"/>
        <v/>
      </c>
      <c r="J230" s="409" t="s">
        <v>6206</v>
      </c>
      <c r="K230" s="409" t="s">
        <v>3857</v>
      </c>
      <c r="L230" s="409" t="s">
        <v>2562</v>
      </c>
      <c r="M230" s="409" t="s">
        <v>1248</v>
      </c>
      <c r="N230" s="408" t="s">
        <v>6349</v>
      </c>
      <c r="O230" s="409" t="s">
        <v>6188</v>
      </c>
      <c r="P230" s="408" t="s">
        <v>6692</v>
      </c>
      <c r="Q230" s="409" t="s">
        <v>1112</v>
      </c>
      <c r="T230" s="409" t="s">
        <v>626</v>
      </c>
      <c r="Z230" s="409" t="s">
        <v>628</v>
      </c>
      <c r="AA230" s="408">
        <f t="shared" si="46"/>
        <v>1</v>
      </c>
      <c r="AB230" s="408">
        <f t="shared" si="36"/>
        <v>0</v>
      </c>
      <c r="AC230" s="408">
        <f t="shared" si="37"/>
        <v>0</v>
      </c>
      <c r="AD230" s="408">
        <f t="shared" si="38"/>
        <v>1</v>
      </c>
      <c r="AE230" s="408">
        <f t="shared" si="39"/>
        <v>0</v>
      </c>
      <c r="AF230" s="408">
        <f t="shared" si="40"/>
        <v>0</v>
      </c>
      <c r="AG230" s="408">
        <f t="shared" si="41"/>
        <v>0</v>
      </c>
      <c r="AH230" s="408">
        <f t="shared" si="42"/>
        <v>0</v>
      </c>
      <c r="AI230" s="408">
        <f t="shared" si="43"/>
        <v>0</v>
      </c>
      <c r="AJ230" s="408">
        <f t="shared" si="44"/>
        <v>1</v>
      </c>
    </row>
    <row r="231" spans="1:36" x14ac:dyDescent="0.25">
      <c r="A231" s="409">
        <f t="shared" si="48"/>
        <v>230</v>
      </c>
      <c r="B231" s="410" t="s">
        <v>3157</v>
      </c>
      <c r="C231" s="410" t="s">
        <v>6251</v>
      </c>
      <c r="D231" s="409">
        <v>7</v>
      </c>
      <c r="E231" s="408"/>
      <c r="F231" s="409" t="str">
        <f>""</f>
        <v/>
      </c>
      <c r="G231" s="409" t="s">
        <v>6241</v>
      </c>
      <c r="H231" s="409" t="s">
        <v>6355</v>
      </c>
      <c r="I231" s="409" t="str">
        <f t="shared" si="45"/>
        <v/>
      </c>
      <c r="J231" s="409" t="s">
        <v>2502</v>
      </c>
      <c r="K231" s="409" t="s">
        <v>2536</v>
      </c>
      <c r="L231" s="409" t="s">
        <v>2562</v>
      </c>
      <c r="M231" s="409" t="s">
        <v>3857</v>
      </c>
      <c r="N231" s="408" t="str">
        <f>""</f>
        <v/>
      </c>
      <c r="O231" s="409" t="s">
        <v>6188</v>
      </c>
      <c r="P231" s="408" t="s">
        <v>6693</v>
      </c>
      <c r="Q231" s="409" t="s">
        <v>1112</v>
      </c>
      <c r="W231" s="409" t="s">
        <v>621</v>
      </c>
      <c r="Z231" s="409" t="s">
        <v>628</v>
      </c>
      <c r="AA231" s="408">
        <f t="shared" si="46"/>
        <v>1</v>
      </c>
      <c r="AB231" s="408">
        <f t="shared" si="36"/>
        <v>0</v>
      </c>
      <c r="AC231" s="408">
        <f t="shared" si="37"/>
        <v>0</v>
      </c>
      <c r="AD231" s="408">
        <f t="shared" si="38"/>
        <v>0</v>
      </c>
      <c r="AE231" s="408">
        <f t="shared" si="39"/>
        <v>0</v>
      </c>
      <c r="AF231" s="408">
        <f t="shared" si="40"/>
        <v>0</v>
      </c>
      <c r="AG231" s="408">
        <f t="shared" si="41"/>
        <v>1</v>
      </c>
      <c r="AH231" s="408">
        <f t="shared" si="42"/>
        <v>0</v>
      </c>
      <c r="AI231" s="408">
        <f t="shared" si="43"/>
        <v>0</v>
      </c>
      <c r="AJ231" s="408">
        <f t="shared" si="44"/>
        <v>1</v>
      </c>
    </row>
    <row r="232" spans="1:36" x14ac:dyDescent="0.25">
      <c r="A232" s="409">
        <f t="shared" si="48"/>
        <v>231</v>
      </c>
      <c r="B232" s="410" t="s">
        <v>3161</v>
      </c>
      <c r="C232" s="410" t="s">
        <v>6193</v>
      </c>
      <c r="D232" s="409">
        <v>2</v>
      </c>
      <c r="E232" s="408"/>
      <c r="F232" s="409" t="str">
        <f>""</f>
        <v/>
      </c>
      <c r="G232" s="409" t="s">
        <v>6835</v>
      </c>
      <c r="H232" s="409" t="s">
        <v>6199</v>
      </c>
      <c r="I232" s="409" t="str">
        <f t="shared" si="45"/>
        <v/>
      </c>
      <c r="J232" s="409" t="s">
        <v>6206</v>
      </c>
      <c r="K232" s="409" t="s">
        <v>2536</v>
      </c>
      <c r="L232" s="409" t="s">
        <v>2562</v>
      </c>
      <c r="M232" s="409" t="s">
        <v>3857</v>
      </c>
      <c r="N232" s="408" t="str">
        <f>""</f>
        <v/>
      </c>
      <c r="O232" s="409" t="s">
        <v>6188</v>
      </c>
      <c r="P232" s="408" t="s">
        <v>6694</v>
      </c>
      <c r="T232" s="409" t="s">
        <v>626</v>
      </c>
      <c r="U232" s="409" t="s">
        <v>627</v>
      </c>
      <c r="Z232" s="409" t="s">
        <v>628</v>
      </c>
      <c r="AA232" s="408">
        <f t="shared" si="46"/>
        <v>0</v>
      </c>
      <c r="AB232" s="408">
        <f t="shared" si="36"/>
        <v>0</v>
      </c>
      <c r="AC232" s="408">
        <f t="shared" si="37"/>
        <v>0</v>
      </c>
      <c r="AD232" s="408">
        <f t="shared" si="38"/>
        <v>1</v>
      </c>
      <c r="AE232" s="408">
        <f t="shared" si="39"/>
        <v>1</v>
      </c>
      <c r="AF232" s="408">
        <f t="shared" si="40"/>
        <v>0</v>
      </c>
      <c r="AG232" s="408">
        <f t="shared" si="41"/>
        <v>0</v>
      </c>
      <c r="AH232" s="408">
        <f t="shared" si="42"/>
        <v>0</v>
      </c>
      <c r="AI232" s="408">
        <f t="shared" si="43"/>
        <v>0</v>
      </c>
      <c r="AJ232" s="408">
        <f t="shared" si="44"/>
        <v>1</v>
      </c>
    </row>
    <row r="233" spans="1:36" x14ac:dyDescent="0.25">
      <c r="A233" s="409">
        <f t="shared" si="48"/>
        <v>232</v>
      </c>
      <c r="B233" s="410" t="s">
        <v>3163</v>
      </c>
      <c r="C233" s="410" t="s">
        <v>6208</v>
      </c>
      <c r="D233" s="409">
        <v>5</v>
      </c>
      <c r="E233" s="408"/>
      <c r="F233" s="409" t="str">
        <f>""</f>
        <v/>
      </c>
      <c r="G233" s="409" t="s">
        <v>6835</v>
      </c>
      <c r="H233" s="409" t="s">
        <v>6199</v>
      </c>
      <c r="I233" s="409" t="str">
        <f t="shared" si="45"/>
        <v>Concentration</v>
      </c>
      <c r="J233" s="409" t="s">
        <v>6200</v>
      </c>
      <c r="K233" s="409" t="s">
        <v>3857</v>
      </c>
      <c r="L233" s="409" t="s">
        <v>2562</v>
      </c>
      <c r="M233" s="409" t="s">
        <v>3857</v>
      </c>
      <c r="N233" s="408" t="str">
        <f>""</f>
        <v/>
      </c>
      <c r="O233" s="409" t="s">
        <v>6188</v>
      </c>
      <c r="P233" s="408" t="s">
        <v>6695</v>
      </c>
      <c r="Q233" s="409" t="s">
        <v>1112</v>
      </c>
      <c r="Z233" s="409" t="s">
        <v>628</v>
      </c>
      <c r="AA233" s="408">
        <f t="shared" si="46"/>
        <v>1</v>
      </c>
      <c r="AB233" s="408">
        <f t="shared" si="36"/>
        <v>0</v>
      </c>
      <c r="AC233" s="408">
        <f t="shared" si="37"/>
        <v>0</v>
      </c>
      <c r="AD233" s="408">
        <f t="shared" si="38"/>
        <v>0</v>
      </c>
      <c r="AE233" s="408">
        <f t="shared" si="39"/>
        <v>0</v>
      </c>
      <c r="AF233" s="408">
        <f t="shared" si="40"/>
        <v>0</v>
      </c>
      <c r="AG233" s="408">
        <f t="shared" si="41"/>
        <v>0</v>
      </c>
      <c r="AH233" s="408">
        <f t="shared" si="42"/>
        <v>0</v>
      </c>
      <c r="AI233" s="408">
        <f t="shared" si="43"/>
        <v>0</v>
      </c>
      <c r="AJ233" s="408">
        <f t="shared" si="44"/>
        <v>1</v>
      </c>
    </row>
    <row r="234" spans="1:36" x14ac:dyDescent="0.25">
      <c r="A234" s="409">
        <f t="shared" si="48"/>
        <v>233</v>
      </c>
      <c r="B234" s="410" t="s">
        <v>3165</v>
      </c>
      <c r="C234" s="410" t="s">
        <v>6193</v>
      </c>
      <c r="D234" s="409">
        <v>2</v>
      </c>
      <c r="E234" s="408"/>
      <c r="F234" s="409" t="str">
        <f>""</f>
        <v/>
      </c>
      <c r="G234" s="409" t="s">
        <v>6841</v>
      </c>
      <c r="H234" s="409" t="s">
        <v>6199</v>
      </c>
      <c r="I234" s="409" t="str">
        <f t="shared" si="45"/>
        <v/>
      </c>
      <c r="J234" s="409" t="s">
        <v>6192</v>
      </c>
      <c r="K234" s="409" t="s">
        <v>2536</v>
      </c>
      <c r="L234" s="409" t="s">
        <v>3857</v>
      </c>
      <c r="M234" s="409" t="s">
        <v>3857</v>
      </c>
      <c r="N234" s="408" t="str">
        <f>""</f>
        <v/>
      </c>
      <c r="O234" s="409" t="s">
        <v>6185</v>
      </c>
      <c r="P234" s="408" t="s">
        <v>3166</v>
      </c>
      <c r="T234" s="409" t="s">
        <v>626</v>
      </c>
      <c r="U234" s="409" t="s">
        <v>627</v>
      </c>
      <c r="Z234" s="409" t="s">
        <v>628</v>
      </c>
      <c r="AA234" s="408">
        <f t="shared" si="46"/>
        <v>0</v>
      </c>
      <c r="AB234" s="408">
        <f t="shared" si="36"/>
        <v>0</v>
      </c>
      <c r="AC234" s="408">
        <f t="shared" si="37"/>
        <v>0</v>
      </c>
      <c r="AD234" s="408">
        <f t="shared" si="38"/>
        <v>1</v>
      </c>
      <c r="AE234" s="408">
        <f t="shared" si="39"/>
        <v>1</v>
      </c>
      <c r="AF234" s="408">
        <f t="shared" si="40"/>
        <v>0</v>
      </c>
      <c r="AG234" s="408">
        <f t="shared" si="41"/>
        <v>0</v>
      </c>
      <c r="AH234" s="408">
        <f t="shared" si="42"/>
        <v>0</v>
      </c>
      <c r="AI234" s="408">
        <f t="shared" si="43"/>
        <v>0</v>
      </c>
      <c r="AJ234" s="408">
        <f t="shared" si="44"/>
        <v>1</v>
      </c>
    </row>
    <row r="235" spans="1:36" x14ac:dyDescent="0.25">
      <c r="A235" s="409">
        <f t="shared" si="48"/>
        <v>234</v>
      </c>
      <c r="B235" s="410" t="s">
        <v>3167</v>
      </c>
      <c r="C235" s="410" t="s">
        <v>6208</v>
      </c>
      <c r="D235" s="409">
        <v>5</v>
      </c>
      <c r="E235" s="408"/>
      <c r="F235" s="409" t="str">
        <f>""</f>
        <v/>
      </c>
      <c r="G235" s="409" t="s">
        <v>6835</v>
      </c>
      <c r="H235" s="409" t="s">
        <v>5950</v>
      </c>
      <c r="I235" s="409" t="str">
        <f t="shared" si="45"/>
        <v>Concentration</v>
      </c>
      <c r="J235" s="409" t="s">
        <v>6210</v>
      </c>
      <c r="K235" s="409" t="s">
        <v>2536</v>
      </c>
      <c r="L235" s="409" t="s">
        <v>2562</v>
      </c>
      <c r="M235" s="409" t="s">
        <v>3857</v>
      </c>
      <c r="N235" s="408" t="str">
        <f>""</f>
        <v/>
      </c>
      <c r="O235" s="409" t="s">
        <v>6186</v>
      </c>
      <c r="P235" s="408" t="s">
        <v>6696</v>
      </c>
      <c r="Q235" s="409" t="s">
        <v>1112</v>
      </c>
      <c r="Z235" s="409" t="s">
        <v>628</v>
      </c>
      <c r="AA235" s="408">
        <f t="shared" si="46"/>
        <v>1</v>
      </c>
      <c r="AB235" s="408">
        <f t="shared" si="36"/>
        <v>0</v>
      </c>
      <c r="AC235" s="408">
        <f t="shared" si="37"/>
        <v>0</v>
      </c>
      <c r="AD235" s="408">
        <f t="shared" si="38"/>
        <v>0</v>
      </c>
      <c r="AE235" s="408">
        <f t="shared" si="39"/>
        <v>0</v>
      </c>
      <c r="AF235" s="408">
        <f t="shared" si="40"/>
        <v>0</v>
      </c>
      <c r="AG235" s="408">
        <f t="shared" si="41"/>
        <v>0</v>
      </c>
      <c r="AH235" s="408">
        <f t="shared" si="42"/>
        <v>0</v>
      </c>
      <c r="AI235" s="408">
        <f t="shared" si="43"/>
        <v>0</v>
      </c>
      <c r="AJ235" s="408">
        <f t="shared" si="44"/>
        <v>1</v>
      </c>
    </row>
    <row r="236" spans="1:36" x14ac:dyDescent="0.25">
      <c r="A236" s="409">
        <f t="shared" si="48"/>
        <v>235</v>
      </c>
      <c r="B236" s="410" t="s">
        <v>3169</v>
      </c>
      <c r="C236" s="410" t="s">
        <v>6193</v>
      </c>
      <c r="D236" s="409">
        <v>2</v>
      </c>
      <c r="E236" s="408"/>
      <c r="F236" s="409" t="str">
        <f>""</f>
        <v/>
      </c>
      <c r="G236" s="409" t="s">
        <v>6835</v>
      </c>
      <c r="H236" s="409" t="s">
        <v>6209</v>
      </c>
      <c r="I236" s="409" t="str">
        <f t="shared" si="45"/>
        <v>Concentration</v>
      </c>
      <c r="J236" s="409" t="s">
        <v>6210</v>
      </c>
      <c r="K236" s="409" t="s">
        <v>2536</v>
      </c>
      <c r="L236" s="409" t="s">
        <v>2562</v>
      </c>
      <c r="M236" s="409" t="s">
        <v>1248</v>
      </c>
      <c r="N236" s="408" t="s">
        <v>6356</v>
      </c>
      <c r="O236" s="409" t="s">
        <v>6187</v>
      </c>
      <c r="P236" s="408" t="s">
        <v>6697</v>
      </c>
      <c r="W236" s="409" t="s">
        <v>621</v>
      </c>
      <c r="AA236" s="408">
        <f t="shared" si="46"/>
        <v>0</v>
      </c>
      <c r="AB236" s="408">
        <f t="shared" si="36"/>
        <v>0</v>
      </c>
      <c r="AC236" s="408">
        <f t="shared" si="37"/>
        <v>0</v>
      </c>
      <c r="AD236" s="408">
        <f t="shared" si="38"/>
        <v>0</v>
      </c>
      <c r="AE236" s="408">
        <f t="shared" si="39"/>
        <v>0</v>
      </c>
      <c r="AF236" s="408">
        <f t="shared" si="40"/>
        <v>0</v>
      </c>
      <c r="AG236" s="408">
        <f t="shared" si="41"/>
        <v>1</v>
      </c>
      <c r="AH236" s="408">
        <f t="shared" si="42"/>
        <v>0</v>
      </c>
      <c r="AI236" s="408">
        <f t="shared" si="43"/>
        <v>0</v>
      </c>
      <c r="AJ236" s="408">
        <f t="shared" si="44"/>
        <v>0</v>
      </c>
    </row>
    <row r="237" spans="1:36" x14ac:dyDescent="0.25">
      <c r="A237" s="409">
        <f t="shared" si="48"/>
        <v>236</v>
      </c>
      <c r="B237" s="410" t="s">
        <v>6357</v>
      </c>
      <c r="C237" s="410" t="s">
        <v>6214</v>
      </c>
      <c r="D237" s="409">
        <v>4</v>
      </c>
      <c r="E237" s="408"/>
      <c r="F237" s="409" t="str">
        <f>""</f>
        <v/>
      </c>
      <c r="G237" s="409" t="s">
        <v>6835</v>
      </c>
      <c r="H237" s="409" t="s">
        <v>5950</v>
      </c>
      <c r="I237" s="409" t="str">
        <f t="shared" si="45"/>
        <v/>
      </c>
      <c r="J237" s="409" t="s">
        <v>6194</v>
      </c>
      <c r="K237" s="409" t="s">
        <v>2536</v>
      </c>
      <c r="L237" s="409" t="s">
        <v>2562</v>
      </c>
      <c r="M237" s="409" t="s">
        <v>1248</v>
      </c>
      <c r="N237" s="408" t="s">
        <v>6358</v>
      </c>
      <c r="O237" s="409" t="s">
        <v>6185</v>
      </c>
      <c r="P237" s="408" t="s">
        <v>6698</v>
      </c>
      <c r="Z237" s="409" t="s">
        <v>628</v>
      </c>
      <c r="AA237" s="408">
        <f t="shared" si="46"/>
        <v>0</v>
      </c>
      <c r="AB237" s="408">
        <f t="shared" si="36"/>
        <v>0</v>
      </c>
      <c r="AC237" s="408">
        <f t="shared" si="37"/>
        <v>0</v>
      </c>
      <c r="AD237" s="408">
        <f t="shared" si="38"/>
        <v>0</v>
      </c>
      <c r="AE237" s="408">
        <f t="shared" si="39"/>
        <v>0</v>
      </c>
      <c r="AF237" s="408">
        <f t="shared" si="40"/>
        <v>0</v>
      </c>
      <c r="AG237" s="408">
        <f t="shared" si="41"/>
        <v>0</v>
      </c>
      <c r="AH237" s="408">
        <f t="shared" si="42"/>
        <v>0</v>
      </c>
      <c r="AI237" s="408">
        <f t="shared" si="43"/>
        <v>0</v>
      </c>
      <c r="AJ237" s="408">
        <f t="shared" si="44"/>
        <v>1</v>
      </c>
    </row>
    <row r="238" spans="1:36" x14ac:dyDescent="0.25">
      <c r="A238" s="409">
        <f t="shared" si="48"/>
        <v>237</v>
      </c>
      <c r="B238" s="410" t="s">
        <v>6359</v>
      </c>
      <c r="C238" s="410" t="s">
        <v>6251</v>
      </c>
      <c r="D238" s="409">
        <v>7</v>
      </c>
      <c r="E238" s="408"/>
      <c r="F238" s="409" t="str">
        <f>""</f>
        <v/>
      </c>
      <c r="G238" s="409" t="s">
        <v>6206</v>
      </c>
      <c r="H238" s="409" t="s">
        <v>6257</v>
      </c>
      <c r="I238" s="409" t="str">
        <f t="shared" si="45"/>
        <v/>
      </c>
      <c r="J238" s="409" t="s">
        <v>6201</v>
      </c>
      <c r="K238" s="409" t="s">
        <v>2536</v>
      </c>
      <c r="L238" s="409" t="s">
        <v>2562</v>
      </c>
      <c r="M238" s="409" t="s">
        <v>1248</v>
      </c>
      <c r="N238" s="408" t="s">
        <v>6360</v>
      </c>
      <c r="O238" s="409" t="s">
        <v>6185</v>
      </c>
      <c r="P238" s="408" t="s">
        <v>6699</v>
      </c>
      <c r="Q238" s="409" t="s">
        <v>1112</v>
      </c>
      <c r="Z238" s="409" t="s">
        <v>628</v>
      </c>
      <c r="AA238" s="408">
        <f t="shared" si="46"/>
        <v>1</v>
      </c>
      <c r="AB238" s="408">
        <f t="shared" si="36"/>
        <v>0</v>
      </c>
      <c r="AC238" s="408">
        <f t="shared" si="37"/>
        <v>0</v>
      </c>
      <c r="AD238" s="408">
        <f t="shared" si="38"/>
        <v>0</v>
      </c>
      <c r="AE238" s="408">
        <f t="shared" si="39"/>
        <v>0</v>
      </c>
      <c r="AF238" s="408">
        <f t="shared" si="40"/>
        <v>0</v>
      </c>
      <c r="AG238" s="408">
        <f t="shared" si="41"/>
        <v>0</v>
      </c>
      <c r="AH238" s="408">
        <f t="shared" si="42"/>
        <v>0</v>
      </c>
      <c r="AI238" s="408">
        <f t="shared" si="43"/>
        <v>0</v>
      </c>
      <c r="AJ238" s="408">
        <f t="shared" si="44"/>
        <v>1</v>
      </c>
    </row>
    <row r="239" spans="1:36" x14ac:dyDescent="0.25">
      <c r="A239" s="409">
        <f t="shared" si="48"/>
        <v>238</v>
      </c>
      <c r="B239" s="410" t="s">
        <v>6361</v>
      </c>
      <c r="C239" s="410" t="s">
        <v>6214</v>
      </c>
      <c r="D239" s="409">
        <v>4</v>
      </c>
      <c r="E239" s="408"/>
      <c r="F239" s="409" t="str">
        <f>""</f>
        <v/>
      </c>
      <c r="G239" s="409" t="s">
        <v>6241</v>
      </c>
      <c r="H239" s="409" t="s">
        <v>6209</v>
      </c>
      <c r="I239" s="409" t="str">
        <f t="shared" si="45"/>
        <v/>
      </c>
      <c r="J239" s="409" t="s">
        <v>6201</v>
      </c>
      <c r="K239" s="409" t="s">
        <v>2536</v>
      </c>
      <c r="L239" s="409" t="s">
        <v>2562</v>
      </c>
      <c r="M239" s="409" t="s">
        <v>1248</v>
      </c>
      <c r="N239" s="408" t="s">
        <v>6362</v>
      </c>
      <c r="O239" s="409" t="s">
        <v>6184</v>
      </c>
      <c r="P239" s="408" t="s">
        <v>6700</v>
      </c>
      <c r="Z239" s="409" t="s">
        <v>628</v>
      </c>
      <c r="AA239" s="408">
        <f t="shared" si="46"/>
        <v>0</v>
      </c>
      <c r="AB239" s="408">
        <f t="shared" si="36"/>
        <v>0</v>
      </c>
      <c r="AC239" s="408">
        <f t="shared" si="37"/>
        <v>0</v>
      </c>
      <c r="AD239" s="408">
        <f t="shared" si="38"/>
        <v>0</v>
      </c>
      <c r="AE239" s="408">
        <f t="shared" si="39"/>
        <v>0</v>
      </c>
      <c r="AF239" s="408">
        <f t="shared" si="40"/>
        <v>0</v>
      </c>
      <c r="AG239" s="408">
        <f t="shared" si="41"/>
        <v>0</v>
      </c>
      <c r="AH239" s="408">
        <f t="shared" si="42"/>
        <v>0</v>
      </c>
      <c r="AI239" s="408">
        <f t="shared" si="43"/>
        <v>0</v>
      </c>
      <c r="AJ239" s="408">
        <f t="shared" si="44"/>
        <v>1</v>
      </c>
    </row>
    <row r="240" spans="1:36" x14ac:dyDescent="0.25">
      <c r="A240" s="409">
        <f t="shared" si="48"/>
        <v>239</v>
      </c>
      <c r="B240" s="410" t="s">
        <v>6363</v>
      </c>
      <c r="C240" s="410" t="s">
        <v>6251</v>
      </c>
      <c r="D240" s="409">
        <v>7</v>
      </c>
      <c r="E240" s="408"/>
      <c r="F240" s="409" t="str">
        <f>""</f>
        <v/>
      </c>
      <c r="G240" s="409" t="s">
        <v>6835</v>
      </c>
      <c r="H240" s="409" t="s">
        <v>424</v>
      </c>
      <c r="I240" s="409" t="str">
        <f t="shared" si="45"/>
        <v>Concentration</v>
      </c>
      <c r="J240" s="409" t="s">
        <v>6210</v>
      </c>
      <c r="K240" s="409" t="s">
        <v>2536</v>
      </c>
      <c r="L240" s="409" t="s">
        <v>2562</v>
      </c>
      <c r="M240" s="409" t="s">
        <v>1248</v>
      </c>
      <c r="N240" s="408" t="s">
        <v>6364</v>
      </c>
      <c r="O240" s="409" t="s">
        <v>6187</v>
      </c>
      <c r="P240" s="408" t="s">
        <v>6701</v>
      </c>
      <c r="Q240" s="409" t="s">
        <v>1112</v>
      </c>
      <c r="Z240" s="409" t="s">
        <v>628</v>
      </c>
      <c r="AA240" s="408">
        <f t="shared" si="46"/>
        <v>1</v>
      </c>
      <c r="AB240" s="408">
        <f t="shared" si="36"/>
        <v>0</v>
      </c>
      <c r="AC240" s="408">
        <f t="shared" si="37"/>
        <v>0</v>
      </c>
      <c r="AD240" s="408">
        <f t="shared" si="38"/>
        <v>0</v>
      </c>
      <c r="AE240" s="408">
        <f t="shared" si="39"/>
        <v>0</v>
      </c>
      <c r="AF240" s="408">
        <f t="shared" si="40"/>
        <v>0</v>
      </c>
      <c r="AG240" s="408">
        <f t="shared" si="41"/>
        <v>0</v>
      </c>
      <c r="AH240" s="408">
        <f t="shared" si="42"/>
        <v>0</v>
      </c>
      <c r="AI240" s="408">
        <f t="shared" si="43"/>
        <v>0</v>
      </c>
      <c r="AJ240" s="408">
        <f t="shared" si="44"/>
        <v>1</v>
      </c>
    </row>
    <row r="241" spans="1:36" x14ac:dyDescent="0.25">
      <c r="A241" s="409">
        <f t="shared" si="48"/>
        <v>240</v>
      </c>
      <c r="B241" s="410" t="s">
        <v>3184</v>
      </c>
      <c r="C241" s="410" t="s">
        <v>6216</v>
      </c>
      <c r="D241" s="409">
        <v>6</v>
      </c>
      <c r="E241" s="408"/>
      <c r="F241" s="409" t="str">
        <f>""</f>
        <v/>
      </c>
      <c r="G241" s="409" t="s">
        <v>6835</v>
      </c>
      <c r="H241" s="409" t="s">
        <v>6209</v>
      </c>
      <c r="I241" s="409" t="str">
        <f t="shared" si="45"/>
        <v>Concentration</v>
      </c>
      <c r="J241" s="409" t="s">
        <v>6365</v>
      </c>
      <c r="K241" s="409" t="s">
        <v>2536</v>
      </c>
      <c r="L241" s="409" t="s">
        <v>2562</v>
      </c>
      <c r="M241" s="409" t="s">
        <v>1248</v>
      </c>
      <c r="N241" s="408" t="s">
        <v>6366</v>
      </c>
      <c r="O241" s="409" t="s">
        <v>6190</v>
      </c>
      <c r="P241" s="408" t="s">
        <v>6702</v>
      </c>
      <c r="T241" s="409" t="s">
        <v>626</v>
      </c>
      <c r="W241" s="409" t="s">
        <v>621</v>
      </c>
      <c r="Z241" s="409" t="s">
        <v>628</v>
      </c>
      <c r="AA241" s="408">
        <f t="shared" si="46"/>
        <v>0</v>
      </c>
      <c r="AB241" s="408">
        <f t="shared" si="36"/>
        <v>0</v>
      </c>
      <c r="AC241" s="408">
        <f t="shared" si="37"/>
        <v>0</v>
      </c>
      <c r="AD241" s="408">
        <f t="shared" si="38"/>
        <v>1</v>
      </c>
      <c r="AE241" s="408">
        <f t="shared" si="39"/>
        <v>0</v>
      </c>
      <c r="AF241" s="408">
        <f t="shared" si="40"/>
        <v>0</v>
      </c>
      <c r="AG241" s="408">
        <f t="shared" si="41"/>
        <v>1</v>
      </c>
      <c r="AH241" s="408">
        <f t="shared" si="42"/>
        <v>0</v>
      </c>
      <c r="AI241" s="408">
        <f t="shared" si="43"/>
        <v>0</v>
      </c>
      <c r="AJ241" s="408">
        <f t="shared" si="44"/>
        <v>1</v>
      </c>
    </row>
    <row r="242" spans="1:36" x14ac:dyDescent="0.25">
      <c r="A242" s="409">
        <f t="shared" si="48"/>
        <v>241</v>
      </c>
      <c r="B242" s="410" t="s">
        <v>3188</v>
      </c>
      <c r="C242" s="410" t="s">
        <v>6205</v>
      </c>
      <c r="D242" s="409">
        <v>3</v>
      </c>
      <c r="E242" s="408"/>
      <c r="F242" s="409" t="str">
        <f>""</f>
        <v/>
      </c>
      <c r="G242" s="409" t="s">
        <v>6835</v>
      </c>
      <c r="H242" s="409" t="s">
        <v>6219</v>
      </c>
      <c r="I242" s="409" t="str">
        <f t="shared" si="45"/>
        <v/>
      </c>
      <c r="J242" s="409" t="s">
        <v>6194</v>
      </c>
      <c r="K242" s="409" t="s">
        <v>2536</v>
      </c>
      <c r="L242" s="409" t="s">
        <v>2562</v>
      </c>
      <c r="M242" s="409" t="s">
        <v>1248</v>
      </c>
      <c r="N242" s="408" t="s">
        <v>6367</v>
      </c>
      <c r="O242" s="409" t="s">
        <v>6184</v>
      </c>
      <c r="P242" s="408" t="s">
        <v>3190</v>
      </c>
      <c r="Q242" s="409" t="s">
        <v>1112</v>
      </c>
      <c r="Z242" s="409" t="s">
        <v>628</v>
      </c>
      <c r="AA242" s="408">
        <f t="shared" si="46"/>
        <v>1</v>
      </c>
      <c r="AB242" s="408">
        <f t="shared" si="36"/>
        <v>0</v>
      </c>
      <c r="AC242" s="408">
        <f t="shared" si="37"/>
        <v>0</v>
      </c>
      <c r="AD242" s="408">
        <f t="shared" si="38"/>
        <v>0</v>
      </c>
      <c r="AE242" s="408">
        <f t="shared" si="39"/>
        <v>0</v>
      </c>
      <c r="AF242" s="408">
        <f t="shared" si="40"/>
        <v>0</v>
      </c>
      <c r="AG242" s="408">
        <f t="shared" si="41"/>
        <v>0</v>
      </c>
      <c r="AH242" s="408">
        <f t="shared" si="42"/>
        <v>0</v>
      </c>
      <c r="AI242" s="408">
        <f t="shared" si="43"/>
        <v>0</v>
      </c>
      <c r="AJ242" s="408">
        <f t="shared" si="44"/>
        <v>1</v>
      </c>
    </row>
    <row r="243" spans="1:36" x14ac:dyDescent="0.25">
      <c r="A243" s="409">
        <f t="shared" si="48"/>
        <v>242</v>
      </c>
      <c r="B243" s="410" t="s">
        <v>3191</v>
      </c>
      <c r="C243" s="410" t="s">
        <v>6193</v>
      </c>
      <c r="D243" s="409">
        <v>2</v>
      </c>
      <c r="E243" s="408"/>
      <c r="F243" s="409" t="str">
        <f>""</f>
        <v/>
      </c>
      <c r="G243" s="409" t="s">
        <v>6835</v>
      </c>
      <c r="H243" s="409" t="s">
        <v>6219</v>
      </c>
      <c r="I243" s="409" t="str">
        <f t="shared" si="45"/>
        <v/>
      </c>
      <c r="J243" s="409" t="s">
        <v>6201</v>
      </c>
      <c r="K243" s="409" t="s">
        <v>2536</v>
      </c>
      <c r="L243" s="409" t="s">
        <v>2562</v>
      </c>
      <c r="M243" s="409" t="s">
        <v>1248</v>
      </c>
      <c r="N243" s="408" t="s">
        <v>6368</v>
      </c>
      <c r="O243" s="409" t="s">
        <v>6188</v>
      </c>
      <c r="P243" s="408" t="s">
        <v>6703</v>
      </c>
      <c r="Z243" s="409" t="s">
        <v>628</v>
      </c>
      <c r="AA243" s="408">
        <f t="shared" si="46"/>
        <v>0</v>
      </c>
      <c r="AB243" s="408">
        <f t="shared" si="36"/>
        <v>0</v>
      </c>
      <c r="AC243" s="408">
        <f t="shared" si="37"/>
        <v>0</v>
      </c>
      <c r="AD243" s="408">
        <f t="shared" si="38"/>
        <v>0</v>
      </c>
      <c r="AE243" s="408">
        <f t="shared" si="39"/>
        <v>0</v>
      </c>
      <c r="AF243" s="408">
        <f t="shared" si="40"/>
        <v>0</v>
      </c>
      <c r="AG243" s="408">
        <f t="shared" si="41"/>
        <v>0</v>
      </c>
      <c r="AH243" s="408">
        <f t="shared" si="42"/>
        <v>0</v>
      </c>
      <c r="AI243" s="408">
        <f t="shared" si="43"/>
        <v>0</v>
      </c>
      <c r="AJ243" s="408">
        <f t="shared" si="44"/>
        <v>1</v>
      </c>
    </row>
    <row r="244" spans="1:36" x14ac:dyDescent="0.25">
      <c r="A244" s="409">
        <f t="shared" si="48"/>
        <v>243</v>
      </c>
      <c r="B244" s="410" t="s">
        <v>3194</v>
      </c>
      <c r="C244" s="410" t="s">
        <v>6216</v>
      </c>
      <c r="D244" s="409">
        <v>6</v>
      </c>
      <c r="E244" s="408"/>
      <c r="F244" s="409" t="str">
        <f>""</f>
        <v/>
      </c>
      <c r="G244" s="409" t="s">
        <v>6835</v>
      </c>
      <c r="H244" s="409" t="s">
        <v>6257</v>
      </c>
      <c r="I244" s="409" t="str">
        <f t="shared" si="45"/>
        <v/>
      </c>
      <c r="J244" s="409" t="s">
        <v>6192</v>
      </c>
      <c r="K244" s="409" t="s">
        <v>2536</v>
      </c>
      <c r="L244" s="409" t="s">
        <v>2562</v>
      </c>
      <c r="M244" s="409" t="s">
        <v>1248</v>
      </c>
      <c r="N244" s="408" t="s">
        <v>6369</v>
      </c>
      <c r="O244" s="409" t="s">
        <v>6187</v>
      </c>
      <c r="P244" s="408" t="s">
        <v>6704</v>
      </c>
      <c r="Z244" s="409" t="s">
        <v>628</v>
      </c>
      <c r="AA244" s="408">
        <f t="shared" si="46"/>
        <v>0</v>
      </c>
      <c r="AB244" s="408">
        <f t="shared" si="36"/>
        <v>0</v>
      </c>
      <c r="AC244" s="408">
        <f t="shared" si="37"/>
        <v>0</v>
      </c>
      <c r="AD244" s="408">
        <f t="shared" si="38"/>
        <v>0</v>
      </c>
      <c r="AE244" s="408">
        <f t="shared" si="39"/>
        <v>0</v>
      </c>
      <c r="AF244" s="408">
        <f t="shared" si="40"/>
        <v>0</v>
      </c>
      <c r="AG244" s="408">
        <f t="shared" si="41"/>
        <v>0</v>
      </c>
      <c r="AH244" s="408">
        <f t="shared" si="42"/>
        <v>0</v>
      </c>
      <c r="AI244" s="408">
        <f t="shared" si="43"/>
        <v>0</v>
      </c>
      <c r="AJ244" s="408">
        <f t="shared" si="44"/>
        <v>1</v>
      </c>
    </row>
    <row r="245" spans="1:36" x14ac:dyDescent="0.25">
      <c r="A245" s="409">
        <f t="shared" si="48"/>
        <v>244</v>
      </c>
      <c r="B245" s="410" t="s">
        <v>3197</v>
      </c>
      <c r="C245" s="410" t="s">
        <v>6214</v>
      </c>
      <c r="D245" s="409">
        <v>4</v>
      </c>
      <c r="E245" s="408"/>
      <c r="F245" s="409" t="str">
        <f>""</f>
        <v/>
      </c>
      <c r="G245" s="409" t="s">
        <v>6835</v>
      </c>
      <c r="H245" s="409" t="s">
        <v>5950</v>
      </c>
      <c r="I245" s="409" t="str">
        <f t="shared" si="45"/>
        <v>Concentration</v>
      </c>
      <c r="J245" s="409" t="s">
        <v>6210</v>
      </c>
      <c r="K245" s="409" t="s">
        <v>2536</v>
      </c>
      <c r="L245" s="409" t="s">
        <v>2562</v>
      </c>
      <c r="M245" s="409" t="s">
        <v>1248</v>
      </c>
      <c r="N245" s="408" t="s">
        <v>6370</v>
      </c>
      <c r="O245" s="409" t="s">
        <v>6187</v>
      </c>
      <c r="P245" s="408" t="s">
        <v>6705</v>
      </c>
      <c r="Z245" s="409" t="s">
        <v>628</v>
      </c>
      <c r="AA245" s="408">
        <f t="shared" si="46"/>
        <v>0</v>
      </c>
      <c r="AB245" s="408">
        <f t="shared" si="36"/>
        <v>0</v>
      </c>
      <c r="AC245" s="408">
        <f t="shared" si="37"/>
        <v>0</v>
      </c>
      <c r="AD245" s="408">
        <f t="shared" si="38"/>
        <v>0</v>
      </c>
      <c r="AE245" s="408">
        <f t="shared" si="39"/>
        <v>0</v>
      </c>
      <c r="AF245" s="408">
        <f t="shared" si="40"/>
        <v>0</v>
      </c>
      <c r="AG245" s="408">
        <f t="shared" si="41"/>
        <v>0</v>
      </c>
      <c r="AH245" s="408">
        <f t="shared" si="42"/>
        <v>0</v>
      </c>
      <c r="AI245" s="408">
        <f t="shared" si="43"/>
        <v>0</v>
      </c>
      <c r="AJ245" s="408">
        <f t="shared" si="44"/>
        <v>1</v>
      </c>
    </row>
    <row r="246" spans="1:36" x14ac:dyDescent="0.25">
      <c r="A246" s="409">
        <f t="shared" si="48"/>
        <v>245</v>
      </c>
      <c r="B246" s="410" t="s">
        <v>3200</v>
      </c>
      <c r="C246" s="410" t="s">
        <v>6216</v>
      </c>
      <c r="D246" s="409">
        <v>6</v>
      </c>
      <c r="E246" s="408"/>
      <c r="F246" s="409" t="str">
        <f>""</f>
        <v/>
      </c>
      <c r="G246" s="409" t="s">
        <v>6835</v>
      </c>
      <c r="H246" s="409" t="s">
        <v>5950</v>
      </c>
      <c r="I246" s="409" t="str">
        <f t="shared" si="45"/>
        <v>Concentration</v>
      </c>
      <c r="J246" s="409" t="s">
        <v>6210</v>
      </c>
      <c r="K246" s="409" t="s">
        <v>2536</v>
      </c>
      <c r="L246" s="409" t="s">
        <v>3857</v>
      </c>
      <c r="M246" s="409" t="s">
        <v>3857</v>
      </c>
      <c r="N246" s="408" t="str">
        <f>""</f>
        <v/>
      </c>
      <c r="O246" s="409" t="s">
        <v>6186</v>
      </c>
      <c r="P246" s="408" t="s">
        <v>6706</v>
      </c>
      <c r="Q246" s="409" t="s">
        <v>1112</v>
      </c>
      <c r="Z246" s="409" t="s">
        <v>628</v>
      </c>
      <c r="AA246" s="408">
        <f t="shared" si="46"/>
        <v>1</v>
      </c>
      <c r="AB246" s="408">
        <f t="shared" si="36"/>
        <v>0</v>
      </c>
      <c r="AC246" s="408">
        <f t="shared" si="37"/>
        <v>0</v>
      </c>
      <c r="AD246" s="408">
        <f t="shared" si="38"/>
        <v>0</v>
      </c>
      <c r="AE246" s="408">
        <f t="shared" si="39"/>
        <v>0</v>
      </c>
      <c r="AF246" s="408">
        <f t="shared" si="40"/>
        <v>0</v>
      </c>
      <c r="AG246" s="408">
        <f t="shared" si="41"/>
        <v>0</v>
      </c>
      <c r="AH246" s="408">
        <f t="shared" si="42"/>
        <v>0</v>
      </c>
      <c r="AI246" s="408">
        <f t="shared" si="43"/>
        <v>0</v>
      </c>
      <c r="AJ246" s="408">
        <f t="shared" si="44"/>
        <v>1</v>
      </c>
    </row>
    <row r="247" spans="1:36" x14ac:dyDescent="0.25">
      <c r="A247" s="409">
        <f t="shared" si="48"/>
        <v>246</v>
      </c>
      <c r="B247" s="410" t="s">
        <v>3202</v>
      </c>
      <c r="C247" s="410" t="s">
        <v>6193</v>
      </c>
      <c r="D247" s="409">
        <v>2</v>
      </c>
      <c r="E247" s="408"/>
      <c r="F247" s="409" t="str">
        <f>""</f>
        <v/>
      </c>
      <c r="G247" s="409" t="s">
        <v>6835</v>
      </c>
      <c r="H247" s="409" t="s">
        <v>6199</v>
      </c>
      <c r="I247" s="409" t="str">
        <f t="shared" si="45"/>
        <v>Concentration</v>
      </c>
      <c r="J247" s="409" t="s">
        <v>6200</v>
      </c>
      <c r="K247" s="409" t="s">
        <v>2536</v>
      </c>
      <c r="L247" s="409" t="s">
        <v>2562</v>
      </c>
      <c r="M247" s="409" t="s">
        <v>1248</v>
      </c>
      <c r="N247" s="408" t="s">
        <v>6371</v>
      </c>
      <c r="O247" s="409" t="s">
        <v>6184</v>
      </c>
      <c r="P247" s="408" t="s">
        <v>6372</v>
      </c>
      <c r="S247" s="409" t="s">
        <v>624</v>
      </c>
      <c r="W247" s="409" t="s">
        <v>621</v>
      </c>
      <c r="AA247" s="408">
        <f t="shared" si="46"/>
        <v>0</v>
      </c>
      <c r="AB247" s="408">
        <f t="shared" si="36"/>
        <v>0</v>
      </c>
      <c r="AC247" s="408">
        <f t="shared" si="37"/>
        <v>1</v>
      </c>
      <c r="AD247" s="408">
        <f t="shared" si="38"/>
        <v>0</v>
      </c>
      <c r="AE247" s="408">
        <f t="shared" si="39"/>
        <v>0</v>
      </c>
      <c r="AF247" s="408">
        <f t="shared" si="40"/>
        <v>0</v>
      </c>
      <c r="AG247" s="408">
        <f t="shared" si="41"/>
        <v>1</v>
      </c>
      <c r="AH247" s="408">
        <f t="shared" si="42"/>
        <v>0</v>
      </c>
      <c r="AI247" s="408">
        <f t="shared" si="43"/>
        <v>0</v>
      </c>
      <c r="AJ247" s="408">
        <f t="shared" si="44"/>
        <v>0</v>
      </c>
    </row>
    <row r="248" spans="1:36" x14ac:dyDescent="0.25">
      <c r="A248" s="409">
        <f t="shared" si="48"/>
        <v>247</v>
      </c>
      <c r="B248" s="410" t="s">
        <v>3205</v>
      </c>
      <c r="C248" s="410" t="s">
        <v>6208</v>
      </c>
      <c r="D248" s="409">
        <v>5</v>
      </c>
      <c r="E248" s="408"/>
      <c r="F248" s="409" t="str">
        <f>""</f>
        <v/>
      </c>
      <c r="G248" s="409" t="s">
        <v>6835</v>
      </c>
      <c r="H248" s="409" t="s">
        <v>5950</v>
      </c>
      <c r="I248" s="409" t="str">
        <f t="shared" si="45"/>
        <v/>
      </c>
      <c r="J248" s="409" t="s">
        <v>6212</v>
      </c>
      <c r="K248" s="409" t="s">
        <v>2536</v>
      </c>
      <c r="L248" s="409" t="s">
        <v>2562</v>
      </c>
      <c r="M248" s="409" t="s">
        <v>1248</v>
      </c>
      <c r="N248" s="408" t="s">
        <v>6373</v>
      </c>
      <c r="O248" s="409" t="s">
        <v>6190</v>
      </c>
      <c r="P248" s="408" t="s">
        <v>6707</v>
      </c>
      <c r="Z248" s="409" t="s">
        <v>628</v>
      </c>
      <c r="AA248" s="408">
        <f t="shared" si="46"/>
        <v>0</v>
      </c>
      <c r="AB248" s="408">
        <f t="shared" si="36"/>
        <v>0</v>
      </c>
      <c r="AC248" s="408">
        <f t="shared" si="37"/>
        <v>0</v>
      </c>
      <c r="AD248" s="408">
        <f t="shared" si="38"/>
        <v>0</v>
      </c>
      <c r="AE248" s="408">
        <f t="shared" si="39"/>
        <v>0</v>
      </c>
      <c r="AF248" s="408">
        <f t="shared" si="40"/>
        <v>0</v>
      </c>
      <c r="AG248" s="408">
        <f t="shared" si="41"/>
        <v>0</v>
      </c>
      <c r="AH248" s="408">
        <f t="shared" si="42"/>
        <v>0</v>
      </c>
      <c r="AI248" s="408">
        <f t="shared" si="43"/>
        <v>0</v>
      </c>
      <c r="AJ248" s="408">
        <f t="shared" si="44"/>
        <v>1</v>
      </c>
    </row>
    <row r="249" spans="1:36" x14ac:dyDescent="0.25">
      <c r="A249" s="409">
        <f t="shared" si="48"/>
        <v>248</v>
      </c>
      <c r="B249" s="410" t="s">
        <v>3208</v>
      </c>
      <c r="C249" s="410" t="s">
        <v>6193</v>
      </c>
      <c r="D249" s="409">
        <v>2</v>
      </c>
      <c r="E249" s="408"/>
      <c r="F249" s="409" t="str">
        <f>""</f>
        <v/>
      </c>
      <c r="G249" s="409" t="s">
        <v>6835</v>
      </c>
      <c r="H249" s="409" t="s">
        <v>424</v>
      </c>
      <c r="I249" s="409" t="str">
        <f t="shared" si="45"/>
        <v>Concentration</v>
      </c>
      <c r="J249" s="409" t="s">
        <v>6210</v>
      </c>
      <c r="K249" s="409" t="s">
        <v>2536</v>
      </c>
      <c r="L249" s="409" t="s">
        <v>2562</v>
      </c>
      <c r="M249" s="409" t="s">
        <v>1248</v>
      </c>
      <c r="N249" s="408" t="s">
        <v>6349</v>
      </c>
      <c r="O249" s="409" t="s">
        <v>6188</v>
      </c>
      <c r="P249" s="408" t="s">
        <v>6708</v>
      </c>
      <c r="Q249" s="409" t="s">
        <v>1112</v>
      </c>
      <c r="T249" s="409" t="s">
        <v>626</v>
      </c>
      <c r="Z249" s="409" t="s">
        <v>628</v>
      </c>
      <c r="AA249" s="408">
        <f t="shared" si="46"/>
        <v>1</v>
      </c>
      <c r="AB249" s="408">
        <f t="shared" si="36"/>
        <v>0</v>
      </c>
      <c r="AC249" s="408">
        <f t="shared" si="37"/>
        <v>0</v>
      </c>
      <c r="AD249" s="408">
        <f t="shared" si="38"/>
        <v>1</v>
      </c>
      <c r="AE249" s="408">
        <f t="shared" si="39"/>
        <v>0</v>
      </c>
      <c r="AF249" s="408">
        <f t="shared" si="40"/>
        <v>0</v>
      </c>
      <c r="AG249" s="408">
        <f t="shared" si="41"/>
        <v>0</v>
      </c>
      <c r="AH249" s="408">
        <f t="shared" si="42"/>
        <v>0</v>
      </c>
      <c r="AI249" s="408">
        <f t="shared" si="43"/>
        <v>0</v>
      </c>
      <c r="AJ249" s="408">
        <f t="shared" si="44"/>
        <v>1</v>
      </c>
    </row>
    <row r="250" spans="1:36" x14ac:dyDescent="0.25">
      <c r="A250" s="409">
        <f t="shared" si="48"/>
        <v>249</v>
      </c>
      <c r="B250" s="410" t="s">
        <v>3210</v>
      </c>
      <c r="C250" s="410" t="s">
        <v>6214</v>
      </c>
      <c r="D250" s="409">
        <v>4</v>
      </c>
      <c r="E250" s="408"/>
      <c r="F250" s="409" t="str">
        <f>""</f>
        <v/>
      </c>
      <c r="G250" s="409" t="s">
        <v>6835</v>
      </c>
      <c r="H250" s="409" t="s">
        <v>6209</v>
      </c>
      <c r="I250" s="409" t="str">
        <f t="shared" si="45"/>
        <v>Concentration</v>
      </c>
      <c r="J250" s="409" t="s">
        <v>6210</v>
      </c>
      <c r="K250" s="409" t="s">
        <v>2536</v>
      </c>
      <c r="L250" s="409" t="s">
        <v>2562</v>
      </c>
      <c r="M250" s="409" t="s">
        <v>3857</v>
      </c>
      <c r="N250" s="408" t="str">
        <f>""</f>
        <v/>
      </c>
      <c r="O250" s="409" t="s">
        <v>6188</v>
      </c>
      <c r="P250" s="408" t="s">
        <v>6709</v>
      </c>
      <c r="Z250" s="409" t="s">
        <v>628</v>
      </c>
      <c r="AA250" s="408">
        <f t="shared" si="46"/>
        <v>0</v>
      </c>
      <c r="AB250" s="408">
        <f t="shared" si="36"/>
        <v>0</v>
      </c>
      <c r="AC250" s="408">
        <f t="shared" si="37"/>
        <v>0</v>
      </c>
      <c r="AD250" s="408">
        <f t="shared" si="38"/>
        <v>0</v>
      </c>
      <c r="AE250" s="408">
        <f t="shared" si="39"/>
        <v>0</v>
      </c>
      <c r="AF250" s="408">
        <f t="shared" si="40"/>
        <v>0</v>
      </c>
      <c r="AG250" s="408">
        <f t="shared" si="41"/>
        <v>0</v>
      </c>
      <c r="AH250" s="408">
        <f t="shared" si="42"/>
        <v>0</v>
      </c>
      <c r="AI250" s="408">
        <f t="shared" si="43"/>
        <v>0</v>
      </c>
      <c r="AJ250" s="408">
        <f t="shared" si="44"/>
        <v>1</v>
      </c>
    </row>
    <row r="251" spans="1:36" x14ac:dyDescent="0.25">
      <c r="A251" s="409">
        <f t="shared" si="48"/>
        <v>250</v>
      </c>
      <c r="B251" s="410" t="s">
        <v>3212</v>
      </c>
      <c r="C251" s="410" t="s">
        <v>6205</v>
      </c>
      <c r="D251" s="409">
        <v>3</v>
      </c>
      <c r="E251" s="408"/>
      <c r="F251" s="409" t="s">
        <v>6183</v>
      </c>
      <c r="G251" s="409" t="s">
        <v>6197</v>
      </c>
      <c r="H251" s="409" t="s">
        <v>5950</v>
      </c>
      <c r="I251" s="409" t="str">
        <f t="shared" si="45"/>
        <v/>
      </c>
      <c r="J251" s="409" t="s">
        <v>6212</v>
      </c>
      <c r="K251" s="409" t="s">
        <v>2536</v>
      </c>
      <c r="L251" s="409" t="s">
        <v>2562</v>
      </c>
      <c r="M251" s="409" t="s">
        <v>3857</v>
      </c>
      <c r="N251" s="408" t="str">
        <f>""</f>
        <v/>
      </c>
      <c r="O251" s="409" t="s">
        <v>6188</v>
      </c>
      <c r="P251" s="408" t="s">
        <v>6710</v>
      </c>
      <c r="Z251" s="409" t="s">
        <v>628</v>
      </c>
      <c r="AA251" s="408">
        <f t="shared" si="46"/>
        <v>0</v>
      </c>
      <c r="AB251" s="408">
        <f t="shared" si="36"/>
        <v>0</v>
      </c>
      <c r="AC251" s="408">
        <f t="shared" si="37"/>
        <v>0</v>
      </c>
      <c r="AD251" s="408">
        <f t="shared" si="38"/>
        <v>0</v>
      </c>
      <c r="AE251" s="408">
        <f t="shared" si="39"/>
        <v>0</v>
      </c>
      <c r="AF251" s="408">
        <f t="shared" si="40"/>
        <v>0</v>
      </c>
      <c r="AG251" s="408">
        <f t="shared" si="41"/>
        <v>0</v>
      </c>
      <c r="AH251" s="408">
        <f t="shared" si="42"/>
        <v>0</v>
      </c>
      <c r="AI251" s="408">
        <f t="shared" si="43"/>
        <v>0</v>
      </c>
      <c r="AJ251" s="408">
        <f t="shared" si="44"/>
        <v>1</v>
      </c>
    </row>
    <row r="252" spans="1:36" x14ac:dyDescent="0.25">
      <c r="A252" s="409">
        <f t="shared" si="48"/>
        <v>251</v>
      </c>
      <c r="B252" s="410" t="s">
        <v>3215</v>
      </c>
      <c r="C252" s="410" t="s">
        <v>6216</v>
      </c>
      <c r="D252" s="409">
        <v>6</v>
      </c>
      <c r="E252" s="408"/>
      <c r="F252" s="409" t="str">
        <f>""</f>
        <v/>
      </c>
      <c r="G252" s="409" t="s">
        <v>6241</v>
      </c>
      <c r="H252" s="409" t="s">
        <v>424</v>
      </c>
      <c r="I252" s="409" t="str">
        <f t="shared" si="45"/>
        <v/>
      </c>
      <c r="J252" s="409" t="s">
        <v>6192</v>
      </c>
      <c r="K252" s="409" t="s">
        <v>2536</v>
      </c>
      <c r="L252" s="409" t="s">
        <v>2562</v>
      </c>
      <c r="M252" s="409" t="s">
        <v>3857</v>
      </c>
      <c r="N252" s="408" t="str">
        <f>""</f>
        <v/>
      </c>
      <c r="O252" s="409" t="s">
        <v>6185</v>
      </c>
      <c r="P252" s="408" t="s">
        <v>6711</v>
      </c>
      <c r="V252" s="409" t="s">
        <v>620</v>
      </c>
      <c r="AA252" s="408">
        <f t="shared" si="46"/>
        <v>0</v>
      </c>
      <c r="AB252" s="408">
        <f t="shared" si="36"/>
        <v>0</v>
      </c>
      <c r="AC252" s="408">
        <f t="shared" si="37"/>
        <v>0</v>
      </c>
      <c r="AD252" s="408">
        <f t="shared" si="38"/>
        <v>0</v>
      </c>
      <c r="AE252" s="408">
        <f t="shared" si="39"/>
        <v>0</v>
      </c>
      <c r="AF252" s="408">
        <f t="shared" si="40"/>
        <v>1</v>
      </c>
      <c r="AG252" s="408">
        <f t="shared" si="41"/>
        <v>0</v>
      </c>
      <c r="AH252" s="408">
        <f t="shared" si="42"/>
        <v>0</v>
      </c>
      <c r="AI252" s="408">
        <f t="shared" si="43"/>
        <v>0</v>
      </c>
      <c r="AJ252" s="408">
        <f t="shared" si="44"/>
        <v>0</v>
      </c>
    </row>
    <row r="253" spans="1:36" x14ac:dyDescent="0.25">
      <c r="A253" s="409">
        <f t="shared" si="48"/>
        <v>252</v>
      </c>
      <c r="B253" s="410" t="s">
        <v>3217</v>
      </c>
      <c r="C253" s="410" t="s">
        <v>6208</v>
      </c>
      <c r="D253" s="409">
        <v>5</v>
      </c>
      <c r="E253" s="408"/>
      <c r="F253" s="409" t="str">
        <f>""</f>
        <v/>
      </c>
      <c r="G253" s="409" t="s">
        <v>6212</v>
      </c>
      <c r="H253" s="409" t="s">
        <v>424</v>
      </c>
      <c r="I253" s="409" t="str">
        <f t="shared" si="45"/>
        <v/>
      </c>
      <c r="J253" s="409" t="s">
        <v>6201</v>
      </c>
      <c r="K253" s="409" t="s">
        <v>2536</v>
      </c>
      <c r="L253" s="409" t="s">
        <v>2562</v>
      </c>
      <c r="M253" s="409" t="s">
        <v>1248</v>
      </c>
      <c r="N253" s="408" t="s">
        <v>6374</v>
      </c>
      <c r="O253" s="409" t="s">
        <v>6184</v>
      </c>
      <c r="P253" s="408" t="s">
        <v>6712</v>
      </c>
      <c r="Q253" s="409" t="s">
        <v>1112</v>
      </c>
      <c r="V253" s="409" t="s">
        <v>620</v>
      </c>
      <c r="W253" s="409" t="s">
        <v>621</v>
      </c>
      <c r="Z253" s="409" t="s">
        <v>628</v>
      </c>
      <c r="AA253" s="408">
        <f t="shared" si="46"/>
        <v>1</v>
      </c>
      <c r="AB253" s="408">
        <f t="shared" si="36"/>
        <v>0</v>
      </c>
      <c r="AC253" s="408">
        <f t="shared" si="37"/>
        <v>0</v>
      </c>
      <c r="AD253" s="408">
        <f t="shared" si="38"/>
        <v>0</v>
      </c>
      <c r="AE253" s="408">
        <f t="shared" si="39"/>
        <v>0</v>
      </c>
      <c r="AF253" s="408">
        <f t="shared" si="40"/>
        <v>1</v>
      </c>
      <c r="AG253" s="408">
        <f t="shared" si="41"/>
        <v>1</v>
      </c>
      <c r="AH253" s="408">
        <f t="shared" si="42"/>
        <v>0</v>
      </c>
      <c r="AI253" s="408">
        <f t="shared" si="43"/>
        <v>0</v>
      </c>
      <c r="AJ253" s="408">
        <f t="shared" si="44"/>
        <v>1</v>
      </c>
    </row>
    <row r="254" spans="1:36" x14ac:dyDescent="0.25">
      <c r="A254" s="409">
        <f t="shared" si="48"/>
        <v>253</v>
      </c>
      <c r="B254" s="410" t="s">
        <v>3220</v>
      </c>
      <c r="C254" s="410" t="s">
        <v>6251</v>
      </c>
      <c r="D254" s="409">
        <v>7</v>
      </c>
      <c r="E254" s="408"/>
      <c r="F254" s="409" t="str">
        <f>""</f>
        <v/>
      </c>
      <c r="G254" s="409" t="s">
        <v>6835</v>
      </c>
      <c r="H254" s="409" t="s">
        <v>6219</v>
      </c>
      <c r="I254" s="409" t="str">
        <f t="shared" si="45"/>
        <v/>
      </c>
      <c r="J254" s="409" t="s">
        <v>6192</v>
      </c>
      <c r="K254" s="409" t="s">
        <v>2536</v>
      </c>
      <c r="L254" s="409" t="s">
        <v>2562</v>
      </c>
      <c r="M254" s="409" t="s">
        <v>1248</v>
      </c>
      <c r="N254" s="408" t="s">
        <v>6375</v>
      </c>
      <c r="O254" s="409" t="s">
        <v>6185</v>
      </c>
      <c r="P254" s="408" t="s">
        <v>6713</v>
      </c>
      <c r="T254" s="409" t="s">
        <v>626</v>
      </c>
      <c r="U254" s="409" t="s">
        <v>627</v>
      </c>
      <c r="V254" s="409" t="s">
        <v>620</v>
      </c>
      <c r="W254" s="409" t="s">
        <v>621</v>
      </c>
      <c r="Z254" s="409" t="s">
        <v>628</v>
      </c>
      <c r="AA254" s="408">
        <f t="shared" si="46"/>
        <v>0</v>
      </c>
      <c r="AB254" s="408">
        <f t="shared" si="36"/>
        <v>0</v>
      </c>
      <c r="AC254" s="408">
        <f t="shared" si="37"/>
        <v>0</v>
      </c>
      <c r="AD254" s="408">
        <f t="shared" si="38"/>
        <v>1</v>
      </c>
      <c r="AE254" s="408">
        <f t="shared" si="39"/>
        <v>1</v>
      </c>
      <c r="AF254" s="408">
        <f t="shared" si="40"/>
        <v>1</v>
      </c>
      <c r="AG254" s="408">
        <f t="shared" si="41"/>
        <v>1</v>
      </c>
      <c r="AH254" s="408">
        <f t="shared" si="42"/>
        <v>0</v>
      </c>
      <c r="AI254" s="408">
        <f t="shared" si="43"/>
        <v>0</v>
      </c>
      <c r="AJ254" s="408">
        <f t="shared" si="44"/>
        <v>1</v>
      </c>
    </row>
    <row r="255" spans="1:36" x14ac:dyDescent="0.25">
      <c r="A255" s="409">
        <f t="shared" si="48"/>
        <v>254</v>
      </c>
      <c r="B255" s="410" t="s">
        <v>3223</v>
      </c>
      <c r="C255" s="410" t="s">
        <v>6205</v>
      </c>
      <c r="D255" s="409">
        <v>3</v>
      </c>
      <c r="E255" s="408"/>
      <c r="F255" s="409" t="s">
        <v>6183</v>
      </c>
      <c r="G255" s="409" t="s">
        <v>6837</v>
      </c>
      <c r="H255" s="409" t="s">
        <v>6237</v>
      </c>
      <c r="I255" s="409" t="str">
        <f t="shared" si="45"/>
        <v/>
      </c>
      <c r="J255" s="409" t="s">
        <v>6192</v>
      </c>
      <c r="K255" s="409" t="s">
        <v>2536</v>
      </c>
      <c r="L255" s="409" t="s">
        <v>2562</v>
      </c>
      <c r="M255" s="409" t="s">
        <v>3857</v>
      </c>
      <c r="N255" s="408" t="str">
        <f>""</f>
        <v/>
      </c>
      <c r="O255" s="409" t="s">
        <v>6190</v>
      </c>
      <c r="P255" s="408" t="s">
        <v>6839</v>
      </c>
      <c r="Q255" s="409" t="s">
        <v>1112</v>
      </c>
      <c r="S255" s="409" t="s">
        <v>624</v>
      </c>
      <c r="W255" s="409" t="s">
        <v>621</v>
      </c>
      <c r="AA255" s="408">
        <f t="shared" si="46"/>
        <v>1</v>
      </c>
      <c r="AB255" s="408">
        <f t="shared" si="36"/>
        <v>0</v>
      </c>
      <c r="AC255" s="408">
        <f t="shared" si="37"/>
        <v>1</v>
      </c>
      <c r="AD255" s="408">
        <f t="shared" si="38"/>
        <v>0</v>
      </c>
      <c r="AE255" s="408">
        <f t="shared" si="39"/>
        <v>0</v>
      </c>
      <c r="AF255" s="408">
        <f t="shared" si="40"/>
        <v>0</v>
      </c>
      <c r="AG255" s="408">
        <f t="shared" si="41"/>
        <v>1</v>
      </c>
      <c r="AH255" s="408">
        <f t="shared" si="42"/>
        <v>0</v>
      </c>
      <c r="AI255" s="408">
        <f t="shared" si="43"/>
        <v>0</v>
      </c>
      <c r="AJ255" s="408">
        <f t="shared" si="44"/>
        <v>0</v>
      </c>
    </row>
    <row r="256" spans="1:36" x14ac:dyDescent="0.25">
      <c r="A256" s="409">
        <f t="shared" si="48"/>
        <v>255</v>
      </c>
      <c r="B256" s="410" t="s">
        <v>3226</v>
      </c>
      <c r="C256" s="410" t="s">
        <v>6191</v>
      </c>
      <c r="D256" s="409">
        <v>0.5</v>
      </c>
      <c r="E256" s="408"/>
      <c r="F256" s="409" t="str">
        <f>""</f>
        <v/>
      </c>
      <c r="G256" s="409" t="s">
        <v>6835</v>
      </c>
      <c r="H256" s="409" t="s">
        <v>5942</v>
      </c>
      <c r="I256" s="409" t="str">
        <f t="shared" si="45"/>
        <v/>
      </c>
      <c r="J256" s="409" t="s">
        <v>6192</v>
      </c>
      <c r="K256" s="409" t="s">
        <v>2536</v>
      </c>
      <c r="L256" s="409" t="s">
        <v>2562</v>
      </c>
      <c r="M256" s="409" t="s">
        <v>3857</v>
      </c>
      <c r="N256" s="408" t="str">
        <f>""</f>
        <v/>
      </c>
      <c r="O256" s="409" t="s">
        <v>6185</v>
      </c>
      <c r="P256" s="466" t="s">
        <v>6376</v>
      </c>
      <c r="T256" s="409" t="s">
        <v>626</v>
      </c>
      <c r="U256" s="409" t="s">
        <v>627</v>
      </c>
      <c r="W256" s="409" t="s">
        <v>621</v>
      </c>
      <c r="Z256" s="409" t="s">
        <v>628</v>
      </c>
      <c r="AA256" s="408">
        <f t="shared" si="46"/>
        <v>0</v>
      </c>
      <c r="AB256" s="408">
        <f t="shared" si="36"/>
        <v>0</v>
      </c>
      <c r="AC256" s="408">
        <f t="shared" si="37"/>
        <v>0</v>
      </c>
      <c r="AD256" s="408">
        <f t="shared" si="38"/>
        <v>1</v>
      </c>
      <c r="AE256" s="408">
        <f t="shared" si="39"/>
        <v>1</v>
      </c>
      <c r="AF256" s="408">
        <f t="shared" si="40"/>
        <v>0</v>
      </c>
      <c r="AG256" s="408">
        <f t="shared" si="41"/>
        <v>1</v>
      </c>
      <c r="AH256" s="408">
        <f t="shared" si="42"/>
        <v>0</v>
      </c>
      <c r="AI256" s="408">
        <f t="shared" si="43"/>
        <v>0</v>
      </c>
      <c r="AJ256" s="408">
        <f t="shared" si="44"/>
        <v>1</v>
      </c>
    </row>
    <row r="257" spans="1:36" x14ac:dyDescent="0.25">
      <c r="A257" s="409">
        <f t="shared" si="48"/>
        <v>256</v>
      </c>
      <c r="B257" s="410" t="s">
        <v>3228</v>
      </c>
      <c r="C257" s="410" t="s">
        <v>6214</v>
      </c>
      <c r="D257" s="409">
        <v>4</v>
      </c>
      <c r="E257" s="408"/>
      <c r="F257" s="409" t="str">
        <f>""</f>
        <v/>
      </c>
      <c r="G257" s="409" t="s">
        <v>6835</v>
      </c>
      <c r="H257" s="409" t="s">
        <v>424</v>
      </c>
      <c r="I257" s="409" t="str">
        <f t="shared" si="45"/>
        <v>Concentration</v>
      </c>
      <c r="J257" s="409" t="s">
        <v>6200</v>
      </c>
      <c r="K257" s="409" t="s">
        <v>2536</v>
      </c>
      <c r="L257" s="409" t="s">
        <v>2562</v>
      </c>
      <c r="M257" s="409" t="s">
        <v>1248</v>
      </c>
      <c r="N257" s="408" t="s">
        <v>6377</v>
      </c>
      <c r="O257" s="409" t="s">
        <v>6190</v>
      </c>
      <c r="P257" s="408" t="s">
        <v>6714</v>
      </c>
      <c r="Q257" s="409" t="s">
        <v>1112</v>
      </c>
      <c r="T257" s="409" t="s">
        <v>626</v>
      </c>
      <c r="W257" s="409" t="s">
        <v>621</v>
      </c>
      <c r="Z257" s="409" t="s">
        <v>628</v>
      </c>
      <c r="AA257" s="408">
        <f t="shared" si="46"/>
        <v>1</v>
      </c>
      <c r="AB257" s="408">
        <f t="shared" si="36"/>
        <v>0</v>
      </c>
      <c r="AC257" s="408">
        <f t="shared" si="37"/>
        <v>0</v>
      </c>
      <c r="AD257" s="408">
        <f t="shared" si="38"/>
        <v>1</v>
      </c>
      <c r="AE257" s="408">
        <f t="shared" si="39"/>
        <v>0</v>
      </c>
      <c r="AF257" s="408">
        <f t="shared" si="40"/>
        <v>0</v>
      </c>
      <c r="AG257" s="408">
        <f t="shared" si="41"/>
        <v>1</v>
      </c>
      <c r="AH257" s="408">
        <f t="shared" si="42"/>
        <v>0</v>
      </c>
      <c r="AI257" s="408">
        <f t="shared" si="43"/>
        <v>0</v>
      </c>
      <c r="AJ257" s="408">
        <f t="shared" si="44"/>
        <v>1</v>
      </c>
    </row>
    <row r="258" spans="1:36" x14ac:dyDescent="0.25">
      <c r="A258" s="409">
        <f t="shared" si="48"/>
        <v>257</v>
      </c>
      <c r="B258" s="410" t="s">
        <v>3231</v>
      </c>
      <c r="C258" s="410" t="s">
        <v>6223</v>
      </c>
      <c r="D258" s="409">
        <v>9</v>
      </c>
      <c r="E258" s="408"/>
      <c r="F258" s="409" t="str">
        <f>""</f>
        <v/>
      </c>
      <c r="G258" s="409" t="s">
        <v>6835</v>
      </c>
      <c r="H258" s="409" t="s">
        <v>6219</v>
      </c>
      <c r="I258" s="409" t="str">
        <f t="shared" si="45"/>
        <v/>
      </c>
      <c r="J258" s="409" t="s">
        <v>6192</v>
      </c>
      <c r="K258" s="409" t="s">
        <v>2536</v>
      </c>
      <c r="L258" s="409" t="s">
        <v>2562</v>
      </c>
      <c r="M258" s="409" t="s">
        <v>3857</v>
      </c>
      <c r="O258" s="409" t="s">
        <v>6187</v>
      </c>
      <c r="P258" s="408" t="s">
        <v>3232</v>
      </c>
      <c r="AA258" s="408">
        <f t="shared" si="46"/>
        <v>0</v>
      </c>
      <c r="AB258" s="408">
        <f t="shared" ref="AB258:AB321" si="49">IF(R258=R$1,1,0)</f>
        <v>0</v>
      </c>
      <c r="AC258" s="408">
        <f t="shared" ref="AC258:AC321" si="50">IF(S258=S$1,1,0)</f>
        <v>0</v>
      </c>
      <c r="AD258" s="408">
        <f t="shared" ref="AD258:AD321" si="51">IF(T258=T$1,1,0)</f>
        <v>0</v>
      </c>
      <c r="AE258" s="408">
        <f t="shared" ref="AE258:AE321" si="52">IF(U258=U$1,1,0)</f>
        <v>0</v>
      </c>
      <c r="AF258" s="408">
        <f t="shared" ref="AF258:AF321" si="53">IF(V258=V$1,1,0)</f>
        <v>0</v>
      </c>
      <c r="AG258" s="408">
        <f t="shared" ref="AG258:AG321" si="54">IF(W258=W$1,1,0)</f>
        <v>0</v>
      </c>
      <c r="AH258" s="408">
        <f t="shared" ref="AH258:AH321" si="55">IF(X258=X$1,1,0)</f>
        <v>0</v>
      </c>
      <c r="AI258" s="408">
        <f t="shared" ref="AI258:AI321" si="56">IF(Y258=Y$1,1,0)</f>
        <v>0</v>
      </c>
      <c r="AJ258" s="408">
        <f t="shared" ref="AJ258:AJ321" si="57">IF(Z258=Z$1,1,0)</f>
        <v>0</v>
      </c>
    </row>
    <row r="259" spans="1:36" x14ac:dyDescent="0.25">
      <c r="A259" s="409">
        <f t="shared" si="48"/>
        <v>258</v>
      </c>
      <c r="B259" s="410" t="s">
        <v>3233</v>
      </c>
      <c r="C259" s="410" t="s">
        <v>6223</v>
      </c>
      <c r="D259" s="409">
        <v>9</v>
      </c>
      <c r="E259" s="408"/>
      <c r="F259" s="409" t="str">
        <f>""</f>
        <v/>
      </c>
      <c r="G259" s="409" t="s">
        <v>6835</v>
      </c>
      <c r="H259" s="409" t="s">
        <v>424</v>
      </c>
      <c r="I259" s="409" t="str">
        <f t="shared" ref="I259:I322" si="58">IF(IFERROR(SEARCH("con",J259,1),0)&gt;0,"Concentration","")</f>
        <v/>
      </c>
      <c r="J259" s="409" t="s">
        <v>6192</v>
      </c>
      <c r="K259" s="409" t="s">
        <v>2536</v>
      </c>
      <c r="L259" s="409" t="s">
        <v>3857</v>
      </c>
      <c r="M259" s="409" t="s">
        <v>3857</v>
      </c>
      <c r="N259" s="408" t="str">
        <f>""</f>
        <v/>
      </c>
      <c r="O259" s="409" t="s">
        <v>6186</v>
      </c>
      <c r="P259" s="408" t="s">
        <v>3235</v>
      </c>
      <c r="Q259" s="409" t="s">
        <v>1112</v>
      </c>
      <c r="T259" s="409" t="s">
        <v>626</v>
      </c>
      <c r="U259" s="409" t="s">
        <v>627</v>
      </c>
      <c r="Z259" s="409" t="s">
        <v>628</v>
      </c>
      <c r="AA259" s="408">
        <f t="shared" ref="AA259:AA322" si="59">IF(Q259=Q$1,1,0)</f>
        <v>1</v>
      </c>
      <c r="AB259" s="408">
        <f t="shared" si="49"/>
        <v>0</v>
      </c>
      <c r="AC259" s="408">
        <f t="shared" si="50"/>
        <v>0</v>
      </c>
      <c r="AD259" s="408">
        <f t="shared" si="51"/>
        <v>1</v>
      </c>
      <c r="AE259" s="408">
        <f t="shared" si="52"/>
        <v>1</v>
      </c>
      <c r="AF259" s="408">
        <f t="shared" si="53"/>
        <v>0</v>
      </c>
      <c r="AG259" s="408">
        <f t="shared" si="54"/>
        <v>0</v>
      </c>
      <c r="AH259" s="408">
        <f t="shared" si="55"/>
        <v>0</v>
      </c>
      <c r="AI259" s="408">
        <f t="shared" si="56"/>
        <v>0</v>
      </c>
      <c r="AJ259" s="408">
        <f t="shared" si="57"/>
        <v>1</v>
      </c>
    </row>
    <row r="260" spans="1:36" x14ac:dyDescent="0.25">
      <c r="A260" s="409">
        <f t="shared" si="48"/>
        <v>259</v>
      </c>
      <c r="B260" s="410" t="s">
        <v>3236</v>
      </c>
      <c r="C260" s="410" t="s">
        <v>6203</v>
      </c>
      <c r="D260" s="409">
        <v>8</v>
      </c>
      <c r="E260" s="408"/>
      <c r="F260" s="409" t="str">
        <f>""</f>
        <v/>
      </c>
      <c r="G260" s="409" t="s">
        <v>6835</v>
      </c>
      <c r="H260" s="409" t="s">
        <v>424</v>
      </c>
      <c r="I260" s="409" t="str">
        <f t="shared" si="58"/>
        <v/>
      </c>
      <c r="J260" s="409" t="s">
        <v>6192</v>
      </c>
      <c r="K260" s="409" t="s">
        <v>2536</v>
      </c>
      <c r="L260" s="409" t="s">
        <v>3857</v>
      </c>
      <c r="M260" s="409" t="s">
        <v>3857</v>
      </c>
      <c r="N260" s="408" t="str">
        <f>""</f>
        <v/>
      </c>
      <c r="O260" s="409" t="s">
        <v>6186</v>
      </c>
      <c r="P260" s="408" t="s">
        <v>6715</v>
      </c>
      <c r="Q260" s="409" t="s">
        <v>1112</v>
      </c>
      <c r="T260" s="409" t="s">
        <v>626</v>
      </c>
      <c r="U260" s="409" t="s">
        <v>627</v>
      </c>
      <c r="Z260" s="409" t="s">
        <v>628</v>
      </c>
      <c r="AA260" s="408">
        <f t="shared" si="59"/>
        <v>1</v>
      </c>
      <c r="AB260" s="408">
        <f t="shared" si="49"/>
        <v>0</v>
      </c>
      <c r="AC260" s="408">
        <f t="shared" si="50"/>
        <v>0</v>
      </c>
      <c r="AD260" s="408">
        <f t="shared" si="51"/>
        <v>1</v>
      </c>
      <c r="AE260" s="408">
        <f t="shared" si="52"/>
        <v>1</v>
      </c>
      <c r="AF260" s="408">
        <f t="shared" si="53"/>
        <v>0</v>
      </c>
      <c r="AG260" s="408">
        <f t="shared" si="54"/>
        <v>0</v>
      </c>
      <c r="AH260" s="408">
        <f t="shared" si="55"/>
        <v>0</v>
      </c>
      <c r="AI260" s="408">
        <f t="shared" si="56"/>
        <v>0</v>
      </c>
      <c r="AJ260" s="408">
        <f t="shared" si="57"/>
        <v>1</v>
      </c>
    </row>
    <row r="261" spans="1:36" x14ac:dyDescent="0.25">
      <c r="A261" s="409">
        <f t="shared" si="48"/>
        <v>260</v>
      </c>
      <c r="B261" s="410" t="s">
        <v>3238</v>
      </c>
      <c r="C261" s="410" t="s">
        <v>6193</v>
      </c>
      <c r="D261" s="409">
        <v>2</v>
      </c>
      <c r="E261" s="408"/>
      <c r="F261" s="409" t="str">
        <f>""</f>
        <v/>
      </c>
      <c r="G261" s="409" t="s">
        <v>6241</v>
      </c>
      <c r="H261" s="409" t="s">
        <v>5950</v>
      </c>
      <c r="I261" s="409" t="str">
        <f t="shared" si="58"/>
        <v/>
      </c>
      <c r="J261" s="409" t="s">
        <v>6192</v>
      </c>
      <c r="K261" s="409" t="s">
        <v>2536</v>
      </c>
      <c r="L261" s="409" t="s">
        <v>3857</v>
      </c>
      <c r="M261" s="409" t="s">
        <v>3857</v>
      </c>
      <c r="N261" s="408" t="str">
        <f>""</f>
        <v/>
      </c>
      <c r="O261" s="409" t="s">
        <v>6187</v>
      </c>
      <c r="P261" s="408" t="s">
        <v>6716</v>
      </c>
      <c r="V261" s="409" t="s">
        <v>620</v>
      </c>
      <c r="AA261" s="408">
        <f t="shared" si="59"/>
        <v>0</v>
      </c>
      <c r="AB261" s="408">
        <f t="shared" si="49"/>
        <v>0</v>
      </c>
      <c r="AC261" s="408">
        <f t="shared" si="50"/>
        <v>0</v>
      </c>
      <c r="AD261" s="408">
        <f t="shared" si="51"/>
        <v>0</v>
      </c>
      <c r="AE261" s="408">
        <f t="shared" si="52"/>
        <v>0</v>
      </c>
      <c r="AF261" s="408">
        <f t="shared" si="53"/>
        <v>1</v>
      </c>
      <c r="AG261" s="408">
        <f t="shared" si="54"/>
        <v>0</v>
      </c>
      <c r="AH261" s="408">
        <f t="shared" si="55"/>
        <v>0</v>
      </c>
      <c r="AI261" s="408">
        <f t="shared" si="56"/>
        <v>0</v>
      </c>
      <c r="AJ261" s="408">
        <f t="shared" si="57"/>
        <v>0</v>
      </c>
    </row>
    <row r="262" spans="1:36" x14ac:dyDescent="0.25">
      <c r="A262" s="409">
        <f t="shared" si="48"/>
        <v>261</v>
      </c>
      <c r="B262" s="410" t="s">
        <v>3240</v>
      </c>
      <c r="C262" s="410" t="s">
        <v>6191</v>
      </c>
      <c r="D262" s="409">
        <v>0.5</v>
      </c>
      <c r="E262" s="408"/>
      <c r="F262" s="409" t="str">
        <f>""</f>
        <v/>
      </c>
      <c r="G262" s="409" t="s">
        <v>6835</v>
      </c>
      <c r="H262" s="409" t="s">
        <v>5942</v>
      </c>
      <c r="I262" s="409" t="str">
        <f t="shared" si="58"/>
        <v/>
      </c>
      <c r="J262" s="409" t="s">
        <v>6378</v>
      </c>
      <c r="K262" s="409" t="s">
        <v>2536</v>
      </c>
      <c r="L262" s="409" t="s">
        <v>2562</v>
      </c>
      <c r="M262" s="409" t="s">
        <v>3857</v>
      </c>
      <c r="N262" s="408" t="str">
        <f>""</f>
        <v/>
      </c>
      <c r="O262" s="409" t="s">
        <v>6190</v>
      </c>
      <c r="P262" s="408" t="s">
        <v>6717</v>
      </c>
      <c r="Q262" s="409" t="s">
        <v>1112</v>
      </c>
      <c r="T262" s="409" t="s">
        <v>626</v>
      </c>
      <c r="U262" s="409" t="s">
        <v>627</v>
      </c>
      <c r="Z262" s="409" t="s">
        <v>628</v>
      </c>
      <c r="AA262" s="408">
        <f t="shared" si="59"/>
        <v>1</v>
      </c>
      <c r="AB262" s="408">
        <f t="shared" si="49"/>
        <v>0</v>
      </c>
      <c r="AC262" s="408">
        <f t="shared" si="50"/>
        <v>0</v>
      </c>
      <c r="AD262" s="408">
        <f t="shared" si="51"/>
        <v>1</v>
      </c>
      <c r="AE262" s="408">
        <f t="shared" si="52"/>
        <v>1</v>
      </c>
      <c r="AF262" s="408">
        <f t="shared" si="53"/>
        <v>0</v>
      </c>
      <c r="AG262" s="408">
        <f t="shared" si="54"/>
        <v>0</v>
      </c>
      <c r="AH262" s="408">
        <f t="shared" si="55"/>
        <v>0</v>
      </c>
      <c r="AI262" s="408">
        <f t="shared" si="56"/>
        <v>0</v>
      </c>
      <c r="AJ262" s="408">
        <f t="shared" si="57"/>
        <v>1</v>
      </c>
    </row>
    <row r="263" spans="1:36" x14ac:dyDescent="0.25">
      <c r="A263" s="409">
        <f t="shared" si="48"/>
        <v>262</v>
      </c>
      <c r="B263" s="410" t="s">
        <v>3243</v>
      </c>
      <c r="C263" s="410" t="s">
        <v>6251</v>
      </c>
      <c r="D263" s="409">
        <v>7</v>
      </c>
      <c r="E263" s="408"/>
      <c r="F263" s="409" t="str">
        <f>""</f>
        <v/>
      </c>
      <c r="G263" s="409" t="s">
        <v>6835</v>
      </c>
      <c r="H263" s="409" t="s">
        <v>6199</v>
      </c>
      <c r="I263" s="409" t="str">
        <f t="shared" si="58"/>
        <v/>
      </c>
      <c r="J263" s="409" t="s">
        <v>6192</v>
      </c>
      <c r="K263" s="409" t="s">
        <v>2536</v>
      </c>
      <c r="L263" s="409" t="s">
        <v>2562</v>
      </c>
      <c r="M263" s="409" t="s">
        <v>3857</v>
      </c>
      <c r="N263" s="408" t="str">
        <f>""</f>
        <v/>
      </c>
      <c r="O263" s="409" t="s">
        <v>6187</v>
      </c>
      <c r="P263" s="408" t="s">
        <v>6718</v>
      </c>
      <c r="T263" s="409" t="s">
        <v>626</v>
      </c>
      <c r="Z263" s="409" t="s">
        <v>628</v>
      </c>
      <c r="AA263" s="408">
        <f t="shared" si="59"/>
        <v>0</v>
      </c>
      <c r="AB263" s="408">
        <f t="shared" si="49"/>
        <v>0</v>
      </c>
      <c r="AC263" s="408">
        <f t="shared" si="50"/>
        <v>0</v>
      </c>
      <c r="AD263" s="408">
        <f t="shared" si="51"/>
        <v>1</v>
      </c>
      <c r="AE263" s="408">
        <f t="shared" si="52"/>
        <v>0</v>
      </c>
      <c r="AF263" s="408">
        <f t="shared" si="53"/>
        <v>0</v>
      </c>
      <c r="AG263" s="408">
        <f t="shared" si="54"/>
        <v>0</v>
      </c>
      <c r="AH263" s="408">
        <f t="shared" si="55"/>
        <v>0</v>
      </c>
      <c r="AI263" s="408">
        <f t="shared" si="56"/>
        <v>0</v>
      </c>
      <c r="AJ263" s="408">
        <f t="shared" si="57"/>
        <v>1</v>
      </c>
    </row>
    <row r="264" spans="1:36" x14ac:dyDescent="0.25">
      <c r="A264" s="409">
        <f t="shared" si="48"/>
        <v>263</v>
      </c>
      <c r="B264" s="410" t="s">
        <v>3245</v>
      </c>
      <c r="C264" s="410" t="s">
        <v>6223</v>
      </c>
      <c r="D264" s="409">
        <v>9</v>
      </c>
      <c r="E264" s="408"/>
      <c r="F264" s="409" t="str">
        <f>""</f>
        <v/>
      </c>
      <c r="G264" s="409" t="s">
        <v>6835</v>
      </c>
      <c r="H264" s="409" t="s">
        <v>424</v>
      </c>
      <c r="I264" s="409" t="str">
        <f t="shared" si="58"/>
        <v/>
      </c>
      <c r="J264" s="409" t="s">
        <v>6241</v>
      </c>
      <c r="K264" s="409" t="s">
        <v>2536</v>
      </c>
      <c r="L264" s="409" t="s">
        <v>2562</v>
      </c>
      <c r="M264" s="409" t="s">
        <v>3857</v>
      </c>
      <c r="N264" s="408" t="str">
        <f>""</f>
        <v/>
      </c>
      <c r="O264" s="409" t="s">
        <v>6184</v>
      </c>
      <c r="P264" s="408" t="s">
        <v>6719</v>
      </c>
      <c r="Z264" s="409" t="s">
        <v>628</v>
      </c>
      <c r="AA264" s="408">
        <f t="shared" si="59"/>
        <v>0</v>
      </c>
      <c r="AB264" s="408">
        <f t="shared" si="49"/>
        <v>0</v>
      </c>
      <c r="AC264" s="408">
        <f t="shared" si="50"/>
        <v>0</v>
      </c>
      <c r="AD264" s="408">
        <f t="shared" si="51"/>
        <v>0</v>
      </c>
      <c r="AE264" s="408">
        <f t="shared" si="52"/>
        <v>0</v>
      </c>
      <c r="AF264" s="408">
        <f t="shared" si="53"/>
        <v>0</v>
      </c>
      <c r="AG264" s="408">
        <f t="shared" si="54"/>
        <v>0</v>
      </c>
      <c r="AH264" s="408">
        <f t="shared" si="55"/>
        <v>0</v>
      </c>
      <c r="AI264" s="408">
        <f t="shared" si="56"/>
        <v>0</v>
      </c>
      <c r="AJ264" s="408">
        <f t="shared" si="57"/>
        <v>1</v>
      </c>
    </row>
    <row r="265" spans="1:36" x14ac:dyDescent="0.25">
      <c r="A265" s="409">
        <f t="shared" si="48"/>
        <v>264</v>
      </c>
      <c r="B265" s="410" t="s">
        <v>3247</v>
      </c>
      <c r="C265" s="410" t="s">
        <v>6191</v>
      </c>
      <c r="D265" s="409">
        <v>0.5</v>
      </c>
      <c r="E265" s="408"/>
      <c r="F265" s="409" t="str">
        <f>""</f>
        <v/>
      </c>
      <c r="G265" s="409" t="s">
        <v>6835</v>
      </c>
      <c r="H265" s="409" t="s">
        <v>6199</v>
      </c>
      <c r="I265" s="409" t="str">
        <f t="shared" si="58"/>
        <v/>
      </c>
      <c r="J265" s="409" t="s">
        <v>6241</v>
      </c>
      <c r="K265" s="409" t="s">
        <v>2536</v>
      </c>
      <c r="L265" s="409" t="s">
        <v>2562</v>
      </c>
      <c r="M265" s="409" t="s">
        <v>3857</v>
      </c>
      <c r="N265" s="408" t="str">
        <f>""</f>
        <v/>
      </c>
      <c r="O265" s="409" t="s">
        <v>6185</v>
      </c>
      <c r="P265" s="408" t="s">
        <v>6720</v>
      </c>
      <c r="W265" s="409" t="s">
        <v>621</v>
      </c>
      <c r="AA265" s="408">
        <f t="shared" si="59"/>
        <v>0</v>
      </c>
      <c r="AB265" s="408">
        <f t="shared" si="49"/>
        <v>0</v>
      </c>
      <c r="AC265" s="408">
        <f t="shared" si="50"/>
        <v>0</v>
      </c>
      <c r="AD265" s="408">
        <f t="shared" si="51"/>
        <v>0</v>
      </c>
      <c r="AE265" s="408">
        <f t="shared" si="52"/>
        <v>0</v>
      </c>
      <c r="AF265" s="408">
        <f t="shared" si="53"/>
        <v>0</v>
      </c>
      <c r="AG265" s="408">
        <f t="shared" si="54"/>
        <v>1</v>
      </c>
      <c r="AH265" s="408">
        <f t="shared" si="55"/>
        <v>0</v>
      </c>
      <c r="AI265" s="408">
        <f t="shared" si="56"/>
        <v>0</v>
      </c>
      <c r="AJ265" s="408">
        <f t="shared" si="57"/>
        <v>0</v>
      </c>
    </row>
    <row r="266" spans="1:36" x14ac:dyDescent="0.25">
      <c r="A266" s="409">
        <f t="shared" si="48"/>
        <v>265</v>
      </c>
      <c r="B266" s="410" t="s">
        <v>3249</v>
      </c>
      <c r="C266" s="410" t="s">
        <v>6216</v>
      </c>
      <c r="D266" s="409">
        <v>6</v>
      </c>
      <c r="E266" s="408"/>
      <c r="F266" s="409" t="str">
        <f>""</f>
        <v/>
      </c>
      <c r="G266" s="409" t="s">
        <v>6835</v>
      </c>
      <c r="H266" s="409" t="s">
        <v>6209</v>
      </c>
      <c r="I266" s="409" t="str">
        <f t="shared" si="58"/>
        <v/>
      </c>
      <c r="J266" s="409" t="s">
        <v>6220</v>
      </c>
      <c r="K266" s="409" t="s">
        <v>2536</v>
      </c>
      <c r="L266" s="409" t="s">
        <v>2562</v>
      </c>
      <c r="M266" s="409" t="s">
        <v>1248</v>
      </c>
      <c r="N266" s="408" t="s">
        <v>6379</v>
      </c>
      <c r="O266" s="409" t="s">
        <v>6188</v>
      </c>
      <c r="P266" s="408" t="s">
        <v>6721</v>
      </c>
      <c r="Q266" s="409" t="s">
        <v>1112</v>
      </c>
      <c r="Z266" s="409" t="s">
        <v>628</v>
      </c>
      <c r="AA266" s="408">
        <f t="shared" si="59"/>
        <v>1</v>
      </c>
      <c r="AB266" s="408">
        <f t="shared" si="49"/>
        <v>0</v>
      </c>
      <c r="AC266" s="408">
        <f t="shared" si="50"/>
        <v>0</v>
      </c>
      <c r="AD266" s="408">
        <f t="shared" si="51"/>
        <v>0</v>
      </c>
      <c r="AE266" s="408">
        <f t="shared" si="52"/>
        <v>0</v>
      </c>
      <c r="AF266" s="408">
        <f t="shared" si="53"/>
        <v>0</v>
      </c>
      <c r="AG266" s="408">
        <f t="shared" si="54"/>
        <v>0</v>
      </c>
      <c r="AH266" s="408">
        <f t="shared" si="55"/>
        <v>0</v>
      </c>
      <c r="AI266" s="408">
        <f t="shared" si="56"/>
        <v>0</v>
      </c>
      <c r="AJ266" s="408">
        <f t="shared" si="57"/>
        <v>1</v>
      </c>
    </row>
    <row r="267" spans="1:36" x14ac:dyDescent="0.25">
      <c r="A267" s="409">
        <f t="shared" si="48"/>
        <v>266</v>
      </c>
      <c r="B267" s="410" t="s">
        <v>3253</v>
      </c>
      <c r="C267" s="410" t="s">
        <v>6251</v>
      </c>
      <c r="D267" s="409">
        <v>7</v>
      </c>
      <c r="E267" s="408"/>
      <c r="F267" s="409" t="str">
        <f>""</f>
        <v/>
      </c>
      <c r="G267" s="409" t="s">
        <v>6835</v>
      </c>
      <c r="H267" s="409" t="s">
        <v>3254</v>
      </c>
      <c r="I267" s="409" t="str">
        <f t="shared" si="58"/>
        <v>Concentration</v>
      </c>
      <c r="J267" s="409" t="s">
        <v>6291</v>
      </c>
      <c r="K267" s="409" t="s">
        <v>2536</v>
      </c>
      <c r="L267" s="409" t="s">
        <v>2562</v>
      </c>
      <c r="M267" s="409" t="s">
        <v>1248</v>
      </c>
      <c r="N267" s="408" t="s">
        <v>6380</v>
      </c>
      <c r="O267" s="409" t="s">
        <v>6188</v>
      </c>
      <c r="P267" s="408" t="s">
        <v>6722</v>
      </c>
      <c r="Q267" s="409" t="s">
        <v>1112</v>
      </c>
      <c r="Z267" s="409" t="s">
        <v>628</v>
      </c>
      <c r="AA267" s="408">
        <f t="shared" si="59"/>
        <v>1</v>
      </c>
      <c r="AB267" s="408">
        <f t="shared" si="49"/>
        <v>0</v>
      </c>
      <c r="AC267" s="408">
        <f t="shared" si="50"/>
        <v>0</v>
      </c>
      <c r="AD267" s="408">
        <f t="shared" si="51"/>
        <v>0</v>
      </c>
      <c r="AE267" s="408">
        <f t="shared" si="52"/>
        <v>0</v>
      </c>
      <c r="AF267" s="408">
        <f t="shared" si="53"/>
        <v>0</v>
      </c>
      <c r="AG267" s="408">
        <f t="shared" si="54"/>
        <v>0</v>
      </c>
      <c r="AH267" s="408">
        <f t="shared" si="55"/>
        <v>0</v>
      </c>
      <c r="AI267" s="408">
        <f t="shared" si="56"/>
        <v>0</v>
      </c>
      <c r="AJ267" s="408">
        <f t="shared" si="57"/>
        <v>1</v>
      </c>
    </row>
    <row r="268" spans="1:36" x14ac:dyDescent="0.25">
      <c r="A268" s="409">
        <f t="shared" si="48"/>
        <v>267</v>
      </c>
      <c r="B268" s="410" t="s">
        <v>3257</v>
      </c>
      <c r="C268" s="410" t="s">
        <v>6205</v>
      </c>
      <c r="D268" s="409">
        <v>3</v>
      </c>
      <c r="E268" s="408"/>
      <c r="F268" s="409" t="str">
        <f>""</f>
        <v/>
      </c>
      <c r="G268" s="409" t="s">
        <v>6835</v>
      </c>
      <c r="H268" s="409" t="s">
        <v>6219</v>
      </c>
      <c r="I268" s="409" t="str">
        <f t="shared" si="58"/>
        <v>Concentration</v>
      </c>
      <c r="J268" s="409" t="s">
        <v>6200</v>
      </c>
      <c r="K268" s="409" t="s">
        <v>2536</v>
      </c>
      <c r="L268" s="409" t="s">
        <v>2562</v>
      </c>
      <c r="M268" s="409" t="s">
        <v>3857</v>
      </c>
      <c r="N268" s="408" t="str">
        <f>""</f>
        <v/>
      </c>
      <c r="O268" s="409" t="s">
        <v>6184</v>
      </c>
      <c r="P268" s="408" t="s">
        <v>3258</v>
      </c>
      <c r="S268" s="409" t="s">
        <v>624</v>
      </c>
      <c r="T268" s="409" t="s">
        <v>626</v>
      </c>
      <c r="V268" s="409" t="s">
        <v>620</v>
      </c>
      <c r="W268" s="409" t="s">
        <v>621</v>
      </c>
      <c r="Z268" s="409" t="s">
        <v>628</v>
      </c>
      <c r="AA268" s="408">
        <f t="shared" si="59"/>
        <v>0</v>
      </c>
      <c r="AB268" s="408">
        <f t="shared" si="49"/>
        <v>0</v>
      </c>
      <c r="AC268" s="408">
        <f t="shared" si="50"/>
        <v>1</v>
      </c>
      <c r="AD268" s="408">
        <f t="shared" si="51"/>
        <v>1</v>
      </c>
      <c r="AE268" s="408">
        <f t="shared" si="52"/>
        <v>0</v>
      </c>
      <c r="AF268" s="408">
        <f t="shared" si="53"/>
        <v>1</v>
      </c>
      <c r="AG268" s="408">
        <f t="shared" si="54"/>
        <v>1</v>
      </c>
      <c r="AH268" s="408">
        <f t="shared" si="55"/>
        <v>0</v>
      </c>
      <c r="AI268" s="408">
        <f t="shared" si="56"/>
        <v>0</v>
      </c>
      <c r="AJ268" s="408">
        <f t="shared" si="57"/>
        <v>1</v>
      </c>
    </row>
    <row r="269" spans="1:36" x14ac:dyDescent="0.25">
      <c r="A269" s="409">
        <f t="shared" si="48"/>
        <v>268</v>
      </c>
      <c r="B269" s="410" t="s">
        <v>3259</v>
      </c>
      <c r="C269" s="410" t="s">
        <v>6196</v>
      </c>
      <c r="D269" s="409">
        <v>1</v>
      </c>
      <c r="E269" s="408"/>
      <c r="F269" s="409" t="str">
        <f>""</f>
        <v/>
      </c>
      <c r="G269" s="409" t="s">
        <v>6835</v>
      </c>
      <c r="H269" s="409" t="s">
        <v>6219</v>
      </c>
      <c r="I269" s="409" t="str">
        <f t="shared" si="58"/>
        <v>Concentration</v>
      </c>
      <c r="J269" s="409" t="s">
        <v>6218</v>
      </c>
      <c r="K269" s="409" t="s">
        <v>2536</v>
      </c>
      <c r="L269" s="409" t="s">
        <v>2562</v>
      </c>
      <c r="M269" s="409" t="s">
        <v>1248</v>
      </c>
      <c r="N269" s="408" t="s">
        <v>6381</v>
      </c>
      <c r="O269" s="409" t="s">
        <v>6184</v>
      </c>
      <c r="P269" s="408" t="s">
        <v>6723</v>
      </c>
      <c r="R269" s="409" t="s">
        <v>1113</v>
      </c>
      <c r="U269" s="409" t="s">
        <v>627</v>
      </c>
      <c r="V269" s="409" t="s">
        <v>620</v>
      </c>
      <c r="Z269" s="409" t="s">
        <v>628</v>
      </c>
      <c r="AA269" s="408">
        <f t="shared" si="59"/>
        <v>0</v>
      </c>
      <c r="AB269" s="408">
        <f t="shared" si="49"/>
        <v>1</v>
      </c>
      <c r="AC269" s="408">
        <f t="shared" si="50"/>
        <v>0</v>
      </c>
      <c r="AD269" s="408">
        <f t="shared" si="51"/>
        <v>0</v>
      </c>
      <c r="AE269" s="408">
        <f t="shared" si="52"/>
        <v>1</v>
      </c>
      <c r="AF269" s="408">
        <f t="shared" si="53"/>
        <v>1</v>
      </c>
      <c r="AG269" s="408">
        <f t="shared" si="54"/>
        <v>0</v>
      </c>
      <c r="AH269" s="408">
        <f t="shared" si="55"/>
        <v>0</v>
      </c>
      <c r="AI269" s="408">
        <f t="shared" si="56"/>
        <v>0</v>
      </c>
      <c r="AJ269" s="408">
        <f t="shared" si="57"/>
        <v>1</v>
      </c>
    </row>
    <row r="270" spans="1:36" x14ac:dyDescent="0.25">
      <c r="A270" s="409">
        <f t="shared" si="48"/>
        <v>269</v>
      </c>
      <c r="B270" s="410" t="s">
        <v>3263</v>
      </c>
      <c r="C270" s="410" t="s">
        <v>6193</v>
      </c>
      <c r="D270" s="409">
        <v>2</v>
      </c>
      <c r="E270" s="408"/>
      <c r="F270" s="409" t="str">
        <f>""</f>
        <v/>
      </c>
      <c r="G270" s="409" t="s">
        <v>6835</v>
      </c>
      <c r="H270" s="409" t="s">
        <v>6219</v>
      </c>
      <c r="I270" s="409" t="str">
        <f t="shared" si="58"/>
        <v/>
      </c>
      <c r="J270" s="409" t="s">
        <v>6212</v>
      </c>
      <c r="K270" s="409" t="s">
        <v>2536</v>
      </c>
      <c r="L270" s="409" t="s">
        <v>2562</v>
      </c>
      <c r="M270" s="409" t="s">
        <v>3857</v>
      </c>
      <c r="N270" s="408" t="str">
        <f>""</f>
        <v/>
      </c>
      <c r="O270" s="409" t="s">
        <v>6184</v>
      </c>
      <c r="P270" s="408" t="s">
        <v>6724</v>
      </c>
      <c r="R270" s="409" t="s">
        <v>1113</v>
      </c>
      <c r="S270" s="409" t="s">
        <v>624</v>
      </c>
      <c r="V270" s="409" t="s">
        <v>620</v>
      </c>
      <c r="W270" s="409" t="s">
        <v>621</v>
      </c>
      <c r="AA270" s="408">
        <f t="shared" si="59"/>
        <v>0</v>
      </c>
      <c r="AB270" s="408">
        <f t="shared" si="49"/>
        <v>1</v>
      </c>
      <c r="AC270" s="408">
        <f t="shared" si="50"/>
        <v>1</v>
      </c>
      <c r="AD270" s="408">
        <f t="shared" si="51"/>
        <v>0</v>
      </c>
      <c r="AE270" s="408">
        <f t="shared" si="52"/>
        <v>0</v>
      </c>
      <c r="AF270" s="408">
        <f t="shared" si="53"/>
        <v>1</v>
      </c>
      <c r="AG270" s="408">
        <f t="shared" si="54"/>
        <v>1</v>
      </c>
      <c r="AH270" s="408">
        <f t="shared" si="55"/>
        <v>0</v>
      </c>
      <c r="AI270" s="408">
        <f t="shared" si="56"/>
        <v>0</v>
      </c>
      <c r="AJ270" s="408">
        <f t="shared" si="57"/>
        <v>0</v>
      </c>
    </row>
    <row r="271" spans="1:36" x14ac:dyDescent="0.25">
      <c r="A271" s="409">
        <f t="shared" ref="A271:A334" si="60">A270+1</f>
        <v>270</v>
      </c>
      <c r="B271" s="410" t="s">
        <v>3265</v>
      </c>
      <c r="C271" s="410" t="s">
        <v>6196</v>
      </c>
      <c r="D271" s="409">
        <v>1</v>
      </c>
      <c r="E271" s="408"/>
      <c r="F271" s="409" t="s">
        <v>6183</v>
      </c>
      <c r="G271" s="409" t="s">
        <v>6836</v>
      </c>
      <c r="H271" s="409" t="s">
        <v>5942</v>
      </c>
      <c r="I271" s="409" t="str">
        <f t="shared" si="58"/>
        <v/>
      </c>
      <c r="J271" s="409" t="s">
        <v>6192</v>
      </c>
      <c r="K271" s="409" t="s">
        <v>2536</v>
      </c>
      <c r="L271" s="409" t="s">
        <v>2562</v>
      </c>
      <c r="M271" s="409" t="s">
        <v>3857</v>
      </c>
      <c r="N271" s="408" t="str">
        <f>""</f>
        <v/>
      </c>
      <c r="O271" s="409" t="s">
        <v>6190</v>
      </c>
      <c r="P271" s="408" t="s">
        <v>3267</v>
      </c>
      <c r="R271" s="409" t="s">
        <v>1113</v>
      </c>
      <c r="V271" s="409" t="s">
        <v>620</v>
      </c>
      <c r="W271" s="409" t="s">
        <v>621</v>
      </c>
      <c r="AA271" s="408">
        <f t="shared" si="59"/>
        <v>0</v>
      </c>
      <c r="AB271" s="408">
        <f t="shared" si="49"/>
        <v>1</v>
      </c>
      <c r="AC271" s="408">
        <f t="shared" si="50"/>
        <v>0</v>
      </c>
      <c r="AD271" s="408">
        <f t="shared" si="51"/>
        <v>0</v>
      </c>
      <c r="AE271" s="408">
        <f t="shared" si="52"/>
        <v>0</v>
      </c>
      <c r="AF271" s="408">
        <f t="shared" si="53"/>
        <v>1</v>
      </c>
      <c r="AG271" s="408">
        <f t="shared" si="54"/>
        <v>1</v>
      </c>
      <c r="AH271" s="408">
        <f t="shared" si="55"/>
        <v>0</v>
      </c>
      <c r="AI271" s="408">
        <f t="shared" si="56"/>
        <v>0</v>
      </c>
      <c r="AJ271" s="408">
        <f t="shared" si="57"/>
        <v>0</v>
      </c>
    </row>
    <row r="272" spans="1:36" x14ac:dyDescent="0.25">
      <c r="A272" s="409">
        <f t="shared" si="60"/>
        <v>271</v>
      </c>
      <c r="B272" s="410" t="s">
        <v>3268</v>
      </c>
      <c r="C272" s="410" t="s">
        <v>6208</v>
      </c>
      <c r="D272" s="409">
        <v>5</v>
      </c>
      <c r="E272" s="408"/>
      <c r="F272" s="409" t="str">
        <f>""</f>
        <v/>
      </c>
      <c r="G272" s="409" t="s">
        <v>6212</v>
      </c>
      <c r="H272" s="409" t="s">
        <v>6219</v>
      </c>
      <c r="I272" s="409" t="str">
        <f t="shared" si="58"/>
        <v/>
      </c>
      <c r="J272" s="409" t="s">
        <v>6192</v>
      </c>
      <c r="K272" s="409" t="s">
        <v>2536</v>
      </c>
      <c r="L272" s="409" t="s">
        <v>2562</v>
      </c>
      <c r="M272" s="409" t="s">
        <v>1248</v>
      </c>
      <c r="N272" s="408" t="s">
        <v>6382</v>
      </c>
      <c r="O272" s="409" t="s">
        <v>6189</v>
      </c>
      <c r="P272" s="408" t="s">
        <v>6725</v>
      </c>
      <c r="Q272" s="409" t="s">
        <v>1112</v>
      </c>
      <c r="R272" s="409" t="s">
        <v>1113</v>
      </c>
      <c r="V272" s="409" t="s">
        <v>620</v>
      </c>
      <c r="AA272" s="408">
        <f t="shared" si="59"/>
        <v>1</v>
      </c>
      <c r="AB272" s="408">
        <f t="shared" si="49"/>
        <v>1</v>
      </c>
      <c r="AC272" s="408">
        <f t="shared" si="50"/>
        <v>0</v>
      </c>
      <c r="AD272" s="408">
        <f t="shared" si="51"/>
        <v>0</v>
      </c>
      <c r="AE272" s="408">
        <f t="shared" si="52"/>
        <v>0</v>
      </c>
      <c r="AF272" s="408">
        <f t="shared" si="53"/>
        <v>1</v>
      </c>
      <c r="AG272" s="408">
        <f t="shared" si="54"/>
        <v>0</v>
      </c>
      <c r="AH272" s="408">
        <f t="shared" si="55"/>
        <v>0</v>
      </c>
      <c r="AI272" s="408">
        <f t="shared" si="56"/>
        <v>0</v>
      </c>
      <c r="AJ272" s="408">
        <f t="shared" si="57"/>
        <v>0</v>
      </c>
    </row>
    <row r="273" spans="1:36" x14ac:dyDescent="0.25">
      <c r="A273" s="409">
        <f t="shared" si="60"/>
        <v>272</v>
      </c>
      <c r="B273" s="410" t="s">
        <v>3271</v>
      </c>
      <c r="C273" s="410" t="s">
        <v>6208</v>
      </c>
      <c r="D273" s="409">
        <v>5</v>
      </c>
      <c r="E273" s="408"/>
      <c r="F273" s="409" t="s">
        <v>6183</v>
      </c>
      <c r="G273" s="409" t="s">
        <v>6836</v>
      </c>
      <c r="H273" s="409" t="s">
        <v>5950</v>
      </c>
      <c r="I273" s="409" t="str">
        <f t="shared" si="58"/>
        <v/>
      </c>
      <c r="J273" s="409" t="s">
        <v>6212</v>
      </c>
      <c r="K273" s="409" t="s">
        <v>2536</v>
      </c>
      <c r="L273" s="409" t="s">
        <v>2562</v>
      </c>
      <c r="M273" s="409" t="s">
        <v>1248</v>
      </c>
      <c r="N273" s="408" t="s">
        <v>6383</v>
      </c>
      <c r="O273" s="409" t="s">
        <v>2792</v>
      </c>
      <c r="P273" s="408" t="s">
        <v>6726</v>
      </c>
      <c r="Z273" s="409" t="s">
        <v>628</v>
      </c>
      <c r="AA273" s="408">
        <f t="shared" si="59"/>
        <v>0</v>
      </c>
      <c r="AB273" s="408">
        <f t="shared" si="49"/>
        <v>0</v>
      </c>
      <c r="AC273" s="408">
        <f t="shared" si="50"/>
        <v>0</v>
      </c>
      <c r="AD273" s="408">
        <f t="shared" si="51"/>
        <v>0</v>
      </c>
      <c r="AE273" s="408">
        <f t="shared" si="52"/>
        <v>0</v>
      </c>
      <c r="AF273" s="408">
        <f t="shared" si="53"/>
        <v>0</v>
      </c>
      <c r="AG273" s="408">
        <f t="shared" si="54"/>
        <v>0</v>
      </c>
      <c r="AH273" s="408">
        <f t="shared" si="55"/>
        <v>0</v>
      </c>
      <c r="AI273" s="408">
        <f t="shared" si="56"/>
        <v>0</v>
      </c>
      <c r="AJ273" s="408">
        <f t="shared" si="57"/>
        <v>1</v>
      </c>
    </row>
    <row r="274" spans="1:36" x14ac:dyDescent="0.25">
      <c r="A274" s="409">
        <f t="shared" si="60"/>
        <v>273</v>
      </c>
      <c r="B274" s="410" t="s">
        <v>3274</v>
      </c>
      <c r="C274" s="410" t="s">
        <v>6193</v>
      </c>
      <c r="D274" s="409">
        <v>2</v>
      </c>
      <c r="E274" s="408"/>
      <c r="F274" s="409" t="str">
        <f>""</f>
        <v/>
      </c>
      <c r="G274" s="409" t="s">
        <v>6835</v>
      </c>
      <c r="H274" s="409" t="s">
        <v>424</v>
      </c>
      <c r="I274" s="409" t="str">
        <f t="shared" si="58"/>
        <v>Concentration</v>
      </c>
      <c r="J274" s="409" t="s">
        <v>6210</v>
      </c>
      <c r="K274" s="409" t="s">
        <v>2536</v>
      </c>
      <c r="L274" s="409" t="s">
        <v>2562</v>
      </c>
      <c r="M274" s="409" t="s">
        <v>3857</v>
      </c>
      <c r="N274" s="408" t="str">
        <f>""</f>
        <v/>
      </c>
      <c r="O274" s="409" t="s">
        <v>6189</v>
      </c>
      <c r="P274" s="408" t="s">
        <v>6727</v>
      </c>
      <c r="U274" s="409" t="s">
        <v>627</v>
      </c>
      <c r="Z274" s="409" t="s">
        <v>628</v>
      </c>
      <c r="AA274" s="408">
        <f t="shared" si="59"/>
        <v>0</v>
      </c>
      <c r="AB274" s="408">
        <f t="shared" si="49"/>
        <v>0</v>
      </c>
      <c r="AC274" s="408">
        <f t="shared" si="50"/>
        <v>0</v>
      </c>
      <c r="AD274" s="408">
        <f t="shared" si="51"/>
        <v>0</v>
      </c>
      <c r="AE274" s="408">
        <f t="shared" si="52"/>
        <v>1</v>
      </c>
      <c r="AF274" s="408">
        <f t="shared" si="53"/>
        <v>0</v>
      </c>
      <c r="AG274" s="408">
        <f t="shared" si="54"/>
        <v>0</v>
      </c>
      <c r="AH274" s="408">
        <f t="shared" si="55"/>
        <v>0</v>
      </c>
      <c r="AI274" s="408">
        <f t="shared" si="56"/>
        <v>0</v>
      </c>
      <c r="AJ274" s="408">
        <f t="shared" si="57"/>
        <v>1</v>
      </c>
    </row>
    <row r="275" spans="1:36" x14ac:dyDescent="0.25">
      <c r="A275" s="409">
        <f t="shared" si="60"/>
        <v>274</v>
      </c>
      <c r="B275" s="410" t="s">
        <v>3276</v>
      </c>
      <c r="C275" s="410" t="s">
        <v>6191</v>
      </c>
      <c r="D275" s="409">
        <v>0.5</v>
      </c>
      <c r="E275" s="408"/>
      <c r="F275" s="409" t="str">
        <f>""</f>
        <v/>
      </c>
      <c r="G275" s="409" t="s">
        <v>6835</v>
      </c>
      <c r="H275" s="409" t="s">
        <v>424</v>
      </c>
      <c r="I275" s="409" t="str">
        <f t="shared" si="58"/>
        <v/>
      </c>
      <c r="J275" s="409" t="s">
        <v>6192</v>
      </c>
      <c r="K275" s="409" t="s">
        <v>2536</v>
      </c>
      <c r="L275" s="409" t="s">
        <v>2562</v>
      </c>
      <c r="M275" s="409" t="s">
        <v>3857</v>
      </c>
      <c r="N275" s="408" t="str">
        <f>""</f>
        <v/>
      </c>
      <c r="O275" s="409" t="s">
        <v>6187</v>
      </c>
      <c r="P275" s="408" t="s">
        <v>6728</v>
      </c>
      <c r="T275" s="409" t="s">
        <v>626</v>
      </c>
      <c r="Z275" s="409" t="s">
        <v>628</v>
      </c>
      <c r="AA275" s="408">
        <f t="shared" si="59"/>
        <v>0</v>
      </c>
      <c r="AB275" s="408">
        <f t="shared" si="49"/>
        <v>0</v>
      </c>
      <c r="AC275" s="408">
        <f t="shared" si="50"/>
        <v>0</v>
      </c>
      <c r="AD275" s="408">
        <f t="shared" si="51"/>
        <v>1</v>
      </c>
      <c r="AE275" s="408">
        <f t="shared" si="52"/>
        <v>0</v>
      </c>
      <c r="AF275" s="408">
        <f t="shared" si="53"/>
        <v>0</v>
      </c>
      <c r="AG275" s="408">
        <f t="shared" si="54"/>
        <v>0</v>
      </c>
      <c r="AH275" s="408">
        <f t="shared" si="55"/>
        <v>0</v>
      </c>
      <c r="AI275" s="408">
        <f t="shared" si="56"/>
        <v>0</v>
      </c>
      <c r="AJ275" s="408">
        <f t="shared" si="57"/>
        <v>1</v>
      </c>
    </row>
    <row r="276" spans="1:36" x14ac:dyDescent="0.25">
      <c r="A276" s="409">
        <f t="shared" si="60"/>
        <v>275</v>
      </c>
      <c r="B276" s="410" t="s">
        <v>3278</v>
      </c>
      <c r="C276" s="410" t="s">
        <v>6196</v>
      </c>
      <c r="D276" s="409">
        <v>1</v>
      </c>
      <c r="E276" s="408"/>
      <c r="F276" s="409" t="str">
        <f>""</f>
        <v/>
      </c>
      <c r="G276" s="409" t="s">
        <v>6835</v>
      </c>
      <c r="H276" s="409" t="s">
        <v>424</v>
      </c>
      <c r="I276" s="409" t="str">
        <f t="shared" si="58"/>
        <v/>
      </c>
      <c r="J276" s="409" t="s">
        <v>6192</v>
      </c>
      <c r="K276" s="409" t="s">
        <v>2536</v>
      </c>
      <c r="L276" s="409" t="s">
        <v>2562</v>
      </c>
      <c r="M276" s="409" t="s">
        <v>3857</v>
      </c>
      <c r="N276" s="408" t="str">
        <f>""</f>
        <v/>
      </c>
      <c r="O276" s="409" t="s">
        <v>6189</v>
      </c>
      <c r="P276" s="408" t="s">
        <v>6729</v>
      </c>
      <c r="Z276" s="409" t="s">
        <v>628</v>
      </c>
      <c r="AA276" s="408">
        <f t="shared" si="59"/>
        <v>0</v>
      </c>
      <c r="AB276" s="408">
        <f t="shared" si="49"/>
        <v>0</v>
      </c>
      <c r="AC276" s="408">
        <f t="shared" si="50"/>
        <v>0</v>
      </c>
      <c r="AD276" s="408">
        <f t="shared" si="51"/>
        <v>0</v>
      </c>
      <c r="AE276" s="408">
        <f t="shared" si="52"/>
        <v>0</v>
      </c>
      <c r="AF276" s="408">
        <f t="shared" si="53"/>
        <v>0</v>
      </c>
      <c r="AG276" s="408">
        <f t="shared" si="54"/>
        <v>0</v>
      </c>
      <c r="AH276" s="408">
        <f t="shared" si="55"/>
        <v>0</v>
      </c>
      <c r="AI276" s="408">
        <f t="shared" si="56"/>
        <v>0</v>
      </c>
      <c r="AJ276" s="408">
        <f t="shared" si="57"/>
        <v>1</v>
      </c>
    </row>
    <row r="277" spans="1:36" x14ac:dyDescent="0.25">
      <c r="A277" s="409">
        <f t="shared" si="60"/>
        <v>276</v>
      </c>
      <c r="B277" s="410" t="s">
        <v>3280</v>
      </c>
      <c r="C277" s="410" t="s">
        <v>6251</v>
      </c>
      <c r="D277" s="409">
        <v>7</v>
      </c>
      <c r="E277" s="408"/>
      <c r="F277" s="409" t="str">
        <f>""</f>
        <v/>
      </c>
      <c r="G277" s="409" t="s">
        <v>6206</v>
      </c>
      <c r="H277" s="409" t="s">
        <v>6219</v>
      </c>
      <c r="I277" s="409" t="str">
        <f t="shared" si="58"/>
        <v/>
      </c>
      <c r="J277" s="409" t="s">
        <v>6212</v>
      </c>
      <c r="K277" s="409" t="s">
        <v>2536</v>
      </c>
      <c r="L277" s="409" t="s">
        <v>2562</v>
      </c>
      <c r="M277" s="409" t="s">
        <v>1248</v>
      </c>
      <c r="N277" s="408" t="s">
        <v>6384</v>
      </c>
      <c r="O277" s="409" t="s">
        <v>6190</v>
      </c>
      <c r="P277" s="408" t="s">
        <v>6730</v>
      </c>
      <c r="Q277" s="409" t="s">
        <v>1112</v>
      </c>
      <c r="V277" s="409" t="s">
        <v>620</v>
      </c>
      <c r="W277" s="409" t="s">
        <v>621</v>
      </c>
      <c r="AA277" s="408">
        <f t="shared" si="59"/>
        <v>1</v>
      </c>
      <c r="AB277" s="408">
        <f t="shared" si="49"/>
        <v>0</v>
      </c>
      <c r="AC277" s="408">
        <f t="shared" si="50"/>
        <v>0</v>
      </c>
      <c r="AD277" s="408">
        <f t="shared" si="51"/>
        <v>0</v>
      </c>
      <c r="AE277" s="408">
        <f t="shared" si="52"/>
        <v>0</v>
      </c>
      <c r="AF277" s="408">
        <f t="shared" si="53"/>
        <v>1</v>
      </c>
      <c r="AG277" s="408">
        <f t="shared" si="54"/>
        <v>1</v>
      </c>
      <c r="AH277" s="408">
        <f t="shared" si="55"/>
        <v>0</v>
      </c>
      <c r="AI277" s="408">
        <f t="shared" si="56"/>
        <v>0</v>
      </c>
      <c r="AJ277" s="408">
        <f t="shared" si="57"/>
        <v>0</v>
      </c>
    </row>
    <row r="278" spans="1:36" x14ac:dyDescent="0.25">
      <c r="A278" s="409">
        <f t="shared" si="60"/>
        <v>277</v>
      </c>
      <c r="B278" s="410" t="s">
        <v>3283</v>
      </c>
      <c r="C278" s="410" t="s">
        <v>6208</v>
      </c>
      <c r="D278" s="409">
        <v>5</v>
      </c>
      <c r="E278" s="408"/>
      <c r="F278" s="409" t="str">
        <f>""</f>
        <v/>
      </c>
      <c r="G278" s="409" t="s">
        <v>6212</v>
      </c>
      <c r="H278" s="409" t="s">
        <v>6219</v>
      </c>
      <c r="I278" s="409" t="str">
        <f t="shared" si="58"/>
        <v/>
      </c>
      <c r="J278" s="409" t="s">
        <v>6192</v>
      </c>
      <c r="K278" s="409" t="s">
        <v>2536</v>
      </c>
      <c r="L278" s="409" t="s">
        <v>2562</v>
      </c>
      <c r="M278" s="409" t="s">
        <v>1248</v>
      </c>
      <c r="N278" s="408" t="s">
        <v>6385</v>
      </c>
      <c r="O278" s="409" t="s">
        <v>6190</v>
      </c>
      <c r="P278" s="408" t="s">
        <v>6731</v>
      </c>
      <c r="W278" s="409" t="s">
        <v>621</v>
      </c>
      <c r="AA278" s="408">
        <f t="shared" si="59"/>
        <v>0</v>
      </c>
      <c r="AB278" s="408">
        <f t="shared" si="49"/>
        <v>0</v>
      </c>
      <c r="AC278" s="408">
        <f t="shared" si="50"/>
        <v>0</v>
      </c>
      <c r="AD278" s="408">
        <f t="shared" si="51"/>
        <v>0</v>
      </c>
      <c r="AE278" s="408">
        <f t="shared" si="52"/>
        <v>0</v>
      </c>
      <c r="AF278" s="408">
        <f t="shared" si="53"/>
        <v>0</v>
      </c>
      <c r="AG278" s="408">
        <f t="shared" si="54"/>
        <v>1</v>
      </c>
      <c r="AH278" s="408">
        <f t="shared" si="55"/>
        <v>0</v>
      </c>
      <c r="AI278" s="408">
        <f t="shared" si="56"/>
        <v>0</v>
      </c>
      <c r="AJ278" s="408">
        <f t="shared" si="57"/>
        <v>0</v>
      </c>
    </row>
    <row r="279" spans="1:36" x14ac:dyDescent="0.25">
      <c r="A279" s="409">
        <f t="shared" si="60"/>
        <v>278</v>
      </c>
      <c r="B279" s="410" t="s">
        <v>3286</v>
      </c>
      <c r="C279" s="410" t="s">
        <v>6205</v>
      </c>
      <c r="D279" s="409">
        <v>3</v>
      </c>
      <c r="E279" s="408"/>
      <c r="F279" s="409" t="str">
        <f>""</f>
        <v/>
      </c>
      <c r="G279" s="409" t="s">
        <v>6835</v>
      </c>
      <c r="H279" s="409" t="s">
        <v>6219</v>
      </c>
      <c r="I279" s="409" t="str">
        <f t="shared" si="58"/>
        <v/>
      </c>
      <c r="J279" s="409" t="s">
        <v>6192</v>
      </c>
      <c r="K279" s="409" t="s">
        <v>2536</v>
      </c>
      <c r="L279" s="409" t="s">
        <v>2562</v>
      </c>
      <c r="M279" s="409" t="s">
        <v>3857</v>
      </c>
      <c r="N279" s="408" t="str">
        <f>""</f>
        <v/>
      </c>
      <c r="O279" s="409" t="s">
        <v>6184</v>
      </c>
      <c r="P279" s="408" t="s">
        <v>3287</v>
      </c>
      <c r="R279" s="409" t="s">
        <v>1113</v>
      </c>
      <c r="U279" s="409" t="s">
        <v>627</v>
      </c>
      <c r="V279" s="409" t="s">
        <v>620</v>
      </c>
      <c r="Z279" s="409" t="s">
        <v>628</v>
      </c>
      <c r="AA279" s="408">
        <f t="shared" si="59"/>
        <v>0</v>
      </c>
      <c r="AB279" s="408">
        <f t="shared" si="49"/>
        <v>1</v>
      </c>
      <c r="AC279" s="408">
        <f t="shared" si="50"/>
        <v>0</v>
      </c>
      <c r="AD279" s="408">
        <f t="shared" si="51"/>
        <v>0</v>
      </c>
      <c r="AE279" s="408">
        <f t="shared" si="52"/>
        <v>1</v>
      </c>
      <c r="AF279" s="408">
        <f t="shared" si="53"/>
        <v>1</v>
      </c>
      <c r="AG279" s="408">
        <f t="shared" si="54"/>
        <v>0</v>
      </c>
      <c r="AH279" s="408">
        <f t="shared" si="55"/>
        <v>0</v>
      </c>
      <c r="AI279" s="408">
        <f t="shared" si="56"/>
        <v>0</v>
      </c>
      <c r="AJ279" s="408">
        <f t="shared" si="57"/>
        <v>1</v>
      </c>
    </row>
    <row r="280" spans="1:36" x14ac:dyDescent="0.25">
      <c r="A280" s="409">
        <f t="shared" si="60"/>
        <v>279</v>
      </c>
      <c r="B280" s="410" t="s">
        <v>3288</v>
      </c>
      <c r="C280" s="410" t="s">
        <v>6191</v>
      </c>
      <c r="D280" s="409">
        <v>0.5</v>
      </c>
      <c r="E280" s="408"/>
      <c r="F280" s="409" t="str">
        <f>""</f>
        <v/>
      </c>
      <c r="G280" s="409" t="s">
        <v>6835</v>
      </c>
      <c r="H280" s="409" t="s">
        <v>6219</v>
      </c>
      <c r="I280" s="409" t="str">
        <f t="shared" si="58"/>
        <v>Concentration</v>
      </c>
      <c r="J280" s="409" t="s">
        <v>6210</v>
      </c>
      <c r="K280" s="409" t="s">
        <v>2536</v>
      </c>
      <c r="L280" s="409" t="s">
        <v>2562</v>
      </c>
      <c r="M280" s="409" t="s">
        <v>1248</v>
      </c>
      <c r="N280" s="408" t="s">
        <v>6386</v>
      </c>
      <c r="O280" s="409" t="s">
        <v>6184</v>
      </c>
      <c r="P280" s="408" t="s">
        <v>3290</v>
      </c>
      <c r="V280" s="409" t="s">
        <v>620</v>
      </c>
      <c r="W280" s="409" t="s">
        <v>621</v>
      </c>
      <c r="AA280" s="408">
        <f t="shared" si="59"/>
        <v>0</v>
      </c>
      <c r="AB280" s="408">
        <f t="shared" si="49"/>
        <v>0</v>
      </c>
      <c r="AC280" s="408">
        <f t="shared" si="50"/>
        <v>0</v>
      </c>
      <c r="AD280" s="408">
        <f t="shared" si="51"/>
        <v>0</v>
      </c>
      <c r="AE280" s="408">
        <f t="shared" si="52"/>
        <v>0</v>
      </c>
      <c r="AF280" s="408">
        <f t="shared" si="53"/>
        <v>1</v>
      </c>
      <c r="AG280" s="408">
        <f t="shared" si="54"/>
        <v>1</v>
      </c>
      <c r="AH280" s="408">
        <f t="shared" si="55"/>
        <v>0</v>
      </c>
      <c r="AI280" s="408">
        <f t="shared" si="56"/>
        <v>0</v>
      </c>
      <c r="AJ280" s="408">
        <f t="shared" si="57"/>
        <v>0</v>
      </c>
    </row>
    <row r="281" spans="1:36" x14ac:dyDescent="0.25">
      <c r="A281" s="409">
        <f t="shared" si="60"/>
        <v>280</v>
      </c>
      <c r="B281" s="410" t="s">
        <v>3291</v>
      </c>
      <c r="C281" s="410" t="s">
        <v>6251</v>
      </c>
      <c r="D281" s="409">
        <v>7</v>
      </c>
      <c r="E281" s="408"/>
      <c r="F281" s="409" t="str">
        <f>""</f>
        <v/>
      </c>
      <c r="G281" s="409" t="s">
        <v>6212</v>
      </c>
      <c r="H281" s="409" t="s">
        <v>6219</v>
      </c>
      <c r="I281" s="409" t="str">
        <f t="shared" si="58"/>
        <v/>
      </c>
      <c r="J281" s="409" t="s">
        <v>6192</v>
      </c>
      <c r="K281" s="409" t="s">
        <v>2536</v>
      </c>
      <c r="L281" s="409" t="s">
        <v>2562</v>
      </c>
      <c r="M281" s="409" t="s">
        <v>1248</v>
      </c>
      <c r="N281" s="408" t="s">
        <v>6387</v>
      </c>
      <c r="O281" s="409" t="s">
        <v>6189</v>
      </c>
      <c r="P281" s="408" t="s">
        <v>6732</v>
      </c>
      <c r="Q281" s="409" t="s">
        <v>1112</v>
      </c>
      <c r="V281" s="409" t="s">
        <v>620</v>
      </c>
      <c r="AA281" s="408">
        <f t="shared" si="59"/>
        <v>1</v>
      </c>
      <c r="AB281" s="408">
        <f t="shared" si="49"/>
        <v>0</v>
      </c>
      <c r="AC281" s="408">
        <f t="shared" si="50"/>
        <v>0</v>
      </c>
      <c r="AD281" s="408">
        <f t="shared" si="51"/>
        <v>0</v>
      </c>
      <c r="AE281" s="408">
        <f t="shared" si="52"/>
        <v>0</v>
      </c>
      <c r="AF281" s="408">
        <f t="shared" si="53"/>
        <v>1</v>
      </c>
      <c r="AG281" s="408">
        <f t="shared" si="54"/>
        <v>0</v>
      </c>
      <c r="AH281" s="408">
        <f t="shared" si="55"/>
        <v>0</v>
      </c>
      <c r="AI281" s="408">
        <f t="shared" si="56"/>
        <v>0</v>
      </c>
      <c r="AJ281" s="408">
        <f t="shared" si="57"/>
        <v>0</v>
      </c>
    </row>
    <row r="282" spans="1:36" x14ac:dyDescent="0.25">
      <c r="A282" s="409">
        <f t="shared" si="60"/>
        <v>281</v>
      </c>
      <c r="B282" s="410" t="s">
        <v>3294</v>
      </c>
      <c r="C282" s="410" t="s">
        <v>6251</v>
      </c>
      <c r="D282" s="409">
        <v>7</v>
      </c>
      <c r="E282" s="408"/>
      <c r="F282" s="409" t="str">
        <f>""</f>
        <v/>
      </c>
      <c r="G282" s="409" t="s">
        <v>6835</v>
      </c>
      <c r="H282" s="409" t="s">
        <v>6301</v>
      </c>
      <c r="I282" s="409" t="str">
        <f t="shared" si="58"/>
        <v>Concentration</v>
      </c>
      <c r="J282" s="409" t="s">
        <v>6210</v>
      </c>
      <c r="K282" s="409" t="s">
        <v>2536</v>
      </c>
      <c r="L282" s="409" t="s">
        <v>2562</v>
      </c>
      <c r="M282" s="409" t="s">
        <v>1248</v>
      </c>
      <c r="N282" s="408" t="s">
        <v>6388</v>
      </c>
      <c r="O282" s="409" t="s">
        <v>6190</v>
      </c>
      <c r="P282" s="408" t="s">
        <v>6733</v>
      </c>
      <c r="T282" s="409" t="s">
        <v>626</v>
      </c>
      <c r="W282" s="409" t="s">
        <v>621</v>
      </c>
      <c r="Z282" s="409" t="s">
        <v>628</v>
      </c>
      <c r="AA282" s="408">
        <f t="shared" si="59"/>
        <v>0</v>
      </c>
      <c r="AB282" s="408">
        <f t="shared" si="49"/>
        <v>0</v>
      </c>
      <c r="AC282" s="408">
        <f t="shared" si="50"/>
        <v>0</v>
      </c>
      <c r="AD282" s="408">
        <f t="shared" si="51"/>
        <v>1</v>
      </c>
      <c r="AE282" s="408">
        <f t="shared" si="52"/>
        <v>0</v>
      </c>
      <c r="AF282" s="408">
        <f t="shared" si="53"/>
        <v>0</v>
      </c>
      <c r="AG282" s="408">
        <f t="shared" si="54"/>
        <v>1</v>
      </c>
      <c r="AH282" s="408">
        <f t="shared" si="55"/>
        <v>0</v>
      </c>
      <c r="AI282" s="408">
        <f t="shared" si="56"/>
        <v>0</v>
      </c>
      <c r="AJ282" s="408">
        <f t="shared" si="57"/>
        <v>1</v>
      </c>
    </row>
    <row r="283" spans="1:36" x14ac:dyDescent="0.25">
      <c r="A283" s="409">
        <f t="shared" si="60"/>
        <v>282</v>
      </c>
      <c r="B283" s="410" t="s">
        <v>3297</v>
      </c>
      <c r="C283" s="410" t="s">
        <v>6205</v>
      </c>
      <c r="D283" s="409">
        <v>3</v>
      </c>
      <c r="E283" s="408"/>
      <c r="F283" s="409" t="str">
        <f>""</f>
        <v/>
      </c>
      <c r="G283" s="409" t="s">
        <v>6835</v>
      </c>
      <c r="H283" s="409" t="s">
        <v>6219</v>
      </c>
      <c r="I283" s="409" t="str">
        <f t="shared" si="58"/>
        <v/>
      </c>
      <c r="J283" s="409" t="s">
        <v>6192</v>
      </c>
      <c r="K283" s="409" t="s">
        <v>2536</v>
      </c>
      <c r="L283" s="409" t="s">
        <v>2562</v>
      </c>
      <c r="M283" s="409" t="s">
        <v>1248</v>
      </c>
      <c r="N283" s="408" t="s">
        <v>6389</v>
      </c>
      <c r="O283" s="409" t="s">
        <v>6185</v>
      </c>
      <c r="P283" s="408" t="s">
        <v>6390</v>
      </c>
      <c r="R283" s="409" t="s">
        <v>1113</v>
      </c>
      <c r="V283" s="409" t="s">
        <v>620</v>
      </c>
      <c r="AA283" s="408">
        <f t="shared" si="59"/>
        <v>0</v>
      </c>
      <c r="AB283" s="408">
        <f t="shared" si="49"/>
        <v>1</v>
      </c>
      <c r="AC283" s="408">
        <f t="shared" si="50"/>
        <v>0</v>
      </c>
      <c r="AD283" s="408">
        <f t="shared" si="51"/>
        <v>0</v>
      </c>
      <c r="AE283" s="408">
        <f t="shared" si="52"/>
        <v>0</v>
      </c>
      <c r="AF283" s="408">
        <f t="shared" si="53"/>
        <v>1</v>
      </c>
      <c r="AG283" s="408">
        <f t="shared" si="54"/>
        <v>0</v>
      </c>
      <c r="AH283" s="408">
        <f t="shared" si="55"/>
        <v>0</v>
      </c>
      <c r="AI283" s="408">
        <f t="shared" si="56"/>
        <v>0</v>
      </c>
      <c r="AJ283" s="408">
        <f t="shared" si="57"/>
        <v>0</v>
      </c>
    </row>
    <row r="284" spans="1:36" x14ac:dyDescent="0.25">
      <c r="A284" s="409">
        <f t="shared" si="60"/>
        <v>283</v>
      </c>
      <c r="B284" s="410" t="s">
        <v>3300</v>
      </c>
      <c r="C284" s="410" t="s">
        <v>6193</v>
      </c>
      <c r="D284" s="409">
        <v>2</v>
      </c>
      <c r="E284" s="408"/>
      <c r="F284" s="409" t="str">
        <f>""</f>
        <v/>
      </c>
      <c r="G284" s="409" t="s">
        <v>6835</v>
      </c>
      <c r="H284" s="409" t="s">
        <v>6219</v>
      </c>
      <c r="I284" s="409" t="str">
        <f t="shared" si="58"/>
        <v/>
      </c>
      <c r="J284" s="409" t="s">
        <v>6212</v>
      </c>
      <c r="K284" s="409" t="s">
        <v>2536</v>
      </c>
      <c r="L284" s="409" t="s">
        <v>2562</v>
      </c>
      <c r="M284" s="409" t="s">
        <v>1248</v>
      </c>
      <c r="N284" s="408" t="s">
        <v>6391</v>
      </c>
      <c r="O284" s="409" t="s">
        <v>6190</v>
      </c>
      <c r="P284" s="408" t="s">
        <v>6734</v>
      </c>
      <c r="Z284" s="409" t="s">
        <v>628</v>
      </c>
      <c r="AA284" s="408">
        <f t="shared" si="59"/>
        <v>0</v>
      </c>
      <c r="AB284" s="408">
        <f t="shared" si="49"/>
        <v>0</v>
      </c>
      <c r="AC284" s="408">
        <f t="shared" si="50"/>
        <v>0</v>
      </c>
      <c r="AD284" s="408">
        <f t="shared" si="51"/>
        <v>0</v>
      </c>
      <c r="AE284" s="408">
        <f t="shared" si="52"/>
        <v>0</v>
      </c>
      <c r="AF284" s="408">
        <f t="shared" si="53"/>
        <v>0</v>
      </c>
      <c r="AG284" s="408">
        <f t="shared" si="54"/>
        <v>0</v>
      </c>
      <c r="AH284" s="408">
        <f t="shared" si="55"/>
        <v>0</v>
      </c>
      <c r="AI284" s="408">
        <f t="shared" si="56"/>
        <v>0</v>
      </c>
      <c r="AJ284" s="408">
        <f t="shared" si="57"/>
        <v>1</v>
      </c>
    </row>
    <row r="285" spans="1:36" x14ac:dyDescent="0.25">
      <c r="A285" s="409">
        <f t="shared" si="60"/>
        <v>284</v>
      </c>
      <c r="B285" s="410" t="s">
        <v>3303</v>
      </c>
      <c r="C285" s="410" t="s">
        <v>6191</v>
      </c>
      <c r="D285" s="409">
        <v>0.5</v>
      </c>
      <c r="E285" s="408"/>
      <c r="F285" s="409" t="str">
        <f>""</f>
        <v/>
      </c>
      <c r="G285" s="409" t="s">
        <v>6835</v>
      </c>
      <c r="H285" s="409" t="s">
        <v>424</v>
      </c>
      <c r="I285" s="409" t="str">
        <f t="shared" si="58"/>
        <v/>
      </c>
      <c r="J285" s="409" t="s">
        <v>6192</v>
      </c>
      <c r="K285" s="409" t="s">
        <v>2536</v>
      </c>
      <c r="L285" s="409" t="s">
        <v>2562</v>
      </c>
      <c r="M285" s="409" t="s">
        <v>3857</v>
      </c>
      <c r="N285" s="408" t="str">
        <f>""</f>
        <v/>
      </c>
      <c r="O285" s="409" t="s">
        <v>6187</v>
      </c>
      <c r="P285" s="408" t="s">
        <v>6735</v>
      </c>
      <c r="V285" s="409" t="s">
        <v>620</v>
      </c>
      <c r="AA285" s="408">
        <f t="shared" si="59"/>
        <v>0</v>
      </c>
      <c r="AB285" s="408">
        <f t="shared" si="49"/>
        <v>0</v>
      </c>
      <c r="AC285" s="408">
        <f t="shared" si="50"/>
        <v>0</v>
      </c>
      <c r="AD285" s="408">
        <f t="shared" si="51"/>
        <v>0</v>
      </c>
      <c r="AE285" s="408">
        <f t="shared" si="52"/>
        <v>0</v>
      </c>
      <c r="AF285" s="408">
        <f t="shared" si="53"/>
        <v>1</v>
      </c>
      <c r="AG285" s="408">
        <f t="shared" si="54"/>
        <v>0</v>
      </c>
      <c r="AH285" s="408">
        <f t="shared" si="55"/>
        <v>0</v>
      </c>
      <c r="AI285" s="408">
        <f t="shared" si="56"/>
        <v>0</v>
      </c>
      <c r="AJ285" s="408">
        <f t="shared" si="57"/>
        <v>0</v>
      </c>
    </row>
    <row r="286" spans="1:36" x14ac:dyDescent="0.25">
      <c r="A286" s="409">
        <f t="shared" si="60"/>
        <v>285</v>
      </c>
      <c r="B286" s="410" t="s">
        <v>3305</v>
      </c>
      <c r="C286" s="410" t="s">
        <v>6196</v>
      </c>
      <c r="D286" s="409">
        <v>1</v>
      </c>
      <c r="E286" s="408"/>
      <c r="F286" s="409" t="str">
        <f>""</f>
        <v/>
      </c>
      <c r="G286" s="409" t="s">
        <v>6841</v>
      </c>
      <c r="H286" s="409" t="s">
        <v>5950</v>
      </c>
      <c r="I286" s="409" t="str">
        <f t="shared" si="58"/>
        <v/>
      </c>
      <c r="J286" s="409" t="s">
        <v>6206</v>
      </c>
      <c r="K286" s="409" t="s">
        <v>2536</v>
      </c>
      <c r="L286" s="409" t="s">
        <v>2562</v>
      </c>
      <c r="M286" s="409" t="s">
        <v>1248</v>
      </c>
      <c r="N286" s="408" t="s">
        <v>6392</v>
      </c>
      <c r="O286" s="409" t="s">
        <v>6184</v>
      </c>
      <c r="P286" s="408" t="s">
        <v>6393</v>
      </c>
      <c r="V286" s="409" t="s">
        <v>620</v>
      </c>
      <c r="AA286" s="408">
        <f t="shared" si="59"/>
        <v>0</v>
      </c>
      <c r="AB286" s="408">
        <f t="shared" si="49"/>
        <v>0</v>
      </c>
      <c r="AC286" s="408">
        <f t="shared" si="50"/>
        <v>0</v>
      </c>
      <c r="AD286" s="408">
        <f t="shared" si="51"/>
        <v>0</v>
      </c>
      <c r="AE286" s="408">
        <f t="shared" si="52"/>
        <v>0</v>
      </c>
      <c r="AF286" s="408">
        <f t="shared" si="53"/>
        <v>1</v>
      </c>
      <c r="AG286" s="408">
        <f t="shared" si="54"/>
        <v>0</v>
      </c>
      <c r="AH286" s="408">
        <f t="shared" si="55"/>
        <v>0</v>
      </c>
      <c r="AI286" s="408">
        <f t="shared" si="56"/>
        <v>0</v>
      </c>
      <c r="AJ286" s="408">
        <f t="shared" si="57"/>
        <v>0</v>
      </c>
    </row>
    <row r="287" spans="1:36" x14ac:dyDescent="0.25">
      <c r="A287" s="409">
        <f t="shared" si="60"/>
        <v>286</v>
      </c>
      <c r="B287" s="410" t="s">
        <v>3308</v>
      </c>
      <c r="C287" s="410" t="s">
        <v>6193</v>
      </c>
      <c r="D287" s="409">
        <v>2</v>
      </c>
      <c r="E287" s="408"/>
      <c r="F287" s="409" t="str">
        <f>""</f>
        <v/>
      </c>
      <c r="G287" s="409" t="s">
        <v>6835</v>
      </c>
      <c r="H287" s="409" t="s">
        <v>6209</v>
      </c>
      <c r="I287" s="409" t="str">
        <f t="shared" si="58"/>
        <v/>
      </c>
      <c r="J287" s="409" t="s">
        <v>6192</v>
      </c>
      <c r="K287" s="409" t="s">
        <v>2536</v>
      </c>
      <c r="L287" s="409" t="s">
        <v>2562</v>
      </c>
      <c r="M287" s="409" t="s">
        <v>3857</v>
      </c>
      <c r="N287" s="408" t="str">
        <f>""</f>
        <v/>
      </c>
      <c r="O287" s="409" t="s">
        <v>6187</v>
      </c>
      <c r="P287" s="408" t="s">
        <v>6736</v>
      </c>
      <c r="T287" s="409" t="s">
        <v>626</v>
      </c>
      <c r="Z287" s="409" t="s">
        <v>628</v>
      </c>
      <c r="AA287" s="408">
        <f t="shared" si="59"/>
        <v>0</v>
      </c>
      <c r="AB287" s="408">
        <f t="shared" si="49"/>
        <v>0</v>
      </c>
      <c r="AC287" s="408">
        <f t="shared" si="50"/>
        <v>0</v>
      </c>
      <c r="AD287" s="408">
        <f t="shared" si="51"/>
        <v>1</v>
      </c>
      <c r="AE287" s="408">
        <f t="shared" si="52"/>
        <v>0</v>
      </c>
      <c r="AF287" s="408">
        <f t="shared" si="53"/>
        <v>0</v>
      </c>
      <c r="AG287" s="408">
        <f t="shared" si="54"/>
        <v>0</v>
      </c>
      <c r="AH287" s="408">
        <f t="shared" si="55"/>
        <v>0</v>
      </c>
      <c r="AI287" s="408">
        <f t="shared" si="56"/>
        <v>0</v>
      </c>
      <c r="AJ287" s="408">
        <f t="shared" si="57"/>
        <v>1</v>
      </c>
    </row>
    <row r="288" spans="1:36" x14ac:dyDescent="0.25">
      <c r="A288" s="409">
        <f t="shared" si="60"/>
        <v>287</v>
      </c>
      <c r="B288" s="410" t="s">
        <v>3310</v>
      </c>
      <c r="C288" s="410" t="s">
        <v>6208</v>
      </c>
      <c r="D288" s="409">
        <v>5</v>
      </c>
      <c r="E288" s="408"/>
      <c r="F288" s="409" t="str">
        <f>""</f>
        <v/>
      </c>
      <c r="G288" s="409" t="s">
        <v>6241</v>
      </c>
      <c r="H288" s="409" t="s">
        <v>6199</v>
      </c>
      <c r="I288" s="409" t="str">
        <f t="shared" si="58"/>
        <v>Concentration</v>
      </c>
      <c r="J288" s="409" t="s">
        <v>6218</v>
      </c>
      <c r="K288" s="409" t="s">
        <v>2536</v>
      </c>
      <c r="L288" s="409" t="s">
        <v>2562</v>
      </c>
      <c r="M288" s="409" t="s">
        <v>1248</v>
      </c>
      <c r="N288" s="408" t="s">
        <v>6394</v>
      </c>
      <c r="O288" s="409" t="s">
        <v>2792</v>
      </c>
      <c r="P288" s="408" t="s">
        <v>6737</v>
      </c>
      <c r="Q288" s="409" t="s">
        <v>1112</v>
      </c>
      <c r="U288" s="409" t="s">
        <v>627</v>
      </c>
      <c r="V288" s="409" t="s">
        <v>620</v>
      </c>
      <c r="W288" s="409" t="s">
        <v>621</v>
      </c>
      <c r="Z288" s="409" t="s">
        <v>628</v>
      </c>
      <c r="AA288" s="408">
        <f t="shared" si="59"/>
        <v>1</v>
      </c>
      <c r="AB288" s="408">
        <f t="shared" si="49"/>
        <v>0</v>
      </c>
      <c r="AC288" s="408">
        <f t="shared" si="50"/>
        <v>0</v>
      </c>
      <c r="AD288" s="408">
        <f t="shared" si="51"/>
        <v>0</v>
      </c>
      <c r="AE288" s="408">
        <f t="shared" si="52"/>
        <v>1</v>
      </c>
      <c r="AF288" s="408">
        <f t="shared" si="53"/>
        <v>1</v>
      </c>
      <c r="AG288" s="408">
        <f t="shared" si="54"/>
        <v>1</v>
      </c>
      <c r="AH288" s="408">
        <f t="shared" si="55"/>
        <v>0</v>
      </c>
      <c r="AI288" s="408">
        <f t="shared" si="56"/>
        <v>0</v>
      </c>
      <c r="AJ288" s="408">
        <f t="shared" si="57"/>
        <v>1</v>
      </c>
    </row>
    <row r="289" spans="1:36" x14ac:dyDescent="0.25">
      <c r="A289" s="409">
        <f t="shared" si="60"/>
        <v>288</v>
      </c>
      <c r="B289" s="410" t="s">
        <v>3313</v>
      </c>
      <c r="C289" s="410" t="s">
        <v>6196</v>
      </c>
      <c r="D289" s="409">
        <v>1</v>
      </c>
      <c r="E289" s="408"/>
      <c r="F289" s="409" t="str">
        <f>""</f>
        <v/>
      </c>
      <c r="G289" s="409" t="s">
        <v>6841</v>
      </c>
      <c r="H289" s="409" t="s">
        <v>6199</v>
      </c>
      <c r="I289" s="409" t="str">
        <f t="shared" si="58"/>
        <v>Concentration</v>
      </c>
      <c r="J289" s="409" t="s">
        <v>6210</v>
      </c>
      <c r="K289" s="409" t="s">
        <v>2536</v>
      </c>
      <c r="L289" s="409" t="s">
        <v>3857</v>
      </c>
      <c r="M289" s="409" t="s">
        <v>3857</v>
      </c>
      <c r="N289" s="408" t="str">
        <f>""</f>
        <v/>
      </c>
      <c r="O289" s="409" t="s">
        <v>6187</v>
      </c>
      <c r="P289" s="408" t="s">
        <v>6738</v>
      </c>
      <c r="R289" s="409" t="s">
        <v>1113</v>
      </c>
      <c r="AA289" s="408">
        <f t="shared" si="59"/>
        <v>0</v>
      </c>
      <c r="AB289" s="408">
        <f t="shared" si="49"/>
        <v>1</v>
      </c>
      <c r="AC289" s="408">
        <f t="shared" si="50"/>
        <v>0</v>
      </c>
      <c r="AD289" s="408">
        <f t="shared" si="51"/>
        <v>0</v>
      </c>
      <c r="AE289" s="408">
        <f t="shared" si="52"/>
        <v>0</v>
      </c>
      <c r="AF289" s="408">
        <f t="shared" si="53"/>
        <v>0</v>
      </c>
      <c r="AG289" s="408">
        <f t="shared" si="54"/>
        <v>0</v>
      </c>
      <c r="AH289" s="408">
        <f t="shared" si="55"/>
        <v>0</v>
      </c>
      <c r="AI289" s="408">
        <f t="shared" si="56"/>
        <v>0</v>
      </c>
      <c r="AJ289" s="408">
        <f t="shared" si="57"/>
        <v>0</v>
      </c>
    </row>
    <row r="290" spans="1:36" x14ac:dyDescent="0.25">
      <c r="A290" s="409">
        <f t="shared" si="60"/>
        <v>289</v>
      </c>
      <c r="B290" s="410" t="s">
        <v>3315</v>
      </c>
      <c r="C290" s="410" t="s">
        <v>6193</v>
      </c>
      <c r="D290" s="409">
        <v>2</v>
      </c>
      <c r="E290" s="408"/>
      <c r="F290" s="409" t="str">
        <f>""</f>
        <v/>
      </c>
      <c r="G290" s="409" t="s">
        <v>6835</v>
      </c>
      <c r="H290" s="409" t="s">
        <v>6199</v>
      </c>
      <c r="I290" s="409" t="str">
        <f t="shared" si="58"/>
        <v/>
      </c>
      <c r="J290" s="409" t="s">
        <v>6212</v>
      </c>
      <c r="K290" s="409" t="s">
        <v>2536</v>
      </c>
      <c r="L290" s="409" t="s">
        <v>2562</v>
      </c>
      <c r="M290" s="409" t="s">
        <v>1248</v>
      </c>
      <c r="N290" s="408" t="s">
        <v>6395</v>
      </c>
      <c r="O290" s="409" t="s">
        <v>2792</v>
      </c>
      <c r="P290" s="408" t="s">
        <v>3317</v>
      </c>
      <c r="Q290" s="409" t="s">
        <v>1112</v>
      </c>
      <c r="T290" s="409" t="s">
        <v>626</v>
      </c>
      <c r="Z290" s="409" t="s">
        <v>628</v>
      </c>
      <c r="AA290" s="408">
        <f t="shared" si="59"/>
        <v>1</v>
      </c>
      <c r="AB290" s="408">
        <f t="shared" si="49"/>
        <v>0</v>
      </c>
      <c r="AC290" s="408">
        <f t="shared" si="50"/>
        <v>0</v>
      </c>
      <c r="AD290" s="408">
        <f t="shared" si="51"/>
        <v>1</v>
      </c>
      <c r="AE290" s="408">
        <f t="shared" si="52"/>
        <v>0</v>
      </c>
      <c r="AF290" s="408">
        <f t="shared" si="53"/>
        <v>0</v>
      </c>
      <c r="AG290" s="408">
        <f t="shared" si="54"/>
        <v>0</v>
      </c>
      <c r="AH290" s="408">
        <f t="shared" si="55"/>
        <v>0</v>
      </c>
      <c r="AI290" s="408">
        <f t="shared" si="56"/>
        <v>0</v>
      </c>
      <c r="AJ290" s="408">
        <f t="shared" si="57"/>
        <v>1</v>
      </c>
    </row>
    <row r="291" spans="1:36" x14ac:dyDescent="0.25">
      <c r="A291" s="409">
        <f t="shared" si="60"/>
        <v>290</v>
      </c>
      <c r="B291" s="410" t="s">
        <v>3318</v>
      </c>
      <c r="C291" s="410" t="s">
        <v>6208</v>
      </c>
      <c r="D291" s="409">
        <v>5</v>
      </c>
      <c r="E291" s="408"/>
      <c r="F291" s="409" t="str">
        <f>""</f>
        <v/>
      </c>
      <c r="G291" s="409" t="s">
        <v>6835</v>
      </c>
      <c r="H291" s="409" t="s">
        <v>5950</v>
      </c>
      <c r="I291" s="409" t="str">
        <f t="shared" si="58"/>
        <v/>
      </c>
      <c r="J291" s="409" t="s">
        <v>6194</v>
      </c>
      <c r="K291" s="409" t="s">
        <v>2536</v>
      </c>
      <c r="L291" s="409" t="s">
        <v>2562</v>
      </c>
      <c r="M291" s="409" t="s">
        <v>3857</v>
      </c>
      <c r="N291" s="408" t="str">
        <f>""</f>
        <v/>
      </c>
      <c r="O291" s="409" t="s">
        <v>6188</v>
      </c>
      <c r="P291" s="408" t="s">
        <v>6739</v>
      </c>
      <c r="Q291" s="409" t="s">
        <v>1112</v>
      </c>
      <c r="T291" s="409" t="s">
        <v>626</v>
      </c>
      <c r="Z291" s="409" t="s">
        <v>628</v>
      </c>
      <c r="AA291" s="408">
        <f t="shared" si="59"/>
        <v>1</v>
      </c>
      <c r="AB291" s="408">
        <f t="shared" si="49"/>
        <v>0</v>
      </c>
      <c r="AC291" s="408">
        <f t="shared" si="50"/>
        <v>0</v>
      </c>
      <c r="AD291" s="408">
        <f t="shared" si="51"/>
        <v>1</v>
      </c>
      <c r="AE291" s="408">
        <f t="shared" si="52"/>
        <v>0</v>
      </c>
      <c r="AF291" s="408">
        <f t="shared" si="53"/>
        <v>0</v>
      </c>
      <c r="AG291" s="408">
        <f t="shared" si="54"/>
        <v>0</v>
      </c>
      <c r="AH291" s="408">
        <f t="shared" si="55"/>
        <v>0</v>
      </c>
      <c r="AI291" s="408">
        <f t="shared" si="56"/>
        <v>0</v>
      </c>
      <c r="AJ291" s="408">
        <f t="shared" si="57"/>
        <v>1</v>
      </c>
    </row>
    <row r="292" spans="1:36" x14ac:dyDescent="0.25">
      <c r="A292" s="409">
        <f t="shared" si="60"/>
        <v>291</v>
      </c>
      <c r="B292" s="410" t="s">
        <v>3320</v>
      </c>
      <c r="C292" s="410" t="s">
        <v>6205</v>
      </c>
      <c r="D292" s="409">
        <v>3</v>
      </c>
      <c r="E292" s="408"/>
      <c r="F292" s="409" t="str">
        <f>""</f>
        <v/>
      </c>
      <c r="G292" s="409" t="s">
        <v>6835</v>
      </c>
      <c r="H292" s="409" t="s">
        <v>6396</v>
      </c>
      <c r="I292" s="409" t="str">
        <f t="shared" si="58"/>
        <v/>
      </c>
      <c r="J292" s="409" t="s">
        <v>6235</v>
      </c>
      <c r="K292" s="409" t="s">
        <v>2536</v>
      </c>
      <c r="L292" s="409" t="s">
        <v>2562</v>
      </c>
      <c r="M292" s="409" t="s">
        <v>1248</v>
      </c>
      <c r="N292" s="408" t="s">
        <v>6397</v>
      </c>
      <c r="O292" s="409" t="s">
        <v>6187</v>
      </c>
      <c r="P292" s="408" t="s">
        <v>6740</v>
      </c>
      <c r="Q292" s="409" t="s">
        <v>1112</v>
      </c>
      <c r="V292" s="409" t="s">
        <v>620</v>
      </c>
      <c r="Z292" s="409" t="s">
        <v>628</v>
      </c>
      <c r="AA292" s="408">
        <f t="shared" si="59"/>
        <v>1</v>
      </c>
      <c r="AB292" s="408">
        <f t="shared" si="49"/>
        <v>0</v>
      </c>
      <c r="AC292" s="408">
        <f t="shared" si="50"/>
        <v>0</v>
      </c>
      <c r="AD292" s="408">
        <f t="shared" si="51"/>
        <v>0</v>
      </c>
      <c r="AE292" s="408">
        <f t="shared" si="52"/>
        <v>0</v>
      </c>
      <c r="AF292" s="408">
        <f t="shared" si="53"/>
        <v>1</v>
      </c>
      <c r="AG292" s="408">
        <f t="shared" si="54"/>
        <v>0</v>
      </c>
      <c r="AH292" s="408">
        <f t="shared" si="55"/>
        <v>0</v>
      </c>
      <c r="AI292" s="408">
        <f t="shared" si="56"/>
        <v>0</v>
      </c>
      <c r="AJ292" s="408">
        <f t="shared" si="57"/>
        <v>1</v>
      </c>
    </row>
    <row r="293" spans="1:36" x14ac:dyDescent="0.25">
      <c r="A293" s="409">
        <f t="shared" si="60"/>
        <v>292</v>
      </c>
      <c r="B293" s="410" t="s">
        <v>3323</v>
      </c>
      <c r="C293" s="410" t="s">
        <v>6251</v>
      </c>
      <c r="D293" s="409">
        <v>7</v>
      </c>
      <c r="E293" s="408"/>
      <c r="F293" s="409" t="str">
        <f>""</f>
        <v/>
      </c>
      <c r="G293" s="409" t="s">
        <v>6835</v>
      </c>
      <c r="H293" s="409" t="s">
        <v>6219</v>
      </c>
      <c r="I293" s="409" t="str">
        <f t="shared" si="58"/>
        <v/>
      </c>
      <c r="J293" s="409" t="s">
        <v>6220</v>
      </c>
      <c r="K293" s="409" t="s">
        <v>2536</v>
      </c>
      <c r="L293" s="409" t="s">
        <v>2562</v>
      </c>
      <c r="M293" s="409" t="s">
        <v>1248</v>
      </c>
      <c r="N293" s="408" t="s">
        <v>6398</v>
      </c>
      <c r="O293" s="409" t="s">
        <v>6190</v>
      </c>
      <c r="P293" s="408" t="s">
        <v>6741</v>
      </c>
      <c r="Z293" s="409" t="s">
        <v>628</v>
      </c>
      <c r="AA293" s="408">
        <f t="shared" si="59"/>
        <v>0</v>
      </c>
      <c r="AB293" s="408">
        <f t="shared" si="49"/>
        <v>0</v>
      </c>
      <c r="AC293" s="408">
        <f t="shared" si="50"/>
        <v>0</v>
      </c>
      <c r="AD293" s="408">
        <f t="shared" si="51"/>
        <v>0</v>
      </c>
      <c r="AE293" s="408">
        <f t="shared" si="52"/>
        <v>0</v>
      </c>
      <c r="AF293" s="408">
        <f t="shared" si="53"/>
        <v>0</v>
      </c>
      <c r="AG293" s="408">
        <f t="shared" si="54"/>
        <v>0</v>
      </c>
      <c r="AH293" s="408">
        <f t="shared" si="55"/>
        <v>0</v>
      </c>
      <c r="AI293" s="408">
        <f t="shared" si="56"/>
        <v>0</v>
      </c>
      <c r="AJ293" s="408">
        <f t="shared" si="57"/>
        <v>1</v>
      </c>
    </row>
    <row r="294" spans="1:36" x14ac:dyDescent="0.25">
      <c r="A294" s="409">
        <f t="shared" si="60"/>
        <v>293</v>
      </c>
      <c r="B294" s="410" t="s">
        <v>3326</v>
      </c>
      <c r="C294" s="410" t="s">
        <v>6223</v>
      </c>
      <c r="D294" s="409">
        <v>9</v>
      </c>
      <c r="E294" s="408"/>
      <c r="F294" s="409" t="str">
        <f>""</f>
        <v/>
      </c>
      <c r="G294" s="409" t="s">
        <v>6835</v>
      </c>
      <c r="H294" s="409" t="s">
        <v>6199</v>
      </c>
      <c r="I294" s="409" t="str">
        <f t="shared" si="58"/>
        <v>Concentration</v>
      </c>
      <c r="J294" s="409" t="s">
        <v>6200</v>
      </c>
      <c r="K294" s="409" t="s">
        <v>2536</v>
      </c>
      <c r="L294" s="409" t="s">
        <v>2562</v>
      </c>
      <c r="M294" s="409" t="s">
        <v>1248</v>
      </c>
      <c r="N294" s="408" t="s">
        <v>6399</v>
      </c>
      <c r="O294" s="409" t="s">
        <v>6190</v>
      </c>
      <c r="P294" s="408" t="s">
        <v>6742</v>
      </c>
      <c r="W294" s="409" t="s">
        <v>621</v>
      </c>
      <c r="Z294" s="409" t="s">
        <v>628</v>
      </c>
      <c r="AA294" s="408">
        <f t="shared" si="59"/>
        <v>0</v>
      </c>
      <c r="AB294" s="408">
        <f t="shared" si="49"/>
        <v>0</v>
      </c>
      <c r="AC294" s="408">
        <f t="shared" si="50"/>
        <v>0</v>
      </c>
      <c r="AD294" s="408">
        <f t="shared" si="51"/>
        <v>0</v>
      </c>
      <c r="AE294" s="408">
        <f t="shared" si="52"/>
        <v>0</v>
      </c>
      <c r="AF294" s="408">
        <f t="shared" si="53"/>
        <v>0</v>
      </c>
      <c r="AG294" s="408">
        <f t="shared" si="54"/>
        <v>1</v>
      </c>
      <c r="AH294" s="408">
        <f t="shared" si="55"/>
        <v>0</v>
      </c>
      <c r="AI294" s="408">
        <f t="shared" si="56"/>
        <v>0</v>
      </c>
      <c r="AJ294" s="408">
        <f t="shared" si="57"/>
        <v>1</v>
      </c>
    </row>
    <row r="295" spans="1:36" x14ac:dyDescent="0.25">
      <c r="A295" s="409">
        <f t="shared" si="60"/>
        <v>294</v>
      </c>
      <c r="B295" s="410" t="s">
        <v>3330</v>
      </c>
      <c r="C295" s="410" t="s">
        <v>6193</v>
      </c>
      <c r="D295" s="409">
        <v>2</v>
      </c>
      <c r="E295" s="408"/>
      <c r="F295" s="409" t="str">
        <f>""</f>
        <v/>
      </c>
      <c r="G295" s="409" t="s">
        <v>6835</v>
      </c>
      <c r="H295" s="409" t="s">
        <v>424</v>
      </c>
      <c r="I295" s="409" t="str">
        <f t="shared" si="58"/>
        <v/>
      </c>
      <c r="J295" s="409" t="s">
        <v>6192</v>
      </c>
      <c r="K295" s="409" t="s">
        <v>2536</v>
      </c>
      <c r="L295" s="409" t="s">
        <v>2562</v>
      </c>
      <c r="M295" s="409" t="s">
        <v>1248</v>
      </c>
      <c r="N295" s="408" t="s">
        <v>6400</v>
      </c>
      <c r="O295" s="409" t="s">
        <v>6187</v>
      </c>
      <c r="P295" s="408" t="s">
        <v>6743</v>
      </c>
      <c r="Q295" s="409" t="s">
        <v>1112</v>
      </c>
      <c r="T295" s="409" t="s">
        <v>626</v>
      </c>
      <c r="U295" s="409" t="s">
        <v>627</v>
      </c>
      <c r="Z295" s="409" t="s">
        <v>628</v>
      </c>
      <c r="AA295" s="408">
        <f t="shared" si="59"/>
        <v>1</v>
      </c>
      <c r="AB295" s="408">
        <f t="shared" si="49"/>
        <v>0</v>
      </c>
      <c r="AC295" s="408">
        <f t="shared" si="50"/>
        <v>0</v>
      </c>
      <c r="AD295" s="408">
        <f t="shared" si="51"/>
        <v>1</v>
      </c>
      <c r="AE295" s="408">
        <f t="shared" si="52"/>
        <v>1</v>
      </c>
      <c r="AF295" s="408">
        <f t="shared" si="53"/>
        <v>0</v>
      </c>
      <c r="AG295" s="408">
        <f t="shared" si="54"/>
        <v>0</v>
      </c>
      <c r="AH295" s="408">
        <f t="shared" si="55"/>
        <v>0</v>
      </c>
      <c r="AI295" s="408">
        <f t="shared" si="56"/>
        <v>0</v>
      </c>
      <c r="AJ295" s="408">
        <f t="shared" si="57"/>
        <v>1</v>
      </c>
    </row>
    <row r="296" spans="1:36" x14ac:dyDescent="0.25">
      <c r="A296" s="409">
        <f t="shared" si="60"/>
        <v>295</v>
      </c>
      <c r="B296" s="410" t="s">
        <v>110</v>
      </c>
      <c r="C296" s="410" t="s">
        <v>6196</v>
      </c>
      <c r="D296" s="409">
        <v>1</v>
      </c>
      <c r="E296" s="408"/>
      <c r="F296" s="409" t="str">
        <f>""</f>
        <v/>
      </c>
      <c r="G296" s="409" t="s">
        <v>6264</v>
      </c>
      <c r="H296" s="409" t="s">
        <v>6199</v>
      </c>
      <c r="I296" s="409" t="str">
        <f t="shared" si="58"/>
        <v/>
      </c>
      <c r="J296" s="409" t="s">
        <v>6235</v>
      </c>
      <c r="K296" s="409" t="s">
        <v>2536</v>
      </c>
      <c r="L296" s="409" t="s">
        <v>2562</v>
      </c>
      <c r="M296" s="409" t="s">
        <v>3857</v>
      </c>
      <c r="N296" s="408" t="str">
        <f>""</f>
        <v/>
      </c>
      <c r="O296" s="409" t="s">
        <v>6184</v>
      </c>
      <c r="P296" s="408" t="s">
        <v>3334</v>
      </c>
      <c r="T296" s="409" t="s">
        <v>626</v>
      </c>
      <c r="Z296" s="409" t="s">
        <v>628</v>
      </c>
      <c r="AA296" s="408">
        <f t="shared" si="59"/>
        <v>0</v>
      </c>
      <c r="AB296" s="408">
        <f t="shared" si="49"/>
        <v>0</v>
      </c>
      <c r="AC296" s="408">
        <f t="shared" si="50"/>
        <v>0</v>
      </c>
      <c r="AD296" s="408">
        <f t="shared" si="51"/>
        <v>1</v>
      </c>
      <c r="AE296" s="408">
        <f t="shared" si="52"/>
        <v>0</v>
      </c>
      <c r="AF296" s="408">
        <f t="shared" si="53"/>
        <v>0</v>
      </c>
      <c r="AG296" s="408">
        <f t="shared" si="54"/>
        <v>0</v>
      </c>
      <c r="AH296" s="408">
        <f t="shared" si="55"/>
        <v>0</v>
      </c>
      <c r="AI296" s="408">
        <f t="shared" si="56"/>
        <v>0</v>
      </c>
      <c r="AJ296" s="408">
        <f t="shared" si="57"/>
        <v>1</v>
      </c>
    </row>
    <row r="297" spans="1:36" x14ac:dyDescent="0.25">
      <c r="A297" s="409">
        <f t="shared" si="60"/>
        <v>296</v>
      </c>
      <c r="B297" s="410" t="s">
        <v>3335</v>
      </c>
      <c r="C297" s="410" t="s">
        <v>6196</v>
      </c>
      <c r="D297" s="409">
        <v>1</v>
      </c>
      <c r="E297" s="408"/>
      <c r="F297" s="409" t="str">
        <f>""</f>
        <v/>
      </c>
      <c r="G297" s="409" t="s">
        <v>6841</v>
      </c>
      <c r="H297" s="409" t="s">
        <v>424</v>
      </c>
      <c r="I297" s="409" t="str">
        <f t="shared" si="58"/>
        <v>Concentration</v>
      </c>
      <c r="J297" s="409" t="s">
        <v>6218</v>
      </c>
      <c r="K297" s="409" t="s">
        <v>2536</v>
      </c>
      <c r="L297" s="409" t="s">
        <v>2562</v>
      </c>
      <c r="M297" s="409" t="s">
        <v>1248</v>
      </c>
      <c r="N297" s="408" t="s">
        <v>6401</v>
      </c>
      <c r="O297" s="409" t="s">
        <v>6184</v>
      </c>
      <c r="P297" s="408" t="s">
        <v>3337</v>
      </c>
      <c r="R297" s="409" t="s">
        <v>1113</v>
      </c>
      <c r="V297" s="409" t="s">
        <v>620</v>
      </c>
      <c r="AA297" s="408">
        <f t="shared" si="59"/>
        <v>0</v>
      </c>
      <c r="AB297" s="408">
        <f t="shared" si="49"/>
        <v>1</v>
      </c>
      <c r="AC297" s="408">
        <f t="shared" si="50"/>
        <v>0</v>
      </c>
      <c r="AD297" s="408">
        <f t="shared" si="51"/>
        <v>0</v>
      </c>
      <c r="AE297" s="408">
        <f t="shared" si="52"/>
        <v>0</v>
      </c>
      <c r="AF297" s="408">
        <f t="shared" si="53"/>
        <v>1</v>
      </c>
      <c r="AG297" s="408">
        <f t="shared" si="54"/>
        <v>0</v>
      </c>
      <c r="AH297" s="408">
        <f t="shared" si="55"/>
        <v>0</v>
      </c>
      <c r="AI297" s="408">
        <f t="shared" si="56"/>
        <v>0</v>
      </c>
      <c r="AJ297" s="408">
        <f t="shared" si="57"/>
        <v>0</v>
      </c>
    </row>
    <row r="298" spans="1:36" x14ac:dyDescent="0.25">
      <c r="A298" s="409">
        <f t="shared" si="60"/>
        <v>297</v>
      </c>
      <c r="B298" s="410" t="s">
        <v>3338</v>
      </c>
      <c r="C298" s="410" t="s">
        <v>6191</v>
      </c>
      <c r="D298" s="409">
        <v>0.5</v>
      </c>
      <c r="E298" s="408"/>
      <c r="F298" s="409" t="str">
        <f>""</f>
        <v/>
      </c>
      <c r="G298" s="409" t="s">
        <v>6841</v>
      </c>
      <c r="H298" s="409" t="s">
        <v>6219</v>
      </c>
      <c r="I298" s="409" t="str">
        <f t="shared" si="58"/>
        <v/>
      </c>
      <c r="J298" s="409" t="s">
        <v>6206</v>
      </c>
      <c r="K298" s="409" t="s">
        <v>2536</v>
      </c>
      <c r="L298" s="409" t="s">
        <v>2562</v>
      </c>
      <c r="M298" s="409" t="s">
        <v>1248</v>
      </c>
      <c r="N298" s="408" t="s">
        <v>6402</v>
      </c>
      <c r="O298" s="409" t="s">
        <v>6190</v>
      </c>
      <c r="P298" s="408" t="s">
        <v>3340</v>
      </c>
      <c r="W298" s="409" t="s">
        <v>621</v>
      </c>
      <c r="AA298" s="408">
        <f t="shared" si="59"/>
        <v>0</v>
      </c>
      <c r="AB298" s="408">
        <f t="shared" si="49"/>
        <v>0</v>
      </c>
      <c r="AC298" s="408">
        <f t="shared" si="50"/>
        <v>0</v>
      </c>
      <c r="AD298" s="408">
        <f t="shared" si="51"/>
        <v>0</v>
      </c>
      <c r="AE298" s="408">
        <f t="shared" si="52"/>
        <v>0</v>
      </c>
      <c r="AF298" s="408">
        <f t="shared" si="53"/>
        <v>0</v>
      </c>
      <c r="AG298" s="408">
        <f t="shared" si="54"/>
        <v>1</v>
      </c>
      <c r="AH298" s="408">
        <f t="shared" si="55"/>
        <v>0</v>
      </c>
      <c r="AI298" s="408">
        <f t="shared" si="56"/>
        <v>0</v>
      </c>
      <c r="AJ298" s="408">
        <f t="shared" si="57"/>
        <v>0</v>
      </c>
    </row>
    <row r="299" spans="1:36" x14ac:dyDescent="0.25">
      <c r="A299" s="409">
        <f t="shared" si="60"/>
        <v>298</v>
      </c>
      <c r="B299" s="410" t="s">
        <v>3341</v>
      </c>
      <c r="C299" s="410" t="s">
        <v>6191</v>
      </c>
      <c r="D299" s="409">
        <v>0.5</v>
      </c>
      <c r="E299" s="408"/>
      <c r="F299" s="409" t="str">
        <f>""</f>
        <v/>
      </c>
      <c r="G299" s="409" t="s">
        <v>6835</v>
      </c>
      <c r="H299" s="409" t="s">
        <v>6219</v>
      </c>
      <c r="I299" s="409" t="str">
        <f t="shared" si="58"/>
        <v/>
      </c>
      <c r="J299" s="409" t="s">
        <v>6192</v>
      </c>
      <c r="K299" s="409" t="s">
        <v>2536</v>
      </c>
      <c r="L299" s="409" t="s">
        <v>2562</v>
      </c>
      <c r="M299" s="409" t="s">
        <v>3857</v>
      </c>
      <c r="N299" s="408" t="str">
        <f>""</f>
        <v/>
      </c>
      <c r="O299" s="409" t="s">
        <v>6187</v>
      </c>
      <c r="P299" s="408" t="s">
        <v>6744</v>
      </c>
      <c r="T299" s="409" t="s">
        <v>626</v>
      </c>
      <c r="Z299" s="409" t="s">
        <v>628</v>
      </c>
      <c r="AA299" s="408">
        <f t="shared" si="59"/>
        <v>0</v>
      </c>
      <c r="AB299" s="408">
        <f t="shared" si="49"/>
        <v>0</v>
      </c>
      <c r="AC299" s="408">
        <f t="shared" si="50"/>
        <v>0</v>
      </c>
      <c r="AD299" s="408">
        <f t="shared" si="51"/>
        <v>1</v>
      </c>
      <c r="AE299" s="408">
        <f t="shared" si="52"/>
        <v>0</v>
      </c>
      <c r="AF299" s="408">
        <f t="shared" si="53"/>
        <v>0</v>
      </c>
      <c r="AG299" s="408">
        <f t="shared" si="54"/>
        <v>0</v>
      </c>
      <c r="AH299" s="408">
        <f t="shared" si="55"/>
        <v>0</v>
      </c>
      <c r="AI299" s="408">
        <f t="shared" si="56"/>
        <v>0</v>
      </c>
      <c r="AJ299" s="408">
        <f t="shared" si="57"/>
        <v>1</v>
      </c>
    </row>
    <row r="300" spans="1:36" x14ac:dyDescent="0.25">
      <c r="A300" s="409">
        <f t="shared" si="60"/>
        <v>299</v>
      </c>
      <c r="B300" s="410" t="s">
        <v>3343</v>
      </c>
      <c r="C300" s="410" t="s">
        <v>6193</v>
      </c>
      <c r="D300" s="409">
        <v>2</v>
      </c>
      <c r="E300" s="408"/>
      <c r="F300" s="409" t="s">
        <v>6183</v>
      </c>
      <c r="G300" s="409" t="s">
        <v>6836</v>
      </c>
      <c r="H300" s="409" t="s">
        <v>6209</v>
      </c>
      <c r="I300" s="409" t="str">
        <f t="shared" si="58"/>
        <v>Concentration</v>
      </c>
      <c r="J300" s="409" t="s">
        <v>6218</v>
      </c>
      <c r="K300" s="409" t="s">
        <v>2536</v>
      </c>
      <c r="L300" s="409" t="s">
        <v>2562</v>
      </c>
      <c r="M300" s="409" t="s">
        <v>3857</v>
      </c>
      <c r="N300" s="408" t="str">
        <f>""</f>
        <v/>
      </c>
      <c r="O300" s="409" t="s">
        <v>6188</v>
      </c>
      <c r="P300" s="408" t="s">
        <v>3344</v>
      </c>
      <c r="Q300" s="409" t="s">
        <v>1112</v>
      </c>
      <c r="S300" s="409" t="s">
        <v>624</v>
      </c>
      <c r="V300" s="409" t="s">
        <v>620</v>
      </c>
      <c r="AA300" s="408">
        <f t="shared" si="59"/>
        <v>1</v>
      </c>
      <c r="AB300" s="408">
        <f t="shared" si="49"/>
        <v>0</v>
      </c>
      <c r="AC300" s="408">
        <f t="shared" si="50"/>
        <v>1</v>
      </c>
      <c r="AD300" s="408">
        <f t="shared" si="51"/>
        <v>0</v>
      </c>
      <c r="AE300" s="408">
        <f t="shared" si="52"/>
        <v>0</v>
      </c>
      <c r="AF300" s="408">
        <f t="shared" si="53"/>
        <v>1</v>
      </c>
      <c r="AG300" s="408">
        <f t="shared" si="54"/>
        <v>0</v>
      </c>
      <c r="AH300" s="408">
        <f t="shared" si="55"/>
        <v>0</v>
      </c>
      <c r="AI300" s="408">
        <f t="shared" si="56"/>
        <v>0</v>
      </c>
      <c r="AJ300" s="408">
        <f t="shared" si="57"/>
        <v>0</v>
      </c>
    </row>
    <row r="301" spans="1:36" x14ac:dyDescent="0.25">
      <c r="A301" s="409">
        <f t="shared" si="60"/>
        <v>300</v>
      </c>
      <c r="B301" s="410" t="s">
        <v>3345</v>
      </c>
      <c r="C301" s="410" t="s">
        <v>6196</v>
      </c>
      <c r="D301" s="409">
        <v>1</v>
      </c>
      <c r="E301" s="408"/>
      <c r="F301" s="409" t="str">
        <f>""</f>
        <v/>
      </c>
      <c r="G301" s="409" t="s">
        <v>6835</v>
      </c>
      <c r="H301" s="409" t="s">
        <v>424</v>
      </c>
      <c r="I301" s="409" t="str">
        <f t="shared" si="58"/>
        <v>Concentration</v>
      </c>
      <c r="J301" s="409" t="s">
        <v>6218</v>
      </c>
      <c r="K301" s="409" t="s">
        <v>2536</v>
      </c>
      <c r="L301" s="409" t="s">
        <v>2562</v>
      </c>
      <c r="M301" s="409" t="s">
        <v>1248</v>
      </c>
      <c r="N301" s="408" t="s">
        <v>6349</v>
      </c>
      <c r="O301" s="409" t="s">
        <v>6188</v>
      </c>
      <c r="P301" s="408" t="s">
        <v>6745</v>
      </c>
      <c r="Q301" s="409" t="s">
        <v>1112</v>
      </c>
      <c r="T301" s="409" t="s">
        <v>626</v>
      </c>
      <c r="Z301" s="409" t="s">
        <v>628</v>
      </c>
      <c r="AA301" s="408">
        <f t="shared" si="59"/>
        <v>1</v>
      </c>
      <c r="AB301" s="408">
        <f t="shared" si="49"/>
        <v>0</v>
      </c>
      <c r="AC301" s="408">
        <f t="shared" si="50"/>
        <v>0</v>
      </c>
      <c r="AD301" s="408">
        <f t="shared" si="51"/>
        <v>1</v>
      </c>
      <c r="AE301" s="408">
        <f t="shared" si="52"/>
        <v>0</v>
      </c>
      <c r="AF301" s="408">
        <f t="shared" si="53"/>
        <v>0</v>
      </c>
      <c r="AG301" s="408">
        <f t="shared" si="54"/>
        <v>0</v>
      </c>
      <c r="AH301" s="408">
        <f t="shared" si="55"/>
        <v>0</v>
      </c>
      <c r="AI301" s="408">
        <f t="shared" si="56"/>
        <v>0</v>
      </c>
      <c r="AJ301" s="408">
        <f t="shared" si="57"/>
        <v>1</v>
      </c>
    </row>
    <row r="302" spans="1:36" x14ac:dyDescent="0.25">
      <c r="A302" s="409">
        <f t="shared" si="60"/>
        <v>301</v>
      </c>
      <c r="B302" s="410" t="s">
        <v>3347</v>
      </c>
      <c r="C302" s="410" t="s">
        <v>6251</v>
      </c>
      <c r="D302" s="409">
        <v>7</v>
      </c>
      <c r="E302" s="408"/>
      <c r="F302" s="409" t="str">
        <f>""</f>
        <v/>
      </c>
      <c r="G302" s="409" t="s">
        <v>6403</v>
      </c>
      <c r="H302" s="409" t="s">
        <v>6219</v>
      </c>
      <c r="I302" s="409" t="str">
        <f t="shared" si="58"/>
        <v/>
      </c>
      <c r="J302" s="409" t="s">
        <v>6220</v>
      </c>
      <c r="K302" s="409" t="s">
        <v>2536</v>
      </c>
      <c r="L302" s="409" t="s">
        <v>2562</v>
      </c>
      <c r="M302" s="409" t="s">
        <v>1248</v>
      </c>
      <c r="N302" s="408" t="s">
        <v>6404</v>
      </c>
      <c r="O302" s="409" t="s">
        <v>6188</v>
      </c>
      <c r="P302" s="408" t="s">
        <v>6746</v>
      </c>
      <c r="Z302" s="409" t="s">
        <v>628</v>
      </c>
      <c r="AA302" s="408">
        <f t="shared" si="59"/>
        <v>0</v>
      </c>
      <c r="AB302" s="408">
        <f t="shared" si="49"/>
        <v>0</v>
      </c>
      <c r="AC302" s="408">
        <f t="shared" si="50"/>
        <v>0</v>
      </c>
      <c r="AD302" s="408">
        <f t="shared" si="51"/>
        <v>0</v>
      </c>
      <c r="AE302" s="408">
        <f t="shared" si="52"/>
        <v>0</v>
      </c>
      <c r="AF302" s="408">
        <f t="shared" si="53"/>
        <v>0</v>
      </c>
      <c r="AG302" s="408">
        <f t="shared" si="54"/>
        <v>0</v>
      </c>
      <c r="AH302" s="408">
        <f t="shared" si="55"/>
        <v>0</v>
      </c>
      <c r="AI302" s="408">
        <f t="shared" si="56"/>
        <v>0</v>
      </c>
      <c r="AJ302" s="408">
        <f t="shared" si="57"/>
        <v>1</v>
      </c>
    </row>
    <row r="303" spans="1:36" x14ac:dyDescent="0.25">
      <c r="A303" s="409">
        <f t="shared" si="60"/>
        <v>302</v>
      </c>
      <c r="B303" s="410" t="s">
        <v>3351</v>
      </c>
      <c r="C303" s="410" t="s">
        <v>6196</v>
      </c>
      <c r="D303" s="409">
        <v>1</v>
      </c>
      <c r="E303" s="408"/>
      <c r="F303" s="409" t="str">
        <f>""</f>
        <v/>
      </c>
      <c r="G303" s="409" t="s">
        <v>6835</v>
      </c>
      <c r="H303" s="409" t="s">
        <v>6234</v>
      </c>
      <c r="I303" s="409" t="str">
        <f t="shared" si="58"/>
        <v/>
      </c>
      <c r="J303" s="409" t="s">
        <v>6206</v>
      </c>
      <c r="K303" s="409" t="s">
        <v>2536</v>
      </c>
      <c r="L303" s="409" t="s">
        <v>2562</v>
      </c>
      <c r="M303" s="409" t="s">
        <v>1248</v>
      </c>
      <c r="N303" s="408" t="s">
        <v>6405</v>
      </c>
      <c r="O303" s="409" t="s">
        <v>6186</v>
      </c>
      <c r="P303" s="408" t="s">
        <v>6747</v>
      </c>
      <c r="Q303" s="409" t="s">
        <v>1112</v>
      </c>
      <c r="T303" s="409" t="s">
        <v>626</v>
      </c>
      <c r="Z303" s="409" t="s">
        <v>628</v>
      </c>
      <c r="AA303" s="408">
        <f t="shared" si="59"/>
        <v>1</v>
      </c>
      <c r="AB303" s="408">
        <f t="shared" si="49"/>
        <v>0</v>
      </c>
      <c r="AC303" s="408">
        <f t="shared" si="50"/>
        <v>0</v>
      </c>
      <c r="AD303" s="408">
        <f t="shared" si="51"/>
        <v>1</v>
      </c>
      <c r="AE303" s="408">
        <f t="shared" si="52"/>
        <v>0</v>
      </c>
      <c r="AF303" s="408">
        <f t="shared" si="53"/>
        <v>0</v>
      </c>
      <c r="AG303" s="408">
        <f t="shared" si="54"/>
        <v>0</v>
      </c>
      <c r="AH303" s="408">
        <f t="shared" si="55"/>
        <v>0</v>
      </c>
      <c r="AI303" s="408">
        <f t="shared" si="56"/>
        <v>0</v>
      </c>
      <c r="AJ303" s="408">
        <f t="shared" si="57"/>
        <v>1</v>
      </c>
    </row>
    <row r="304" spans="1:36" x14ac:dyDescent="0.25">
      <c r="A304" s="409">
        <f t="shared" si="60"/>
        <v>303</v>
      </c>
      <c r="B304" s="410" t="s">
        <v>3354</v>
      </c>
      <c r="C304" s="410" t="s">
        <v>6205</v>
      </c>
      <c r="D304" s="409">
        <v>3</v>
      </c>
      <c r="E304" s="408"/>
      <c r="F304" s="409" t="str">
        <f>""</f>
        <v/>
      </c>
      <c r="G304" s="409" t="s">
        <v>6835</v>
      </c>
      <c r="H304" s="409" t="s">
        <v>6237</v>
      </c>
      <c r="I304" s="409" t="str">
        <f t="shared" si="58"/>
        <v>Concentration</v>
      </c>
      <c r="J304" s="409" t="s">
        <v>6210</v>
      </c>
      <c r="K304" s="409" t="s">
        <v>2536</v>
      </c>
      <c r="L304" s="409" t="s">
        <v>2562</v>
      </c>
      <c r="M304" s="409" t="s">
        <v>1248</v>
      </c>
      <c r="N304" s="408" t="s">
        <v>6328</v>
      </c>
      <c r="O304" s="409" t="s">
        <v>6185</v>
      </c>
      <c r="P304" s="408" t="s">
        <v>6748</v>
      </c>
      <c r="T304" s="409" t="s">
        <v>626</v>
      </c>
      <c r="W304" s="409" t="s">
        <v>621</v>
      </c>
      <c r="Z304" s="409" t="s">
        <v>628</v>
      </c>
      <c r="AA304" s="408">
        <f t="shared" si="59"/>
        <v>0</v>
      </c>
      <c r="AB304" s="408">
        <f t="shared" si="49"/>
        <v>0</v>
      </c>
      <c r="AC304" s="408">
        <f t="shared" si="50"/>
        <v>0</v>
      </c>
      <c r="AD304" s="408">
        <f t="shared" si="51"/>
        <v>1</v>
      </c>
      <c r="AE304" s="408">
        <f t="shared" si="52"/>
        <v>0</v>
      </c>
      <c r="AF304" s="408">
        <f t="shared" si="53"/>
        <v>0</v>
      </c>
      <c r="AG304" s="408">
        <f t="shared" si="54"/>
        <v>1</v>
      </c>
      <c r="AH304" s="408">
        <f t="shared" si="55"/>
        <v>0</v>
      </c>
      <c r="AI304" s="408">
        <f t="shared" si="56"/>
        <v>0</v>
      </c>
      <c r="AJ304" s="408">
        <f t="shared" si="57"/>
        <v>1</v>
      </c>
    </row>
    <row r="305" spans="1:36" x14ac:dyDescent="0.25">
      <c r="A305" s="409">
        <f t="shared" si="60"/>
        <v>304</v>
      </c>
      <c r="B305" s="410" t="s">
        <v>3356</v>
      </c>
      <c r="C305" s="410" t="s">
        <v>6205</v>
      </c>
      <c r="D305" s="409">
        <v>3</v>
      </c>
      <c r="E305" s="408"/>
      <c r="F305" s="409" t="str">
        <f>""</f>
        <v/>
      </c>
      <c r="G305" s="409" t="s">
        <v>6835</v>
      </c>
      <c r="H305" s="409" t="s">
        <v>6209</v>
      </c>
      <c r="I305" s="409" t="str">
        <f t="shared" si="58"/>
        <v>Concentration</v>
      </c>
      <c r="J305" s="409" t="s">
        <v>6210</v>
      </c>
      <c r="K305" s="409" t="s">
        <v>2536</v>
      </c>
      <c r="L305" s="409" t="s">
        <v>2562</v>
      </c>
      <c r="M305" s="409" t="s">
        <v>1248</v>
      </c>
      <c r="N305" s="408" t="s">
        <v>6406</v>
      </c>
      <c r="O305" s="409" t="s">
        <v>6190</v>
      </c>
      <c r="P305" s="408" t="s">
        <v>6840</v>
      </c>
      <c r="T305" s="409" t="s">
        <v>626</v>
      </c>
      <c r="Z305" s="409" t="s">
        <v>628</v>
      </c>
      <c r="AA305" s="408">
        <f t="shared" si="59"/>
        <v>0</v>
      </c>
      <c r="AB305" s="408">
        <f t="shared" si="49"/>
        <v>0</v>
      </c>
      <c r="AC305" s="408">
        <f t="shared" si="50"/>
        <v>0</v>
      </c>
      <c r="AD305" s="408">
        <f t="shared" si="51"/>
        <v>1</v>
      </c>
      <c r="AE305" s="408">
        <f t="shared" si="52"/>
        <v>0</v>
      </c>
      <c r="AF305" s="408">
        <f t="shared" si="53"/>
        <v>0</v>
      </c>
      <c r="AG305" s="408">
        <f t="shared" si="54"/>
        <v>0</v>
      </c>
      <c r="AH305" s="408">
        <f t="shared" si="55"/>
        <v>0</v>
      </c>
      <c r="AI305" s="408">
        <f t="shared" si="56"/>
        <v>0</v>
      </c>
      <c r="AJ305" s="408">
        <f t="shared" si="57"/>
        <v>1</v>
      </c>
    </row>
    <row r="306" spans="1:36" x14ac:dyDescent="0.25">
      <c r="A306" s="409">
        <f t="shared" si="60"/>
        <v>305</v>
      </c>
      <c r="B306" s="410" t="s">
        <v>3359</v>
      </c>
      <c r="C306" s="410" t="s">
        <v>6191</v>
      </c>
      <c r="D306" s="409">
        <v>0.5</v>
      </c>
      <c r="E306" s="408"/>
      <c r="F306" s="409" t="str">
        <f>""</f>
        <v/>
      </c>
      <c r="G306" s="409" t="s">
        <v>6835</v>
      </c>
      <c r="H306" s="409" t="s">
        <v>6219</v>
      </c>
      <c r="I306" s="409" t="str">
        <f t="shared" si="58"/>
        <v/>
      </c>
      <c r="J306" s="409" t="s">
        <v>6192</v>
      </c>
      <c r="K306" s="409" t="s">
        <v>2536</v>
      </c>
      <c r="L306" s="409" t="s">
        <v>2562</v>
      </c>
      <c r="M306" s="409" t="s">
        <v>3857</v>
      </c>
      <c r="N306" s="408" t="str">
        <f>""</f>
        <v/>
      </c>
      <c r="O306" s="409" t="s">
        <v>6189</v>
      </c>
      <c r="P306" s="408" t="s">
        <v>3360</v>
      </c>
      <c r="V306" s="409" t="s">
        <v>620</v>
      </c>
      <c r="AA306" s="408">
        <f t="shared" si="59"/>
        <v>0</v>
      </c>
      <c r="AB306" s="408">
        <f t="shared" si="49"/>
        <v>0</v>
      </c>
      <c r="AC306" s="408">
        <f t="shared" si="50"/>
        <v>0</v>
      </c>
      <c r="AD306" s="408">
        <f t="shared" si="51"/>
        <v>0</v>
      </c>
      <c r="AE306" s="408">
        <f t="shared" si="52"/>
        <v>0</v>
      </c>
      <c r="AF306" s="408">
        <f t="shared" si="53"/>
        <v>1</v>
      </c>
      <c r="AG306" s="408">
        <f t="shared" si="54"/>
        <v>0</v>
      </c>
      <c r="AH306" s="408">
        <f t="shared" si="55"/>
        <v>0</v>
      </c>
      <c r="AI306" s="408">
        <f t="shared" si="56"/>
        <v>0</v>
      </c>
      <c r="AJ306" s="408">
        <f t="shared" si="57"/>
        <v>0</v>
      </c>
    </row>
    <row r="307" spans="1:36" x14ac:dyDescent="0.25">
      <c r="A307" s="409">
        <f t="shared" si="60"/>
        <v>306</v>
      </c>
      <c r="B307" s="410" t="s">
        <v>3361</v>
      </c>
      <c r="C307" s="410" t="s">
        <v>6196</v>
      </c>
      <c r="D307" s="409">
        <v>1</v>
      </c>
      <c r="E307" s="408"/>
      <c r="F307" s="409" t="s">
        <v>6183</v>
      </c>
      <c r="G307" s="409" t="s">
        <v>6836</v>
      </c>
      <c r="H307" s="409" t="s">
        <v>6199</v>
      </c>
      <c r="I307" s="409" t="str">
        <f t="shared" si="58"/>
        <v/>
      </c>
      <c r="J307" s="409" t="s">
        <v>6241</v>
      </c>
      <c r="K307" s="409" t="s">
        <v>2536</v>
      </c>
      <c r="L307" s="409" t="s">
        <v>2562</v>
      </c>
      <c r="M307" s="409" t="s">
        <v>3857</v>
      </c>
      <c r="N307" s="408" t="str">
        <f>""</f>
        <v/>
      </c>
      <c r="O307" s="409" t="s">
        <v>2792</v>
      </c>
      <c r="P307" s="408" t="s">
        <v>3362</v>
      </c>
      <c r="Q307" s="409" t="s">
        <v>1112</v>
      </c>
      <c r="S307" s="409" t="s">
        <v>624</v>
      </c>
      <c r="W307" s="409" t="s">
        <v>621</v>
      </c>
      <c r="AA307" s="408">
        <f t="shared" si="59"/>
        <v>1</v>
      </c>
      <c r="AB307" s="408">
        <f t="shared" si="49"/>
        <v>0</v>
      </c>
      <c r="AC307" s="408">
        <f t="shared" si="50"/>
        <v>1</v>
      </c>
      <c r="AD307" s="408">
        <f t="shared" si="51"/>
        <v>0</v>
      </c>
      <c r="AE307" s="408">
        <f t="shared" si="52"/>
        <v>0</v>
      </c>
      <c r="AF307" s="408">
        <f t="shared" si="53"/>
        <v>0</v>
      </c>
      <c r="AG307" s="408">
        <f t="shared" si="54"/>
        <v>1</v>
      </c>
      <c r="AH307" s="408">
        <f t="shared" si="55"/>
        <v>0</v>
      </c>
      <c r="AI307" s="408">
        <f t="shared" si="56"/>
        <v>0</v>
      </c>
      <c r="AJ307" s="408">
        <f t="shared" si="57"/>
        <v>0</v>
      </c>
    </row>
    <row r="308" spans="1:36" x14ac:dyDescent="0.25">
      <c r="A308" s="409">
        <f t="shared" si="60"/>
        <v>307</v>
      </c>
      <c r="B308" s="410" t="s">
        <v>3363</v>
      </c>
      <c r="C308" s="410" t="s">
        <v>6205</v>
      </c>
      <c r="D308" s="409">
        <v>3</v>
      </c>
      <c r="E308" s="408"/>
      <c r="F308" s="409" t="str">
        <f>""</f>
        <v/>
      </c>
      <c r="G308" s="409" t="s">
        <v>6835</v>
      </c>
      <c r="H308" s="409" t="s">
        <v>5942</v>
      </c>
      <c r="I308" s="409" t="str">
        <f t="shared" si="58"/>
        <v/>
      </c>
      <c r="J308" s="409" t="s">
        <v>6241</v>
      </c>
      <c r="K308" s="409" t="s">
        <v>2536</v>
      </c>
      <c r="L308" s="409" t="s">
        <v>2562</v>
      </c>
      <c r="M308" s="409" t="s">
        <v>1248</v>
      </c>
      <c r="N308" s="408" t="s">
        <v>6407</v>
      </c>
      <c r="O308" s="409" t="s">
        <v>6189</v>
      </c>
      <c r="P308" s="408" t="s">
        <v>6749</v>
      </c>
      <c r="Q308" s="409" t="s">
        <v>1112</v>
      </c>
      <c r="V308" s="409" t="s">
        <v>620</v>
      </c>
      <c r="AA308" s="408">
        <f t="shared" si="59"/>
        <v>1</v>
      </c>
      <c r="AB308" s="408">
        <f t="shared" si="49"/>
        <v>0</v>
      </c>
      <c r="AC308" s="408">
        <f t="shared" si="50"/>
        <v>0</v>
      </c>
      <c r="AD308" s="408">
        <f t="shared" si="51"/>
        <v>0</v>
      </c>
      <c r="AE308" s="408">
        <f t="shared" si="52"/>
        <v>0</v>
      </c>
      <c r="AF308" s="408">
        <f t="shared" si="53"/>
        <v>1</v>
      </c>
      <c r="AG308" s="408">
        <f t="shared" si="54"/>
        <v>0</v>
      </c>
      <c r="AH308" s="408">
        <f t="shared" si="55"/>
        <v>0</v>
      </c>
      <c r="AI308" s="408">
        <f t="shared" si="56"/>
        <v>0</v>
      </c>
      <c r="AJ308" s="408">
        <f t="shared" si="57"/>
        <v>0</v>
      </c>
    </row>
    <row r="309" spans="1:36" x14ac:dyDescent="0.25">
      <c r="A309" s="409">
        <f t="shared" si="60"/>
        <v>308</v>
      </c>
      <c r="B309" s="410" t="s">
        <v>3366</v>
      </c>
      <c r="C309" s="410" t="s">
        <v>6205</v>
      </c>
      <c r="D309" s="409">
        <v>3</v>
      </c>
      <c r="E309" s="408"/>
      <c r="F309" s="409" t="str">
        <f>""</f>
        <v/>
      </c>
      <c r="G309" s="409" t="s">
        <v>6835</v>
      </c>
      <c r="H309" s="409" t="s">
        <v>6199</v>
      </c>
      <c r="I309" s="409" t="str">
        <f t="shared" si="58"/>
        <v/>
      </c>
      <c r="J309" s="409" t="s">
        <v>6241</v>
      </c>
      <c r="K309" s="409" t="s">
        <v>2536</v>
      </c>
      <c r="L309" s="409" t="s">
        <v>2562</v>
      </c>
      <c r="M309" s="409" t="s">
        <v>3857</v>
      </c>
      <c r="O309" s="409" t="s">
        <v>6190</v>
      </c>
      <c r="P309" s="408" t="s">
        <v>6750</v>
      </c>
      <c r="Q309" s="409" t="s">
        <v>1112</v>
      </c>
      <c r="W309" s="409" t="s">
        <v>621</v>
      </c>
      <c r="AA309" s="408">
        <f t="shared" si="59"/>
        <v>1</v>
      </c>
      <c r="AB309" s="408">
        <f t="shared" si="49"/>
        <v>0</v>
      </c>
      <c r="AC309" s="408">
        <f t="shared" si="50"/>
        <v>0</v>
      </c>
      <c r="AD309" s="408">
        <f t="shared" si="51"/>
        <v>0</v>
      </c>
      <c r="AE309" s="408">
        <f t="shared" si="52"/>
        <v>0</v>
      </c>
      <c r="AF309" s="408">
        <f t="shared" si="53"/>
        <v>0</v>
      </c>
      <c r="AG309" s="408">
        <f t="shared" si="54"/>
        <v>1</v>
      </c>
      <c r="AH309" s="408">
        <f t="shared" si="55"/>
        <v>0</v>
      </c>
      <c r="AI309" s="408">
        <f t="shared" si="56"/>
        <v>0</v>
      </c>
      <c r="AJ309" s="408">
        <f t="shared" si="57"/>
        <v>0</v>
      </c>
    </row>
    <row r="310" spans="1:36" x14ac:dyDescent="0.25">
      <c r="A310" s="409">
        <f t="shared" si="60"/>
        <v>309</v>
      </c>
      <c r="B310" s="410" t="s">
        <v>3368</v>
      </c>
      <c r="C310" s="410" t="s">
        <v>6193</v>
      </c>
      <c r="D310" s="409">
        <v>2</v>
      </c>
      <c r="E310" s="408"/>
      <c r="F310" s="409" t="str">
        <f>""</f>
        <v/>
      </c>
      <c r="G310" s="409" t="s">
        <v>6835</v>
      </c>
      <c r="H310" s="409" t="s">
        <v>6219</v>
      </c>
      <c r="I310" s="409" t="str">
        <f t="shared" si="58"/>
        <v>Concentration</v>
      </c>
      <c r="J310" s="409" t="s">
        <v>6200</v>
      </c>
      <c r="K310" s="409" t="s">
        <v>2536</v>
      </c>
      <c r="L310" s="409" t="s">
        <v>2562</v>
      </c>
      <c r="M310" s="409" t="s">
        <v>1248</v>
      </c>
      <c r="N310" s="408" t="s">
        <v>6408</v>
      </c>
      <c r="O310" s="409" t="s">
        <v>6190</v>
      </c>
      <c r="P310" s="408" t="s">
        <v>3370</v>
      </c>
      <c r="T310" s="409" t="s">
        <v>626</v>
      </c>
      <c r="U310" s="409" t="s">
        <v>627</v>
      </c>
      <c r="Z310" s="409" t="s">
        <v>628</v>
      </c>
      <c r="AA310" s="408">
        <f t="shared" si="59"/>
        <v>0</v>
      </c>
      <c r="AB310" s="408">
        <f t="shared" si="49"/>
        <v>0</v>
      </c>
      <c r="AC310" s="408">
        <f t="shared" si="50"/>
        <v>0</v>
      </c>
      <c r="AD310" s="408">
        <f t="shared" si="51"/>
        <v>1</v>
      </c>
      <c r="AE310" s="408">
        <f t="shared" si="52"/>
        <v>1</v>
      </c>
      <c r="AF310" s="408">
        <f t="shared" si="53"/>
        <v>0</v>
      </c>
      <c r="AG310" s="408">
        <f t="shared" si="54"/>
        <v>0</v>
      </c>
      <c r="AH310" s="408">
        <f t="shared" si="55"/>
        <v>0</v>
      </c>
      <c r="AI310" s="408">
        <f t="shared" si="56"/>
        <v>0</v>
      </c>
      <c r="AJ310" s="408">
        <f t="shared" si="57"/>
        <v>1</v>
      </c>
    </row>
    <row r="311" spans="1:36" x14ac:dyDescent="0.25">
      <c r="A311" s="409">
        <f t="shared" si="60"/>
        <v>310</v>
      </c>
      <c r="B311" s="410" t="s">
        <v>3371</v>
      </c>
      <c r="C311" s="410" t="s">
        <v>6193</v>
      </c>
      <c r="D311" s="409">
        <v>2</v>
      </c>
      <c r="E311" s="408"/>
      <c r="F311" s="409" t="str">
        <f>""</f>
        <v/>
      </c>
      <c r="G311" s="409" t="s">
        <v>6835</v>
      </c>
      <c r="H311" s="409" t="s">
        <v>6237</v>
      </c>
      <c r="I311" s="409" t="str">
        <f t="shared" si="58"/>
        <v>Concentration</v>
      </c>
      <c r="J311" s="409" t="s">
        <v>6218</v>
      </c>
      <c r="K311" s="409" t="s">
        <v>2536</v>
      </c>
      <c r="L311" s="409" t="s">
        <v>2562</v>
      </c>
      <c r="M311" s="409" t="s">
        <v>1248</v>
      </c>
      <c r="N311" s="408" t="s">
        <v>6409</v>
      </c>
      <c r="O311" s="409" t="s">
        <v>6190</v>
      </c>
      <c r="P311" s="408" t="s">
        <v>6751</v>
      </c>
      <c r="S311" s="409" t="s">
        <v>624</v>
      </c>
      <c r="W311" s="409" t="s">
        <v>621</v>
      </c>
      <c r="AA311" s="408">
        <f t="shared" si="59"/>
        <v>0</v>
      </c>
      <c r="AB311" s="408">
        <f t="shared" si="49"/>
        <v>0</v>
      </c>
      <c r="AC311" s="408">
        <f t="shared" si="50"/>
        <v>1</v>
      </c>
      <c r="AD311" s="408">
        <f t="shared" si="51"/>
        <v>0</v>
      </c>
      <c r="AE311" s="408">
        <f t="shared" si="52"/>
        <v>0</v>
      </c>
      <c r="AF311" s="408">
        <f t="shared" si="53"/>
        <v>0</v>
      </c>
      <c r="AG311" s="408">
        <f t="shared" si="54"/>
        <v>1</v>
      </c>
      <c r="AH311" s="408">
        <f t="shared" si="55"/>
        <v>0</v>
      </c>
      <c r="AI311" s="408">
        <f t="shared" si="56"/>
        <v>0</v>
      </c>
      <c r="AJ311" s="408">
        <f t="shared" si="57"/>
        <v>0</v>
      </c>
    </row>
    <row r="312" spans="1:36" x14ac:dyDescent="0.25">
      <c r="A312" s="409">
        <f t="shared" si="60"/>
        <v>311</v>
      </c>
      <c r="B312" s="410" t="s">
        <v>3374</v>
      </c>
      <c r="C312" s="410" t="s">
        <v>6205</v>
      </c>
      <c r="D312" s="409">
        <v>3</v>
      </c>
      <c r="E312" s="408"/>
      <c r="F312" s="409" t="str">
        <f>""</f>
        <v/>
      </c>
      <c r="G312" s="409" t="s">
        <v>6835</v>
      </c>
      <c r="H312" s="409" t="s">
        <v>6199</v>
      </c>
      <c r="I312" s="409" t="str">
        <f t="shared" si="58"/>
        <v>Concentration</v>
      </c>
      <c r="J312" s="409" t="s">
        <v>6218</v>
      </c>
      <c r="K312" s="409" t="s">
        <v>2536</v>
      </c>
      <c r="L312" s="409" t="s">
        <v>2562</v>
      </c>
      <c r="M312" s="409" t="s">
        <v>1248</v>
      </c>
      <c r="N312" s="408" t="s">
        <v>6410</v>
      </c>
      <c r="O312" s="409" t="s">
        <v>6185</v>
      </c>
      <c r="P312" s="408" t="s">
        <v>6752</v>
      </c>
      <c r="V312" s="409" t="s">
        <v>620</v>
      </c>
      <c r="AA312" s="408">
        <f t="shared" si="59"/>
        <v>0</v>
      </c>
      <c r="AB312" s="408">
        <f t="shared" si="49"/>
        <v>0</v>
      </c>
      <c r="AC312" s="408">
        <f t="shared" si="50"/>
        <v>0</v>
      </c>
      <c r="AD312" s="408">
        <f t="shared" si="51"/>
        <v>0</v>
      </c>
      <c r="AE312" s="408">
        <f t="shared" si="52"/>
        <v>0</v>
      </c>
      <c r="AF312" s="408">
        <f t="shared" si="53"/>
        <v>1</v>
      </c>
      <c r="AG312" s="408">
        <f t="shared" si="54"/>
        <v>0</v>
      </c>
      <c r="AH312" s="408">
        <f t="shared" si="55"/>
        <v>0</v>
      </c>
      <c r="AI312" s="408">
        <f t="shared" si="56"/>
        <v>0</v>
      </c>
      <c r="AJ312" s="408">
        <f t="shared" si="57"/>
        <v>0</v>
      </c>
    </row>
    <row r="313" spans="1:36" x14ac:dyDescent="0.25">
      <c r="A313" s="409">
        <f t="shared" si="60"/>
        <v>312</v>
      </c>
      <c r="B313" s="410" t="s">
        <v>3378</v>
      </c>
      <c r="C313" s="410" t="s">
        <v>6193</v>
      </c>
      <c r="D313" s="409">
        <v>2</v>
      </c>
      <c r="E313" s="408"/>
      <c r="F313" s="409" t="str">
        <f>""</f>
        <v/>
      </c>
      <c r="G313" s="409" t="s">
        <v>6841</v>
      </c>
      <c r="H313" s="409" t="s">
        <v>424</v>
      </c>
      <c r="I313" s="409" t="str">
        <f t="shared" si="58"/>
        <v/>
      </c>
      <c r="J313" s="409" t="s">
        <v>6206</v>
      </c>
      <c r="K313" s="409" t="s">
        <v>2536</v>
      </c>
      <c r="L313" s="409" t="s">
        <v>2562</v>
      </c>
      <c r="M313" s="409" t="s">
        <v>3857</v>
      </c>
      <c r="N313" s="408" t="str">
        <f>""</f>
        <v/>
      </c>
      <c r="O313" s="409" t="s">
        <v>6187</v>
      </c>
      <c r="P313" s="408" t="s">
        <v>6753</v>
      </c>
      <c r="V313" s="409" t="s">
        <v>620</v>
      </c>
      <c r="AA313" s="408">
        <f t="shared" si="59"/>
        <v>0</v>
      </c>
      <c r="AB313" s="408">
        <f t="shared" si="49"/>
        <v>0</v>
      </c>
      <c r="AC313" s="408">
        <f t="shared" si="50"/>
        <v>0</v>
      </c>
      <c r="AD313" s="408">
        <f t="shared" si="51"/>
        <v>0</v>
      </c>
      <c r="AE313" s="408">
        <f t="shared" si="52"/>
        <v>0</v>
      </c>
      <c r="AF313" s="408">
        <f t="shared" si="53"/>
        <v>1</v>
      </c>
      <c r="AG313" s="408">
        <f t="shared" si="54"/>
        <v>0</v>
      </c>
      <c r="AH313" s="408">
        <f t="shared" si="55"/>
        <v>0</v>
      </c>
      <c r="AI313" s="408">
        <f t="shared" si="56"/>
        <v>0</v>
      </c>
      <c r="AJ313" s="408">
        <f t="shared" si="57"/>
        <v>0</v>
      </c>
    </row>
    <row r="314" spans="1:36" x14ac:dyDescent="0.25">
      <c r="A314" s="409">
        <f t="shared" si="60"/>
        <v>313</v>
      </c>
      <c r="B314" s="410" t="s">
        <v>3380</v>
      </c>
      <c r="C314" s="410" t="s">
        <v>6214</v>
      </c>
      <c r="D314" s="409">
        <v>4</v>
      </c>
      <c r="E314" s="408"/>
      <c r="F314" s="409" t="str">
        <f>""</f>
        <v/>
      </c>
      <c r="G314" s="409" t="s">
        <v>6841</v>
      </c>
      <c r="H314" s="409" t="s">
        <v>6199</v>
      </c>
      <c r="I314" s="409" t="str">
        <f t="shared" si="58"/>
        <v>Concentration</v>
      </c>
      <c r="J314" s="409" t="s">
        <v>6210</v>
      </c>
      <c r="K314" s="409" t="s">
        <v>2536</v>
      </c>
      <c r="L314" s="409" t="s">
        <v>3857</v>
      </c>
      <c r="M314" s="409" t="s">
        <v>3857</v>
      </c>
      <c r="O314" s="409" t="s">
        <v>6187</v>
      </c>
      <c r="P314" s="408" t="s">
        <v>3381</v>
      </c>
      <c r="R314" s="409" t="s">
        <v>1113</v>
      </c>
      <c r="AA314" s="408">
        <f t="shared" si="59"/>
        <v>0</v>
      </c>
      <c r="AB314" s="408">
        <f t="shared" si="49"/>
        <v>1</v>
      </c>
      <c r="AC314" s="408">
        <f t="shared" si="50"/>
        <v>0</v>
      </c>
      <c r="AD314" s="408">
        <f t="shared" si="51"/>
        <v>0</v>
      </c>
      <c r="AE314" s="408">
        <f t="shared" si="52"/>
        <v>0</v>
      </c>
      <c r="AF314" s="408">
        <f t="shared" si="53"/>
        <v>0</v>
      </c>
      <c r="AG314" s="408">
        <f t="shared" si="54"/>
        <v>0</v>
      </c>
      <c r="AH314" s="408">
        <f t="shared" si="55"/>
        <v>0</v>
      </c>
      <c r="AI314" s="408">
        <f t="shared" si="56"/>
        <v>0</v>
      </c>
      <c r="AJ314" s="408">
        <f t="shared" si="57"/>
        <v>0</v>
      </c>
    </row>
    <row r="315" spans="1:36" x14ac:dyDescent="0.25">
      <c r="A315" s="409">
        <f t="shared" si="60"/>
        <v>314</v>
      </c>
      <c r="B315" s="410" t="s">
        <v>3382</v>
      </c>
      <c r="C315" s="410" t="s">
        <v>6205</v>
      </c>
      <c r="D315" s="409">
        <v>3</v>
      </c>
      <c r="E315" s="408"/>
      <c r="F315" s="409" t="str">
        <f>""</f>
        <v/>
      </c>
      <c r="G315" s="409" t="s">
        <v>6835</v>
      </c>
      <c r="H315" s="409" t="s">
        <v>6234</v>
      </c>
      <c r="I315" s="409" t="str">
        <f t="shared" si="58"/>
        <v>Concentration</v>
      </c>
      <c r="J315" s="409" t="s">
        <v>6210</v>
      </c>
      <c r="K315" s="409" t="s">
        <v>2536</v>
      </c>
      <c r="L315" s="409" t="s">
        <v>2562</v>
      </c>
      <c r="M315" s="409" t="s">
        <v>1248</v>
      </c>
      <c r="N315" s="408" t="s">
        <v>6411</v>
      </c>
      <c r="O315" s="409" t="s">
        <v>6185</v>
      </c>
      <c r="P315" s="408" t="s">
        <v>6754</v>
      </c>
      <c r="Q315" s="409" t="s">
        <v>1112</v>
      </c>
      <c r="T315" s="409" t="s">
        <v>626</v>
      </c>
      <c r="Z315" s="409" t="s">
        <v>628</v>
      </c>
      <c r="AA315" s="408">
        <f t="shared" si="59"/>
        <v>1</v>
      </c>
      <c r="AB315" s="408">
        <f t="shared" si="49"/>
        <v>0</v>
      </c>
      <c r="AC315" s="408">
        <f t="shared" si="50"/>
        <v>0</v>
      </c>
      <c r="AD315" s="408">
        <f t="shared" si="51"/>
        <v>1</v>
      </c>
      <c r="AE315" s="408">
        <f t="shared" si="52"/>
        <v>0</v>
      </c>
      <c r="AF315" s="408">
        <f t="shared" si="53"/>
        <v>0</v>
      </c>
      <c r="AG315" s="408">
        <f t="shared" si="54"/>
        <v>0</v>
      </c>
      <c r="AH315" s="408">
        <f t="shared" si="55"/>
        <v>0</v>
      </c>
      <c r="AI315" s="408">
        <f t="shared" si="56"/>
        <v>0</v>
      </c>
      <c r="AJ315" s="408">
        <f t="shared" si="57"/>
        <v>1</v>
      </c>
    </row>
    <row r="316" spans="1:36" x14ac:dyDescent="0.25">
      <c r="A316" s="409">
        <f t="shared" si="60"/>
        <v>315</v>
      </c>
      <c r="B316" s="410" t="s">
        <v>3385</v>
      </c>
      <c r="C316" s="410" t="s">
        <v>6214</v>
      </c>
      <c r="D316" s="409">
        <v>4</v>
      </c>
      <c r="E316" s="408"/>
      <c r="F316" s="409" t="str">
        <f>""</f>
        <v/>
      </c>
      <c r="G316" s="409" t="s">
        <v>6835</v>
      </c>
      <c r="H316" s="409" t="s">
        <v>6219</v>
      </c>
      <c r="I316" s="409" t="str">
        <f t="shared" si="58"/>
        <v/>
      </c>
      <c r="J316" s="409" t="s">
        <v>6192</v>
      </c>
      <c r="K316" s="409" t="s">
        <v>2536</v>
      </c>
      <c r="L316" s="409" t="s">
        <v>2562</v>
      </c>
      <c r="M316" s="409" t="s">
        <v>1248</v>
      </c>
      <c r="N316" s="408" t="s">
        <v>6412</v>
      </c>
      <c r="O316" s="409" t="s">
        <v>6190</v>
      </c>
      <c r="P316" s="408" t="s">
        <v>3387</v>
      </c>
      <c r="V316" s="409" t="s">
        <v>620</v>
      </c>
      <c r="W316" s="409" t="s">
        <v>621</v>
      </c>
      <c r="Z316" s="409" t="s">
        <v>628</v>
      </c>
      <c r="AA316" s="408">
        <f t="shared" si="59"/>
        <v>0</v>
      </c>
      <c r="AB316" s="408">
        <f t="shared" si="49"/>
        <v>0</v>
      </c>
      <c r="AC316" s="408">
        <f t="shared" si="50"/>
        <v>0</v>
      </c>
      <c r="AD316" s="408">
        <f t="shared" si="51"/>
        <v>0</v>
      </c>
      <c r="AE316" s="408">
        <f t="shared" si="52"/>
        <v>0</v>
      </c>
      <c r="AF316" s="408">
        <f t="shared" si="53"/>
        <v>1</v>
      </c>
      <c r="AG316" s="408">
        <f t="shared" si="54"/>
        <v>1</v>
      </c>
      <c r="AH316" s="408">
        <f t="shared" si="55"/>
        <v>0</v>
      </c>
      <c r="AI316" s="408">
        <f t="shared" si="56"/>
        <v>0</v>
      </c>
      <c r="AJ316" s="408">
        <f t="shared" si="57"/>
        <v>1</v>
      </c>
    </row>
    <row r="317" spans="1:36" x14ac:dyDescent="0.25">
      <c r="A317" s="409">
        <f t="shared" si="60"/>
        <v>316</v>
      </c>
      <c r="B317" s="410" t="s">
        <v>3388</v>
      </c>
      <c r="C317" s="410" t="s">
        <v>6214</v>
      </c>
      <c r="D317" s="409">
        <v>4</v>
      </c>
      <c r="E317" s="408"/>
      <c r="F317" s="409" t="str">
        <f>""</f>
        <v/>
      </c>
      <c r="G317" s="409" t="s">
        <v>6835</v>
      </c>
      <c r="H317" s="409" t="s">
        <v>6219</v>
      </c>
      <c r="I317" s="409" t="str">
        <f t="shared" si="58"/>
        <v>Concentration</v>
      </c>
      <c r="J317" s="409" t="s">
        <v>6200</v>
      </c>
      <c r="K317" s="409" t="s">
        <v>2536</v>
      </c>
      <c r="L317" s="409" t="s">
        <v>2562</v>
      </c>
      <c r="M317" s="409" t="s">
        <v>1248</v>
      </c>
      <c r="N317" s="408" t="s">
        <v>6413</v>
      </c>
      <c r="O317" s="409" t="s">
        <v>6184</v>
      </c>
      <c r="P317" s="408" t="s">
        <v>3390</v>
      </c>
      <c r="T317" s="409" t="s">
        <v>626</v>
      </c>
      <c r="W317" s="409" t="s">
        <v>621</v>
      </c>
      <c r="Z317" s="409" t="s">
        <v>628</v>
      </c>
      <c r="AA317" s="408">
        <f t="shared" si="59"/>
        <v>0</v>
      </c>
      <c r="AB317" s="408">
        <f t="shared" si="49"/>
        <v>0</v>
      </c>
      <c r="AC317" s="408">
        <f t="shared" si="50"/>
        <v>0</v>
      </c>
      <c r="AD317" s="408">
        <f t="shared" si="51"/>
        <v>1</v>
      </c>
      <c r="AE317" s="408">
        <f t="shared" si="52"/>
        <v>0</v>
      </c>
      <c r="AF317" s="408">
        <f t="shared" si="53"/>
        <v>0</v>
      </c>
      <c r="AG317" s="408">
        <f t="shared" si="54"/>
        <v>1</v>
      </c>
      <c r="AH317" s="408">
        <f t="shared" si="55"/>
        <v>0</v>
      </c>
      <c r="AI317" s="408">
        <f t="shared" si="56"/>
        <v>0</v>
      </c>
      <c r="AJ317" s="408">
        <f t="shared" si="57"/>
        <v>1</v>
      </c>
    </row>
    <row r="318" spans="1:36" x14ac:dyDescent="0.25">
      <c r="A318" s="409">
        <f t="shared" si="60"/>
        <v>317</v>
      </c>
      <c r="B318" s="410" t="s">
        <v>3391</v>
      </c>
      <c r="C318" s="410" t="s">
        <v>6223</v>
      </c>
      <c r="D318" s="409">
        <v>9</v>
      </c>
      <c r="E318" s="408"/>
      <c r="F318" s="409" t="str">
        <f>""</f>
        <v/>
      </c>
      <c r="G318" s="409" t="s">
        <v>6835</v>
      </c>
      <c r="H318" s="409" t="s">
        <v>6355</v>
      </c>
      <c r="I318" s="409" t="str">
        <f t="shared" si="58"/>
        <v>Concentration</v>
      </c>
      <c r="J318" s="409" t="s">
        <v>6210</v>
      </c>
      <c r="K318" s="409" t="s">
        <v>2536</v>
      </c>
      <c r="L318" s="409" t="s">
        <v>2562</v>
      </c>
      <c r="M318" s="409" t="s">
        <v>3857</v>
      </c>
      <c r="N318" s="408" t="str">
        <f>""</f>
        <v/>
      </c>
      <c r="O318" s="409" t="s">
        <v>6185</v>
      </c>
      <c r="P318" s="408" t="s">
        <v>6755</v>
      </c>
      <c r="W318" s="409" t="s">
        <v>621</v>
      </c>
      <c r="AA318" s="408">
        <f t="shared" si="59"/>
        <v>0</v>
      </c>
      <c r="AB318" s="408">
        <f t="shared" si="49"/>
        <v>0</v>
      </c>
      <c r="AC318" s="408">
        <f t="shared" si="50"/>
        <v>0</v>
      </c>
      <c r="AD318" s="408">
        <f t="shared" si="51"/>
        <v>0</v>
      </c>
      <c r="AE318" s="408">
        <f t="shared" si="52"/>
        <v>0</v>
      </c>
      <c r="AF318" s="408">
        <f t="shared" si="53"/>
        <v>0</v>
      </c>
      <c r="AG318" s="408">
        <f t="shared" si="54"/>
        <v>1</v>
      </c>
      <c r="AH318" s="408">
        <f t="shared" si="55"/>
        <v>0</v>
      </c>
      <c r="AI318" s="408">
        <f t="shared" si="56"/>
        <v>0</v>
      </c>
      <c r="AJ318" s="408">
        <f t="shared" si="57"/>
        <v>0</v>
      </c>
    </row>
    <row r="319" spans="1:36" x14ac:dyDescent="0.25">
      <c r="A319" s="409">
        <f t="shared" si="60"/>
        <v>318</v>
      </c>
      <c r="B319" s="410" t="s">
        <v>3393</v>
      </c>
      <c r="C319" s="410" t="s">
        <v>6193</v>
      </c>
      <c r="D319" s="409">
        <v>2</v>
      </c>
      <c r="E319" s="408"/>
      <c r="F319" s="409" t="str">
        <f>""</f>
        <v/>
      </c>
      <c r="G319" s="409" t="s">
        <v>6835</v>
      </c>
      <c r="H319" s="409" t="s">
        <v>5950</v>
      </c>
      <c r="I319" s="409" t="str">
        <f t="shared" si="58"/>
        <v>Concentration</v>
      </c>
      <c r="J319" s="409" t="s">
        <v>6260</v>
      </c>
      <c r="K319" s="409" t="s">
        <v>2536</v>
      </c>
      <c r="L319" s="409" t="s">
        <v>3857</v>
      </c>
      <c r="M319" s="409" t="s">
        <v>1248</v>
      </c>
      <c r="N319" s="408" t="s">
        <v>6350</v>
      </c>
      <c r="O319" s="409" t="s">
        <v>6186</v>
      </c>
      <c r="P319" s="408" t="s">
        <v>6756</v>
      </c>
      <c r="Q319" s="409" t="s">
        <v>1112</v>
      </c>
      <c r="T319" s="409" t="s">
        <v>626</v>
      </c>
      <c r="U319" s="409" t="s">
        <v>627</v>
      </c>
      <c r="Z319" s="409" t="s">
        <v>628</v>
      </c>
      <c r="AA319" s="408">
        <f t="shared" si="59"/>
        <v>1</v>
      </c>
      <c r="AB319" s="408">
        <f t="shared" si="49"/>
        <v>0</v>
      </c>
      <c r="AC319" s="408">
        <f t="shared" si="50"/>
        <v>0</v>
      </c>
      <c r="AD319" s="408">
        <f t="shared" si="51"/>
        <v>1</v>
      </c>
      <c r="AE319" s="408">
        <f t="shared" si="52"/>
        <v>1</v>
      </c>
      <c r="AF319" s="408">
        <f t="shared" si="53"/>
        <v>0</v>
      </c>
      <c r="AG319" s="408">
        <f t="shared" si="54"/>
        <v>0</v>
      </c>
      <c r="AH319" s="408">
        <f t="shared" si="55"/>
        <v>0</v>
      </c>
      <c r="AI319" s="408">
        <f t="shared" si="56"/>
        <v>0</v>
      </c>
      <c r="AJ319" s="408">
        <f t="shared" si="57"/>
        <v>1</v>
      </c>
    </row>
    <row r="320" spans="1:36" x14ac:dyDescent="0.25">
      <c r="A320" s="409">
        <f t="shared" si="60"/>
        <v>319</v>
      </c>
      <c r="B320" s="410" t="s">
        <v>3395</v>
      </c>
      <c r="C320" s="410" t="s">
        <v>6216</v>
      </c>
      <c r="D320" s="409">
        <v>6</v>
      </c>
      <c r="E320" s="408"/>
      <c r="F320" s="409" t="str">
        <f>""</f>
        <v/>
      </c>
      <c r="G320" s="409" t="s">
        <v>6835</v>
      </c>
      <c r="H320" s="409" t="s">
        <v>6199</v>
      </c>
      <c r="I320" s="409" t="str">
        <f t="shared" si="58"/>
        <v>Concentration</v>
      </c>
      <c r="J320" s="409" t="s">
        <v>6210</v>
      </c>
      <c r="K320" s="409" t="s">
        <v>2536</v>
      </c>
      <c r="L320" s="409" t="s">
        <v>2562</v>
      </c>
      <c r="M320" s="409" t="s">
        <v>1248</v>
      </c>
      <c r="N320" s="408" t="s">
        <v>6414</v>
      </c>
      <c r="O320" s="409" t="s">
        <v>6187</v>
      </c>
      <c r="P320" s="408" t="s">
        <v>6757</v>
      </c>
      <c r="T320" s="409" t="s">
        <v>626</v>
      </c>
      <c r="W320" s="409" t="s">
        <v>621</v>
      </c>
      <c r="Z320" s="409" t="s">
        <v>628</v>
      </c>
      <c r="AA320" s="408">
        <f t="shared" si="59"/>
        <v>0</v>
      </c>
      <c r="AB320" s="408">
        <f t="shared" si="49"/>
        <v>0</v>
      </c>
      <c r="AC320" s="408">
        <f t="shared" si="50"/>
        <v>0</v>
      </c>
      <c r="AD320" s="408">
        <f t="shared" si="51"/>
        <v>1</v>
      </c>
      <c r="AE320" s="408">
        <f t="shared" si="52"/>
        <v>0</v>
      </c>
      <c r="AF320" s="408">
        <f t="shared" si="53"/>
        <v>0</v>
      </c>
      <c r="AG320" s="408">
        <f t="shared" si="54"/>
        <v>1</v>
      </c>
      <c r="AH320" s="408">
        <f t="shared" si="55"/>
        <v>0</v>
      </c>
      <c r="AI320" s="408">
        <f t="shared" si="56"/>
        <v>0</v>
      </c>
      <c r="AJ320" s="408">
        <f t="shared" si="57"/>
        <v>1</v>
      </c>
    </row>
    <row r="321" spans="1:36" x14ac:dyDescent="0.25">
      <c r="A321" s="409">
        <f t="shared" si="60"/>
        <v>320</v>
      </c>
      <c r="B321" s="410" t="s">
        <v>3398</v>
      </c>
      <c r="C321" s="410" t="s">
        <v>6203</v>
      </c>
      <c r="D321" s="409">
        <v>8</v>
      </c>
      <c r="E321" s="408"/>
      <c r="F321" s="409" t="str">
        <f>""</f>
        <v/>
      </c>
      <c r="G321" s="409" t="s">
        <v>6835</v>
      </c>
      <c r="H321" s="409" t="s">
        <v>6237</v>
      </c>
      <c r="I321" s="409" t="str">
        <f t="shared" si="58"/>
        <v/>
      </c>
      <c r="J321" s="409" t="s">
        <v>6192</v>
      </c>
      <c r="K321" s="409" t="s">
        <v>2536</v>
      </c>
      <c r="L321" s="409" t="s">
        <v>2562</v>
      </c>
      <c r="M321" s="409" t="s">
        <v>1248</v>
      </c>
      <c r="N321" s="408" t="s">
        <v>6415</v>
      </c>
      <c r="O321" s="409" t="s">
        <v>6187</v>
      </c>
      <c r="P321" s="408" t="s">
        <v>6758</v>
      </c>
      <c r="T321" s="409" t="s">
        <v>626</v>
      </c>
      <c r="W321" s="409" t="s">
        <v>621</v>
      </c>
      <c r="Z321" s="409" t="s">
        <v>628</v>
      </c>
      <c r="AA321" s="408">
        <f t="shared" si="59"/>
        <v>0</v>
      </c>
      <c r="AB321" s="408">
        <f t="shared" si="49"/>
        <v>0</v>
      </c>
      <c r="AC321" s="408">
        <f t="shared" si="50"/>
        <v>0</v>
      </c>
      <c r="AD321" s="408">
        <f t="shared" si="51"/>
        <v>1</v>
      </c>
      <c r="AE321" s="408">
        <f t="shared" si="52"/>
        <v>0</v>
      </c>
      <c r="AF321" s="408">
        <f t="shared" si="53"/>
        <v>0</v>
      </c>
      <c r="AG321" s="408">
        <f t="shared" si="54"/>
        <v>1</v>
      </c>
      <c r="AH321" s="408">
        <f t="shared" si="55"/>
        <v>0</v>
      </c>
      <c r="AI321" s="408">
        <f t="shared" si="56"/>
        <v>0</v>
      </c>
      <c r="AJ321" s="408">
        <f t="shared" si="57"/>
        <v>1</v>
      </c>
    </row>
    <row r="322" spans="1:36" x14ac:dyDescent="0.25">
      <c r="A322" s="409">
        <f t="shared" si="60"/>
        <v>321</v>
      </c>
      <c r="B322" s="410" t="s">
        <v>3401</v>
      </c>
      <c r="C322" s="410" t="s">
        <v>6208</v>
      </c>
      <c r="D322" s="409">
        <v>5</v>
      </c>
      <c r="E322" s="408"/>
      <c r="F322" s="409" t="str">
        <f>""</f>
        <v/>
      </c>
      <c r="G322" s="409" t="s">
        <v>6841</v>
      </c>
      <c r="H322" s="409" t="s">
        <v>6199</v>
      </c>
      <c r="I322" s="409" t="str">
        <f t="shared" si="58"/>
        <v>Concentration</v>
      </c>
      <c r="J322" s="409" t="s">
        <v>6210</v>
      </c>
      <c r="K322" s="409" t="s">
        <v>2536</v>
      </c>
      <c r="L322" s="409" t="s">
        <v>3857</v>
      </c>
      <c r="M322" s="409" t="s">
        <v>1248</v>
      </c>
      <c r="N322" s="408" t="str">
        <f>""</f>
        <v/>
      </c>
      <c r="O322" s="409" t="s">
        <v>6190</v>
      </c>
      <c r="P322" s="408" t="s">
        <v>6759</v>
      </c>
      <c r="S322" s="409" t="s">
        <v>624</v>
      </c>
      <c r="AA322" s="408">
        <f t="shared" si="59"/>
        <v>0</v>
      </c>
      <c r="AB322" s="408">
        <f t="shared" ref="AB322:AB385" si="61">IF(R322=R$1,1,0)</f>
        <v>0</v>
      </c>
      <c r="AC322" s="408">
        <f t="shared" ref="AC322:AC385" si="62">IF(S322=S$1,1,0)</f>
        <v>1</v>
      </c>
      <c r="AD322" s="408">
        <f t="shared" ref="AD322:AD385" si="63">IF(T322=T$1,1,0)</f>
        <v>0</v>
      </c>
      <c r="AE322" s="408">
        <f t="shared" ref="AE322:AE385" si="64">IF(U322=U$1,1,0)</f>
        <v>0</v>
      </c>
      <c r="AF322" s="408">
        <f t="shared" ref="AF322:AF385" si="65">IF(V322=V$1,1,0)</f>
        <v>0</v>
      </c>
      <c r="AG322" s="408">
        <f t="shared" ref="AG322:AG385" si="66">IF(W322=W$1,1,0)</f>
        <v>0</v>
      </c>
      <c r="AH322" s="408">
        <f t="shared" ref="AH322:AH385" si="67">IF(X322=X$1,1,0)</f>
        <v>0</v>
      </c>
      <c r="AI322" s="408">
        <f t="shared" ref="AI322:AI385" si="68">IF(Y322=Y$1,1,0)</f>
        <v>0</v>
      </c>
      <c r="AJ322" s="408">
        <f t="shared" ref="AJ322:AJ385" si="69">IF(Z322=Z$1,1,0)</f>
        <v>0</v>
      </c>
    </row>
    <row r="323" spans="1:36" x14ac:dyDescent="0.25">
      <c r="A323" s="409">
        <f t="shared" si="60"/>
        <v>322</v>
      </c>
      <c r="B323" s="410" t="s">
        <v>3404</v>
      </c>
      <c r="C323" s="410" t="s">
        <v>6251</v>
      </c>
      <c r="D323" s="409">
        <v>7</v>
      </c>
      <c r="E323" s="408"/>
      <c r="F323" s="409" t="str">
        <f>""</f>
        <v/>
      </c>
      <c r="G323" s="409" t="s">
        <v>6206</v>
      </c>
      <c r="H323" s="409" t="s">
        <v>6219</v>
      </c>
      <c r="I323" s="409" t="str">
        <f t="shared" ref="I323:I386" si="70">IF(IFERROR(SEARCH("con",J323,1),0)&gt;0,"Concentration","")</f>
        <v/>
      </c>
      <c r="J323" s="409" t="s">
        <v>6220</v>
      </c>
      <c r="K323" s="409" t="s">
        <v>2536</v>
      </c>
      <c r="L323" s="409" t="s">
        <v>2562</v>
      </c>
      <c r="M323" s="409" t="s">
        <v>1248</v>
      </c>
      <c r="N323" s="408" t="s">
        <v>6416</v>
      </c>
      <c r="O323" s="409" t="s">
        <v>6184</v>
      </c>
      <c r="P323" s="408" t="s">
        <v>6760</v>
      </c>
      <c r="Q323" s="409" t="s">
        <v>1112</v>
      </c>
      <c r="V323" s="409" t="s">
        <v>620</v>
      </c>
      <c r="Z323" s="409" t="s">
        <v>628</v>
      </c>
      <c r="AA323" s="408">
        <f t="shared" ref="AA323:AA386" si="71">IF(Q323=Q$1,1,0)</f>
        <v>1</v>
      </c>
      <c r="AB323" s="408">
        <f t="shared" si="61"/>
        <v>0</v>
      </c>
      <c r="AC323" s="408">
        <f t="shared" si="62"/>
        <v>0</v>
      </c>
      <c r="AD323" s="408">
        <f t="shared" si="63"/>
        <v>0</v>
      </c>
      <c r="AE323" s="408">
        <f t="shared" si="64"/>
        <v>0</v>
      </c>
      <c r="AF323" s="408">
        <f t="shared" si="65"/>
        <v>1</v>
      </c>
      <c r="AG323" s="408">
        <f t="shared" si="66"/>
        <v>0</v>
      </c>
      <c r="AH323" s="408">
        <f t="shared" si="67"/>
        <v>0</v>
      </c>
      <c r="AI323" s="408">
        <f t="shared" si="68"/>
        <v>0</v>
      </c>
      <c r="AJ323" s="408">
        <f t="shared" si="69"/>
        <v>1</v>
      </c>
    </row>
    <row r="324" spans="1:36" x14ac:dyDescent="0.25">
      <c r="A324" s="409">
        <f t="shared" si="60"/>
        <v>323</v>
      </c>
      <c r="B324" s="410" t="s">
        <v>3408</v>
      </c>
      <c r="C324" s="410" t="s">
        <v>6196</v>
      </c>
      <c r="D324" s="409">
        <v>1</v>
      </c>
      <c r="E324" s="408"/>
      <c r="F324" s="409" t="str">
        <f>""</f>
        <v/>
      </c>
      <c r="G324" s="409" t="s">
        <v>6835</v>
      </c>
      <c r="H324" s="409" t="s">
        <v>5950</v>
      </c>
      <c r="I324" s="409" t="str">
        <f t="shared" si="70"/>
        <v>Concentration</v>
      </c>
      <c r="J324" s="409" t="s">
        <v>6210</v>
      </c>
      <c r="K324" s="409" t="s">
        <v>2536</v>
      </c>
      <c r="L324" s="409" t="s">
        <v>2562</v>
      </c>
      <c r="M324" s="409" t="s">
        <v>1248</v>
      </c>
      <c r="N324" s="408" t="s">
        <v>6417</v>
      </c>
      <c r="O324" s="409" t="s">
        <v>6186</v>
      </c>
      <c r="P324" s="408" t="s">
        <v>6761</v>
      </c>
      <c r="Q324" s="409" t="s">
        <v>1112</v>
      </c>
      <c r="Z324" s="409" t="s">
        <v>628</v>
      </c>
      <c r="AA324" s="408">
        <f t="shared" si="71"/>
        <v>1</v>
      </c>
      <c r="AB324" s="408">
        <f t="shared" si="61"/>
        <v>0</v>
      </c>
      <c r="AC324" s="408">
        <f t="shared" si="62"/>
        <v>0</v>
      </c>
      <c r="AD324" s="408">
        <f t="shared" si="63"/>
        <v>0</v>
      </c>
      <c r="AE324" s="408">
        <f t="shared" si="64"/>
        <v>0</v>
      </c>
      <c r="AF324" s="408">
        <f t="shared" si="65"/>
        <v>0</v>
      </c>
      <c r="AG324" s="408">
        <f t="shared" si="66"/>
        <v>0</v>
      </c>
      <c r="AH324" s="408">
        <f t="shared" si="67"/>
        <v>0</v>
      </c>
      <c r="AI324" s="408">
        <f t="shared" si="68"/>
        <v>0</v>
      </c>
      <c r="AJ324" s="408">
        <f t="shared" si="69"/>
        <v>1</v>
      </c>
    </row>
    <row r="325" spans="1:36" x14ac:dyDescent="0.25">
      <c r="A325" s="409">
        <f t="shared" si="60"/>
        <v>324</v>
      </c>
      <c r="B325" s="410" t="s">
        <v>3411</v>
      </c>
      <c r="C325" s="410" t="s">
        <v>6208</v>
      </c>
      <c r="D325" s="409">
        <v>5</v>
      </c>
      <c r="E325" s="408"/>
      <c r="F325" s="409" t="str">
        <f>""</f>
        <v/>
      </c>
      <c r="G325" s="409" t="s">
        <v>6835</v>
      </c>
      <c r="H325" s="409" t="s">
        <v>424</v>
      </c>
      <c r="I325" s="409" t="str">
        <f t="shared" si="70"/>
        <v>Concentration</v>
      </c>
      <c r="J325" s="409" t="s">
        <v>6218</v>
      </c>
      <c r="K325" s="409" t="s">
        <v>2536</v>
      </c>
      <c r="L325" s="409" t="s">
        <v>2562</v>
      </c>
      <c r="M325" s="409" t="s">
        <v>3857</v>
      </c>
      <c r="N325" s="408" t="str">
        <f>""</f>
        <v/>
      </c>
      <c r="O325" s="409" t="s">
        <v>6190</v>
      </c>
      <c r="P325" s="408" t="s">
        <v>6762</v>
      </c>
      <c r="T325" s="409" t="s">
        <v>626</v>
      </c>
      <c r="Z325" s="409" t="s">
        <v>628</v>
      </c>
      <c r="AA325" s="408">
        <f t="shared" si="71"/>
        <v>0</v>
      </c>
      <c r="AB325" s="408">
        <f t="shared" si="61"/>
        <v>0</v>
      </c>
      <c r="AC325" s="408">
        <f t="shared" si="62"/>
        <v>0</v>
      </c>
      <c r="AD325" s="408">
        <f t="shared" si="63"/>
        <v>1</v>
      </c>
      <c r="AE325" s="408">
        <f t="shared" si="64"/>
        <v>0</v>
      </c>
      <c r="AF325" s="408">
        <f t="shared" si="65"/>
        <v>0</v>
      </c>
      <c r="AG325" s="408">
        <f t="shared" si="66"/>
        <v>0</v>
      </c>
      <c r="AH325" s="408">
        <f t="shared" si="67"/>
        <v>0</v>
      </c>
      <c r="AI325" s="408">
        <f t="shared" si="68"/>
        <v>0</v>
      </c>
      <c r="AJ325" s="408">
        <f t="shared" si="69"/>
        <v>1</v>
      </c>
    </row>
    <row r="326" spans="1:36" x14ac:dyDescent="0.25">
      <c r="A326" s="409">
        <f t="shared" si="60"/>
        <v>325</v>
      </c>
      <c r="B326" s="410" t="s">
        <v>3413</v>
      </c>
      <c r="C326" s="410" t="s">
        <v>6203</v>
      </c>
      <c r="D326" s="409">
        <v>8</v>
      </c>
      <c r="E326" s="408"/>
      <c r="F326" s="409" t="str">
        <f>""</f>
        <v/>
      </c>
      <c r="G326" s="409" t="s">
        <v>6835</v>
      </c>
      <c r="H326" s="409" t="s">
        <v>6396</v>
      </c>
      <c r="I326" s="409" t="str">
        <f t="shared" si="70"/>
        <v/>
      </c>
      <c r="J326" s="409" t="s">
        <v>6201</v>
      </c>
      <c r="K326" s="409" t="s">
        <v>2536</v>
      </c>
      <c r="L326" s="409" t="s">
        <v>2562</v>
      </c>
      <c r="M326" s="409" t="s">
        <v>1248</v>
      </c>
      <c r="N326" s="408" t="s">
        <v>6418</v>
      </c>
      <c r="O326" s="409" t="s">
        <v>6187</v>
      </c>
      <c r="P326" s="408" t="s">
        <v>6763</v>
      </c>
      <c r="Z326" s="409" t="s">
        <v>628</v>
      </c>
      <c r="AA326" s="408">
        <f t="shared" si="71"/>
        <v>0</v>
      </c>
      <c r="AB326" s="408">
        <f t="shared" si="61"/>
        <v>0</v>
      </c>
      <c r="AC326" s="408">
        <f t="shared" si="62"/>
        <v>0</v>
      </c>
      <c r="AD326" s="408">
        <f t="shared" si="63"/>
        <v>0</v>
      </c>
      <c r="AE326" s="408">
        <f t="shared" si="64"/>
        <v>0</v>
      </c>
      <c r="AF326" s="408">
        <f t="shared" si="65"/>
        <v>0</v>
      </c>
      <c r="AG326" s="408">
        <f t="shared" si="66"/>
        <v>0</v>
      </c>
      <c r="AH326" s="408">
        <f t="shared" si="67"/>
        <v>0</v>
      </c>
      <c r="AI326" s="408">
        <f t="shared" si="68"/>
        <v>0</v>
      </c>
      <c r="AJ326" s="408">
        <f t="shared" si="69"/>
        <v>1</v>
      </c>
    </row>
    <row r="327" spans="1:36" x14ac:dyDescent="0.25">
      <c r="A327" s="409">
        <f t="shared" si="60"/>
        <v>326</v>
      </c>
      <c r="B327" s="410" t="s">
        <v>3416</v>
      </c>
      <c r="C327" s="410" t="s">
        <v>6251</v>
      </c>
      <c r="D327" s="409">
        <v>7</v>
      </c>
      <c r="E327" s="408"/>
      <c r="F327" s="409" t="str">
        <f>""</f>
        <v/>
      </c>
      <c r="G327" s="409" t="s">
        <v>6835</v>
      </c>
      <c r="H327" s="409" t="s">
        <v>5942</v>
      </c>
      <c r="I327" s="409" t="str">
        <f t="shared" si="70"/>
        <v/>
      </c>
      <c r="J327" s="409" t="s">
        <v>6192</v>
      </c>
      <c r="K327" s="409" t="s">
        <v>2536</v>
      </c>
      <c r="L327" s="409" t="s">
        <v>3857</v>
      </c>
      <c r="M327" s="409" t="s">
        <v>3857</v>
      </c>
      <c r="N327" s="408" t="str">
        <f>""</f>
        <v/>
      </c>
      <c r="O327" s="409" t="s">
        <v>6185</v>
      </c>
      <c r="P327" s="408" t="s">
        <v>6764</v>
      </c>
      <c r="Q327" s="409" t="s">
        <v>1112</v>
      </c>
      <c r="T327" s="409" t="s">
        <v>626</v>
      </c>
      <c r="Z327" s="409" t="s">
        <v>628</v>
      </c>
      <c r="AA327" s="408">
        <f t="shared" si="71"/>
        <v>1</v>
      </c>
      <c r="AB327" s="408">
        <f t="shared" si="61"/>
        <v>0</v>
      </c>
      <c r="AC327" s="408">
        <f t="shared" si="62"/>
        <v>0</v>
      </c>
      <c r="AD327" s="408">
        <f t="shared" si="63"/>
        <v>1</v>
      </c>
      <c r="AE327" s="408">
        <f t="shared" si="64"/>
        <v>0</v>
      </c>
      <c r="AF327" s="408">
        <f t="shared" si="65"/>
        <v>0</v>
      </c>
      <c r="AG327" s="408">
        <f t="shared" si="66"/>
        <v>0</v>
      </c>
      <c r="AH327" s="408">
        <f t="shared" si="67"/>
        <v>0</v>
      </c>
      <c r="AI327" s="408">
        <f t="shared" si="68"/>
        <v>0</v>
      </c>
      <c r="AJ327" s="408">
        <f t="shared" si="69"/>
        <v>1</v>
      </c>
    </row>
    <row r="328" spans="1:36" x14ac:dyDescent="0.25">
      <c r="A328" s="409">
        <f t="shared" si="60"/>
        <v>327</v>
      </c>
      <c r="B328" s="410" t="s">
        <v>3418</v>
      </c>
      <c r="C328" s="410" t="s">
        <v>6208</v>
      </c>
      <c r="D328" s="409">
        <v>5</v>
      </c>
      <c r="E328" s="408"/>
      <c r="F328" s="409" t="str">
        <f>""</f>
        <v/>
      </c>
      <c r="G328" s="409" t="s">
        <v>6206</v>
      </c>
      <c r="H328" s="409" t="s">
        <v>5942</v>
      </c>
      <c r="I328" s="409" t="str">
        <f t="shared" si="70"/>
        <v/>
      </c>
      <c r="J328" s="409" t="s">
        <v>6235</v>
      </c>
      <c r="K328" s="409" t="s">
        <v>2536</v>
      </c>
      <c r="L328" s="409" t="s">
        <v>3857</v>
      </c>
      <c r="M328" s="409" t="s">
        <v>1248</v>
      </c>
      <c r="N328" s="408" t="s">
        <v>6419</v>
      </c>
      <c r="O328" s="409" t="s">
        <v>6185</v>
      </c>
      <c r="P328" s="408" t="s">
        <v>6765</v>
      </c>
      <c r="Q328" s="409" t="s">
        <v>1112</v>
      </c>
      <c r="T328" s="409" t="s">
        <v>626</v>
      </c>
      <c r="Z328" s="409" t="s">
        <v>628</v>
      </c>
      <c r="AA328" s="408">
        <f t="shared" si="71"/>
        <v>1</v>
      </c>
      <c r="AB328" s="408">
        <f t="shared" si="61"/>
        <v>0</v>
      </c>
      <c r="AC328" s="408">
        <f t="shared" si="62"/>
        <v>0</v>
      </c>
      <c r="AD328" s="408">
        <f t="shared" si="63"/>
        <v>1</v>
      </c>
      <c r="AE328" s="408">
        <f t="shared" si="64"/>
        <v>0</v>
      </c>
      <c r="AF328" s="408">
        <f t="shared" si="65"/>
        <v>0</v>
      </c>
      <c r="AG328" s="408">
        <f t="shared" si="66"/>
        <v>0</v>
      </c>
      <c r="AH328" s="408">
        <f t="shared" si="67"/>
        <v>0</v>
      </c>
      <c r="AI328" s="408">
        <f t="shared" si="68"/>
        <v>0</v>
      </c>
      <c r="AJ328" s="408">
        <f t="shared" si="69"/>
        <v>1</v>
      </c>
    </row>
    <row r="329" spans="1:36" x14ac:dyDescent="0.25">
      <c r="A329" s="409">
        <f t="shared" si="60"/>
        <v>328</v>
      </c>
      <c r="B329" s="410" t="s">
        <v>3421</v>
      </c>
      <c r="C329" s="410" t="s">
        <v>6196</v>
      </c>
      <c r="D329" s="409">
        <v>1</v>
      </c>
      <c r="E329" s="408"/>
      <c r="F329" s="409" t="s">
        <v>6183</v>
      </c>
      <c r="G329" s="409" t="s">
        <v>6836</v>
      </c>
      <c r="H329" s="409" t="s">
        <v>5950</v>
      </c>
      <c r="I329" s="409" t="str">
        <f t="shared" si="70"/>
        <v/>
      </c>
      <c r="J329" s="409" t="s">
        <v>6212</v>
      </c>
      <c r="K329" s="409" t="s">
        <v>2536</v>
      </c>
      <c r="L329" s="409" t="s">
        <v>2562</v>
      </c>
      <c r="M329" s="409" t="s">
        <v>1248</v>
      </c>
      <c r="N329" s="408" t="s">
        <v>6420</v>
      </c>
      <c r="O329" s="409" t="s">
        <v>6185</v>
      </c>
      <c r="P329" s="408" t="s">
        <v>6766</v>
      </c>
      <c r="Z329" s="409" t="s">
        <v>628</v>
      </c>
      <c r="AA329" s="408">
        <f t="shared" si="71"/>
        <v>0</v>
      </c>
      <c r="AB329" s="408">
        <f t="shared" si="61"/>
        <v>0</v>
      </c>
      <c r="AC329" s="408">
        <f t="shared" si="62"/>
        <v>0</v>
      </c>
      <c r="AD329" s="408">
        <f t="shared" si="63"/>
        <v>0</v>
      </c>
      <c r="AE329" s="408">
        <f t="shared" si="64"/>
        <v>0</v>
      </c>
      <c r="AF329" s="408">
        <f t="shared" si="65"/>
        <v>0</v>
      </c>
      <c r="AG329" s="408">
        <f t="shared" si="66"/>
        <v>0</v>
      </c>
      <c r="AH329" s="408">
        <f t="shared" si="67"/>
        <v>0</v>
      </c>
      <c r="AI329" s="408">
        <f t="shared" si="68"/>
        <v>0</v>
      </c>
      <c r="AJ329" s="408">
        <f t="shared" si="69"/>
        <v>1</v>
      </c>
    </row>
    <row r="330" spans="1:36" x14ac:dyDescent="0.25">
      <c r="A330" s="409">
        <f t="shared" si="60"/>
        <v>329</v>
      </c>
      <c r="B330" s="410" t="s">
        <v>3424</v>
      </c>
      <c r="C330" s="410" t="s">
        <v>6191</v>
      </c>
      <c r="D330" s="409">
        <v>0.5</v>
      </c>
      <c r="E330" s="408"/>
      <c r="F330" s="409" t="str">
        <f>""</f>
        <v/>
      </c>
      <c r="G330" s="409" t="s">
        <v>6835</v>
      </c>
      <c r="H330" s="409" t="s">
        <v>5950</v>
      </c>
      <c r="I330" s="409" t="str">
        <f t="shared" si="70"/>
        <v/>
      </c>
      <c r="J330" s="409" t="s">
        <v>6421</v>
      </c>
      <c r="K330" s="409" t="s">
        <v>2536</v>
      </c>
      <c r="L330" s="409" t="s">
        <v>2562</v>
      </c>
      <c r="M330" s="409" t="s">
        <v>3857</v>
      </c>
      <c r="N330" s="408" t="str">
        <f>""</f>
        <v/>
      </c>
      <c r="O330" s="409" t="s">
        <v>6190</v>
      </c>
      <c r="P330" s="408" t="s">
        <v>6767</v>
      </c>
      <c r="V330" s="409" t="s">
        <v>620</v>
      </c>
      <c r="AA330" s="408">
        <f t="shared" si="71"/>
        <v>0</v>
      </c>
      <c r="AB330" s="408">
        <f t="shared" si="61"/>
        <v>0</v>
      </c>
      <c r="AC330" s="408">
        <f t="shared" si="62"/>
        <v>0</v>
      </c>
      <c r="AD330" s="408">
        <f t="shared" si="63"/>
        <v>0</v>
      </c>
      <c r="AE330" s="408">
        <f t="shared" si="64"/>
        <v>0</v>
      </c>
      <c r="AF330" s="408">
        <f t="shared" si="65"/>
        <v>1</v>
      </c>
      <c r="AG330" s="408">
        <f t="shared" si="66"/>
        <v>0</v>
      </c>
      <c r="AH330" s="408">
        <f t="shared" si="67"/>
        <v>0</v>
      </c>
      <c r="AI330" s="408">
        <f t="shared" si="68"/>
        <v>0</v>
      </c>
      <c r="AJ330" s="408">
        <f t="shared" si="69"/>
        <v>0</v>
      </c>
    </row>
    <row r="331" spans="1:36" x14ac:dyDescent="0.25">
      <c r="A331" s="409">
        <f t="shared" si="60"/>
        <v>330</v>
      </c>
      <c r="B331" s="410" t="s">
        <v>3427</v>
      </c>
      <c r="C331" s="410" t="s">
        <v>6191</v>
      </c>
      <c r="D331" s="409">
        <v>0.5</v>
      </c>
      <c r="E331" s="408"/>
      <c r="F331" s="409" t="str">
        <f>""</f>
        <v/>
      </c>
      <c r="G331" s="409" t="s">
        <v>6835</v>
      </c>
      <c r="H331" s="409" t="s">
        <v>5950</v>
      </c>
      <c r="I331" s="409" t="str">
        <f t="shared" si="70"/>
        <v/>
      </c>
      <c r="J331" s="409" t="s">
        <v>6192</v>
      </c>
      <c r="K331" s="409" t="s">
        <v>2536</v>
      </c>
      <c r="L331" s="409" t="s">
        <v>2562</v>
      </c>
      <c r="M331" s="409" t="s">
        <v>1248</v>
      </c>
      <c r="N331" s="408" t="s">
        <v>6422</v>
      </c>
      <c r="O331" s="409" t="s">
        <v>6190</v>
      </c>
      <c r="P331" s="408" t="s">
        <v>6768</v>
      </c>
      <c r="W331" s="409" t="s">
        <v>621</v>
      </c>
      <c r="AA331" s="408">
        <f t="shared" si="71"/>
        <v>0</v>
      </c>
      <c r="AB331" s="408">
        <f t="shared" si="61"/>
        <v>0</v>
      </c>
      <c r="AC331" s="408">
        <f t="shared" si="62"/>
        <v>0</v>
      </c>
      <c r="AD331" s="408">
        <f t="shared" si="63"/>
        <v>0</v>
      </c>
      <c r="AE331" s="408">
        <f t="shared" si="64"/>
        <v>0</v>
      </c>
      <c r="AF331" s="408">
        <f t="shared" si="65"/>
        <v>0</v>
      </c>
      <c r="AG331" s="408">
        <f t="shared" si="66"/>
        <v>1</v>
      </c>
      <c r="AH331" s="408">
        <f t="shared" si="67"/>
        <v>0</v>
      </c>
      <c r="AI331" s="408">
        <f t="shared" si="68"/>
        <v>0</v>
      </c>
      <c r="AJ331" s="408">
        <f t="shared" si="69"/>
        <v>0</v>
      </c>
    </row>
    <row r="332" spans="1:36" x14ac:dyDescent="0.25">
      <c r="A332" s="409">
        <f t="shared" si="60"/>
        <v>331</v>
      </c>
      <c r="B332" s="410" t="s">
        <v>3430</v>
      </c>
      <c r="C332" s="410" t="s">
        <v>6196</v>
      </c>
      <c r="D332" s="409">
        <v>1</v>
      </c>
      <c r="E332" s="408"/>
      <c r="F332" s="409" t="str">
        <f>""</f>
        <v/>
      </c>
      <c r="G332" s="409" t="s">
        <v>6841</v>
      </c>
      <c r="H332" s="409" t="s">
        <v>6199</v>
      </c>
      <c r="I332" s="409" t="str">
        <f t="shared" si="70"/>
        <v>Concentration</v>
      </c>
      <c r="J332" s="409" t="s">
        <v>6210</v>
      </c>
      <c r="K332" s="409" t="s">
        <v>2536</v>
      </c>
      <c r="L332" s="409" t="s">
        <v>3857</v>
      </c>
      <c r="M332" s="409" t="s">
        <v>3857</v>
      </c>
      <c r="N332" s="408" t="str">
        <f>""</f>
        <v/>
      </c>
      <c r="O332" s="409" t="s">
        <v>6187</v>
      </c>
      <c r="P332" s="408" t="s">
        <v>3431</v>
      </c>
      <c r="R332" s="409" t="s">
        <v>1113</v>
      </c>
      <c r="AA332" s="408">
        <f t="shared" si="71"/>
        <v>0</v>
      </c>
      <c r="AB332" s="408">
        <f t="shared" si="61"/>
        <v>1</v>
      </c>
      <c r="AC332" s="408">
        <f t="shared" si="62"/>
        <v>0</v>
      </c>
      <c r="AD332" s="408">
        <f t="shared" si="63"/>
        <v>0</v>
      </c>
      <c r="AE332" s="408">
        <f t="shared" si="64"/>
        <v>0</v>
      </c>
      <c r="AF332" s="408">
        <f t="shared" si="65"/>
        <v>0</v>
      </c>
      <c r="AG332" s="408">
        <f t="shared" si="66"/>
        <v>0</v>
      </c>
      <c r="AH332" s="408">
        <f t="shared" si="67"/>
        <v>0</v>
      </c>
      <c r="AI332" s="408">
        <f t="shared" si="68"/>
        <v>0</v>
      </c>
      <c r="AJ332" s="408">
        <f t="shared" si="69"/>
        <v>0</v>
      </c>
    </row>
    <row r="333" spans="1:36" x14ac:dyDescent="0.25">
      <c r="A333" s="409">
        <f t="shared" si="60"/>
        <v>332</v>
      </c>
      <c r="B333" s="410" t="s">
        <v>3432</v>
      </c>
      <c r="C333" s="410" t="s">
        <v>6196</v>
      </c>
      <c r="D333" s="409">
        <v>1</v>
      </c>
      <c r="E333" s="408"/>
      <c r="F333" s="409" t="str">
        <f>""</f>
        <v/>
      </c>
      <c r="G333" s="409" t="s">
        <v>6835</v>
      </c>
      <c r="H333" s="409" t="s">
        <v>6199</v>
      </c>
      <c r="I333" s="409" t="str">
        <f t="shared" si="70"/>
        <v/>
      </c>
      <c r="J333" s="409" t="s">
        <v>6192</v>
      </c>
      <c r="K333" s="409" t="s">
        <v>2536</v>
      </c>
      <c r="L333" s="409" t="s">
        <v>2562</v>
      </c>
      <c r="M333" s="409" t="s">
        <v>3857</v>
      </c>
      <c r="N333" s="408" t="str">
        <f>""</f>
        <v/>
      </c>
      <c r="O333" s="409" t="s">
        <v>6187</v>
      </c>
      <c r="P333" s="408" t="s">
        <v>6769</v>
      </c>
      <c r="Q333" s="409" t="s">
        <v>1112</v>
      </c>
      <c r="T333" s="409" t="s">
        <v>626</v>
      </c>
      <c r="W333" s="409" t="s">
        <v>621</v>
      </c>
      <c r="Z333" s="409" t="s">
        <v>628</v>
      </c>
      <c r="AA333" s="408">
        <f t="shared" si="71"/>
        <v>1</v>
      </c>
      <c r="AB333" s="408">
        <f t="shared" si="61"/>
        <v>0</v>
      </c>
      <c r="AC333" s="408">
        <f t="shared" si="62"/>
        <v>0</v>
      </c>
      <c r="AD333" s="408">
        <f t="shared" si="63"/>
        <v>1</v>
      </c>
      <c r="AE333" s="408">
        <f t="shared" si="64"/>
        <v>0</v>
      </c>
      <c r="AF333" s="408">
        <f t="shared" si="65"/>
        <v>0</v>
      </c>
      <c r="AG333" s="408">
        <f t="shared" si="66"/>
        <v>1</v>
      </c>
      <c r="AH333" s="408">
        <f t="shared" si="67"/>
        <v>0</v>
      </c>
      <c r="AI333" s="408">
        <f t="shared" si="68"/>
        <v>0</v>
      </c>
      <c r="AJ333" s="408">
        <f t="shared" si="69"/>
        <v>1</v>
      </c>
    </row>
    <row r="334" spans="1:36" x14ac:dyDescent="0.25">
      <c r="A334" s="409">
        <f t="shared" si="60"/>
        <v>333</v>
      </c>
      <c r="B334" s="410" t="s">
        <v>3435</v>
      </c>
      <c r="C334" s="410" t="s">
        <v>6223</v>
      </c>
      <c r="D334" s="409">
        <v>9</v>
      </c>
      <c r="E334" s="408"/>
      <c r="F334" s="409" t="str">
        <f>""</f>
        <v/>
      </c>
      <c r="G334" s="409" t="s">
        <v>6835</v>
      </c>
      <c r="H334" s="409" t="s">
        <v>6199</v>
      </c>
      <c r="I334" s="409" t="str">
        <f t="shared" si="70"/>
        <v/>
      </c>
      <c r="J334" s="409" t="s">
        <v>6192</v>
      </c>
      <c r="K334" s="409" t="s">
        <v>2536</v>
      </c>
      <c r="L334" s="409" t="s">
        <v>3857</v>
      </c>
      <c r="M334" s="409" t="s">
        <v>3857</v>
      </c>
      <c r="N334" s="408" t="str">
        <f>""</f>
        <v/>
      </c>
      <c r="O334" s="409" t="s">
        <v>6190</v>
      </c>
      <c r="P334" s="408" t="s">
        <v>6770</v>
      </c>
      <c r="T334" s="409" t="s">
        <v>626</v>
      </c>
      <c r="Z334" s="409" t="s">
        <v>628</v>
      </c>
      <c r="AA334" s="408">
        <f t="shared" si="71"/>
        <v>0</v>
      </c>
      <c r="AB334" s="408">
        <f t="shared" si="61"/>
        <v>0</v>
      </c>
      <c r="AC334" s="408">
        <f t="shared" si="62"/>
        <v>0</v>
      </c>
      <c r="AD334" s="408">
        <f t="shared" si="63"/>
        <v>1</v>
      </c>
      <c r="AE334" s="408">
        <f t="shared" si="64"/>
        <v>0</v>
      </c>
      <c r="AF334" s="408">
        <f t="shared" si="65"/>
        <v>0</v>
      </c>
      <c r="AG334" s="408">
        <f t="shared" si="66"/>
        <v>0</v>
      </c>
      <c r="AH334" s="408">
        <f t="shared" si="67"/>
        <v>0</v>
      </c>
      <c r="AI334" s="408">
        <f t="shared" si="68"/>
        <v>0</v>
      </c>
      <c r="AJ334" s="408">
        <f t="shared" si="69"/>
        <v>1</v>
      </c>
    </row>
    <row r="335" spans="1:36" x14ac:dyDescent="0.25">
      <c r="A335" s="409">
        <f t="shared" ref="A335:A398" si="72">A334+1</f>
        <v>334</v>
      </c>
      <c r="B335" s="410" t="s">
        <v>3437</v>
      </c>
      <c r="C335" s="410" t="s">
        <v>6205</v>
      </c>
      <c r="D335" s="409">
        <v>3</v>
      </c>
      <c r="E335" s="408"/>
      <c r="F335" s="409" t="str">
        <f>""</f>
        <v/>
      </c>
      <c r="G335" s="409" t="s">
        <v>6835</v>
      </c>
      <c r="H335" s="409" t="s">
        <v>6219</v>
      </c>
      <c r="I335" s="409" t="str">
        <f t="shared" si="70"/>
        <v/>
      </c>
      <c r="J335" s="409" t="s">
        <v>6212</v>
      </c>
      <c r="K335" s="409" t="s">
        <v>2536</v>
      </c>
      <c r="L335" s="409" t="s">
        <v>3857</v>
      </c>
      <c r="M335" s="409" t="s">
        <v>1248</v>
      </c>
      <c r="N335" s="408" t="s">
        <v>6423</v>
      </c>
      <c r="O335" s="409" t="s">
        <v>2792</v>
      </c>
      <c r="P335" s="408" t="s">
        <v>3439</v>
      </c>
      <c r="Q335" s="409" t="s">
        <v>1112</v>
      </c>
      <c r="T335" s="409" t="s">
        <v>626</v>
      </c>
      <c r="U335" s="409" t="s">
        <v>627</v>
      </c>
      <c r="V335" s="409" t="s">
        <v>620</v>
      </c>
      <c r="Z335" s="409" t="s">
        <v>628</v>
      </c>
      <c r="AA335" s="408">
        <f t="shared" si="71"/>
        <v>1</v>
      </c>
      <c r="AB335" s="408">
        <f t="shared" si="61"/>
        <v>0</v>
      </c>
      <c r="AC335" s="408">
        <f t="shared" si="62"/>
        <v>0</v>
      </c>
      <c r="AD335" s="408">
        <f t="shared" si="63"/>
        <v>1</v>
      </c>
      <c r="AE335" s="408">
        <f t="shared" si="64"/>
        <v>1</v>
      </c>
      <c r="AF335" s="408">
        <f t="shared" si="65"/>
        <v>1</v>
      </c>
      <c r="AG335" s="408">
        <f t="shared" si="66"/>
        <v>0</v>
      </c>
      <c r="AH335" s="408">
        <f t="shared" si="67"/>
        <v>0</v>
      </c>
      <c r="AI335" s="408">
        <f t="shared" si="68"/>
        <v>0</v>
      </c>
      <c r="AJ335" s="408">
        <f t="shared" si="69"/>
        <v>1</v>
      </c>
    </row>
    <row r="336" spans="1:36" x14ac:dyDescent="0.25">
      <c r="A336" s="409">
        <f t="shared" si="72"/>
        <v>335</v>
      </c>
      <c r="B336" s="410" t="s">
        <v>3440</v>
      </c>
      <c r="C336" s="410" t="s">
        <v>6216</v>
      </c>
      <c r="D336" s="409">
        <v>6</v>
      </c>
      <c r="E336" s="408"/>
      <c r="F336" s="409" t="str">
        <f>""</f>
        <v/>
      </c>
      <c r="G336" s="409" t="s">
        <v>6835</v>
      </c>
      <c r="H336" s="409" t="s">
        <v>5942</v>
      </c>
      <c r="I336" s="409" t="str">
        <f t="shared" si="70"/>
        <v/>
      </c>
      <c r="J336" s="409" t="s">
        <v>6235</v>
      </c>
      <c r="K336" s="409" t="s">
        <v>2536</v>
      </c>
      <c r="L336" s="409" t="s">
        <v>2562</v>
      </c>
      <c r="M336" s="409" t="s">
        <v>3857</v>
      </c>
      <c r="O336" s="409" t="s">
        <v>6185</v>
      </c>
      <c r="P336" s="408" t="s">
        <v>3441</v>
      </c>
      <c r="W336" s="409" t="s">
        <v>621</v>
      </c>
      <c r="AA336" s="408">
        <f t="shared" si="71"/>
        <v>0</v>
      </c>
      <c r="AB336" s="408">
        <f t="shared" si="61"/>
        <v>0</v>
      </c>
      <c r="AC336" s="408">
        <f t="shared" si="62"/>
        <v>0</v>
      </c>
      <c r="AD336" s="408">
        <f t="shared" si="63"/>
        <v>0</v>
      </c>
      <c r="AE336" s="408">
        <f t="shared" si="64"/>
        <v>0</v>
      </c>
      <c r="AF336" s="408">
        <f t="shared" si="65"/>
        <v>0</v>
      </c>
      <c r="AG336" s="408">
        <f t="shared" si="66"/>
        <v>1</v>
      </c>
      <c r="AH336" s="408">
        <f t="shared" si="67"/>
        <v>0</v>
      </c>
      <c r="AI336" s="408">
        <f t="shared" si="68"/>
        <v>0</v>
      </c>
      <c r="AJ336" s="408">
        <f t="shared" si="69"/>
        <v>0</v>
      </c>
    </row>
    <row r="337" spans="1:36" x14ac:dyDescent="0.25">
      <c r="A337" s="409">
        <f t="shared" si="72"/>
        <v>336</v>
      </c>
      <c r="B337" s="410" t="s">
        <v>6424</v>
      </c>
      <c r="C337" s="410" t="s">
        <v>6203</v>
      </c>
      <c r="D337" s="409">
        <v>8</v>
      </c>
      <c r="E337" s="408"/>
      <c r="F337" s="409" t="str">
        <f>""</f>
        <v/>
      </c>
      <c r="G337" s="409" t="s">
        <v>6835</v>
      </c>
      <c r="H337" s="409" t="s">
        <v>240</v>
      </c>
      <c r="I337" s="409" t="str">
        <f t="shared" si="70"/>
        <v/>
      </c>
      <c r="J337" s="409" t="s">
        <v>6425</v>
      </c>
      <c r="K337" s="409" t="s">
        <v>2536</v>
      </c>
      <c r="L337" s="409" t="s">
        <v>2562</v>
      </c>
      <c r="M337" s="409" t="s">
        <v>1248</v>
      </c>
      <c r="N337" s="408" t="s">
        <v>6426</v>
      </c>
      <c r="O337" s="409" t="s">
        <v>6185</v>
      </c>
      <c r="P337" s="408" t="s">
        <v>6771</v>
      </c>
      <c r="AA337" s="408">
        <f t="shared" si="71"/>
        <v>0</v>
      </c>
      <c r="AB337" s="408">
        <f t="shared" si="61"/>
        <v>0</v>
      </c>
      <c r="AC337" s="408">
        <f t="shared" si="62"/>
        <v>0</v>
      </c>
      <c r="AD337" s="408">
        <f t="shared" si="63"/>
        <v>0</v>
      </c>
      <c r="AE337" s="408">
        <f t="shared" si="64"/>
        <v>0</v>
      </c>
      <c r="AF337" s="408">
        <f t="shared" si="65"/>
        <v>0</v>
      </c>
      <c r="AG337" s="408">
        <f t="shared" si="66"/>
        <v>0</v>
      </c>
      <c r="AH337" s="408">
        <f t="shared" si="67"/>
        <v>0</v>
      </c>
      <c r="AI337" s="408">
        <f t="shared" si="68"/>
        <v>0</v>
      </c>
      <c r="AJ337" s="408">
        <f t="shared" si="69"/>
        <v>0</v>
      </c>
    </row>
    <row r="338" spans="1:36" x14ac:dyDescent="0.25">
      <c r="A338" s="409">
        <f t="shared" si="72"/>
        <v>337</v>
      </c>
      <c r="B338" s="410" t="s">
        <v>3442</v>
      </c>
      <c r="C338" s="410" t="s">
        <v>6208</v>
      </c>
      <c r="D338" s="409">
        <v>5</v>
      </c>
      <c r="E338" s="408"/>
      <c r="F338" s="409" t="str">
        <f>""</f>
        <v/>
      </c>
      <c r="G338" s="409" t="s">
        <v>6835</v>
      </c>
      <c r="H338" s="409" t="s">
        <v>6199</v>
      </c>
      <c r="I338" s="409" t="str">
        <f t="shared" si="70"/>
        <v>Concentration</v>
      </c>
      <c r="J338" s="409" t="s">
        <v>6210</v>
      </c>
      <c r="K338" s="409" t="s">
        <v>2536</v>
      </c>
      <c r="L338" s="409" t="s">
        <v>2562</v>
      </c>
      <c r="M338" s="409" t="s">
        <v>3857</v>
      </c>
      <c r="N338" s="408" t="str">
        <f>""</f>
        <v/>
      </c>
      <c r="O338" s="409" t="s">
        <v>6185</v>
      </c>
      <c r="P338" s="408" t="s">
        <v>6772</v>
      </c>
      <c r="W338" s="409" t="s">
        <v>621</v>
      </c>
      <c r="AA338" s="408">
        <f t="shared" si="71"/>
        <v>0</v>
      </c>
      <c r="AB338" s="408">
        <f t="shared" si="61"/>
        <v>0</v>
      </c>
      <c r="AC338" s="408">
        <f t="shared" si="62"/>
        <v>0</v>
      </c>
      <c r="AD338" s="408">
        <f t="shared" si="63"/>
        <v>0</v>
      </c>
      <c r="AE338" s="408">
        <f t="shared" si="64"/>
        <v>0</v>
      </c>
      <c r="AF338" s="408">
        <f t="shared" si="65"/>
        <v>0</v>
      </c>
      <c r="AG338" s="408">
        <f t="shared" si="66"/>
        <v>1</v>
      </c>
      <c r="AH338" s="408">
        <f t="shared" si="67"/>
        <v>0</v>
      </c>
      <c r="AI338" s="408">
        <f t="shared" si="68"/>
        <v>0</v>
      </c>
      <c r="AJ338" s="408">
        <f t="shared" si="69"/>
        <v>0</v>
      </c>
    </row>
    <row r="339" spans="1:36" x14ac:dyDescent="0.25">
      <c r="A339" s="409">
        <f t="shared" si="72"/>
        <v>338</v>
      </c>
      <c r="B339" s="410" t="s">
        <v>3444</v>
      </c>
      <c r="C339" s="410" t="s">
        <v>6223</v>
      </c>
      <c r="D339" s="409">
        <v>9</v>
      </c>
      <c r="E339" s="408"/>
      <c r="F339" s="409" t="str">
        <f>""</f>
        <v/>
      </c>
      <c r="G339" s="409" t="s">
        <v>6835</v>
      </c>
      <c r="H339" s="409" t="s">
        <v>5950</v>
      </c>
      <c r="I339" s="409" t="str">
        <f t="shared" si="70"/>
        <v>Concentration</v>
      </c>
      <c r="J339" s="409" t="s">
        <v>6200</v>
      </c>
      <c r="K339" s="409" t="s">
        <v>2536</v>
      </c>
      <c r="L339" s="409" t="s">
        <v>2562</v>
      </c>
      <c r="M339" s="409" t="s">
        <v>1248</v>
      </c>
      <c r="N339" s="408" t="s">
        <v>6427</v>
      </c>
      <c r="O339" s="409" t="s">
        <v>6190</v>
      </c>
      <c r="P339" s="408" t="s">
        <v>6773</v>
      </c>
      <c r="Q339" s="409" t="s">
        <v>1112</v>
      </c>
      <c r="U339" s="409" t="s">
        <v>627</v>
      </c>
      <c r="Z339" s="409" t="s">
        <v>628</v>
      </c>
      <c r="AA339" s="408">
        <f t="shared" si="71"/>
        <v>1</v>
      </c>
      <c r="AB339" s="408">
        <f t="shared" si="61"/>
        <v>0</v>
      </c>
      <c r="AC339" s="408">
        <f t="shared" si="62"/>
        <v>0</v>
      </c>
      <c r="AD339" s="408">
        <f t="shared" si="63"/>
        <v>0</v>
      </c>
      <c r="AE339" s="408">
        <f t="shared" si="64"/>
        <v>1</v>
      </c>
      <c r="AF339" s="408">
        <f t="shared" si="65"/>
        <v>0</v>
      </c>
      <c r="AG339" s="408">
        <f t="shared" si="66"/>
        <v>0</v>
      </c>
      <c r="AH339" s="408">
        <f t="shared" si="67"/>
        <v>0</v>
      </c>
      <c r="AI339" s="408">
        <f t="shared" si="68"/>
        <v>0</v>
      </c>
      <c r="AJ339" s="408">
        <f t="shared" si="69"/>
        <v>1</v>
      </c>
    </row>
    <row r="340" spans="1:36" x14ac:dyDescent="0.25">
      <c r="A340" s="409">
        <f t="shared" si="72"/>
        <v>339</v>
      </c>
      <c r="B340" s="410" t="s">
        <v>3447</v>
      </c>
      <c r="C340" s="410" t="s">
        <v>6223</v>
      </c>
      <c r="D340" s="409">
        <v>9</v>
      </c>
      <c r="E340" s="408"/>
      <c r="F340" s="409" t="str">
        <f>""</f>
        <v/>
      </c>
      <c r="G340" s="409" t="s">
        <v>6212</v>
      </c>
      <c r="H340" s="409" t="s">
        <v>6219</v>
      </c>
      <c r="I340" s="409" t="str">
        <f t="shared" si="70"/>
        <v/>
      </c>
      <c r="J340" s="409" t="s">
        <v>6192</v>
      </c>
      <c r="K340" s="409" t="s">
        <v>2536</v>
      </c>
      <c r="L340" s="409" t="s">
        <v>2562</v>
      </c>
      <c r="M340" s="409" t="s">
        <v>1248</v>
      </c>
      <c r="N340" s="408" t="s">
        <v>6428</v>
      </c>
      <c r="O340" s="409" t="s">
        <v>6189</v>
      </c>
      <c r="P340" s="408" t="s">
        <v>6774</v>
      </c>
      <c r="V340" s="409" t="s">
        <v>620</v>
      </c>
      <c r="W340" s="409" t="s">
        <v>621</v>
      </c>
      <c r="AA340" s="408">
        <f t="shared" si="71"/>
        <v>0</v>
      </c>
      <c r="AB340" s="408">
        <f t="shared" si="61"/>
        <v>0</v>
      </c>
      <c r="AC340" s="408">
        <f t="shared" si="62"/>
        <v>0</v>
      </c>
      <c r="AD340" s="408">
        <f t="shared" si="63"/>
        <v>0</v>
      </c>
      <c r="AE340" s="408">
        <f t="shared" si="64"/>
        <v>0</v>
      </c>
      <c r="AF340" s="408">
        <f t="shared" si="65"/>
        <v>1</v>
      </c>
      <c r="AG340" s="408">
        <f t="shared" si="66"/>
        <v>1</v>
      </c>
      <c r="AH340" s="408">
        <f t="shared" si="67"/>
        <v>0</v>
      </c>
      <c r="AI340" s="408">
        <f t="shared" si="68"/>
        <v>0</v>
      </c>
      <c r="AJ340" s="408">
        <f t="shared" si="69"/>
        <v>0</v>
      </c>
    </row>
    <row r="341" spans="1:36" x14ac:dyDescent="0.25">
      <c r="A341" s="409">
        <f t="shared" si="72"/>
        <v>340</v>
      </c>
      <c r="B341" s="410" t="s">
        <v>3450</v>
      </c>
      <c r="C341" s="410" t="s">
        <v>6216</v>
      </c>
      <c r="D341" s="409">
        <v>6</v>
      </c>
      <c r="E341" s="408"/>
      <c r="F341" s="409" t="str">
        <f>""</f>
        <v/>
      </c>
      <c r="G341" s="409" t="s">
        <v>6835</v>
      </c>
      <c r="H341" s="409" t="s">
        <v>6219</v>
      </c>
      <c r="I341" s="409" t="str">
        <f t="shared" si="70"/>
        <v/>
      </c>
      <c r="J341" s="409" t="s">
        <v>6212</v>
      </c>
      <c r="K341" s="409" t="s">
        <v>2536</v>
      </c>
      <c r="L341" s="409" t="s">
        <v>2562</v>
      </c>
      <c r="M341" s="409" t="s">
        <v>1248</v>
      </c>
      <c r="N341" s="408" t="s">
        <v>6429</v>
      </c>
      <c r="O341" s="409" t="s">
        <v>2792</v>
      </c>
      <c r="P341" s="408" t="s">
        <v>3452</v>
      </c>
      <c r="Q341" s="409" t="s">
        <v>1112</v>
      </c>
      <c r="T341" s="409" t="s">
        <v>626</v>
      </c>
      <c r="U341" s="409" t="s">
        <v>627</v>
      </c>
      <c r="V341" s="409" t="s">
        <v>620</v>
      </c>
      <c r="Z341" s="409" t="s">
        <v>628</v>
      </c>
      <c r="AA341" s="408">
        <f t="shared" si="71"/>
        <v>1</v>
      </c>
      <c r="AB341" s="408">
        <f t="shared" si="61"/>
        <v>0</v>
      </c>
      <c r="AC341" s="408">
        <f t="shared" si="62"/>
        <v>0</v>
      </c>
      <c r="AD341" s="408">
        <f t="shared" si="63"/>
        <v>1</v>
      </c>
      <c r="AE341" s="408">
        <f t="shared" si="64"/>
        <v>1</v>
      </c>
      <c r="AF341" s="408">
        <f t="shared" si="65"/>
        <v>1</v>
      </c>
      <c r="AG341" s="408">
        <f t="shared" si="66"/>
        <v>0</v>
      </c>
      <c r="AH341" s="408">
        <f t="shared" si="67"/>
        <v>0</v>
      </c>
      <c r="AI341" s="408">
        <f t="shared" si="68"/>
        <v>0</v>
      </c>
      <c r="AJ341" s="408">
        <f t="shared" si="69"/>
        <v>1</v>
      </c>
    </row>
    <row r="342" spans="1:36" x14ac:dyDescent="0.25">
      <c r="A342" s="409">
        <f t="shared" si="72"/>
        <v>341</v>
      </c>
      <c r="B342" s="410" t="s">
        <v>3453</v>
      </c>
      <c r="C342" s="410" t="s">
        <v>6191</v>
      </c>
      <c r="D342" s="409">
        <v>0.5</v>
      </c>
      <c r="E342" s="408"/>
      <c r="F342" s="409" t="str">
        <f>""</f>
        <v/>
      </c>
      <c r="G342" s="409" t="s">
        <v>6835</v>
      </c>
      <c r="H342" s="409" t="s">
        <v>5950</v>
      </c>
      <c r="I342" s="409" t="str">
        <f t="shared" si="70"/>
        <v>Concentration</v>
      </c>
      <c r="J342" s="409" t="s">
        <v>6430</v>
      </c>
      <c r="K342" s="409" t="s">
        <v>3857</v>
      </c>
      <c r="L342" s="409" t="s">
        <v>2562</v>
      </c>
      <c r="M342" s="409" t="s">
        <v>3857</v>
      </c>
      <c r="N342" s="408" t="str">
        <f>""</f>
        <v/>
      </c>
      <c r="O342" s="409" t="s">
        <v>2792</v>
      </c>
      <c r="P342" s="408" t="s">
        <v>3455</v>
      </c>
      <c r="Q342" s="409" t="s">
        <v>1112</v>
      </c>
      <c r="T342" s="409" t="s">
        <v>626</v>
      </c>
      <c r="U342" s="409" t="s">
        <v>627</v>
      </c>
      <c r="Z342" s="409" t="s">
        <v>628</v>
      </c>
      <c r="AA342" s="408">
        <f t="shared" si="71"/>
        <v>1</v>
      </c>
      <c r="AB342" s="408">
        <f t="shared" si="61"/>
        <v>0</v>
      </c>
      <c r="AC342" s="408">
        <f t="shared" si="62"/>
        <v>0</v>
      </c>
      <c r="AD342" s="408">
        <f t="shared" si="63"/>
        <v>1</v>
      </c>
      <c r="AE342" s="408">
        <f t="shared" si="64"/>
        <v>1</v>
      </c>
      <c r="AF342" s="408">
        <f t="shared" si="65"/>
        <v>0</v>
      </c>
      <c r="AG342" s="408">
        <f t="shared" si="66"/>
        <v>0</v>
      </c>
      <c r="AH342" s="408">
        <f t="shared" si="67"/>
        <v>0</v>
      </c>
      <c r="AI342" s="408">
        <f t="shared" si="68"/>
        <v>0</v>
      </c>
      <c r="AJ342" s="408">
        <f t="shared" si="69"/>
        <v>1</v>
      </c>
    </row>
    <row r="343" spans="1:36" x14ac:dyDescent="0.25">
      <c r="A343" s="409">
        <f t="shared" si="72"/>
        <v>342</v>
      </c>
      <c r="B343" s="410" t="s">
        <v>3456</v>
      </c>
      <c r="C343" s="410" t="s">
        <v>6223</v>
      </c>
      <c r="D343" s="409">
        <v>9</v>
      </c>
      <c r="E343" s="408"/>
      <c r="F343" s="409" t="str">
        <f>""</f>
        <v/>
      </c>
      <c r="G343" s="409" t="s">
        <v>6206</v>
      </c>
      <c r="H343" s="409" t="s">
        <v>6355</v>
      </c>
      <c r="I343" s="409" t="str">
        <f t="shared" si="70"/>
        <v>Concentration</v>
      </c>
      <c r="J343" s="409" t="s">
        <v>6431</v>
      </c>
      <c r="K343" s="409" t="s">
        <v>2536</v>
      </c>
      <c r="L343" s="409" t="s">
        <v>2562</v>
      </c>
      <c r="M343" s="409" t="s">
        <v>3857</v>
      </c>
      <c r="O343" s="409" t="s">
        <v>6185</v>
      </c>
      <c r="P343" s="408" t="s">
        <v>6775</v>
      </c>
      <c r="V343" s="409" t="s">
        <v>620</v>
      </c>
      <c r="W343" s="409" t="s">
        <v>621</v>
      </c>
      <c r="AA343" s="408">
        <f t="shared" si="71"/>
        <v>0</v>
      </c>
      <c r="AB343" s="408">
        <f t="shared" si="61"/>
        <v>0</v>
      </c>
      <c r="AC343" s="408">
        <f t="shared" si="62"/>
        <v>0</v>
      </c>
      <c r="AD343" s="408">
        <f t="shared" si="63"/>
        <v>0</v>
      </c>
      <c r="AE343" s="408">
        <f t="shared" si="64"/>
        <v>0</v>
      </c>
      <c r="AF343" s="408">
        <f t="shared" si="65"/>
        <v>1</v>
      </c>
      <c r="AG343" s="408">
        <f t="shared" si="66"/>
        <v>1</v>
      </c>
      <c r="AH343" s="408">
        <f t="shared" si="67"/>
        <v>0</v>
      </c>
      <c r="AI343" s="408">
        <f t="shared" si="68"/>
        <v>0</v>
      </c>
      <c r="AJ343" s="408">
        <f t="shared" si="69"/>
        <v>0</v>
      </c>
    </row>
    <row r="344" spans="1:36" x14ac:dyDescent="0.25">
      <c r="A344" s="409">
        <f t="shared" si="72"/>
        <v>343</v>
      </c>
      <c r="B344" s="410" t="s">
        <v>3459</v>
      </c>
      <c r="C344" s="410" t="s">
        <v>6196</v>
      </c>
      <c r="D344" s="409">
        <v>1</v>
      </c>
      <c r="E344" s="408"/>
      <c r="F344" s="409" t="s">
        <v>6183</v>
      </c>
      <c r="G344" s="409" t="s">
        <v>6836</v>
      </c>
      <c r="H344" s="409" t="s">
        <v>424</v>
      </c>
      <c r="I344" s="409" t="str">
        <f t="shared" si="70"/>
        <v/>
      </c>
      <c r="J344" s="409" t="s">
        <v>6212</v>
      </c>
      <c r="K344" s="409" t="s">
        <v>2536</v>
      </c>
      <c r="L344" s="409" t="s">
        <v>2562</v>
      </c>
      <c r="M344" s="409" t="s">
        <v>1248</v>
      </c>
      <c r="N344" s="408" t="s">
        <v>6432</v>
      </c>
      <c r="O344" s="409" t="s">
        <v>6185</v>
      </c>
      <c r="P344" s="408" t="s">
        <v>6776</v>
      </c>
      <c r="Q344" s="409" t="s">
        <v>1112</v>
      </c>
      <c r="U344" s="409" t="s">
        <v>627</v>
      </c>
      <c r="Z344" s="409" t="s">
        <v>628</v>
      </c>
      <c r="AA344" s="408">
        <f t="shared" si="71"/>
        <v>1</v>
      </c>
      <c r="AB344" s="408">
        <f t="shared" si="61"/>
        <v>0</v>
      </c>
      <c r="AC344" s="408">
        <f t="shared" si="62"/>
        <v>0</v>
      </c>
      <c r="AD344" s="408">
        <f t="shared" si="63"/>
        <v>0</v>
      </c>
      <c r="AE344" s="408">
        <f t="shared" si="64"/>
        <v>1</v>
      </c>
      <c r="AF344" s="408">
        <f t="shared" si="65"/>
        <v>0</v>
      </c>
      <c r="AG344" s="408">
        <f t="shared" si="66"/>
        <v>0</v>
      </c>
      <c r="AH344" s="408">
        <f t="shared" si="67"/>
        <v>0</v>
      </c>
      <c r="AI344" s="408">
        <f t="shared" si="68"/>
        <v>0</v>
      </c>
      <c r="AJ344" s="408">
        <f t="shared" si="69"/>
        <v>1</v>
      </c>
    </row>
    <row r="345" spans="1:36" x14ac:dyDescent="0.25">
      <c r="A345" s="409">
        <f t="shared" si="72"/>
        <v>344</v>
      </c>
      <c r="B345" s="410" t="s">
        <v>3462</v>
      </c>
      <c r="C345" s="410" t="s">
        <v>6205</v>
      </c>
      <c r="D345" s="409">
        <v>3</v>
      </c>
      <c r="E345" s="408"/>
      <c r="F345" s="409" t="str">
        <f>""</f>
        <v/>
      </c>
      <c r="G345" s="409" t="s">
        <v>6835</v>
      </c>
      <c r="H345" s="409" t="s">
        <v>6199</v>
      </c>
      <c r="I345" s="409" t="str">
        <f t="shared" si="70"/>
        <v>Concentration</v>
      </c>
      <c r="J345" s="409" t="s">
        <v>6210</v>
      </c>
      <c r="K345" s="409" t="s">
        <v>2536</v>
      </c>
      <c r="L345" s="409" t="s">
        <v>2562</v>
      </c>
      <c r="M345" s="409" t="s">
        <v>3857</v>
      </c>
      <c r="N345" s="408" t="str">
        <f>""</f>
        <v/>
      </c>
      <c r="O345" s="409" t="s">
        <v>6189</v>
      </c>
      <c r="P345" s="408" t="s">
        <v>6777</v>
      </c>
      <c r="U345" s="409" t="s">
        <v>627</v>
      </c>
      <c r="Z345" s="409" t="s">
        <v>628</v>
      </c>
      <c r="AA345" s="408">
        <f t="shared" si="71"/>
        <v>0</v>
      </c>
      <c r="AB345" s="408">
        <f t="shared" si="61"/>
        <v>0</v>
      </c>
      <c r="AC345" s="408">
        <f t="shared" si="62"/>
        <v>0</v>
      </c>
      <c r="AD345" s="408">
        <f t="shared" si="63"/>
        <v>0</v>
      </c>
      <c r="AE345" s="408">
        <f t="shared" si="64"/>
        <v>1</v>
      </c>
      <c r="AF345" s="408">
        <f t="shared" si="65"/>
        <v>0</v>
      </c>
      <c r="AG345" s="408">
        <f t="shared" si="66"/>
        <v>0</v>
      </c>
      <c r="AH345" s="408">
        <f t="shared" si="67"/>
        <v>0</v>
      </c>
      <c r="AI345" s="408">
        <f t="shared" si="68"/>
        <v>0</v>
      </c>
      <c r="AJ345" s="408">
        <f t="shared" si="69"/>
        <v>1</v>
      </c>
    </row>
    <row r="346" spans="1:36" x14ac:dyDescent="0.25">
      <c r="A346" s="409">
        <f t="shared" si="72"/>
        <v>345</v>
      </c>
      <c r="B346" s="410" t="s">
        <v>3464</v>
      </c>
      <c r="C346" s="410" t="s">
        <v>6191</v>
      </c>
      <c r="D346" s="409">
        <v>0.5</v>
      </c>
      <c r="E346" s="408"/>
      <c r="F346" s="409" t="str">
        <f>""</f>
        <v/>
      </c>
      <c r="G346" s="409" t="s">
        <v>6835</v>
      </c>
      <c r="H346" s="409" t="s">
        <v>424</v>
      </c>
      <c r="I346" s="409" t="str">
        <f t="shared" si="70"/>
        <v/>
      </c>
      <c r="J346" s="409" t="s">
        <v>6192</v>
      </c>
      <c r="K346" s="409" t="s">
        <v>2536</v>
      </c>
      <c r="L346" s="409" t="s">
        <v>3857</v>
      </c>
      <c r="M346" s="409" t="s">
        <v>3857</v>
      </c>
      <c r="N346" s="408" t="str">
        <f>""</f>
        <v/>
      </c>
      <c r="O346" s="409" t="s">
        <v>6186</v>
      </c>
      <c r="P346" s="408" t="s">
        <v>6778</v>
      </c>
      <c r="Q346" s="409" t="s">
        <v>1112</v>
      </c>
      <c r="AA346" s="408">
        <f t="shared" si="71"/>
        <v>1</v>
      </c>
      <c r="AB346" s="408">
        <f t="shared" si="61"/>
        <v>0</v>
      </c>
      <c r="AC346" s="408">
        <f t="shared" si="62"/>
        <v>0</v>
      </c>
      <c r="AD346" s="408">
        <f t="shared" si="63"/>
        <v>0</v>
      </c>
      <c r="AE346" s="408">
        <f t="shared" si="64"/>
        <v>0</v>
      </c>
      <c r="AF346" s="408">
        <f t="shared" si="65"/>
        <v>0</v>
      </c>
      <c r="AG346" s="408">
        <f t="shared" si="66"/>
        <v>0</v>
      </c>
      <c r="AH346" s="408">
        <f t="shared" si="67"/>
        <v>0</v>
      </c>
      <c r="AI346" s="408">
        <f t="shared" si="68"/>
        <v>0</v>
      </c>
      <c r="AJ346" s="408">
        <f t="shared" si="69"/>
        <v>0</v>
      </c>
    </row>
    <row r="347" spans="1:36" x14ac:dyDescent="0.25">
      <c r="A347" s="409">
        <f t="shared" si="72"/>
        <v>346</v>
      </c>
      <c r="B347" s="410" t="s">
        <v>3466</v>
      </c>
      <c r="C347" s="410" t="s">
        <v>6214</v>
      </c>
      <c r="D347" s="409">
        <v>4</v>
      </c>
      <c r="E347" s="408"/>
      <c r="F347" s="409" t="str">
        <f>""</f>
        <v/>
      </c>
      <c r="G347" s="409" t="s">
        <v>6835</v>
      </c>
      <c r="H347" s="409" t="s">
        <v>6209</v>
      </c>
      <c r="I347" s="409" t="str">
        <f t="shared" si="70"/>
        <v>Concentration</v>
      </c>
      <c r="J347" s="409" t="s">
        <v>6210</v>
      </c>
      <c r="K347" s="409" t="s">
        <v>2536</v>
      </c>
      <c r="L347" s="409" t="s">
        <v>2562</v>
      </c>
      <c r="M347" s="409" t="s">
        <v>1248</v>
      </c>
      <c r="N347" s="408" t="s">
        <v>6433</v>
      </c>
      <c r="O347" s="409" t="s">
        <v>6187</v>
      </c>
      <c r="P347" s="408" t="s">
        <v>6779</v>
      </c>
      <c r="T347" s="409" t="s">
        <v>626</v>
      </c>
      <c r="W347" s="409" t="s">
        <v>621</v>
      </c>
      <c r="Z347" s="409" t="s">
        <v>628</v>
      </c>
      <c r="AA347" s="408">
        <f t="shared" si="71"/>
        <v>0</v>
      </c>
      <c r="AB347" s="408">
        <f t="shared" si="61"/>
        <v>0</v>
      </c>
      <c r="AC347" s="408">
        <f t="shared" si="62"/>
        <v>0</v>
      </c>
      <c r="AD347" s="408">
        <f t="shared" si="63"/>
        <v>1</v>
      </c>
      <c r="AE347" s="408">
        <f t="shared" si="64"/>
        <v>0</v>
      </c>
      <c r="AF347" s="408">
        <f t="shared" si="65"/>
        <v>0</v>
      </c>
      <c r="AG347" s="408">
        <f t="shared" si="66"/>
        <v>1</v>
      </c>
      <c r="AH347" s="408">
        <f t="shared" si="67"/>
        <v>0</v>
      </c>
      <c r="AI347" s="408">
        <f t="shared" si="68"/>
        <v>0</v>
      </c>
      <c r="AJ347" s="408">
        <f t="shared" si="69"/>
        <v>1</v>
      </c>
    </row>
    <row r="348" spans="1:36" x14ac:dyDescent="0.25">
      <c r="A348" s="409">
        <f t="shared" si="72"/>
        <v>347</v>
      </c>
      <c r="B348" s="410" t="s">
        <v>3469</v>
      </c>
      <c r="C348" s="410" t="s">
        <v>6208</v>
      </c>
      <c r="D348" s="409">
        <v>5</v>
      </c>
      <c r="E348" s="408"/>
      <c r="F348" s="409" t="str">
        <f>""</f>
        <v/>
      </c>
      <c r="G348" s="409" t="s">
        <v>6835</v>
      </c>
      <c r="H348" s="409" t="s">
        <v>6209</v>
      </c>
      <c r="I348" s="409" t="str">
        <f t="shared" si="70"/>
        <v>Concentration</v>
      </c>
      <c r="J348" s="409" t="s">
        <v>6218</v>
      </c>
      <c r="K348" s="409" t="s">
        <v>2536</v>
      </c>
      <c r="L348" s="409" t="s">
        <v>2562</v>
      </c>
      <c r="M348" s="409" t="s">
        <v>1248</v>
      </c>
      <c r="N348" s="408" t="s">
        <v>6434</v>
      </c>
      <c r="O348" s="409" t="s">
        <v>6187</v>
      </c>
      <c r="P348" s="408" t="s">
        <v>6780</v>
      </c>
      <c r="Z348" s="409" t="s">
        <v>628</v>
      </c>
      <c r="AA348" s="408">
        <f t="shared" si="71"/>
        <v>0</v>
      </c>
      <c r="AB348" s="408">
        <f t="shared" si="61"/>
        <v>0</v>
      </c>
      <c r="AC348" s="408">
        <f t="shared" si="62"/>
        <v>0</v>
      </c>
      <c r="AD348" s="408">
        <f t="shared" si="63"/>
        <v>0</v>
      </c>
      <c r="AE348" s="408">
        <f t="shared" si="64"/>
        <v>0</v>
      </c>
      <c r="AF348" s="408">
        <f t="shared" si="65"/>
        <v>0</v>
      </c>
      <c r="AG348" s="408">
        <f t="shared" si="66"/>
        <v>0</v>
      </c>
      <c r="AH348" s="408">
        <f t="shared" si="67"/>
        <v>0</v>
      </c>
      <c r="AI348" s="408">
        <f t="shared" si="68"/>
        <v>0</v>
      </c>
      <c r="AJ348" s="408">
        <f t="shared" si="69"/>
        <v>1</v>
      </c>
    </row>
    <row r="349" spans="1:36" x14ac:dyDescent="0.25">
      <c r="A349" s="409">
        <f t="shared" si="72"/>
        <v>348</v>
      </c>
      <c r="B349" s="410" t="s">
        <v>3472</v>
      </c>
      <c r="C349" s="410" t="s">
        <v>6216</v>
      </c>
      <c r="D349" s="409">
        <v>6</v>
      </c>
      <c r="E349" s="408"/>
      <c r="F349" s="409" t="str">
        <f>""</f>
        <v/>
      </c>
      <c r="G349" s="409" t="s">
        <v>6835</v>
      </c>
      <c r="H349" s="409" t="s">
        <v>6209</v>
      </c>
      <c r="I349" s="409" t="str">
        <f t="shared" si="70"/>
        <v>Concentration</v>
      </c>
      <c r="J349" s="409" t="s">
        <v>6218</v>
      </c>
      <c r="K349" s="409" t="s">
        <v>2536</v>
      </c>
      <c r="L349" s="409" t="s">
        <v>2562</v>
      </c>
      <c r="M349" s="409" t="s">
        <v>1248</v>
      </c>
      <c r="N349" s="408" t="s">
        <v>6435</v>
      </c>
      <c r="O349" s="409" t="s">
        <v>6187</v>
      </c>
      <c r="P349" s="408" t="s">
        <v>6781</v>
      </c>
      <c r="Z349" s="409" t="s">
        <v>628</v>
      </c>
      <c r="AA349" s="408">
        <f t="shared" si="71"/>
        <v>0</v>
      </c>
      <c r="AB349" s="408">
        <f t="shared" si="61"/>
        <v>0</v>
      </c>
      <c r="AC349" s="408">
        <f t="shared" si="62"/>
        <v>0</v>
      </c>
      <c r="AD349" s="408">
        <f t="shared" si="63"/>
        <v>0</v>
      </c>
      <c r="AE349" s="408">
        <f t="shared" si="64"/>
        <v>0</v>
      </c>
      <c r="AF349" s="408">
        <f t="shared" si="65"/>
        <v>0</v>
      </c>
      <c r="AG349" s="408">
        <f t="shared" si="66"/>
        <v>0</v>
      </c>
      <c r="AH349" s="408">
        <f t="shared" si="67"/>
        <v>0</v>
      </c>
      <c r="AI349" s="408">
        <f t="shared" si="68"/>
        <v>0</v>
      </c>
      <c r="AJ349" s="408">
        <f t="shared" si="69"/>
        <v>1</v>
      </c>
    </row>
    <row r="350" spans="1:36" x14ac:dyDescent="0.25">
      <c r="A350" s="409">
        <f t="shared" si="72"/>
        <v>349</v>
      </c>
      <c r="B350" s="410" t="s">
        <v>3475</v>
      </c>
      <c r="C350" s="410" t="s">
        <v>6208</v>
      </c>
      <c r="D350" s="409">
        <v>5</v>
      </c>
      <c r="E350" s="408"/>
      <c r="F350" s="409" t="str">
        <f>""</f>
        <v/>
      </c>
      <c r="G350" s="409" t="s">
        <v>6835</v>
      </c>
      <c r="H350" s="409" t="s">
        <v>6209</v>
      </c>
      <c r="I350" s="409" t="str">
        <f t="shared" si="70"/>
        <v>Concentration</v>
      </c>
      <c r="J350" s="409" t="s">
        <v>6218</v>
      </c>
      <c r="K350" s="409" t="s">
        <v>2536</v>
      </c>
      <c r="L350" s="409" t="s">
        <v>2562</v>
      </c>
      <c r="M350" s="409" t="s">
        <v>1248</v>
      </c>
      <c r="N350" s="408" t="s">
        <v>6436</v>
      </c>
      <c r="O350" s="409" t="s">
        <v>6187</v>
      </c>
      <c r="P350" s="408" t="s">
        <v>6782</v>
      </c>
      <c r="T350" s="409" t="s">
        <v>626</v>
      </c>
      <c r="W350" s="409" t="s">
        <v>621</v>
      </c>
      <c r="Z350" s="409" t="s">
        <v>628</v>
      </c>
      <c r="AA350" s="408">
        <f t="shared" si="71"/>
        <v>0</v>
      </c>
      <c r="AB350" s="408">
        <f t="shared" si="61"/>
        <v>0</v>
      </c>
      <c r="AC350" s="408">
        <f t="shared" si="62"/>
        <v>0</v>
      </c>
      <c r="AD350" s="408">
        <f t="shared" si="63"/>
        <v>1</v>
      </c>
      <c r="AE350" s="408">
        <f t="shared" si="64"/>
        <v>0</v>
      </c>
      <c r="AF350" s="408">
        <f t="shared" si="65"/>
        <v>0</v>
      </c>
      <c r="AG350" s="408">
        <f t="shared" si="66"/>
        <v>1</v>
      </c>
      <c r="AH350" s="408">
        <f t="shared" si="67"/>
        <v>0</v>
      </c>
      <c r="AI350" s="408">
        <f t="shared" si="68"/>
        <v>0</v>
      </c>
      <c r="AJ350" s="408">
        <f t="shared" si="69"/>
        <v>1</v>
      </c>
    </row>
    <row r="351" spans="1:36" x14ac:dyDescent="0.25">
      <c r="A351" s="409">
        <f t="shared" si="72"/>
        <v>350</v>
      </c>
      <c r="B351" s="410" t="s">
        <v>3478</v>
      </c>
      <c r="C351" s="410" t="s">
        <v>6216</v>
      </c>
      <c r="D351" s="409">
        <v>6</v>
      </c>
      <c r="E351" s="408"/>
      <c r="F351" s="409" t="str">
        <f>""</f>
        <v/>
      </c>
      <c r="G351" s="409" t="s">
        <v>6835</v>
      </c>
      <c r="H351" s="409" t="s">
        <v>6301</v>
      </c>
      <c r="I351" s="409" t="str">
        <f t="shared" si="70"/>
        <v>Concentration</v>
      </c>
      <c r="J351" s="409" t="s">
        <v>6218</v>
      </c>
      <c r="K351" s="409" t="s">
        <v>2536</v>
      </c>
      <c r="L351" s="409" t="s">
        <v>2562</v>
      </c>
      <c r="M351" s="409" t="s">
        <v>3857</v>
      </c>
      <c r="N351" s="408" t="str">
        <f>""</f>
        <v/>
      </c>
      <c r="O351" s="409" t="s">
        <v>6185</v>
      </c>
      <c r="P351" s="408" t="s">
        <v>6783</v>
      </c>
      <c r="W351" s="409" t="s">
        <v>621</v>
      </c>
      <c r="AA351" s="408">
        <f t="shared" si="71"/>
        <v>0</v>
      </c>
      <c r="AB351" s="408">
        <f t="shared" si="61"/>
        <v>0</v>
      </c>
      <c r="AC351" s="408">
        <f t="shared" si="62"/>
        <v>0</v>
      </c>
      <c r="AD351" s="408">
        <f t="shared" si="63"/>
        <v>0</v>
      </c>
      <c r="AE351" s="408">
        <f t="shared" si="64"/>
        <v>0</v>
      </c>
      <c r="AF351" s="408">
        <f t="shared" si="65"/>
        <v>0</v>
      </c>
      <c r="AG351" s="408">
        <f t="shared" si="66"/>
        <v>1</v>
      </c>
      <c r="AH351" s="408">
        <f t="shared" si="67"/>
        <v>0</v>
      </c>
      <c r="AI351" s="408">
        <f t="shared" si="68"/>
        <v>0</v>
      </c>
      <c r="AJ351" s="408">
        <f t="shared" si="69"/>
        <v>0</v>
      </c>
    </row>
    <row r="352" spans="1:36" x14ac:dyDescent="0.25">
      <c r="A352" s="409">
        <f t="shared" si="72"/>
        <v>351</v>
      </c>
      <c r="B352" s="410" t="s">
        <v>3481</v>
      </c>
      <c r="C352" s="410" t="s">
        <v>6193</v>
      </c>
      <c r="D352" s="409">
        <v>2</v>
      </c>
      <c r="E352" s="408"/>
      <c r="F352" s="409" t="str">
        <f>""</f>
        <v/>
      </c>
      <c r="G352" s="409" t="s">
        <v>6835</v>
      </c>
      <c r="H352" s="409" t="s">
        <v>6219</v>
      </c>
      <c r="I352" s="409" t="str">
        <f t="shared" si="70"/>
        <v/>
      </c>
      <c r="J352" s="409" t="s">
        <v>6212</v>
      </c>
      <c r="K352" s="409" t="s">
        <v>2536</v>
      </c>
      <c r="L352" s="409" t="s">
        <v>2562</v>
      </c>
      <c r="M352" s="409" t="s">
        <v>1248</v>
      </c>
      <c r="N352" s="408" t="s">
        <v>6437</v>
      </c>
      <c r="O352" s="409" t="s">
        <v>6184</v>
      </c>
      <c r="P352" s="408" t="s">
        <v>6845</v>
      </c>
      <c r="V352" s="409" t="s">
        <v>620</v>
      </c>
      <c r="AA352" s="408">
        <f t="shared" si="71"/>
        <v>0</v>
      </c>
      <c r="AB352" s="408">
        <f t="shared" si="61"/>
        <v>0</v>
      </c>
      <c r="AC352" s="408">
        <f t="shared" si="62"/>
        <v>0</v>
      </c>
      <c r="AD352" s="408">
        <f t="shared" si="63"/>
        <v>0</v>
      </c>
      <c r="AE352" s="408">
        <f t="shared" si="64"/>
        <v>0</v>
      </c>
      <c r="AF352" s="408">
        <f t="shared" si="65"/>
        <v>1</v>
      </c>
      <c r="AG352" s="408">
        <f t="shared" si="66"/>
        <v>0</v>
      </c>
      <c r="AH352" s="408">
        <f t="shared" si="67"/>
        <v>0</v>
      </c>
      <c r="AI352" s="408">
        <f t="shared" si="68"/>
        <v>0</v>
      </c>
      <c r="AJ352" s="408">
        <f t="shared" si="69"/>
        <v>0</v>
      </c>
    </row>
    <row r="353" spans="1:36" x14ac:dyDescent="0.25">
      <c r="A353" s="409">
        <f t="shared" si="72"/>
        <v>352</v>
      </c>
      <c r="B353" s="410" t="s">
        <v>3484</v>
      </c>
      <c r="C353" s="410" t="s">
        <v>6205</v>
      </c>
      <c r="D353" s="409">
        <v>3</v>
      </c>
      <c r="E353" s="408"/>
      <c r="F353" s="409" t="s">
        <v>6183</v>
      </c>
      <c r="G353" s="409" t="s">
        <v>6836</v>
      </c>
      <c r="H353" s="409" t="s">
        <v>5950</v>
      </c>
      <c r="I353" s="409" t="str">
        <f t="shared" si="70"/>
        <v/>
      </c>
      <c r="J353" s="409" t="s">
        <v>6201</v>
      </c>
      <c r="K353" s="409" t="s">
        <v>2536</v>
      </c>
      <c r="L353" s="409" t="s">
        <v>2562</v>
      </c>
      <c r="M353" s="409" t="s">
        <v>1248</v>
      </c>
      <c r="N353" s="408" t="s">
        <v>6438</v>
      </c>
      <c r="O353" s="409" t="s">
        <v>6190</v>
      </c>
      <c r="P353" s="408" t="s">
        <v>3486</v>
      </c>
      <c r="S353" s="409" t="s">
        <v>624</v>
      </c>
      <c r="T353" s="409" t="s">
        <v>626</v>
      </c>
      <c r="W353" s="409" t="s">
        <v>621</v>
      </c>
      <c r="Z353" s="409" t="s">
        <v>628</v>
      </c>
      <c r="AA353" s="408">
        <f t="shared" si="71"/>
        <v>0</v>
      </c>
      <c r="AB353" s="408">
        <f t="shared" si="61"/>
        <v>0</v>
      </c>
      <c r="AC353" s="408">
        <f t="shared" si="62"/>
        <v>1</v>
      </c>
      <c r="AD353" s="408">
        <f t="shared" si="63"/>
        <v>1</v>
      </c>
      <c r="AE353" s="408">
        <f t="shared" si="64"/>
        <v>0</v>
      </c>
      <c r="AF353" s="408">
        <f t="shared" si="65"/>
        <v>0</v>
      </c>
      <c r="AG353" s="408">
        <f t="shared" si="66"/>
        <v>1</v>
      </c>
      <c r="AH353" s="408">
        <f t="shared" si="67"/>
        <v>0</v>
      </c>
      <c r="AI353" s="408">
        <f t="shared" si="68"/>
        <v>0</v>
      </c>
      <c r="AJ353" s="408">
        <f t="shared" si="69"/>
        <v>1</v>
      </c>
    </row>
    <row r="354" spans="1:36" x14ac:dyDescent="0.25">
      <c r="A354" s="409">
        <f t="shared" si="72"/>
        <v>353</v>
      </c>
      <c r="B354" s="410" t="s">
        <v>3487</v>
      </c>
      <c r="C354" s="410" t="s">
        <v>6205</v>
      </c>
      <c r="D354" s="409">
        <v>3</v>
      </c>
      <c r="E354" s="408"/>
      <c r="F354" s="409" t="s">
        <v>6183</v>
      </c>
      <c r="G354" s="409" t="s">
        <v>6836</v>
      </c>
      <c r="H354" s="409" t="s">
        <v>5950</v>
      </c>
      <c r="I354" s="409" t="str">
        <f t="shared" si="70"/>
        <v/>
      </c>
      <c r="J354" s="409" t="s">
        <v>6212</v>
      </c>
      <c r="K354" s="409" t="s">
        <v>2536</v>
      </c>
      <c r="L354" s="409" t="s">
        <v>2562</v>
      </c>
      <c r="M354" s="409" t="s">
        <v>1248</v>
      </c>
      <c r="N354" s="408" t="s">
        <v>6439</v>
      </c>
      <c r="O354" s="409" t="s">
        <v>6190</v>
      </c>
      <c r="P354" s="408" t="s">
        <v>6440</v>
      </c>
      <c r="S354" s="409" t="s">
        <v>624</v>
      </c>
      <c r="T354" s="409" t="s">
        <v>626</v>
      </c>
      <c r="V354" s="409" t="s">
        <v>620</v>
      </c>
      <c r="W354" s="409" t="s">
        <v>621</v>
      </c>
      <c r="AA354" s="408">
        <f t="shared" si="71"/>
        <v>0</v>
      </c>
      <c r="AB354" s="408">
        <f t="shared" si="61"/>
        <v>0</v>
      </c>
      <c r="AC354" s="408">
        <f t="shared" si="62"/>
        <v>1</v>
      </c>
      <c r="AD354" s="408">
        <f t="shared" si="63"/>
        <v>1</v>
      </c>
      <c r="AE354" s="408">
        <f t="shared" si="64"/>
        <v>0</v>
      </c>
      <c r="AF354" s="408">
        <f t="shared" si="65"/>
        <v>1</v>
      </c>
      <c r="AG354" s="408">
        <f t="shared" si="66"/>
        <v>1</v>
      </c>
      <c r="AH354" s="408">
        <f t="shared" si="67"/>
        <v>0</v>
      </c>
      <c r="AI354" s="408">
        <f t="shared" si="68"/>
        <v>0</v>
      </c>
      <c r="AJ354" s="408">
        <f t="shared" si="69"/>
        <v>0</v>
      </c>
    </row>
    <row r="355" spans="1:36" x14ac:dyDescent="0.25">
      <c r="A355" s="409">
        <f t="shared" si="72"/>
        <v>354</v>
      </c>
      <c r="B355" s="410" t="s">
        <v>3490</v>
      </c>
      <c r="C355" s="410" t="s">
        <v>6193</v>
      </c>
      <c r="D355" s="409">
        <v>2</v>
      </c>
      <c r="E355" s="408"/>
      <c r="F355" s="409" t="str">
        <f>""</f>
        <v/>
      </c>
      <c r="G355" s="409" t="s">
        <v>6835</v>
      </c>
      <c r="H355" s="409" t="s">
        <v>424</v>
      </c>
      <c r="I355" s="409" t="str">
        <f t="shared" si="70"/>
        <v>Concentration</v>
      </c>
      <c r="J355" s="409" t="s">
        <v>6200</v>
      </c>
      <c r="K355" s="409" t="s">
        <v>2536</v>
      </c>
      <c r="L355" s="409" t="s">
        <v>2562</v>
      </c>
      <c r="M355" s="409" t="s">
        <v>1248</v>
      </c>
      <c r="N355" s="408" t="s">
        <v>6441</v>
      </c>
      <c r="O355" s="409" t="s">
        <v>6185</v>
      </c>
      <c r="P355" s="408" t="s">
        <v>6784</v>
      </c>
      <c r="T355" s="409" t="s">
        <v>626</v>
      </c>
      <c r="Z355" s="409" t="s">
        <v>628</v>
      </c>
      <c r="AA355" s="408">
        <f t="shared" si="71"/>
        <v>0</v>
      </c>
      <c r="AB355" s="408">
        <f t="shared" si="61"/>
        <v>0</v>
      </c>
      <c r="AC355" s="408">
        <f t="shared" si="62"/>
        <v>0</v>
      </c>
      <c r="AD355" s="408">
        <f t="shared" si="63"/>
        <v>1</v>
      </c>
      <c r="AE355" s="408">
        <f t="shared" si="64"/>
        <v>0</v>
      </c>
      <c r="AF355" s="408">
        <f t="shared" si="65"/>
        <v>0</v>
      </c>
      <c r="AG355" s="408">
        <f t="shared" si="66"/>
        <v>0</v>
      </c>
      <c r="AH355" s="408">
        <f t="shared" si="67"/>
        <v>0</v>
      </c>
      <c r="AI355" s="408">
        <f t="shared" si="68"/>
        <v>0</v>
      </c>
      <c r="AJ355" s="408">
        <f t="shared" si="69"/>
        <v>1</v>
      </c>
    </row>
    <row r="356" spans="1:36" x14ac:dyDescent="0.25">
      <c r="A356" s="409">
        <f t="shared" si="72"/>
        <v>355</v>
      </c>
      <c r="B356" s="410" t="s">
        <v>3493</v>
      </c>
      <c r="C356" s="410" t="s">
        <v>6223</v>
      </c>
      <c r="D356" s="409">
        <v>9</v>
      </c>
      <c r="E356" s="408"/>
      <c r="F356" s="409" t="str">
        <f>""</f>
        <v/>
      </c>
      <c r="G356" s="409" t="s">
        <v>6835</v>
      </c>
      <c r="H356" s="409" t="s">
        <v>6209</v>
      </c>
      <c r="I356" s="409" t="str">
        <f t="shared" si="70"/>
        <v>Concentration</v>
      </c>
      <c r="J356" s="409" t="s">
        <v>6210</v>
      </c>
      <c r="K356" s="409" t="s">
        <v>2536</v>
      </c>
      <c r="L356" s="409" t="s">
        <v>2562</v>
      </c>
      <c r="M356" s="409" t="s">
        <v>3857</v>
      </c>
      <c r="N356" s="408" t="str">
        <f>""</f>
        <v/>
      </c>
      <c r="O356" s="409" t="s">
        <v>6188</v>
      </c>
      <c r="P356" s="408" t="s">
        <v>6442</v>
      </c>
      <c r="Z356" s="409" t="s">
        <v>628</v>
      </c>
      <c r="AA356" s="408">
        <f t="shared" si="71"/>
        <v>0</v>
      </c>
      <c r="AB356" s="408">
        <f t="shared" si="61"/>
        <v>0</v>
      </c>
      <c r="AC356" s="408">
        <f t="shared" si="62"/>
        <v>0</v>
      </c>
      <c r="AD356" s="408">
        <f t="shared" si="63"/>
        <v>0</v>
      </c>
      <c r="AE356" s="408">
        <f t="shared" si="64"/>
        <v>0</v>
      </c>
      <c r="AF356" s="408">
        <f t="shared" si="65"/>
        <v>0</v>
      </c>
      <c r="AG356" s="408">
        <f t="shared" si="66"/>
        <v>0</v>
      </c>
      <c r="AH356" s="408">
        <f t="shared" si="67"/>
        <v>0</v>
      </c>
      <c r="AI356" s="408">
        <f t="shared" si="68"/>
        <v>0</v>
      </c>
      <c r="AJ356" s="408">
        <f t="shared" si="69"/>
        <v>1</v>
      </c>
    </row>
    <row r="357" spans="1:36" x14ac:dyDescent="0.25">
      <c r="A357" s="409">
        <f t="shared" si="72"/>
        <v>356</v>
      </c>
      <c r="B357" s="410" t="s">
        <v>3497</v>
      </c>
      <c r="C357" s="410" t="s">
        <v>6216</v>
      </c>
      <c r="D357" s="409">
        <v>6</v>
      </c>
      <c r="E357" s="408"/>
      <c r="F357" s="409" t="str">
        <f>""</f>
        <v/>
      </c>
      <c r="G357" s="409" t="s">
        <v>6206</v>
      </c>
      <c r="H357" s="409" t="s">
        <v>5950</v>
      </c>
      <c r="I357" s="409" t="str">
        <f t="shared" si="70"/>
        <v/>
      </c>
      <c r="J357" s="409" t="s">
        <v>6194</v>
      </c>
      <c r="K357" s="409" t="s">
        <v>2536</v>
      </c>
      <c r="L357" s="409" t="s">
        <v>2562</v>
      </c>
      <c r="M357" s="409" t="s">
        <v>3857</v>
      </c>
      <c r="N357" s="408" t="str">
        <f>""</f>
        <v/>
      </c>
      <c r="O357" s="409" t="s">
        <v>6190</v>
      </c>
      <c r="P357" s="408" t="s">
        <v>6785</v>
      </c>
      <c r="W357" s="409" t="s">
        <v>621</v>
      </c>
      <c r="AA357" s="408">
        <f t="shared" si="71"/>
        <v>0</v>
      </c>
      <c r="AB357" s="408">
        <f t="shared" si="61"/>
        <v>0</v>
      </c>
      <c r="AC357" s="408">
        <f t="shared" si="62"/>
        <v>0</v>
      </c>
      <c r="AD357" s="408">
        <f t="shared" si="63"/>
        <v>0</v>
      </c>
      <c r="AE357" s="408">
        <f t="shared" si="64"/>
        <v>0</v>
      </c>
      <c r="AF357" s="408">
        <f t="shared" si="65"/>
        <v>0</v>
      </c>
      <c r="AG357" s="408">
        <f t="shared" si="66"/>
        <v>1</v>
      </c>
      <c r="AH357" s="408">
        <f t="shared" si="67"/>
        <v>0</v>
      </c>
      <c r="AI357" s="408">
        <f t="shared" si="68"/>
        <v>0</v>
      </c>
      <c r="AJ357" s="408">
        <f t="shared" si="69"/>
        <v>0</v>
      </c>
    </row>
    <row r="358" spans="1:36" x14ac:dyDescent="0.25">
      <c r="A358" s="409">
        <f t="shared" si="72"/>
        <v>357</v>
      </c>
      <c r="B358" s="410" t="s">
        <v>3500</v>
      </c>
      <c r="C358" s="410" t="s">
        <v>6205</v>
      </c>
      <c r="D358" s="409">
        <v>3</v>
      </c>
      <c r="E358" s="408"/>
      <c r="F358" s="409" t="str">
        <f>""</f>
        <v/>
      </c>
      <c r="G358" s="409" t="s">
        <v>6835</v>
      </c>
      <c r="H358" s="409" t="s">
        <v>6209</v>
      </c>
      <c r="I358" s="409" t="str">
        <f t="shared" si="70"/>
        <v>Concentration</v>
      </c>
      <c r="J358" s="409" t="s">
        <v>6210</v>
      </c>
      <c r="K358" s="409" t="s">
        <v>2536</v>
      </c>
      <c r="L358" s="409" t="s">
        <v>2562</v>
      </c>
      <c r="M358" s="409" t="s">
        <v>1248</v>
      </c>
      <c r="N358" s="408" t="s">
        <v>6443</v>
      </c>
      <c r="O358" s="409" t="s">
        <v>6187</v>
      </c>
      <c r="P358" s="408" t="s">
        <v>6786</v>
      </c>
      <c r="W358" s="409" t="s">
        <v>621</v>
      </c>
      <c r="AA358" s="408">
        <f t="shared" si="71"/>
        <v>0</v>
      </c>
      <c r="AB358" s="408">
        <f t="shared" si="61"/>
        <v>0</v>
      </c>
      <c r="AC358" s="408">
        <f t="shared" si="62"/>
        <v>0</v>
      </c>
      <c r="AD358" s="408">
        <f t="shared" si="63"/>
        <v>0</v>
      </c>
      <c r="AE358" s="408">
        <f t="shared" si="64"/>
        <v>0</v>
      </c>
      <c r="AF358" s="408">
        <f t="shared" si="65"/>
        <v>0</v>
      </c>
      <c r="AG358" s="408">
        <f t="shared" si="66"/>
        <v>1</v>
      </c>
      <c r="AH358" s="408">
        <f t="shared" si="67"/>
        <v>0</v>
      </c>
      <c r="AI358" s="408">
        <f t="shared" si="68"/>
        <v>0</v>
      </c>
      <c r="AJ358" s="408">
        <f t="shared" si="69"/>
        <v>0</v>
      </c>
    </row>
    <row r="359" spans="1:36" x14ac:dyDescent="0.25">
      <c r="A359" s="409">
        <f t="shared" si="72"/>
        <v>358</v>
      </c>
      <c r="B359" s="410" t="s">
        <v>3503</v>
      </c>
      <c r="C359" s="410" t="s">
        <v>6223</v>
      </c>
      <c r="D359" s="409">
        <v>9</v>
      </c>
      <c r="E359" s="408"/>
      <c r="F359" s="409" t="str">
        <f>""</f>
        <v/>
      </c>
      <c r="G359" s="409" t="s">
        <v>6835</v>
      </c>
      <c r="H359" s="409" t="s">
        <v>6199</v>
      </c>
      <c r="I359" s="409" t="str">
        <f t="shared" si="70"/>
        <v/>
      </c>
      <c r="J359" s="409" t="s">
        <v>6192</v>
      </c>
      <c r="K359" s="409" t="s">
        <v>2536</v>
      </c>
      <c r="L359" s="409" t="s">
        <v>3857</v>
      </c>
      <c r="M359" s="409" t="s">
        <v>3857</v>
      </c>
      <c r="N359" s="408" t="str">
        <f>""</f>
        <v/>
      </c>
      <c r="O359" s="409" t="s">
        <v>6185</v>
      </c>
      <c r="P359" s="408" t="s">
        <v>6787</v>
      </c>
      <c r="T359" s="409" t="s">
        <v>626</v>
      </c>
      <c r="Z359" s="409" t="s">
        <v>628</v>
      </c>
      <c r="AA359" s="408">
        <f t="shared" si="71"/>
        <v>0</v>
      </c>
      <c r="AB359" s="408">
        <f t="shared" si="61"/>
        <v>0</v>
      </c>
      <c r="AC359" s="408">
        <f t="shared" si="62"/>
        <v>0</v>
      </c>
      <c r="AD359" s="408">
        <f t="shared" si="63"/>
        <v>1</v>
      </c>
      <c r="AE359" s="408">
        <f t="shared" si="64"/>
        <v>0</v>
      </c>
      <c r="AF359" s="408">
        <f t="shared" si="65"/>
        <v>0</v>
      </c>
      <c r="AG359" s="408">
        <f t="shared" si="66"/>
        <v>0</v>
      </c>
      <c r="AH359" s="408">
        <f t="shared" si="67"/>
        <v>0</v>
      </c>
      <c r="AI359" s="408">
        <f t="shared" si="68"/>
        <v>0</v>
      </c>
      <c r="AJ359" s="408">
        <f t="shared" si="69"/>
        <v>1</v>
      </c>
    </row>
    <row r="360" spans="1:36" x14ac:dyDescent="0.25">
      <c r="A360" s="409">
        <f t="shared" si="72"/>
        <v>359</v>
      </c>
      <c r="B360" s="410" t="s">
        <v>3505</v>
      </c>
      <c r="C360" s="410" t="s">
        <v>6196</v>
      </c>
      <c r="D360" s="409">
        <v>1</v>
      </c>
      <c r="E360" s="408"/>
      <c r="F360" s="409" t="str">
        <f>""</f>
        <v/>
      </c>
      <c r="G360" s="409" t="s">
        <v>6835</v>
      </c>
      <c r="H360" s="409" t="s">
        <v>5950</v>
      </c>
      <c r="I360" s="409" t="str">
        <f t="shared" si="70"/>
        <v>Concentration</v>
      </c>
      <c r="J360" s="409" t="s">
        <v>6210</v>
      </c>
      <c r="K360" s="409" t="s">
        <v>2536</v>
      </c>
      <c r="L360" s="409" t="s">
        <v>2562</v>
      </c>
      <c r="M360" s="409" t="s">
        <v>1248</v>
      </c>
      <c r="N360" s="408" t="s">
        <v>6444</v>
      </c>
      <c r="O360" s="409" t="s">
        <v>6187</v>
      </c>
      <c r="P360" s="408" t="s">
        <v>6788</v>
      </c>
      <c r="T360" s="409" t="s">
        <v>626</v>
      </c>
      <c r="U360" s="409" t="s">
        <v>627</v>
      </c>
      <c r="Z360" s="409" t="s">
        <v>628</v>
      </c>
      <c r="AA360" s="408">
        <f t="shared" si="71"/>
        <v>0</v>
      </c>
      <c r="AB360" s="408">
        <f t="shared" si="61"/>
        <v>0</v>
      </c>
      <c r="AC360" s="408">
        <f t="shared" si="62"/>
        <v>0</v>
      </c>
      <c r="AD360" s="408">
        <f t="shared" si="63"/>
        <v>1</v>
      </c>
      <c r="AE360" s="408">
        <f t="shared" si="64"/>
        <v>1</v>
      </c>
      <c r="AF360" s="408">
        <f t="shared" si="65"/>
        <v>0</v>
      </c>
      <c r="AG360" s="408">
        <f t="shared" si="66"/>
        <v>0</v>
      </c>
      <c r="AH360" s="408">
        <f t="shared" si="67"/>
        <v>0</v>
      </c>
      <c r="AI360" s="408">
        <f t="shared" si="68"/>
        <v>0</v>
      </c>
      <c r="AJ360" s="408">
        <f t="shared" si="69"/>
        <v>1</v>
      </c>
    </row>
    <row r="361" spans="1:36" x14ac:dyDescent="0.25">
      <c r="A361" s="409">
        <f t="shared" si="72"/>
        <v>360</v>
      </c>
      <c r="B361" s="410" t="s">
        <v>3508</v>
      </c>
      <c r="C361" s="410" t="s">
        <v>6216</v>
      </c>
      <c r="D361" s="409">
        <v>6</v>
      </c>
      <c r="E361" s="408"/>
      <c r="F361" s="409" t="str">
        <f>""</f>
        <v/>
      </c>
      <c r="G361" s="409" t="s">
        <v>6835</v>
      </c>
      <c r="H361" s="409" t="s">
        <v>6262</v>
      </c>
      <c r="I361" s="409" t="str">
        <f t="shared" si="70"/>
        <v/>
      </c>
      <c r="J361" s="409" t="s">
        <v>6192</v>
      </c>
      <c r="K361" s="409" t="s">
        <v>2536</v>
      </c>
      <c r="L361" s="409" t="s">
        <v>3857</v>
      </c>
      <c r="M361" s="409" t="s">
        <v>3857</v>
      </c>
      <c r="N361" s="408" t="str">
        <f>""</f>
        <v/>
      </c>
      <c r="O361" s="409" t="s">
        <v>6185</v>
      </c>
      <c r="P361" s="408" t="s">
        <v>6789</v>
      </c>
      <c r="V361" s="409" t="s">
        <v>620</v>
      </c>
      <c r="AA361" s="408">
        <f t="shared" si="71"/>
        <v>0</v>
      </c>
      <c r="AB361" s="408">
        <f t="shared" si="61"/>
        <v>0</v>
      </c>
      <c r="AC361" s="408">
        <f t="shared" si="62"/>
        <v>0</v>
      </c>
      <c r="AD361" s="408">
        <f t="shared" si="63"/>
        <v>0</v>
      </c>
      <c r="AE361" s="408">
        <f t="shared" si="64"/>
        <v>0</v>
      </c>
      <c r="AF361" s="408">
        <f t="shared" si="65"/>
        <v>1</v>
      </c>
      <c r="AG361" s="408">
        <f t="shared" si="66"/>
        <v>0</v>
      </c>
      <c r="AH361" s="408">
        <f t="shared" si="67"/>
        <v>0</v>
      </c>
      <c r="AI361" s="408">
        <f t="shared" si="68"/>
        <v>0</v>
      </c>
      <c r="AJ361" s="408">
        <f t="shared" si="69"/>
        <v>0</v>
      </c>
    </row>
    <row r="362" spans="1:36" x14ac:dyDescent="0.25">
      <c r="A362" s="409">
        <f t="shared" si="72"/>
        <v>361</v>
      </c>
      <c r="B362" s="410" t="s">
        <v>3510</v>
      </c>
      <c r="C362" s="410" t="s">
        <v>6196</v>
      </c>
      <c r="D362" s="409">
        <v>1</v>
      </c>
      <c r="E362" s="408"/>
      <c r="F362" s="409" t="str">
        <f>""</f>
        <v/>
      </c>
      <c r="G362" s="409" t="s">
        <v>6841</v>
      </c>
      <c r="H362" s="409" t="s">
        <v>6199</v>
      </c>
      <c r="I362" s="409" t="str">
        <f t="shared" si="70"/>
        <v>Concentration</v>
      </c>
      <c r="J362" s="409" t="s">
        <v>6210</v>
      </c>
      <c r="K362" s="409" t="s">
        <v>2536</v>
      </c>
      <c r="L362" s="409" t="s">
        <v>3857</v>
      </c>
      <c r="M362" s="409" t="s">
        <v>3857</v>
      </c>
      <c r="N362" s="408" t="str">
        <f>""</f>
        <v/>
      </c>
      <c r="O362" s="409" t="s">
        <v>6187</v>
      </c>
      <c r="P362" s="408" t="s">
        <v>3511</v>
      </c>
      <c r="R362" s="409" t="s">
        <v>1113</v>
      </c>
      <c r="AA362" s="408">
        <f t="shared" si="71"/>
        <v>0</v>
      </c>
      <c r="AB362" s="408">
        <f t="shared" si="61"/>
        <v>1</v>
      </c>
      <c r="AC362" s="408">
        <f t="shared" si="62"/>
        <v>0</v>
      </c>
      <c r="AD362" s="408">
        <f t="shared" si="63"/>
        <v>0</v>
      </c>
      <c r="AE362" s="408">
        <f t="shared" si="64"/>
        <v>0</v>
      </c>
      <c r="AF362" s="408">
        <f t="shared" si="65"/>
        <v>0</v>
      </c>
      <c r="AG362" s="408">
        <f t="shared" si="66"/>
        <v>0</v>
      </c>
      <c r="AH362" s="408">
        <f t="shared" si="67"/>
        <v>0</v>
      </c>
      <c r="AI362" s="408">
        <f t="shared" si="68"/>
        <v>0</v>
      </c>
      <c r="AJ362" s="408">
        <f t="shared" si="69"/>
        <v>0</v>
      </c>
    </row>
    <row r="363" spans="1:36" x14ac:dyDescent="0.25">
      <c r="A363" s="409">
        <f t="shared" si="72"/>
        <v>362</v>
      </c>
      <c r="B363" s="410" t="s">
        <v>3512</v>
      </c>
      <c r="C363" s="410" t="s">
        <v>6193</v>
      </c>
      <c r="D363" s="409">
        <v>2</v>
      </c>
      <c r="E363" s="408"/>
      <c r="F363" s="409" t="str">
        <f>""</f>
        <v/>
      </c>
      <c r="G363" s="409" t="s">
        <v>6835</v>
      </c>
      <c r="H363" s="409" t="s">
        <v>424</v>
      </c>
      <c r="I363" s="409" t="str">
        <f t="shared" si="70"/>
        <v/>
      </c>
      <c r="J363" s="409" t="s">
        <v>6241</v>
      </c>
      <c r="K363" s="409" t="s">
        <v>2536</v>
      </c>
      <c r="L363" s="409" t="s">
        <v>2562</v>
      </c>
      <c r="M363" s="409" t="s">
        <v>3857</v>
      </c>
      <c r="N363" s="408" t="str">
        <f>""</f>
        <v/>
      </c>
      <c r="O363" s="409" t="s">
        <v>6186</v>
      </c>
      <c r="P363" s="408" t="s">
        <v>6790</v>
      </c>
      <c r="Q363" s="409" t="s">
        <v>1112</v>
      </c>
      <c r="R363" s="409" t="s">
        <v>1113</v>
      </c>
      <c r="V363" s="409" t="s">
        <v>620</v>
      </c>
      <c r="AA363" s="408">
        <f t="shared" si="71"/>
        <v>1</v>
      </c>
      <c r="AB363" s="408">
        <f t="shared" si="61"/>
        <v>1</v>
      </c>
      <c r="AC363" s="408">
        <f t="shared" si="62"/>
        <v>0</v>
      </c>
      <c r="AD363" s="408">
        <f t="shared" si="63"/>
        <v>0</v>
      </c>
      <c r="AE363" s="408">
        <f t="shared" si="64"/>
        <v>0</v>
      </c>
      <c r="AF363" s="408">
        <f t="shared" si="65"/>
        <v>1</v>
      </c>
      <c r="AG363" s="408">
        <f t="shared" si="66"/>
        <v>0</v>
      </c>
      <c r="AH363" s="408">
        <f t="shared" si="67"/>
        <v>0</v>
      </c>
      <c r="AI363" s="408">
        <f t="shared" si="68"/>
        <v>0</v>
      </c>
      <c r="AJ363" s="408">
        <f t="shared" si="69"/>
        <v>0</v>
      </c>
    </row>
    <row r="364" spans="1:36" x14ac:dyDescent="0.25">
      <c r="A364" s="409">
        <f t="shared" si="72"/>
        <v>363</v>
      </c>
      <c r="B364" s="467" t="s">
        <v>6445</v>
      </c>
      <c r="C364" s="410" t="s">
        <v>6203</v>
      </c>
      <c r="D364" s="409">
        <v>8</v>
      </c>
      <c r="E364" s="408"/>
      <c r="F364" s="409" t="str">
        <f>""</f>
        <v/>
      </c>
      <c r="G364" s="409" t="s">
        <v>6835</v>
      </c>
      <c r="H364" s="409" t="s">
        <v>6237</v>
      </c>
      <c r="I364" s="409" t="str">
        <f t="shared" si="70"/>
        <v/>
      </c>
      <c r="J364" s="409" t="s">
        <v>6192</v>
      </c>
      <c r="K364" s="409" t="s">
        <v>2536</v>
      </c>
      <c r="L364" s="409" t="s">
        <v>2562</v>
      </c>
      <c r="M364" s="409" t="s">
        <v>1248</v>
      </c>
      <c r="N364" s="408" t="s">
        <v>6446</v>
      </c>
      <c r="O364" s="409" t="s">
        <v>6189</v>
      </c>
      <c r="P364" s="408" t="s">
        <v>6791</v>
      </c>
      <c r="T364" s="409" t="s">
        <v>626</v>
      </c>
      <c r="Z364" s="409" t="s">
        <v>628</v>
      </c>
      <c r="AA364" s="408">
        <f t="shared" si="71"/>
        <v>0</v>
      </c>
      <c r="AB364" s="408">
        <f t="shared" si="61"/>
        <v>0</v>
      </c>
      <c r="AC364" s="408">
        <f t="shared" si="62"/>
        <v>0</v>
      </c>
      <c r="AD364" s="408">
        <f t="shared" si="63"/>
        <v>1</v>
      </c>
      <c r="AE364" s="408">
        <f t="shared" si="64"/>
        <v>0</v>
      </c>
      <c r="AF364" s="408">
        <f t="shared" si="65"/>
        <v>0</v>
      </c>
      <c r="AG364" s="408">
        <f t="shared" si="66"/>
        <v>0</v>
      </c>
      <c r="AH364" s="408">
        <f t="shared" si="67"/>
        <v>0</v>
      </c>
      <c r="AI364" s="408">
        <f t="shared" si="68"/>
        <v>0</v>
      </c>
      <c r="AJ364" s="408">
        <f t="shared" si="69"/>
        <v>1</v>
      </c>
    </row>
    <row r="365" spans="1:36" x14ac:dyDescent="0.25">
      <c r="A365" s="409">
        <f t="shared" si="72"/>
        <v>364</v>
      </c>
      <c r="B365" s="467" t="s">
        <v>6447</v>
      </c>
      <c r="C365" s="410" t="s">
        <v>6196</v>
      </c>
      <c r="D365" s="409">
        <v>1</v>
      </c>
      <c r="E365" s="408"/>
      <c r="F365" s="409" t="str">
        <f>""</f>
        <v/>
      </c>
      <c r="G365" s="409" t="s">
        <v>6264</v>
      </c>
      <c r="H365" s="409" t="s">
        <v>6199</v>
      </c>
      <c r="I365" s="409" t="str">
        <f t="shared" si="70"/>
        <v/>
      </c>
      <c r="J365" s="409" t="s">
        <v>6235</v>
      </c>
      <c r="K365" s="409" t="s">
        <v>3857</v>
      </c>
      <c r="L365" s="409" t="s">
        <v>2562</v>
      </c>
      <c r="M365" s="409" t="s">
        <v>3857</v>
      </c>
      <c r="N365" s="408" t="str">
        <f>""</f>
        <v/>
      </c>
      <c r="O365" s="409" t="s">
        <v>6184</v>
      </c>
      <c r="P365" s="408" t="s">
        <v>6792</v>
      </c>
      <c r="S365" s="409" t="s">
        <v>624</v>
      </c>
      <c r="W365" s="409" t="s">
        <v>621</v>
      </c>
      <c r="Z365" s="409" t="s">
        <v>628</v>
      </c>
      <c r="AA365" s="408">
        <f t="shared" si="71"/>
        <v>0</v>
      </c>
      <c r="AB365" s="408">
        <f t="shared" si="61"/>
        <v>0</v>
      </c>
      <c r="AC365" s="408">
        <f t="shared" si="62"/>
        <v>1</v>
      </c>
      <c r="AD365" s="408">
        <f t="shared" si="63"/>
        <v>0</v>
      </c>
      <c r="AE365" s="408">
        <f t="shared" si="64"/>
        <v>0</v>
      </c>
      <c r="AF365" s="408">
        <f t="shared" si="65"/>
        <v>0</v>
      </c>
      <c r="AG365" s="408">
        <f t="shared" si="66"/>
        <v>1</v>
      </c>
      <c r="AH365" s="408">
        <f t="shared" si="67"/>
        <v>0</v>
      </c>
      <c r="AI365" s="408">
        <f t="shared" si="68"/>
        <v>0</v>
      </c>
      <c r="AJ365" s="408">
        <f t="shared" si="69"/>
        <v>1</v>
      </c>
    </row>
    <row r="366" spans="1:36" x14ac:dyDescent="0.25">
      <c r="A366" s="409">
        <f t="shared" si="72"/>
        <v>365</v>
      </c>
      <c r="B366" s="467" t="s">
        <v>6448</v>
      </c>
      <c r="C366" s="410" t="s">
        <v>6193</v>
      </c>
      <c r="D366" s="409">
        <v>2</v>
      </c>
      <c r="E366" s="408"/>
      <c r="F366" s="409" t="str">
        <f>""</f>
        <v/>
      </c>
      <c r="G366" s="409" t="s">
        <v>6835</v>
      </c>
      <c r="H366" s="409" t="s">
        <v>5950</v>
      </c>
      <c r="I366" s="409" t="str">
        <f t="shared" si="70"/>
        <v/>
      </c>
      <c r="J366" s="409" t="s">
        <v>6192</v>
      </c>
      <c r="K366" s="409" t="s">
        <v>2536</v>
      </c>
      <c r="L366" s="409" t="s">
        <v>2562</v>
      </c>
      <c r="M366" s="409" t="s">
        <v>1248</v>
      </c>
      <c r="N366" s="408" t="s">
        <v>6449</v>
      </c>
      <c r="O366" s="409" t="s">
        <v>6187</v>
      </c>
      <c r="P366" s="408" t="s">
        <v>6793</v>
      </c>
      <c r="T366" s="409" t="s">
        <v>626</v>
      </c>
      <c r="Z366" s="409" t="s">
        <v>628</v>
      </c>
      <c r="AA366" s="408">
        <f t="shared" si="71"/>
        <v>0</v>
      </c>
      <c r="AB366" s="408">
        <f t="shared" si="61"/>
        <v>0</v>
      </c>
      <c r="AC366" s="408">
        <f t="shared" si="62"/>
        <v>0</v>
      </c>
      <c r="AD366" s="408">
        <f t="shared" si="63"/>
        <v>1</v>
      </c>
      <c r="AE366" s="408">
        <f t="shared" si="64"/>
        <v>0</v>
      </c>
      <c r="AF366" s="408">
        <f t="shared" si="65"/>
        <v>0</v>
      </c>
      <c r="AG366" s="408">
        <f t="shared" si="66"/>
        <v>0</v>
      </c>
      <c r="AH366" s="408">
        <f t="shared" si="67"/>
        <v>0</v>
      </c>
      <c r="AI366" s="408">
        <f t="shared" si="68"/>
        <v>0</v>
      </c>
      <c r="AJ366" s="408">
        <f t="shared" si="69"/>
        <v>1</v>
      </c>
    </row>
    <row r="367" spans="1:36" x14ac:dyDescent="0.25">
      <c r="A367" s="409">
        <f t="shared" si="72"/>
        <v>366</v>
      </c>
      <c r="B367" s="467" t="s">
        <v>6450</v>
      </c>
      <c r="C367" s="410" t="s">
        <v>6196</v>
      </c>
      <c r="D367" s="409">
        <v>1</v>
      </c>
      <c r="E367" s="408"/>
      <c r="F367" s="409" t="str">
        <f>""</f>
        <v/>
      </c>
      <c r="G367" s="409" t="s">
        <v>6835</v>
      </c>
      <c r="H367" s="409" t="s">
        <v>6219</v>
      </c>
      <c r="I367" s="409" t="str">
        <f t="shared" si="70"/>
        <v>Concentration</v>
      </c>
      <c r="J367" s="409" t="s">
        <v>6218</v>
      </c>
      <c r="K367" s="409" t="s">
        <v>2536</v>
      </c>
      <c r="L367" s="409" t="s">
        <v>2562</v>
      </c>
      <c r="M367" s="409" t="s">
        <v>1248</v>
      </c>
      <c r="N367" s="408" t="s">
        <v>6451</v>
      </c>
      <c r="O367" s="409" t="s">
        <v>2792</v>
      </c>
      <c r="P367" s="408" t="s">
        <v>6794</v>
      </c>
      <c r="S367" s="409" t="s">
        <v>624</v>
      </c>
      <c r="W367" s="409" t="s">
        <v>621</v>
      </c>
      <c r="AA367" s="408">
        <f t="shared" si="71"/>
        <v>0</v>
      </c>
      <c r="AB367" s="408">
        <f t="shared" si="61"/>
        <v>0</v>
      </c>
      <c r="AC367" s="408">
        <f t="shared" si="62"/>
        <v>1</v>
      </c>
      <c r="AD367" s="408">
        <f t="shared" si="63"/>
        <v>0</v>
      </c>
      <c r="AE367" s="408">
        <f t="shared" si="64"/>
        <v>0</v>
      </c>
      <c r="AF367" s="408">
        <f t="shared" si="65"/>
        <v>0</v>
      </c>
      <c r="AG367" s="408">
        <f t="shared" si="66"/>
        <v>1</v>
      </c>
      <c r="AH367" s="408">
        <f t="shared" si="67"/>
        <v>0</v>
      </c>
      <c r="AI367" s="408">
        <f t="shared" si="68"/>
        <v>0</v>
      </c>
      <c r="AJ367" s="408">
        <f t="shared" si="69"/>
        <v>0</v>
      </c>
    </row>
    <row r="368" spans="1:36" x14ac:dyDescent="0.25">
      <c r="A368" s="409">
        <f t="shared" si="72"/>
        <v>367</v>
      </c>
      <c r="B368" s="467" t="s">
        <v>6452</v>
      </c>
      <c r="C368" s="410" t="s">
        <v>6216</v>
      </c>
      <c r="D368" s="409">
        <v>6</v>
      </c>
      <c r="E368" s="408"/>
      <c r="F368" s="409" t="str">
        <f>""</f>
        <v/>
      </c>
      <c r="G368" s="409" t="s">
        <v>6835</v>
      </c>
      <c r="H368" s="409" t="s">
        <v>6209</v>
      </c>
      <c r="I368" s="409" t="str">
        <f t="shared" si="70"/>
        <v/>
      </c>
      <c r="J368" s="409" t="s">
        <v>6192</v>
      </c>
      <c r="K368" s="409" t="s">
        <v>2536</v>
      </c>
      <c r="L368" s="409" t="s">
        <v>2562</v>
      </c>
      <c r="M368" s="409" t="s">
        <v>3857</v>
      </c>
      <c r="N368" s="408" t="str">
        <f>""</f>
        <v/>
      </c>
      <c r="O368" s="409" t="s">
        <v>6190</v>
      </c>
      <c r="P368" s="408" t="s">
        <v>6795</v>
      </c>
      <c r="W368" s="409" t="s">
        <v>621</v>
      </c>
      <c r="AA368" s="408">
        <f t="shared" si="71"/>
        <v>0</v>
      </c>
      <c r="AB368" s="408">
        <f t="shared" si="61"/>
        <v>0</v>
      </c>
      <c r="AC368" s="408">
        <f t="shared" si="62"/>
        <v>0</v>
      </c>
      <c r="AD368" s="408">
        <f t="shared" si="63"/>
        <v>0</v>
      </c>
      <c r="AE368" s="408">
        <f t="shared" si="64"/>
        <v>0</v>
      </c>
      <c r="AF368" s="408">
        <f t="shared" si="65"/>
        <v>0</v>
      </c>
      <c r="AG368" s="408">
        <f t="shared" si="66"/>
        <v>1</v>
      </c>
      <c r="AH368" s="408">
        <f t="shared" si="67"/>
        <v>0</v>
      </c>
      <c r="AI368" s="408">
        <f t="shared" si="68"/>
        <v>0</v>
      </c>
      <c r="AJ368" s="408">
        <f t="shared" si="69"/>
        <v>0</v>
      </c>
    </row>
    <row r="369" spans="1:36" x14ac:dyDescent="0.25">
      <c r="A369" s="409">
        <f t="shared" si="72"/>
        <v>368</v>
      </c>
      <c r="B369" s="467" t="s">
        <v>6453</v>
      </c>
      <c r="C369" s="410" t="s">
        <v>6196</v>
      </c>
      <c r="D369" s="409">
        <v>1</v>
      </c>
      <c r="E369" s="408"/>
      <c r="F369" s="409" t="str">
        <f>""</f>
        <v/>
      </c>
      <c r="G369" s="409" t="s">
        <v>6835</v>
      </c>
      <c r="H369" s="409" t="s">
        <v>6237</v>
      </c>
      <c r="I369" s="409" t="str">
        <f t="shared" si="70"/>
        <v/>
      </c>
      <c r="J369" s="409" t="s">
        <v>6192</v>
      </c>
      <c r="K369" s="409" t="s">
        <v>3857</v>
      </c>
      <c r="L369" s="409" t="s">
        <v>2562</v>
      </c>
      <c r="M369" s="409" t="s">
        <v>3857</v>
      </c>
      <c r="N369" s="408" t="str">
        <f>""</f>
        <v/>
      </c>
      <c r="O369" s="409" t="s">
        <v>6190</v>
      </c>
      <c r="P369" s="408" t="s">
        <v>6454</v>
      </c>
      <c r="T369" s="409" t="s">
        <v>626</v>
      </c>
      <c r="Z369" s="409" t="s">
        <v>628</v>
      </c>
      <c r="AA369" s="408">
        <f t="shared" si="71"/>
        <v>0</v>
      </c>
      <c r="AB369" s="408">
        <f t="shared" si="61"/>
        <v>0</v>
      </c>
      <c r="AC369" s="408">
        <f t="shared" si="62"/>
        <v>0</v>
      </c>
      <c r="AD369" s="408">
        <f t="shared" si="63"/>
        <v>1</v>
      </c>
      <c r="AE369" s="408">
        <f t="shared" si="64"/>
        <v>0</v>
      </c>
      <c r="AF369" s="408">
        <f t="shared" si="65"/>
        <v>0</v>
      </c>
      <c r="AG369" s="408">
        <f t="shared" si="66"/>
        <v>0</v>
      </c>
      <c r="AH369" s="408">
        <f t="shared" si="67"/>
        <v>0</v>
      </c>
      <c r="AI369" s="408">
        <f t="shared" si="68"/>
        <v>0</v>
      </c>
      <c r="AJ369" s="408">
        <f t="shared" si="69"/>
        <v>1</v>
      </c>
    </row>
    <row r="370" spans="1:36" x14ac:dyDescent="0.25">
      <c r="A370" s="409">
        <f t="shared" si="72"/>
        <v>369</v>
      </c>
      <c r="B370" s="467" t="s">
        <v>6455</v>
      </c>
      <c r="C370" s="410" t="s">
        <v>6191</v>
      </c>
      <c r="D370" s="409">
        <v>0.5</v>
      </c>
      <c r="E370" s="408"/>
      <c r="F370" s="409" t="str">
        <f>""</f>
        <v/>
      </c>
      <c r="G370" s="409" t="s">
        <v>6835</v>
      </c>
      <c r="H370" s="409" t="s">
        <v>424</v>
      </c>
      <c r="I370" s="409" t="str">
        <f t="shared" si="70"/>
        <v>Concentration</v>
      </c>
      <c r="J370" s="409" t="s">
        <v>6210</v>
      </c>
      <c r="K370" s="409" t="s">
        <v>2536</v>
      </c>
      <c r="L370" s="409" t="s">
        <v>2562</v>
      </c>
      <c r="M370" s="409" t="s">
        <v>3857</v>
      </c>
      <c r="N370" s="408" t="str">
        <f>""</f>
        <v/>
      </c>
      <c r="O370" s="409" t="s">
        <v>6185</v>
      </c>
      <c r="P370" s="408" t="s">
        <v>6796</v>
      </c>
      <c r="T370" s="409" t="s">
        <v>626</v>
      </c>
      <c r="U370" s="409" t="s">
        <v>627</v>
      </c>
      <c r="W370" s="409" t="s">
        <v>621</v>
      </c>
      <c r="Z370" s="409" t="s">
        <v>628</v>
      </c>
      <c r="AA370" s="408">
        <f t="shared" si="71"/>
        <v>0</v>
      </c>
      <c r="AB370" s="408">
        <f t="shared" si="61"/>
        <v>0</v>
      </c>
      <c r="AC370" s="408">
        <f t="shared" si="62"/>
        <v>0</v>
      </c>
      <c r="AD370" s="408">
        <f t="shared" si="63"/>
        <v>1</v>
      </c>
      <c r="AE370" s="408">
        <f t="shared" si="64"/>
        <v>1</v>
      </c>
      <c r="AF370" s="408">
        <f t="shared" si="65"/>
        <v>0</v>
      </c>
      <c r="AG370" s="408">
        <f t="shared" si="66"/>
        <v>1</v>
      </c>
      <c r="AH370" s="408">
        <f t="shared" si="67"/>
        <v>0</v>
      </c>
      <c r="AI370" s="408">
        <f t="shared" si="68"/>
        <v>0</v>
      </c>
      <c r="AJ370" s="408">
        <f t="shared" si="69"/>
        <v>1</v>
      </c>
    </row>
    <row r="371" spans="1:36" x14ac:dyDescent="0.25">
      <c r="A371" s="409">
        <f t="shared" si="72"/>
        <v>370</v>
      </c>
      <c r="B371" s="467" t="s">
        <v>6456</v>
      </c>
      <c r="C371" s="410" t="s">
        <v>6191</v>
      </c>
      <c r="D371" s="409">
        <v>0.5</v>
      </c>
      <c r="E371" s="408"/>
      <c r="F371" s="409" t="str">
        <f>""</f>
        <v/>
      </c>
      <c r="G371" s="409" t="s">
        <v>6835</v>
      </c>
      <c r="H371" s="409" t="s">
        <v>424</v>
      </c>
      <c r="I371" s="409" t="str">
        <f t="shared" si="70"/>
        <v/>
      </c>
      <c r="J371" s="409" t="s">
        <v>6192</v>
      </c>
      <c r="K371" s="409" t="s">
        <v>3857</v>
      </c>
      <c r="L371" s="409" t="s">
        <v>2562</v>
      </c>
      <c r="M371" s="409" t="s">
        <v>3857</v>
      </c>
      <c r="N371" s="408" t="str">
        <f>""</f>
        <v/>
      </c>
      <c r="O371" s="409" t="s">
        <v>6190</v>
      </c>
      <c r="P371" s="408" t="s">
        <v>6797</v>
      </c>
      <c r="T371" s="409" t="s">
        <v>626</v>
      </c>
      <c r="W371" s="409" t="s">
        <v>621</v>
      </c>
      <c r="Z371" s="409" t="s">
        <v>628</v>
      </c>
      <c r="AA371" s="408">
        <f t="shared" si="71"/>
        <v>0</v>
      </c>
      <c r="AB371" s="408">
        <f t="shared" si="61"/>
        <v>0</v>
      </c>
      <c r="AC371" s="408">
        <f t="shared" si="62"/>
        <v>0</v>
      </c>
      <c r="AD371" s="408">
        <f t="shared" si="63"/>
        <v>1</v>
      </c>
      <c r="AE371" s="408">
        <f t="shared" si="64"/>
        <v>0</v>
      </c>
      <c r="AF371" s="408">
        <f t="shared" si="65"/>
        <v>0</v>
      </c>
      <c r="AG371" s="408">
        <f t="shared" si="66"/>
        <v>1</v>
      </c>
      <c r="AH371" s="408">
        <f t="shared" si="67"/>
        <v>0</v>
      </c>
      <c r="AI371" s="408">
        <f t="shared" si="68"/>
        <v>0</v>
      </c>
      <c r="AJ371" s="408">
        <f t="shared" si="69"/>
        <v>1</v>
      </c>
    </row>
    <row r="372" spans="1:36" x14ac:dyDescent="0.25">
      <c r="A372" s="409">
        <f t="shared" si="72"/>
        <v>371</v>
      </c>
      <c r="B372" s="467" t="s">
        <v>6457</v>
      </c>
      <c r="C372" s="410" t="s">
        <v>6208</v>
      </c>
      <c r="D372" s="409">
        <v>5</v>
      </c>
      <c r="E372" s="408"/>
      <c r="F372" s="409" t="str">
        <f>""</f>
        <v/>
      </c>
      <c r="G372" s="409" t="s">
        <v>6835</v>
      </c>
      <c r="H372" s="409" t="s">
        <v>6257</v>
      </c>
      <c r="I372" s="409" t="str">
        <f t="shared" si="70"/>
        <v>Concentration</v>
      </c>
      <c r="J372" s="409" t="s">
        <v>6200</v>
      </c>
      <c r="K372" s="409" t="s">
        <v>2536</v>
      </c>
      <c r="L372" s="409" t="s">
        <v>2562</v>
      </c>
      <c r="M372" s="409" t="s">
        <v>3857</v>
      </c>
      <c r="N372" s="408" t="str">
        <f>""</f>
        <v/>
      </c>
      <c r="O372" s="409" t="s">
        <v>6190</v>
      </c>
      <c r="P372" s="408" t="s">
        <v>6798</v>
      </c>
      <c r="T372" s="409" t="s">
        <v>626</v>
      </c>
      <c r="W372" s="409" t="s">
        <v>621</v>
      </c>
      <c r="Z372" s="409" t="s">
        <v>628</v>
      </c>
      <c r="AA372" s="408">
        <f t="shared" si="71"/>
        <v>0</v>
      </c>
      <c r="AB372" s="408">
        <f t="shared" si="61"/>
        <v>0</v>
      </c>
      <c r="AC372" s="408">
        <f t="shared" si="62"/>
        <v>0</v>
      </c>
      <c r="AD372" s="408">
        <f t="shared" si="63"/>
        <v>1</v>
      </c>
      <c r="AE372" s="408">
        <f t="shared" si="64"/>
        <v>0</v>
      </c>
      <c r="AF372" s="408">
        <f t="shared" si="65"/>
        <v>0</v>
      </c>
      <c r="AG372" s="408">
        <f t="shared" si="66"/>
        <v>1</v>
      </c>
      <c r="AH372" s="408">
        <f t="shared" si="67"/>
        <v>0</v>
      </c>
      <c r="AI372" s="408">
        <f t="shared" si="68"/>
        <v>0</v>
      </c>
      <c r="AJ372" s="408">
        <f t="shared" si="69"/>
        <v>1</v>
      </c>
    </row>
    <row r="373" spans="1:36" x14ac:dyDescent="0.25">
      <c r="A373" s="409">
        <f t="shared" si="72"/>
        <v>372</v>
      </c>
      <c r="B373" s="467" t="s">
        <v>6458</v>
      </c>
      <c r="C373" s="410" t="s">
        <v>6193</v>
      </c>
      <c r="D373" s="409">
        <v>2</v>
      </c>
      <c r="E373" s="408"/>
      <c r="F373" s="409" t="str">
        <f>""</f>
        <v/>
      </c>
      <c r="G373" s="409" t="s">
        <v>6835</v>
      </c>
      <c r="H373" s="409" t="s">
        <v>424</v>
      </c>
      <c r="I373" s="409" t="str">
        <f t="shared" si="70"/>
        <v>Concentration</v>
      </c>
      <c r="J373" s="409" t="s">
        <v>6210</v>
      </c>
      <c r="K373" s="409" t="s">
        <v>2536</v>
      </c>
      <c r="L373" s="409" t="s">
        <v>2562</v>
      </c>
      <c r="M373" s="409" t="s">
        <v>1248</v>
      </c>
      <c r="N373" s="408" t="s">
        <v>6459</v>
      </c>
      <c r="O373" s="409" t="s">
        <v>6185</v>
      </c>
      <c r="P373" s="408" t="s">
        <v>6799</v>
      </c>
      <c r="T373" s="409" t="s">
        <v>626</v>
      </c>
      <c r="W373" s="409" t="s">
        <v>621</v>
      </c>
      <c r="Z373" s="409" t="s">
        <v>628</v>
      </c>
      <c r="AA373" s="408">
        <f t="shared" si="71"/>
        <v>0</v>
      </c>
      <c r="AB373" s="408">
        <f t="shared" si="61"/>
        <v>0</v>
      </c>
      <c r="AC373" s="408">
        <f t="shared" si="62"/>
        <v>0</v>
      </c>
      <c r="AD373" s="408">
        <f t="shared" si="63"/>
        <v>1</v>
      </c>
      <c r="AE373" s="408">
        <f t="shared" si="64"/>
        <v>0</v>
      </c>
      <c r="AF373" s="408">
        <f t="shared" si="65"/>
        <v>0</v>
      </c>
      <c r="AG373" s="408">
        <f t="shared" si="66"/>
        <v>1</v>
      </c>
      <c r="AH373" s="408">
        <f t="shared" si="67"/>
        <v>0</v>
      </c>
      <c r="AI373" s="408">
        <f t="shared" si="68"/>
        <v>0</v>
      </c>
      <c r="AJ373" s="408">
        <f t="shared" si="69"/>
        <v>1</v>
      </c>
    </row>
    <row r="374" spans="1:36" x14ac:dyDescent="0.25">
      <c r="A374" s="409">
        <f t="shared" si="72"/>
        <v>373</v>
      </c>
      <c r="B374" s="467" t="s">
        <v>6460</v>
      </c>
      <c r="C374" s="410" t="s">
        <v>6193</v>
      </c>
      <c r="D374" s="409">
        <v>2</v>
      </c>
      <c r="E374" s="408"/>
      <c r="F374" s="409" t="str">
        <f>""</f>
        <v/>
      </c>
      <c r="G374" s="409" t="s">
        <v>6835</v>
      </c>
      <c r="H374" s="409" t="s">
        <v>6257</v>
      </c>
      <c r="I374" s="409" t="str">
        <f t="shared" si="70"/>
        <v>Concentration</v>
      </c>
      <c r="J374" s="409" t="s">
        <v>6210</v>
      </c>
      <c r="K374" s="409" t="s">
        <v>2536</v>
      </c>
      <c r="L374" s="409" t="s">
        <v>3857</v>
      </c>
      <c r="M374" s="409" t="s">
        <v>3857</v>
      </c>
      <c r="N374" s="408" t="str">
        <f>""</f>
        <v/>
      </c>
      <c r="O374" s="409" t="s">
        <v>6190</v>
      </c>
      <c r="P374" s="408" t="s">
        <v>6800</v>
      </c>
      <c r="T374" s="409" t="s">
        <v>626</v>
      </c>
      <c r="U374" s="409" t="s">
        <v>627</v>
      </c>
      <c r="W374" s="409" t="s">
        <v>621</v>
      </c>
      <c r="Z374" s="409" t="s">
        <v>628</v>
      </c>
      <c r="AA374" s="408">
        <f t="shared" si="71"/>
        <v>0</v>
      </c>
      <c r="AB374" s="408">
        <f t="shared" si="61"/>
        <v>0</v>
      </c>
      <c r="AC374" s="408">
        <f t="shared" si="62"/>
        <v>0</v>
      </c>
      <c r="AD374" s="408">
        <f t="shared" si="63"/>
        <v>1</v>
      </c>
      <c r="AE374" s="408">
        <f t="shared" si="64"/>
        <v>1</v>
      </c>
      <c r="AF374" s="408">
        <f t="shared" si="65"/>
        <v>0</v>
      </c>
      <c r="AG374" s="408">
        <f t="shared" si="66"/>
        <v>1</v>
      </c>
      <c r="AH374" s="408">
        <f t="shared" si="67"/>
        <v>0</v>
      </c>
      <c r="AI374" s="408">
        <f t="shared" si="68"/>
        <v>0</v>
      </c>
      <c r="AJ374" s="408">
        <f t="shared" si="69"/>
        <v>1</v>
      </c>
    </row>
    <row r="375" spans="1:36" x14ac:dyDescent="0.25">
      <c r="A375" s="409">
        <f t="shared" si="72"/>
        <v>374</v>
      </c>
      <c r="B375" s="467" t="s">
        <v>6461</v>
      </c>
      <c r="C375" s="410" t="s">
        <v>6196</v>
      </c>
      <c r="D375" s="409">
        <v>1</v>
      </c>
      <c r="E375" s="408"/>
      <c r="F375" s="409" t="str">
        <f>""</f>
        <v/>
      </c>
      <c r="G375" s="409" t="s">
        <v>6835</v>
      </c>
      <c r="H375" s="409" t="s">
        <v>6199</v>
      </c>
      <c r="I375" s="409" t="str">
        <f t="shared" si="70"/>
        <v/>
      </c>
      <c r="J375" s="409" t="s">
        <v>6192</v>
      </c>
      <c r="K375" s="409" t="s">
        <v>2536</v>
      </c>
      <c r="L375" s="409" t="s">
        <v>2562</v>
      </c>
      <c r="M375" s="409" t="s">
        <v>3857</v>
      </c>
      <c r="N375" s="408" t="str">
        <f>""</f>
        <v/>
      </c>
      <c r="O375" s="409" t="s">
        <v>6187</v>
      </c>
      <c r="P375" s="408" t="s">
        <v>6801</v>
      </c>
      <c r="Q375" s="409" t="s">
        <v>1112</v>
      </c>
      <c r="T375" s="409" t="s">
        <v>626</v>
      </c>
      <c r="W375" s="409" t="s">
        <v>621</v>
      </c>
      <c r="Z375" s="409" t="s">
        <v>628</v>
      </c>
      <c r="AA375" s="408">
        <f t="shared" si="71"/>
        <v>1</v>
      </c>
      <c r="AB375" s="408">
        <f t="shared" si="61"/>
        <v>0</v>
      </c>
      <c r="AC375" s="408">
        <f t="shared" si="62"/>
        <v>0</v>
      </c>
      <c r="AD375" s="408">
        <f t="shared" si="63"/>
        <v>1</v>
      </c>
      <c r="AE375" s="408">
        <f t="shared" si="64"/>
        <v>0</v>
      </c>
      <c r="AF375" s="408">
        <f t="shared" si="65"/>
        <v>0</v>
      </c>
      <c r="AG375" s="408">
        <f t="shared" si="66"/>
        <v>1</v>
      </c>
      <c r="AH375" s="408">
        <f t="shared" si="67"/>
        <v>0</v>
      </c>
      <c r="AI375" s="408">
        <f t="shared" si="68"/>
        <v>0</v>
      </c>
      <c r="AJ375" s="408">
        <f t="shared" si="69"/>
        <v>1</v>
      </c>
    </row>
    <row r="376" spans="1:36" x14ac:dyDescent="0.25">
      <c r="A376" s="409">
        <f t="shared" si="72"/>
        <v>375</v>
      </c>
      <c r="B376" s="467" t="s">
        <v>6462</v>
      </c>
      <c r="C376" s="410" t="s">
        <v>6214</v>
      </c>
      <c r="D376" s="409">
        <v>4</v>
      </c>
      <c r="E376" s="408"/>
      <c r="F376" s="409" t="str">
        <f>""</f>
        <v/>
      </c>
      <c r="G376" s="409" t="s">
        <v>6835</v>
      </c>
      <c r="H376" s="409" t="s">
        <v>6234</v>
      </c>
      <c r="I376" s="409" t="str">
        <f t="shared" si="70"/>
        <v>Concentration</v>
      </c>
      <c r="J376" s="409" t="s">
        <v>6210</v>
      </c>
      <c r="K376" s="409" t="s">
        <v>2536</v>
      </c>
      <c r="L376" s="409" t="s">
        <v>2562</v>
      </c>
      <c r="M376" s="409" t="s">
        <v>3857</v>
      </c>
      <c r="N376" s="408" t="str">
        <f>""</f>
        <v/>
      </c>
      <c r="O376" s="409" t="s">
        <v>6190</v>
      </c>
      <c r="P376" s="408" t="s">
        <v>6802</v>
      </c>
      <c r="U376" s="409" t="s">
        <v>627</v>
      </c>
      <c r="W376" s="409" t="s">
        <v>621</v>
      </c>
      <c r="Z376" s="409" t="s">
        <v>628</v>
      </c>
      <c r="AA376" s="408">
        <f t="shared" si="71"/>
        <v>0</v>
      </c>
      <c r="AB376" s="408">
        <f t="shared" si="61"/>
        <v>0</v>
      </c>
      <c r="AC376" s="408">
        <f t="shared" si="62"/>
        <v>0</v>
      </c>
      <c r="AD376" s="408">
        <f t="shared" si="63"/>
        <v>0</v>
      </c>
      <c r="AE376" s="408">
        <f t="shared" si="64"/>
        <v>1</v>
      </c>
      <c r="AF376" s="408">
        <f t="shared" si="65"/>
        <v>0</v>
      </c>
      <c r="AG376" s="408">
        <f t="shared" si="66"/>
        <v>1</v>
      </c>
      <c r="AH376" s="408">
        <f t="shared" si="67"/>
        <v>0</v>
      </c>
      <c r="AI376" s="408">
        <f t="shared" si="68"/>
        <v>0</v>
      </c>
      <c r="AJ376" s="408">
        <f t="shared" si="69"/>
        <v>1</v>
      </c>
    </row>
    <row r="377" spans="1:36" x14ac:dyDescent="0.25">
      <c r="A377" s="409">
        <f t="shared" si="72"/>
        <v>376</v>
      </c>
      <c r="B377" s="467" t="s">
        <v>6463</v>
      </c>
      <c r="C377" s="410" t="s">
        <v>6205</v>
      </c>
      <c r="D377" s="409">
        <v>3</v>
      </c>
      <c r="E377" s="408"/>
      <c r="F377" s="409" t="str">
        <f>""</f>
        <v/>
      </c>
      <c r="G377" s="409" t="s">
        <v>6835</v>
      </c>
      <c r="H377" s="409" t="s">
        <v>6209</v>
      </c>
      <c r="I377" s="409" t="str">
        <f t="shared" si="70"/>
        <v/>
      </c>
      <c r="J377" s="409" t="s">
        <v>6192</v>
      </c>
      <c r="K377" s="409" t="s">
        <v>2536</v>
      </c>
      <c r="L377" s="409" t="s">
        <v>2562</v>
      </c>
      <c r="M377" s="409" t="s">
        <v>1248</v>
      </c>
      <c r="N377" s="408" t="s">
        <v>6464</v>
      </c>
      <c r="O377" s="409" t="s">
        <v>6190</v>
      </c>
      <c r="P377" s="408" t="s">
        <v>6803</v>
      </c>
      <c r="T377" s="409" t="s">
        <v>626</v>
      </c>
      <c r="W377" s="409" t="s">
        <v>621</v>
      </c>
      <c r="Z377" s="409" t="s">
        <v>628</v>
      </c>
      <c r="AA377" s="408">
        <f t="shared" si="71"/>
        <v>0</v>
      </c>
      <c r="AB377" s="408">
        <f t="shared" si="61"/>
        <v>0</v>
      </c>
      <c r="AC377" s="408">
        <f t="shared" si="62"/>
        <v>0</v>
      </c>
      <c r="AD377" s="408">
        <f t="shared" si="63"/>
        <v>1</v>
      </c>
      <c r="AE377" s="408">
        <f t="shared" si="64"/>
        <v>0</v>
      </c>
      <c r="AF377" s="408">
        <f t="shared" si="65"/>
        <v>0</v>
      </c>
      <c r="AG377" s="408">
        <f t="shared" si="66"/>
        <v>1</v>
      </c>
      <c r="AH377" s="408">
        <f t="shared" si="67"/>
        <v>0</v>
      </c>
      <c r="AI377" s="408">
        <f t="shared" si="68"/>
        <v>0</v>
      </c>
      <c r="AJ377" s="408">
        <f t="shared" si="69"/>
        <v>1</v>
      </c>
    </row>
    <row r="378" spans="1:36" x14ac:dyDescent="0.25">
      <c r="A378" s="409">
        <f t="shared" si="72"/>
        <v>377</v>
      </c>
      <c r="B378" s="467" t="s">
        <v>6465</v>
      </c>
      <c r="C378" s="410" t="s">
        <v>6205</v>
      </c>
      <c r="D378" s="409">
        <v>3</v>
      </c>
      <c r="E378" s="408"/>
      <c r="F378" s="409" t="str">
        <f>""</f>
        <v/>
      </c>
      <c r="G378" s="409" t="s">
        <v>6835</v>
      </c>
      <c r="H378" s="409" t="s">
        <v>6219</v>
      </c>
      <c r="I378" s="409" t="str">
        <f t="shared" si="70"/>
        <v>Concentration</v>
      </c>
      <c r="J378" s="409" t="s">
        <v>6200</v>
      </c>
      <c r="K378" s="409" t="s">
        <v>2536</v>
      </c>
      <c r="L378" s="409" t="s">
        <v>2562</v>
      </c>
      <c r="M378" s="409" t="s">
        <v>3857</v>
      </c>
      <c r="N378" s="408" t="str">
        <f>""</f>
        <v/>
      </c>
      <c r="O378" s="409" t="s">
        <v>6190</v>
      </c>
      <c r="P378" s="408" t="s">
        <v>6804</v>
      </c>
      <c r="S378" s="409" t="s">
        <v>624</v>
      </c>
      <c r="T378" s="409" t="s">
        <v>626</v>
      </c>
      <c r="W378" s="409" t="s">
        <v>621</v>
      </c>
      <c r="Z378" s="409" t="s">
        <v>628</v>
      </c>
      <c r="AA378" s="408">
        <f t="shared" si="71"/>
        <v>0</v>
      </c>
      <c r="AB378" s="408">
        <f t="shared" si="61"/>
        <v>0</v>
      </c>
      <c r="AC378" s="408">
        <f t="shared" si="62"/>
        <v>1</v>
      </c>
      <c r="AD378" s="408">
        <f t="shared" si="63"/>
        <v>1</v>
      </c>
      <c r="AE378" s="408">
        <f t="shared" si="64"/>
        <v>0</v>
      </c>
      <c r="AF378" s="408">
        <f t="shared" si="65"/>
        <v>0</v>
      </c>
      <c r="AG378" s="408">
        <f t="shared" si="66"/>
        <v>1</v>
      </c>
      <c r="AH378" s="408">
        <f t="shared" si="67"/>
        <v>0</v>
      </c>
      <c r="AI378" s="408">
        <f t="shared" si="68"/>
        <v>0</v>
      </c>
      <c r="AJ378" s="408">
        <f t="shared" si="69"/>
        <v>1</v>
      </c>
    </row>
    <row r="379" spans="1:36" x14ac:dyDescent="0.25">
      <c r="A379" s="409">
        <f t="shared" si="72"/>
        <v>378</v>
      </c>
      <c r="B379" s="467" t="s">
        <v>6466</v>
      </c>
      <c r="C379" s="410" t="s">
        <v>6191</v>
      </c>
      <c r="D379" s="409">
        <v>0.5</v>
      </c>
      <c r="E379" s="408"/>
      <c r="F379" s="409" t="str">
        <f>""</f>
        <v/>
      </c>
      <c r="G379" s="409" t="s">
        <v>6835</v>
      </c>
      <c r="H379" s="409" t="s">
        <v>424</v>
      </c>
      <c r="I379" s="409" t="str">
        <f t="shared" si="70"/>
        <v/>
      </c>
      <c r="J379" s="409" t="s">
        <v>6192</v>
      </c>
      <c r="K379" s="409" t="s">
        <v>2536</v>
      </c>
      <c r="L379" s="409" t="s">
        <v>2562</v>
      </c>
      <c r="M379" s="409" t="s">
        <v>3857</v>
      </c>
      <c r="N379" s="408" t="str">
        <f>""</f>
        <v/>
      </c>
      <c r="O379" s="409" t="s">
        <v>6187</v>
      </c>
      <c r="P379" s="408" t="s">
        <v>6805</v>
      </c>
      <c r="T379" s="409" t="s">
        <v>626</v>
      </c>
      <c r="U379" s="409" t="s">
        <v>627</v>
      </c>
      <c r="W379" s="409" t="s">
        <v>621</v>
      </c>
      <c r="Z379" s="409" t="s">
        <v>628</v>
      </c>
      <c r="AA379" s="408">
        <f t="shared" si="71"/>
        <v>0</v>
      </c>
      <c r="AB379" s="408">
        <f t="shared" si="61"/>
        <v>0</v>
      </c>
      <c r="AC379" s="408">
        <f t="shared" si="62"/>
        <v>0</v>
      </c>
      <c r="AD379" s="408">
        <f t="shared" si="63"/>
        <v>1</v>
      </c>
      <c r="AE379" s="408">
        <f t="shared" si="64"/>
        <v>1</v>
      </c>
      <c r="AF379" s="408">
        <f t="shared" si="65"/>
        <v>0</v>
      </c>
      <c r="AG379" s="408">
        <f t="shared" si="66"/>
        <v>1</v>
      </c>
      <c r="AH379" s="408">
        <f t="shared" si="67"/>
        <v>0</v>
      </c>
      <c r="AI379" s="408">
        <f t="shared" si="68"/>
        <v>0</v>
      </c>
      <c r="AJ379" s="408">
        <f t="shared" si="69"/>
        <v>1</v>
      </c>
    </row>
    <row r="380" spans="1:36" x14ac:dyDescent="0.25">
      <c r="A380" s="409">
        <f t="shared" si="72"/>
        <v>379</v>
      </c>
      <c r="B380" s="467" t="s">
        <v>6467</v>
      </c>
      <c r="C380" s="410" t="s">
        <v>6191</v>
      </c>
      <c r="D380" s="409">
        <v>0.5</v>
      </c>
      <c r="E380" s="408"/>
      <c r="F380" s="409" t="str">
        <f>""</f>
        <v/>
      </c>
      <c r="G380" s="409" t="s">
        <v>6835</v>
      </c>
      <c r="H380" s="409" t="s">
        <v>5950</v>
      </c>
      <c r="I380" s="409" t="str">
        <f t="shared" si="70"/>
        <v/>
      </c>
      <c r="J380" s="409" t="s">
        <v>6192</v>
      </c>
      <c r="K380" s="409" t="s">
        <v>2536</v>
      </c>
      <c r="L380" s="409" t="s">
        <v>2562</v>
      </c>
      <c r="M380" s="409" t="s">
        <v>3857</v>
      </c>
      <c r="N380" s="408" t="str">
        <f>""</f>
        <v/>
      </c>
      <c r="O380" s="409" t="s">
        <v>6190</v>
      </c>
      <c r="P380" s="408" t="s">
        <v>6806</v>
      </c>
      <c r="T380" s="409" t="s">
        <v>626</v>
      </c>
      <c r="W380" s="409" t="s">
        <v>621</v>
      </c>
      <c r="Z380" s="409" t="s">
        <v>628</v>
      </c>
      <c r="AA380" s="408">
        <f t="shared" si="71"/>
        <v>0</v>
      </c>
      <c r="AB380" s="408">
        <f t="shared" si="61"/>
        <v>0</v>
      </c>
      <c r="AC380" s="408">
        <f t="shared" si="62"/>
        <v>0</v>
      </c>
      <c r="AD380" s="408">
        <f t="shared" si="63"/>
        <v>1</v>
      </c>
      <c r="AE380" s="408">
        <f t="shared" si="64"/>
        <v>0</v>
      </c>
      <c r="AF380" s="408">
        <f t="shared" si="65"/>
        <v>0</v>
      </c>
      <c r="AG380" s="408">
        <f t="shared" si="66"/>
        <v>1</v>
      </c>
      <c r="AH380" s="408">
        <f t="shared" si="67"/>
        <v>0</v>
      </c>
      <c r="AI380" s="408">
        <f t="shared" si="68"/>
        <v>0</v>
      </c>
      <c r="AJ380" s="408">
        <f t="shared" si="69"/>
        <v>1</v>
      </c>
    </row>
    <row r="381" spans="1:36" x14ac:dyDescent="0.25">
      <c r="A381" s="409">
        <f t="shared" si="72"/>
        <v>380</v>
      </c>
      <c r="B381" s="467" t="s">
        <v>6468</v>
      </c>
      <c r="C381" s="410" t="s">
        <v>6196</v>
      </c>
      <c r="D381" s="409">
        <v>1</v>
      </c>
      <c r="E381" s="408"/>
      <c r="F381" s="409" t="str">
        <f>""</f>
        <v/>
      </c>
      <c r="G381" s="409" t="s">
        <v>6835</v>
      </c>
      <c r="H381" s="409" t="s">
        <v>424</v>
      </c>
      <c r="I381" s="409" t="str">
        <f t="shared" si="70"/>
        <v/>
      </c>
      <c r="J381" s="409" t="s">
        <v>6192</v>
      </c>
      <c r="K381" s="409" t="s">
        <v>3857</v>
      </c>
      <c r="L381" s="409" t="s">
        <v>2562</v>
      </c>
      <c r="M381" s="409" t="s">
        <v>1248</v>
      </c>
      <c r="N381" s="408" t="s">
        <v>6469</v>
      </c>
      <c r="O381" s="409" t="s">
        <v>6185</v>
      </c>
      <c r="P381" s="408" t="s">
        <v>6807</v>
      </c>
      <c r="T381" s="409" t="s">
        <v>626</v>
      </c>
      <c r="W381" s="409" t="s">
        <v>621</v>
      </c>
      <c r="Z381" s="409" t="s">
        <v>628</v>
      </c>
      <c r="AA381" s="408">
        <f t="shared" si="71"/>
        <v>0</v>
      </c>
      <c r="AB381" s="408">
        <f t="shared" si="61"/>
        <v>0</v>
      </c>
      <c r="AC381" s="408">
        <f t="shared" si="62"/>
        <v>0</v>
      </c>
      <c r="AD381" s="408">
        <f t="shared" si="63"/>
        <v>1</v>
      </c>
      <c r="AE381" s="408">
        <f t="shared" si="64"/>
        <v>0</v>
      </c>
      <c r="AF381" s="408">
        <f t="shared" si="65"/>
        <v>0</v>
      </c>
      <c r="AG381" s="408">
        <f t="shared" si="66"/>
        <v>1</v>
      </c>
      <c r="AH381" s="408">
        <f t="shared" si="67"/>
        <v>0</v>
      </c>
      <c r="AI381" s="408">
        <f t="shared" si="68"/>
        <v>0</v>
      </c>
      <c r="AJ381" s="408">
        <f t="shared" si="69"/>
        <v>1</v>
      </c>
    </row>
    <row r="382" spans="1:36" x14ac:dyDescent="0.25">
      <c r="A382" s="409">
        <f t="shared" si="72"/>
        <v>381</v>
      </c>
      <c r="B382" s="467" t="s">
        <v>6470</v>
      </c>
      <c r="C382" s="410" t="s">
        <v>6208</v>
      </c>
      <c r="D382" s="409">
        <v>5</v>
      </c>
      <c r="E382" s="408"/>
      <c r="F382" s="409" t="str">
        <f>""</f>
        <v/>
      </c>
      <c r="G382" s="409" t="s">
        <v>6835</v>
      </c>
      <c r="H382" s="409" t="s">
        <v>6234</v>
      </c>
      <c r="I382" s="409" t="str">
        <f t="shared" si="70"/>
        <v>Concentration</v>
      </c>
      <c r="J382" s="409" t="s">
        <v>6210</v>
      </c>
      <c r="K382" s="409" t="s">
        <v>2536</v>
      </c>
      <c r="L382" s="409" t="s">
        <v>3857</v>
      </c>
      <c r="M382" s="409" t="s">
        <v>3857</v>
      </c>
      <c r="N382" s="408" t="str">
        <f>""</f>
        <v/>
      </c>
      <c r="O382" s="409" t="s">
        <v>6187</v>
      </c>
      <c r="P382" s="408" t="s">
        <v>6808</v>
      </c>
      <c r="T382" s="409" t="s">
        <v>626</v>
      </c>
      <c r="Z382" s="409" t="s">
        <v>628</v>
      </c>
      <c r="AA382" s="408">
        <f t="shared" si="71"/>
        <v>0</v>
      </c>
      <c r="AB382" s="408">
        <f t="shared" si="61"/>
        <v>0</v>
      </c>
      <c r="AC382" s="408">
        <f t="shared" si="62"/>
        <v>0</v>
      </c>
      <c r="AD382" s="408">
        <f t="shared" si="63"/>
        <v>1</v>
      </c>
      <c r="AE382" s="408">
        <f t="shared" si="64"/>
        <v>0</v>
      </c>
      <c r="AF382" s="408">
        <f t="shared" si="65"/>
        <v>0</v>
      </c>
      <c r="AG382" s="408">
        <f t="shared" si="66"/>
        <v>0</v>
      </c>
      <c r="AH382" s="408">
        <f t="shared" si="67"/>
        <v>0</v>
      </c>
      <c r="AI382" s="408">
        <f t="shared" si="68"/>
        <v>0</v>
      </c>
      <c r="AJ382" s="408">
        <f t="shared" si="69"/>
        <v>1</v>
      </c>
    </row>
    <row r="383" spans="1:36" x14ac:dyDescent="0.25">
      <c r="A383" s="409">
        <f t="shared" si="72"/>
        <v>382</v>
      </c>
      <c r="B383" s="467" t="s">
        <v>6471</v>
      </c>
      <c r="C383" s="410" t="s">
        <v>6216</v>
      </c>
      <c r="D383" s="409">
        <v>6</v>
      </c>
      <c r="E383" s="408"/>
      <c r="F383" s="409" t="str">
        <f>""</f>
        <v/>
      </c>
      <c r="G383" s="409" t="s">
        <v>6835</v>
      </c>
      <c r="H383" s="409" t="s">
        <v>2410</v>
      </c>
      <c r="I383" s="409" t="str">
        <f t="shared" si="70"/>
        <v>Concentration</v>
      </c>
      <c r="J383" s="409" t="s">
        <v>6218</v>
      </c>
      <c r="K383" s="409" t="s">
        <v>2536</v>
      </c>
      <c r="L383" s="409" t="s">
        <v>2562</v>
      </c>
      <c r="M383" s="409" t="s">
        <v>3857</v>
      </c>
      <c r="N383" s="408" t="str">
        <f>""</f>
        <v/>
      </c>
      <c r="O383" s="409" t="s">
        <v>6190</v>
      </c>
      <c r="P383" s="408" t="s">
        <v>6809</v>
      </c>
      <c r="T383" s="409" t="s">
        <v>626</v>
      </c>
      <c r="U383" s="409" t="s">
        <v>627</v>
      </c>
      <c r="W383" s="409" t="s">
        <v>621</v>
      </c>
      <c r="Z383" s="409" t="s">
        <v>628</v>
      </c>
      <c r="AA383" s="408">
        <f t="shared" si="71"/>
        <v>0</v>
      </c>
      <c r="AB383" s="408">
        <f t="shared" si="61"/>
        <v>0</v>
      </c>
      <c r="AC383" s="408">
        <f t="shared" si="62"/>
        <v>0</v>
      </c>
      <c r="AD383" s="408">
        <f t="shared" si="63"/>
        <v>1</v>
      </c>
      <c r="AE383" s="408">
        <f t="shared" si="64"/>
        <v>1</v>
      </c>
      <c r="AF383" s="408">
        <f t="shared" si="65"/>
        <v>0</v>
      </c>
      <c r="AG383" s="408">
        <f t="shared" si="66"/>
        <v>1</v>
      </c>
      <c r="AH383" s="408">
        <f t="shared" si="67"/>
        <v>0</v>
      </c>
      <c r="AI383" s="408">
        <f t="shared" si="68"/>
        <v>0</v>
      </c>
      <c r="AJ383" s="408">
        <f t="shared" si="69"/>
        <v>1</v>
      </c>
    </row>
    <row r="384" spans="1:36" x14ac:dyDescent="0.25">
      <c r="A384" s="409">
        <f t="shared" si="72"/>
        <v>383</v>
      </c>
      <c r="B384" s="467" t="s">
        <v>6472</v>
      </c>
      <c r="C384" s="410" t="s">
        <v>6216</v>
      </c>
      <c r="D384" s="409">
        <v>6</v>
      </c>
      <c r="E384" s="408"/>
      <c r="F384" s="409" t="str">
        <f>""</f>
        <v/>
      </c>
      <c r="G384" s="409" t="s">
        <v>6835</v>
      </c>
      <c r="H384" s="409" t="s">
        <v>2410</v>
      </c>
      <c r="I384" s="409" t="str">
        <f t="shared" si="70"/>
        <v>Concentration</v>
      </c>
      <c r="J384" s="409" t="s">
        <v>6218</v>
      </c>
      <c r="K384" s="409" t="s">
        <v>2536</v>
      </c>
      <c r="L384" s="409" t="s">
        <v>2562</v>
      </c>
      <c r="M384" s="409" t="s">
        <v>3857</v>
      </c>
      <c r="N384" s="408" t="str">
        <f>""</f>
        <v/>
      </c>
      <c r="O384" s="409" t="s">
        <v>6190</v>
      </c>
      <c r="P384" s="408" t="s">
        <v>6810</v>
      </c>
      <c r="T384" s="409" t="s">
        <v>626</v>
      </c>
      <c r="U384" s="409" t="s">
        <v>627</v>
      </c>
      <c r="W384" s="409" t="s">
        <v>621</v>
      </c>
      <c r="Z384" s="409" t="s">
        <v>628</v>
      </c>
      <c r="AA384" s="408">
        <f t="shared" si="71"/>
        <v>0</v>
      </c>
      <c r="AB384" s="408">
        <f t="shared" si="61"/>
        <v>0</v>
      </c>
      <c r="AC384" s="408">
        <f t="shared" si="62"/>
        <v>0</v>
      </c>
      <c r="AD384" s="408">
        <f t="shared" si="63"/>
        <v>1</v>
      </c>
      <c r="AE384" s="408">
        <f t="shared" si="64"/>
        <v>1</v>
      </c>
      <c r="AF384" s="408">
        <f t="shared" si="65"/>
        <v>0</v>
      </c>
      <c r="AG384" s="408">
        <f t="shared" si="66"/>
        <v>1</v>
      </c>
      <c r="AH384" s="408">
        <f t="shared" si="67"/>
        <v>0</v>
      </c>
      <c r="AI384" s="408">
        <f t="shared" si="68"/>
        <v>0</v>
      </c>
      <c r="AJ384" s="408">
        <f t="shared" si="69"/>
        <v>1</v>
      </c>
    </row>
    <row r="385" spans="1:36" x14ac:dyDescent="0.25">
      <c r="A385" s="409">
        <f t="shared" si="72"/>
        <v>384</v>
      </c>
      <c r="B385" s="467" t="s">
        <v>6473</v>
      </c>
      <c r="C385" s="410" t="s">
        <v>6216</v>
      </c>
      <c r="D385" s="409">
        <v>6</v>
      </c>
      <c r="E385" s="408"/>
      <c r="F385" s="409" t="str">
        <f>""</f>
        <v/>
      </c>
      <c r="G385" s="409" t="s">
        <v>6835</v>
      </c>
      <c r="H385" s="409" t="s">
        <v>2410</v>
      </c>
      <c r="I385" s="409" t="str">
        <f t="shared" si="70"/>
        <v>Concentration</v>
      </c>
      <c r="J385" s="409" t="s">
        <v>6218</v>
      </c>
      <c r="K385" s="409" t="s">
        <v>2536</v>
      </c>
      <c r="L385" s="409" t="s">
        <v>2562</v>
      </c>
      <c r="M385" s="409" t="s">
        <v>3857</v>
      </c>
      <c r="N385" s="408" t="str">
        <f>""</f>
        <v/>
      </c>
      <c r="O385" s="409" t="s">
        <v>6190</v>
      </c>
      <c r="P385" s="408" t="s">
        <v>6811</v>
      </c>
      <c r="T385" s="409" t="s">
        <v>626</v>
      </c>
      <c r="U385" s="409" t="s">
        <v>627</v>
      </c>
      <c r="W385" s="409" t="s">
        <v>621</v>
      </c>
      <c r="Z385" s="409" t="s">
        <v>628</v>
      </c>
      <c r="AA385" s="408">
        <f t="shared" si="71"/>
        <v>0</v>
      </c>
      <c r="AB385" s="408">
        <f t="shared" si="61"/>
        <v>0</v>
      </c>
      <c r="AC385" s="408">
        <f t="shared" si="62"/>
        <v>0</v>
      </c>
      <c r="AD385" s="408">
        <f t="shared" si="63"/>
        <v>1</v>
      </c>
      <c r="AE385" s="408">
        <f t="shared" si="64"/>
        <v>1</v>
      </c>
      <c r="AF385" s="408">
        <f t="shared" si="65"/>
        <v>0</v>
      </c>
      <c r="AG385" s="408">
        <f t="shared" si="66"/>
        <v>1</v>
      </c>
      <c r="AH385" s="408">
        <f t="shared" si="67"/>
        <v>0</v>
      </c>
      <c r="AI385" s="408">
        <f t="shared" si="68"/>
        <v>0</v>
      </c>
      <c r="AJ385" s="408">
        <f t="shared" si="69"/>
        <v>1</v>
      </c>
    </row>
    <row r="386" spans="1:36" x14ac:dyDescent="0.25">
      <c r="A386" s="409">
        <f t="shared" si="72"/>
        <v>385</v>
      </c>
      <c r="B386" s="467" t="s">
        <v>6474</v>
      </c>
      <c r="C386" s="410" t="s">
        <v>6216</v>
      </c>
      <c r="D386" s="409">
        <v>6</v>
      </c>
      <c r="E386" s="408"/>
      <c r="F386" s="409" t="str">
        <f>""</f>
        <v/>
      </c>
      <c r="G386" s="409" t="s">
        <v>6835</v>
      </c>
      <c r="H386" s="409" t="s">
        <v>2410</v>
      </c>
      <c r="I386" s="409" t="str">
        <f t="shared" si="70"/>
        <v>Concentration</v>
      </c>
      <c r="J386" s="409" t="s">
        <v>6218</v>
      </c>
      <c r="K386" s="409" t="s">
        <v>2536</v>
      </c>
      <c r="L386" s="409" t="s">
        <v>2562</v>
      </c>
      <c r="M386" s="409" t="s">
        <v>3857</v>
      </c>
      <c r="N386" s="408" t="str">
        <f>""</f>
        <v/>
      </c>
      <c r="O386" s="409" t="s">
        <v>6190</v>
      </c>
      <c r="P386" s="408" t="s">
        <v>6812</v>
      </c>
      <c r="T386" s="409" t="s">
        <v>626</v>
      </c>
      <c r="U386" s="409" t="s">
        <v>627</v>
      </c>
      <c r="W386" s="409" t="s">
        <v>621</v>
      </c>
      <c r="Z386" s="409" t="s">
        <v>628</v>
      </c>
      <c r="AA386" s="408">
        <f t="shared" si="71"/>
        <v>0</v>
      </c>
      <c r="AB386" s="408">
        <f t="shared" ref="AB386:AB406" si="73">IF(R386=R$1,1,0)</f>
        <v>0</v>
      </c>
      <c r="AC386" s="408">
        <f t="shared" ref="AC386:AC406" si="74">IF(S386=S$1,1,0)</f>
        <v>0</v>
      </c>
      <c r="AD386" s="408">
        <f t="shared" ref="AD386:AD406" si="75">IF(T386=T$1,1,0)</f>
        <v>1</v>
      </c>
      <c r="AE386" s="408">
        <f t="shared" ref="AE386:AE406" si="76">IF(U386=U$1,1,0)</f>
        <v>1</v>
      </c>
      <c r="AF386" s="408">
        <f t="shared" ref="AF386:AF406" si="77">IF(V386=V$1,1,0)</f>
        <v>0</v>
      </c>
      <c r="AG386" s="408">
        <f t="shared" ref="AG386:AG406" si="78">IF(W386=W$1,1,0)</f>
        <v>1</v>
      </c>
      <c r="AH386" s="408">
        <f t="shared" ref="AH386:AH406" si="79">IF(X386=X$1,1,0)</f>
        <v>0</v>
      </c>
      <c r="AI386" s="408">
        <f t="shared" ref="AI386:AI406" si="80">IF(Y386=Y$1,1,0)</f>
        <v>0</v>
      </c>
      <c r="AJ386" s="408">
        <f t="shared" ref="AJ386:AJ406" si="81">IF(Z386=Z$1,1,0)</f>
        <v>1</v>
      </c>
    </row>
    <row r="387" spans="1:36" x14ac:dyDescent="0.25">
      <c r="A387" s="409">
        <f t="shared" si="72"/>
        <v>386</v>
      </c>
      <c r="B387" s="467" t="s">
        <v>6475</v>
      </c>
      <c r="C387" s="410" t="s">
        <v>6208</v>
      </c>
      <c r="D387" s="409">
        <v>5</v>
      </c>
      <c r="E387" s="408"/>
      <c r="F387" s="409" t="str">
        <f>""</f>
        <v/>
      </c>
      <c r="G387" s="409" t="s">
        <v>6835</v>
      </c>
      <c r="H387" s="409" t="s">
        <v>6209</v>
      </c>
      <c r="I387" s="409" t="str">
        <f t="shared" ref="I387:I406" si="82">IF(IFERROR(SEARCH("con",J387,1),0)&gt;0,"Concentration","")</f>
        <v>Concentration</v>
      </c>
      <c r="J387" s="409" t="s">
        <v>6210</v>
      </c>
      <c r="K387" s="409" t="s">
        <v>2536</v>
      </c>
      <c r="L387" s="409" t="s">
        <v>2562</v>
      </c>
      <c r="M387" s="409" t="s">
        <v>1248</v>
      </c>
      <c r="N387" s="408" t="s">
        <v>6476</v>
      </c>
      <c r="O387" s="409" t="s">
        <v>6187</v>
      </c>
      <c r="P387" s="408" t="s">
        <v>6813</v>
      </c>
      <c r="W387" s="409" t="s">
        <v>621</v>
      </c>
      <c r="AA387" s="408">
        <f t="shared" ref="AA387:AA406" si="83">IF(Q387=Q$1,1,0)</f>
        <v>0</v>
      </c>
      <c r="AB387" s="408">
        <f t="shared" si="73"/>
        <v>0</v>
      </c>
      <c r="AC387" s="408">
        <f t="shared" si="74"/>
        <v>0</v>
      </c>
      <c r="AD387" s="408">
        <f t="shared" si="75"/>
        <v>0</v>
      </c>
      <c r="AE387" s="408">
        <f t="shared" si="76"/>
        <v>0</v>
      </c>
      <c r="AF387" s="408">
        <f t="shared" si="77"/>
        <v>0</v>
      </c>
      <c r="AG387" s="408">
        <f t="shared" si="78"/>
        <v>1</v>
      </c>
      <c r="AH387" s="408">
        <f t="shared" si="79"/>
        <v>0</v>
      </c>
      <c r="AI387" s="408">
        <f t="shared" si="80"/>
        <v>0</v>
      </c>
      <c r="AJ387" s="408">
        <f t="shared" si="81"/>
        <v>0</v>
      </c>
    </row>
    <row r="388" spans="1:36" x14ac:dyDescent="0.25">
      <c r="A388" s="409">
        <f t="shared" si="72"/>
        <v>387</v>
      </c>
      <c r="B388" s="467" t="s">
        <v>6477</v>
      </c>
      <c r="C388" s="410" t="s">
        <v>6191</v>
      </c>
      <c r="D388" s="409">
        <v>0.5</v>
      </c>
      <c r="E388" s="408"/>
      <c r="F388" s="409" t="str">
        <f>""</f>
        <v/>
      </c>
      <c r="G388" s="409" t="s">
        <v>6841</v>
      </c>
      <c r="H388" s="409" t="s">
        <v>6219</v>
      </c>
      <c r="I388" s="409" t="str">
        <f t="shared" si="82"/>
        <v/>
      </c>
      <c r="J388" s="409" t="s">
        <v>6206</v>
      </c>
      <c r="K388" s="409" t="s">
        <v>2536</v>
      </c>
      <c r="L388" s="409" t="s">
        <v>2562</v>
      </c>
      <c r="M388" s="409" t="s">
        <v>3857</v>
      </c>
      <c r="N388" s="408" t="str">
        <f>""</f>
        <v/>
      </c>
      <c r="O388" s="409" t="s">
        <v>6190</v>
      </c>
      <c r="P388" s="408" t="s">
        <v>6814</v>
      </c>
      <c r="U388" s="409" t="s">
        <v>627</v>
      </c>
      <c r="W388" s="409" t="s">
        <v>621</v>
      </c>
      <c r="AA388" s="408">
        <f t="shared" si="83"/>
        <v>0</v>
      </c>
      <c r="AB388" s="408">
        <f t="shared" si="73"/>
        <v>0</v>
      </c>
      <c r="AC388" s="408">
        <f t="shared" si="74"/>
        <v>0</v>
      </c>
      <c r="AD388" s="408">
        <f t="shared" si="75"/>
        <v>0</v>
      </c>
      <c r="AE388" s="408">
        <f t="shared" si="76"/>
        <v>1</v>
      </c>
      <c r="AF388" s="408">
        <f t="shared" si="77"/>
        <v>0</v>
      </c>
      <c r="AG388" s="408">
        <f t="shared" si="78"/>
        <v>1</v>
      </c>
      <c r="AH388" s="408">
        <f t="shared" si="79"/>
        <v>0</v>
      </c>
      <c r="AI388" s="408">
        <f t="shared" si="80"/>
        <v>0</v>
      </c>
      <c r="AJ388" s="408">
        <f t="shared" si="81"/>
        <v>0</v>
      </c>
    </row>
    <row r="389" spans="1:36" x14ac:dyDescent="0.25">
      <c r="A389" s="409">
        <f t="shared" si="72"/>
        <v>388</v>
      </c>
      <c r="B389" s="467" t="s">
        <v>6478</v>
      </c>
      <c r="C389" s="410" t="s">
        <v>6193</v>
      </c>
      <c r="D389" s="409">
        <v>2</v>
      </c>
      <c r="E389" s="408"/>
      <c r="F389" s="409" t="str">
        <f>""</f>
        <v/>
      </c>
      <c r="G389" s="409" t="s">
        <v>6835</v>
      </c>
      <c r="H389" s="409" t="s">
        <v>5950</v>
      </c>
      <c r="I389" s="409" t="str">
        <f t="shared" si="82"/>
        <v>Concentration</v>
      </c>
      <c r="J389" s="409" t="s">
        <v>6210</v>
      </c>
      <c r="K389" s="409" t="s">
        <v>2536</v>
      </c>
      <c r="L389" s="409" t="s">
        <v>2562</v>
      </c>
      <c r="M389" s="409" t="s">
        <v>1248</v>
      </c>
      <c r="N389" s="408" t="s">
        <v>6479</v>
      </c>
      <c r="O389" s="409" t="s">
        <v>6190</v>
      </c>
      <c r="P389" s="408" t="s">
        <v>6815</v>
      </c>
      <c r="T389" s="409" t="s">
        <v>626</v>
      </c>
      <c r="Z389" s="409" t="s">
        <v>628</v>
      </c>
      <c r="AA389" s="408">
        <f t="shared" si="83"/>
        <v>0</v>
      </c>
      <c r="AB389" s="408">
        <f t="shared" si="73"/>
        <v>0</v>
      </c>
      <c r="AC389" s="408">
        <f t="shared" si="74"/>
        <v>0</v>
      </c>
      <c r="AD389" s="408">
        <f t="shared" si="75"/>
        <v>1</v>
      </c>
      <c r="AE389" s="408">
        <f t="shared" si="76"/>
        <v>0</v>
      </c>
      <c r="AF389" s="408">
        <f t="shared" si="77"/>
        <v>0</v>
      </c>
      <c r="AG389" s="408">
        <f t="shared" si="78"/>
        <v>0</v>
      </c>
      <c r="AH389" s="408">
        <f t="shared" si="79"/>
        <v>0</v>
      </c>
      <c r="AI389" s="408">
        <f t="shared" si="80"/>
        <v>0</v>
      </c>
      <c r="AJ389" s="408">
        <f t="shared" si="81"/>
        <v>1</v>
      </c>
    </row>
    <row r="390" spans="1:36" x14ac:dyDescent="0.25">
      <c r="A390" s="409">
        <f t="shared" si="72"/>
        <v>389</v>
      </c>
      <c r="B390" s="467" t="s">
        <v>6480</v>
      </c>
      <c r="C390" s="410" t="s">
        <v>6205</v>
      </c>
      <c r="D390" s="409">
        <v>3</v>
      </c>
      <c r="E390" s="408"/>
      <c r="F390" s="409" t="str">
        <f>""</f>
        <v/>
      </c>
      <c r="G390" s="409" t="s">
        <v>6835</v>
      </c>
      <c r="H390" s="409" t="s">
        <v>2410</v>
      </c>
      <c r="I390" s="409" t="str">
        <f t="shared" si="82"/>
        <v>Concentration</v>
      </c>
      <c r="J390" s="409" t="s">
        <v>6218</v>
      </c>
      <c r="K390" s="409" t="s">
        <v>2536</v>
      </c>
      <c r="L390" s="409" t="s">
        <v>2562</v>
      </c>
      <c r="M390" s="409" t="s">
        <v>1248</v>
      </c>
      <c r="N390" s="408" t="s">
        <v>6481</v>
      </c>
      <c r="O390" s="409" t="s">
        <v>6187</v>
      </c>
      <c r="P390" s="408" t="s">
        <v>6816</v>
      </c>
      <c r="T390" s="409" t="s">
        <v>626</v>
      </c>
      <c r="Z390" s="409" t="s">
        <v>628</v>
      </c>
      <c r="AA390" s="408">
        <f t="shared" si="83"/>
        <v>0</v>
      </c>
      <c r="AB390" s="408">
        <f t="shared" si="73"/>
        <v>0</v>
      </c>
      <c r="AC390" s="408">
        <f t="shared" si="74"/>
        <v>0</v>
      </c>
      <c r="AD390" s="408">
        <f t="shared" si="75"/>
        <v>1</v>
      </c>
      <c r="AE390" s="408">
        <f t="shared" si="76"/>
        <v>0</v>
      </c>
      <c r="AF390" s="408">
        <f t="shared" si="77"/>
        <v>0</v>
      </c>
      <c r="AG390" s="408">
        <f t="shared" si="78"/>
        <v>0</v>
      </c>
      <c r="AH390" s="408">
        <f t="shared" si="79"/>
        <v>0</v>
      </c>
      <c r="AI390" s="408">
        <f t="shared" si="80"/>
        <v>0</v>
      </c>
      <c r="AJ390" s="408">
        <f t="shared" si="81"/>
        <v>1</v>
      </c>
    </row>
    <row r="391" spans="1:36" x14ac:dyDescent="0.25">
      <c r="A391" s="409">
        <f t="shared" si="72"/>
        <v>390</v>
      </c>
      <c r="B391" s="467" t="s">
        <v>6482</v>
      </c>
      <c r="C391" s="410" t="s">
        <v>6191</v>
      </c>
      <c r="D391" s="409">
        <v>0.5</v>
      </c>
      <c r="E391" s="408"/>
      <c r="F391" s="409" t="str">
        <f>""</f>
        <v/>
      </c>
      <c r="G391" s="409" t="s">
        <v>6835</v>
      </c>
      <c r="H391" s="409" t="s">
        <v>5950</v>
      </c>
      <c r="I391" s="409" t="str">
        <f t="shared" si="82"/>
        <v/>
      </c>
      <c r="J391" s="409" t="s">
        <v>6192</v>
      </c>
      <c r="K391" s="409" t="s">
        <v>3857</v>
      </c>
      <c r="L391" s="409" t="s">
        <v>2562</v>
      </c>
      <c r="M391" s="409" t="s">
        <v>3857</v>
      </c>
      <c r="N391" s="408" t="str">
        <f>""</f>
        <v/>
      </c>
      <c r="O391" s="409" t="s">
        <v>6190</v>
      </c>
      <c r="P391" s="408" t="s">
        <v>6817</v>
      </c>
      <c r="T391" s="409" t="s">
        <v>626</v>
      </c>
      <c r="W391" s="409" t="s">
        <v>621</v>
      </c>
      <c r="Z391" s="409" t="s">
        <v>628</v>
      </c>
      <c r="AA391" s="408">
        <f t="shared" si="83"/>
        <v>0</v>
      </c>
      <c r="AB391" s="408">
        <f t="shared" si="73"/>
        <v>0</v>
      </c>
      <c r="AC391" s="408">
        <f t="shared" si="74"/>
        <v>0</v>
      </c>
      <c r="AD391" s="408">
        <f t="shared" si="75"/>
        <v>1</v>
      </c>
      <c r="AE391" s="408">
        <f t="shared" si="76"/>
        <v>0</v>
      </c>
      <c r="AF391" s="408">
        <f t="shared" si="77"/>
        <v>0</v>
      </c>
      <c r="AG391" s="408">
        <f t="shared" si="78"/>
        <v>1</v>
      </c>
      <c r="AH391" s="408">
        <f t="shared" si="79"/>
        <v>0</v>
      </c>
      <c r="AI391" s="408">
        <f t="shared" si="80"/>
        <v>0</v>
      </c>
      <c r="AJ391" s="408">
        <f t="shared" si="81"/>
        <v>1</v>
      </c>
    </row>
    <row r="392" spans="1:36" x14ac:dyDescent="0.25">
      <c r="A392" s="409">
        <f t="shared" si="72"/>
        <v>391</v>
      </c>
      <c r="B392" s="467" t="s">
        <v>6483</v>
      </c>
      <c r="C392" s="410" t="s">
        <v>6216</v>
      </c>
      <c r="D392" s="409">
        <v>6</v>
      </c>
      <c r="E392" s="408"/>
      <c r="F392" s="409" t="str">
        <f>""</f>
        <v/>
      </c>
      <c r="G392" s="409" t="s">
        <v>6835</v>
      </c>
      <c r="H392" s="409" t="s">
        <v>2410</v>
      </c>
      <c r="I392" s="409" t="str">
        <f t="shared" si="82"/>
        <v>Concentration</v>
      </c>
      <c r="J392" s="409" t="s">
        <v>6210</v>
      </c>
      <c r="K392" s="409" t="s">
        <v>2536</v>
      </c>
      <c r="L392" s="409" t="s">
        <v>2562</v>
      </c>
      <c r="M392" s="409" t="s">
        <v>3857</v>
      </c>
      <c r="N392" s="408" t="str">
        <f>""</f>
        <v/>
      </c>
      <c r="O392" s="409" t="s">
        <v>6184</v>
      </c>
      <c r="P392" s="408" t="s">
        <v>6818</v>
      </c>
      <c r="W392" s="409" t="s">
        <v>621</v>
      </c>
      <c r="AA392" s="408">
        <f t="shared" si="83"/>
        <v>0</v>
      </c>
      <c r="AB392" s="408">
        <f t="shared" si="73"/>
        <v>0</v>
      </c>
      <c r="AC392" s="408">
        <f t="shared" si="74"/>
        <v>0</v>
      </c>
      <c r="AD392" s="408">
        <f t="shared" si="75"/>
        <v>0</v>
      </c>
      <c r="AE392" s="408">
        <f t="shared" si="76"/>
        <v>0</v>
      </c>
      <c r="AF392" s="408">
        <f t="shared" si="77"/>
        <v>0</v>
      </c>
      <c r="AG392" s="408">
        <f t="shared" si="78"/>
        <v>1</v>
      </c>
      <c r="AH392" s="408">
        <f t="shared" si="79"/>
        <v>0</v>
      </c>
      <c r="AI392" s="408">
        <f t="shared" si="80"/>
        <v>0</v>
      </c>
      <c r="AJ392" s="408">
        <f t="shared" si="81"/>
        <v>0</v>
      </c>
    </row>
    <row r="393" spans="1:36" x14ac:dyDescent="0.25">
      <c r="A393" s="409">
        <f t="shared" si="72"/>
        <v>392</v>
      </c>
      <c r="B393" s="467" t="s">
        <v>6484</v>
      </c>
      <c r="C393" s="410" t="s">
        <v>6193</v>
      </c>
      <c r="D393" s="409">
        <v>2</v>
      </c>
      <c r="E393" s="408"/>
      <c r="F393" s="409" t="str">
        <f>""</f>
        <v/>
      </c>
      <c r="G393" s="409" t="s">
        <v>6835</v>
      </c>
      <c r="H393" s="409" t="s">
        <v>424</v>
      </c>
      <c r="I393" s="409" t="str">
        <f t="shared" si="82"/>
        <v/>
      </c>
      <c r="J393" s="409" t="s">
        <v>6485</v>
      </c>
      <c r="K393" s="409" t="s">
        <v>2536</v>
      </c>
      <c r="L393" s="409" t="s">
        <v>2562</v>
      </c>
      <c r="M393" s="409" t="s">
        <v>3857</v>
      </c>
      <c r="N393" s="408" t="str">
        <f>""</f>
        <v/>
      </c>
      <c r="O393" s="409" t="s">
        <v>6190</v>
      </c>
      <c r="P393" s="408" t="s">
        <v>6819</v>
      </c>
      <c r="Q393" s="409" t="s">
        <v>1112</v>
      </c>
      <c r="T393" s="409" t="s">
        <v>626</v>
      </c>
      <c r="Z393" s="409" t="s">
        <v>628</v>
      </c>
      <c r="AA393" s="408">
        <f t="shared" si="83"/>
        <v>1</v>
      </c>
      <c r="AB393" s="408">
        <f t="shared" si="73"/>
        <v>0</v>
      </c>
      <c r="AC393" s="408">
        <f t="shared" si="74"/>
        <v>0</v>
      </c>
      <c r="AD393" s="408">
        <f t="shared" si="75"/>
        <v>1</v>
      </c>
      <c r="AE393" s="408">
        <f t="shared" si="76"/>
        <v>0</v>
      </c>
      <c r="AF393" s="408">
        <f t="shared" si="77"/>
        <v>0</v>
      </c>
      <c r="AG393" s="408">
        <f t="shared" si="78"/>
        <v>0</v>
      </c>
      <c r="AH393" s="408">
        <f t="shared" si="79"/>
        <v>0</v>
      </c>
      <c r="AI393" s="408">
        <f t="shared" si="80"/>
        <v>0</v>
      </c>
      <c r="AJ393" s="408">
        <f t="shared" si="81"/>
        <v>1</v>
      </c>
    </row>
    <row r="394" spans="1:36" x14ac:dyDescent="0.25">
      <c r="A394" s="409">
        <f t="shared" si="72"/>
        <v>393</v>
      </c>
      <c r="B394" s="467" t="s">
        <v>6486</v>
      </c>
      <c r="C394" s="410" t="s">
        <v>6191</v>
      </c>
      <c r="D394" s="409">
        <v>0.5</v>
      </c>
      <c r="E394" s="408"/>
      <c r="F394" s="409" t="str">
        <f>""</f>
        <v/>
      </c>
      <c r="G394" s="409" t="s">
        <v>6835</v>
      </c>
      <c r="H394" s="409" t="s">
        <v>5950</v>
      </c>
      <c r="I394" s="409" t="str">
        <f t="shared" si="82"/>
        <v/>
      </c>
      <c r="J394" s="409" t="s">
        <v>6212</v>
      </c>
      <c r="K394" s="409" t="s">
        <v>3857</v>
      </c>
      <c r="L394" s="409" t="s">
        <v>2562</v>
      </c>
      <c r="M394" s="409" t="s">
        <v>3857</v>
      </c>
      <c r="N394" s="408" t="str">
        <f>""</f>
        <v/>
      </c>
      <c r="O394" s="409" t="s">
        <v>6190</v>
      </c>
      <c r="P394" s="408" t="s">
        <v>6820</v>
      </c>
      <c r="T394" s="409" t="s">
        <v>626</v>
      </c>
      <c r="W394" s="409" t="s">
        <v>621</v>
      </c>
      <c r="Z394" s="409" t="s">
        <v>628</v>
      </c>
      <c r="AA394" s="408">
        <f t="shared" si="83"/>
        <v>0</v>
      </c>
      <c r="AB394" s="408">
        <f t="shared" si="73"/>
        <v>0</v>
      </c>
      <c r="AC394" s="408">
        <f t="shared" si="74"/>
        <v>0</v>
      </c>
      <c r="AD394" s="408">
        <f t="shared" si="75"/>
        <v>1</v>
      </c>
      <c r="AE394" s="408">
        <f t="shared" si="76"/>
        <v>0</v>
      </c>
      <c r="AF394" s="408">
        <f t="shared" si="77"/>
        <v>0</v>
      </c>
      <c r="AG394" s="408">
        <f t="shared" si="78"/>
        <v>1</v>
      </c>
      <c r="AH394" s="408">
        <f t="shared" si="79"/>
        <v>0</v>
      </c>
      <c r="AI394" s="408">
        <f t="shared" si="80"/>
        <v>0</v>
      </c>
      <c r="AJ394" s="408">
        <f t="shared" si="81"/>
        <v>1</v>
      </c>
    </row>
    <row r="395" spans="1:36" x14ac:dyDescent="0.25">
      <c r="A395" s="409">
        <f t="shared" si="72"/>
        <v>394</v>
      </c>
      <c r="B395" s="467" t="s">
        <v>6487</v>
      </c>
      <c r="C395" s="410" t="s">
        <v>6193</v>
      </c>
      <c r="D395" s="409">
        <v>2</v>
      </c>
      <c r="E395" s="408"/>
      <c r="F395" s="409" t="s">
        <v>6183</v>
      </c>
      <c r="G395" s="409" t="s">
        <v>6836</v>
      </c>
      <c r="H395" s="409" t="s">
        <v>6355</v>
      </c>
      <c r="I395" s="409" t="str">
        <f t="shared" si="82"/>
        <v>Concentration</v>
      </c>
      <c r="J395" s="409" t="s">
        <v>6200</v>
      </c>
      <c r="K395" s="409" t="s">
        <v>2536</v>
      </c>
      <c r="L395" s="409" t="s">
        <v>2562</v>
      </c>
      <c r="M395" s="409" t="s">
        <v>3857</v>
      </c>
      <c r="N395" s="408" t="str">
        <f>""</f>
        <v/>
      </c>
      <c r="O395" s="409" t="s">
        <v>6190</v>
      </c>
      <c r="P395" s="408" t="s">
        <v>6821</v>
      </c>
      <c r="Q395" s="409" t="s">
        <v>1112</v>
      </c>
      <c r="W395" s="409" t="s">
        <v>621</v>
      </c>
      <c r="Z395" s="409" t="s">
        <v>628</v>
      </c>
      <c r="AA395" s="408">
        <f t="shared" si="83"/>
        <v>1</v>
      </c>
      <c r="AB395" s="408">
        <f t="shared" si="73"/>
        <v>0</v>
      </c>
      <c r="AC395" s="408">
        <f t="shared" si="74"/>
        <v>0</v>
      </c>
      <c r="AD395" s="408">
        <f t="shared" si="75"/>
        <v>0</v>
      </c>
      <c r="AE395" s="408">
        <f t="shared" si="76"/>
        <v>0</v>
      </c>
      <c r="AF395" s="408">
        <f t="shared" si="77"/>
        <v>0</v>
      </c>
      <c r="AG395" s="408">
        <f t="shared" si="78"/>
        <v>1</v>
      </c>
      <c r="AH395" s="408">
        <f t="shared" si="79"/>
        <v>0</v>
      </c>
      <c r="AI395" s="408">
        <f t="shared" si="80"/>
        <v>0</v>
      </c>
      <c r="AJ395" s="408">
        <f t="shared" si="81"/>
        <v>1</v>
      </c>
    </row>
    <row r="396" spans="1:36" x14ac:dyDescent="0.25">
      <c r="A396" s="409">
        <f t="shared" si="72"/>
        <v>395</v>
      </c>
      <c r="B396" s="467" t="s">
        <v>6488</v>
      </c>
      <c r="C396" s="410" t="s">
        <v>6193</v>
      </c>
      <c r="D396" s="409">
        <v>2</v>
      </c>
      <c r="E396" s="408"/>
      <c r="F396" s="409" t="str">
        <f>""</f>
        <v/>
      </c>
      <c r="G396" s="409" t="s">
        <v>6835</v>
      </c>
      <c r="H396" s="409" t="s">
        <v>6234</v>
      </c>
      <c r="I396" s="409" t="str">
        <f t="shared" si="82"/>
        <v/>
      </c>
      <c r="J396" s="409" t="s">
        <v>6192</v>
      </c>
      <c r="K396" s="409" t="s">
        <v>2536</v>
      </c>
      <c r="L396" s="409" t="s">
        <v>2562</v>
      </c>
      <c r="M396" s="409" t="s">
        <v>1248</v>
      </c>
      <c r="N396" s="408" t="s">
        <v>6489</v>
      </c>
      <c r="O396" s="409" t="s">
        <v>6187</v>
      </c>
      <c r="P396" s="408" t="s">
        <v>6822</v>
      </c>
      <c r="T396" s="409" t="s">
        <v>626</v>
      </c>
      <c r="Z396" s="409" t="s">
        <v>628</v>
      </c>
      <c r="AA396" s="408">
        <f t="shared" si="83"/>
        <v>0</v>
      </c>
      <c r="AB396" s="408">
        <f t="shared" si="73"/>
        <v>0</v>
      </c>
      <c r="AC396" s="408">
        <f t="shared" si="74"/>
        <v>0</v>
      </c>
      <c r="AD396" s="408">
        <f t="shared" si="75"/>
        <v>1</v>
      </c>
      <c r="AE396" s="408">
        <f t="shared" si="76"/>
        <v>0</v>
      </c>
      <c r="AF396" s="408">
        <f t="shared" si="77"/>
        <v>0</v>
      </c>
      <c r="AG396" s="408">
        <f t="shared" si="78"/>
        <v>0</v>
      </c>
      <c r="AH396" s="408">
        <f t="shared" si="79"/>
        <v>0</v>
      </c>
      <c r="AI396" s="408">
        <f t="shared" si="80"/>
        <v>0</v>
      </c>
      <c r="AJ396" s="408">
        <f t="shared" si="81"/>
        <v>1</v>
      </c>
    </row>
    <row r="397" spans="1:36" x14ac:dyDescent="0.25">
      <c r="A397" s="409">
        <f t="shared" si="72"/>
        <v>396</v>
      </c>
      <c r="B397" s="467" t="s">
        <v>6490</v>
      </c>
      <c r="C397" s="410" t="s">
        <v>6214</v>
      </c>
      <c r="D397" s="409">
        <v>4</v>
      </c>
      <c r="E397" s="408"/>
      <c r="F397" s="409" t="str">
        <f>""</f>
        <v/>
      </c>
      <c r="G397" s="409" t="s">
        <v>6835</v>
      </c>
      <c r="H397" s="409" t="s">
        <v>6237</v>
      </c>
      <c r="I397" s="409" t="str">
        <f t="shared" si="82"/>
        <v>Concentration</v>
      </c>
      <c r="J397" s="409" t="s">
        <v>6210</v>
      </c>
      <c r="K397" s="409" t="s">
        <v>2536</v>
      </c>
      <c r="L397" s="409" t="s">
        <v>2562</v>
      </c>
      <c r="M397" s="409" t="s">
        <v>3857</v>
      </c>
      <c r="N397" s="408" t="str">
        <f>""</f>
        <v/>
      </c>
      <c r="O397" s="409" t="s">
        <v>6187</v>
      </c>
      <c r="P397" s="408" t="s">
        <v>6823</v>
      </c>
      <c r="Z397" s="409" t="s">
        <v>628</v>
      </c>
      <c r="AA397" s="408">
        <f t="shared" si="83"/>
        <v>0</v>
      </c>
      <c r="AB397" s="408">
        <f t="shared" si="73"/>
        <v>0</v>
      </c>
      <c r="AC397" s="408">
        <f t="shared" si="74"/>
        <v>0</v>
      </c>
      <c r="AD397" s="408">
        <f t="shared" si="75"/>
        <v>0</v>
      </c>
      <c r="AE397" s="408">
        <f t="shared" si="76"/>
        <v>0</v>
      </c>
      <c r="AF397" s="408">
        <f t="shared" si="77"/>
        <v>0</v>
      </c>
      <c r="AG397" s="408">
        <f t="shared" si="78"/>
        <v>0</v>
      </c>
      <c r="AH397" s="408">
        <f t="shared" si="79"/>
        <v>0</v>
      </c>
      <c r="AI397" s="408">
        <f t="shared" si="80"/>
        <v>0</v>
      </c>
      <c r="AJ397" s="408">
        <f t="shared" si="81"/>
        <v>1</v>
      </c>
    </row>
    <row r="398" spans="1:36" x14ac:dyDescent="0.25">
      <c r="A398" s="409">
        <f t="shared" si="72"/>
        <v>397</v>
      </c>
      <c r="B398" s="467" t="s">
        <v>6491</v>
      </c>
      <c r="C398" s="410" t="s">
        <v>6191</v>
      </c>
      <c r="D398" s="409">
        <v>0.5</v>
      </c>
      <c r="E398" s="408"/>
      <c r="F398" s="409" t="str">
        <f>""</f>
        <v/>
      </c>
      <c r="G398" s="409" t="s">
        <v>6835</v>
      </c>
      <c r="H398" s="409" t="s">
        <v>6199</v>
      </c>
      <c r="I398" s="409" t="str">
        <f t="shared" si="82"/>
        <v/>
      </c>
      <c r="J398" s="409" t="s">
        <v>6192</v>
      </c>
      <c r="K398" s="409" t="s">
        <v>3857</v>
      </c>
      <c r="L398" s="409" t="s">
        <v>2562</v>
      </c>
      <c r="M398" s="409" t="s">
        <v>3857</v>
      </c>
      <c r="N398" s="408" t="str">
        <f>""</f>
        <v/>
      </c>
      <c r="O398" s="409" t="s">
        <v>6187</v>
      </c>
      <c r="P398" s="408" t="s">
        <v>6824</v>
      </c>
      <c r="Q398" s="409" t="s">
        <v>1112</v>
      </c>
      <c r="T398" s="409" t="s">
        <v>626</v>
      </c>
      <c r="U398" s="409" t="s">
        <v>627</v>
      </c>
      <c r="W398" s="409" t="s">
        <v>621</v>
      </c>
      <c r="Z398" s="409" t="s">
        <v>628</v>
      </c>
      <c r="AA398" s="408">
        <f t="shared" si="83"/>
        <v>1</v>
      </c>
      <c r="AB398" s="408">
        <f t="shared" si="73"/>
        <v>0</v>
      </c>
      <c r="AC398" s="408">
        <f t="shared" si="74"/>
        <v>0</v>
      </c>
      <c r="AD398" s="408">
        <f t="shared" si="75"/>
        <v>1</v>
      </c>
      <c r="AE398" s="408">
        <f t="shared" si="76"/>
        <v>1</v>
      </c>
      <c r="AF398" s="408">
        <f t="shared" si="77"/>
        <v>0</v>
      </c>
      <c r="AG398" s="408">
        <f t="shared" si="78"/>
        <v>1</v>
      </c>
      <c r="AH398" s="408">
        <f t="shared" si="79"/>
        <v>0</v>
      </c>
      <c r="AI398" s="408">
        <f t="shared" si="80"/>
        <v>0</v>
      </c>
      <c r="AJ398" s="408">
        <f t="shared" si="81"/>
        <v>1</v>
      </c>
    </row>
    <row r="399" spans="1:36" x14ac:dyDescent="0.25">
      <c r="A399" s="409">
        <f t="shared" ref="A399:A406" si="84">A398+1</f>
        <v>398</v>
      </c>
      <c r="B399" s="467" t="s">
        <v>6492</v>
      </c>
      <c r="C399" s="410" t="s">
        <v>6205</v>
      </c>
      <c r="D399" s="409">
        <v>3</v>
      </c>
      <c r="E399" s="408"/>
      <c r="F399" s="409" t="str">
        <f>""</f>
        <v/>
      </c>
      <c r="G399" s="409" t="s">
        <v>6835</v>
      </c>
      <c r="H399" s="409" t="s">
        <v>6209</v>
      </c>
      <c r="I399" s="409" t="str">
        <f t="shared" si="82"/>
        <v/>
      </c>
      <c r="J399" s="409" t="s">
        <v>6192</v>
      </c>
      <c r="K399" s="409" t="s">
        <v>2536</v>
      </c>
      <c r="L399" s="409" t="s">
        <v>2562</v>
      </c>
      <c r="M399" s="409" t="s">
        <v>1248</v>
      </c>
      <c r="N399" s="408" t="s">
        <v>6493</v>
      </c>
      <c r="O399" s="409" t="s">
        <v>6185</v>
      </c>
      <c r="P399" s="408" t="s">
        <v>6825</v>
      </c>
      <c r="W399" s="409" t="s">
        <v>621</v>
      </c>
      <c r="Z399" s="409" t="s">
        <v>628</v>
      </c>
      <c r="AA399" s="408">
        <f t="shared" si="83"/>
        <v>0</v>
      </c>
      <c r="AB399" s="408">
        <f t="shared" si="73"/>
        <v>0</v>
      </c>
      <c r="AC399" s="408">
        <f t="shared" si="74"/>
        <v>0</v>
      </c>
      <c r="AD399" s="408">
        <f t="shared" si="75"/>
        <v>0</v>
      </c>
      <c r="AE399" s="408">
        <f t="shared" si="76"/>
        <v>0</v>
      </c>
      <c r="AF399" s="408">
        <f t="shared" si="77"/>
        <v>0</v>
      </c>
      <c r="AG399" s="408">
        <f t="shared" si="78"/>
        <v>1</v>
      </c>
      <c r="AH399" s="408">
        <f t="shared" si="79"/>
        <v>0</v>
      </c>
      <c r="AI399" s="408">
        <f t="shared" si="80"/>
        <v>0</v>
      </c>
      <c r="AJ399" s="408">
        <f t="shared" si="81"/>
        <v>1</v>
      </c>
    </row>
    <row r="400" spans="1:36" x14ac:dyDescent="0.25">
      <c r="A400" s="409">
        <f t="shared" si="84"/>
        <v>399</v>
      </c>
      <c r="B400" s="467" t="s">
        <v>6494</v>
      </c>
      <c r="C400" s="410" t="s">
        <v>6208</v>
      </c>
      <c r="D400" s="409">
        <v>5</v>
      </c>
      <c r="E400" s="408"/>
      <c r="F400" s="409" t="str">
        <f>""</f>
        <v/>
      </c>
      <c r="G400" s="409" t="s">
        <v>6835</v>
      </c>
      <c r="H400" s="409" t="s">
        <v>6209</v>
      </c>
      <c r="I400" s="409" t="str">
        <f t="shared" si="82"/>
        <v/>
      </c>
      <c r="J400" s="409" t="s">
        <v>6192</v>
      </c>
      <c r="K400" s="409" t="s">
        <v>2536</v>
      </c>
      <c r="L400" s="409" t="s">
        <v>2562</v>
      </c>
      <c r="M400" s="409" t="s">
        <v>1248</v>
      </c>
      <c r="N400" s="408" t="s">
        <v>6495</v>
      </c>
      <c r="O400" s="409" t="s">
        <v>6190</v>
      </c>
      <c r="P400" s="408" t="s">
        <v>6826</v>
      </c>
      <c r="W400" s="409" t="s">
        <v>621</v>
      </c>
      <c r="Z400" s="409" t="s">
        <v>628</v>
      </c>
      <c r="AA400" s="408">
        <f t="shared" si="83"/>
        <v>0</v>
      </c>
      <c r="AB400" s="408">
        <f t="shared" si="73"/>
        <v>0</v>
      </c>
      <c r="AC400" s="408">
        <f t="shared" si="74"/>
        <v>0</v>
      </c>
      <c r="AD400" s="408">
        <f t="shared" si="75"/>
        <v>0</v>
      </c>
      <c r="AE400" s="408">
        <f t="shared" si="76"/>
        <v>0</v>
      </c>
      <c r="AF400" s="408">
        <f t="shared" si="77"/>
        <v>0</v>
      </c>
      <c r="AG400" s="408">
        <f t="shared" si="78"/>
        <v>1</v>
      </c>
      <c r="AH400" s="408">
        <f t="shared" si="79"/>
        <v>0</v>
      </c>
      <c r="AI400" s="408">
        <f t="shared" si="80"/>
        <v>0</v>
      </c>
      <c r="AJ400" s="408">
        <f t="shared" si="81"/>
        <v>1</v>
      </c>
    </row>
    <row r="401" spans="1:36" x14ac:dyDescent="0.25">
      <c r="A401" s="409">
        <f t="shared" si="84"/>
        <v>400</v>
      </c>
      <c r="B401" s="467" t="s">
        <v>6496</v>
      </c>
      <c r="C401" s="410" t="s">
        <v>6214</v>
      </c>
      <c r="D401" s="409">
        <v>4</v>
      </c>
      <c r="E401" s="408"/>
      <c r="F401" s="409" t="str">
        <f>""</f>
        <v/>
      </c>
      <c r="G401" s="409" t="s">
        <v>6835</v>
      </c>
      <c r="H401" s="409" t="s">
        <v>6237</v>
      </c>
      <c r="I401" s="409" t="str">
        <f t="shared" si="82"/>
        <v/>
      </c>
      <c r="J401" s="409" t="s">
        <v>6192</v>
      </c>
      <c r="K401" s="409" t="s">
        <v>2536</v>
      </c>
      <c r="L401" s="409" t="s">
        <v>2562</v>
      </c>
      <c r="M401" s="409" t="s">
        <v>1248</v>
      </c>
      <c r="N401" s="408" t="s">
        <v>6497</v>
      </c>
      <c r="O401" s="409" t="s">
        <v>6187</v>
      </c>
      <c r="P401" s="408" t="s">
        <v>6827</v>
      </c>
      <c r="Z401" s="409" t="s">
        <v>628</v>
      </c>
      <c r="AA401" s="408">
        <f t="shared" si="83"/>
        <v>0</v>
      </c>
      <c r="AB401" s="408">
        <f t="shared" si="73"/>
        <v>0</v>
      </c>
      <c r="AC401" s="408">
        <f t="shared" si="74"/>
        <v>0</v>
      </c>
      <c r="AD401" s="408">
        <f t="shared" si="75"/>
        <v>0</v>
      </c>
      <c r="AE401" s="408">
        <f t="shared" si="76"/>
        <v>0</v>
      </c>
      <c r="AF401" s="408">
        <f t="shared" si="77"/>
        <v>0</v>
      </c>
      <c r="AG401" s="408">
        <f t="shared" si="78"/>
        <v>0</v>
      </c>
      <c r="AH401" s="408">
        <f t="shared" si="79"/>
        <v>0</v>
      </c>
      <c r="AI401" s="408">
        <f t="shared" si="80"/>
        <v>0</v>
      </c>
      <c r="AJ401" s="408">
        <f t="shared" si="81"/>
        <v>1</v>
      </c>
    </row>
    <row r="402" spans="1:36" x14ac:dyDescent="0.25">
      <c r="A402" s="409">
        <f t="shared" si="84"/>
        <v>401</v>
      </c>
      <c r="B402" s="467" t="s">
        <v>6498</v>
      </c>
      <c r="C402" s="410" t="s">
        <v>6205</v>
      </c>
      <c r="D402" s="409">
        <v>3</v>
      </c>
      <c r="E402" s="408"/>
      <c r="F402" s="409" t="str">
        <f>""</f>
        <v/>
      </c>
      <c r="G402" s="409" t="s">
        <v>6835</v>
      </c>
      <c r="H402" s="409" t="s">
        <v>6234</v>
      </c>
      <c r="I402" s="409" t="str">
        <f t="shared" si="82"/>
        <v>Concentration</v>
      </c>
      <c r="J402" s="409" t="s">
        <v>6218</v>
      </c>
      <c r="K402" s="409" t="s">
        <v>2536</v>
      </c>
      <c r="L402" s="409" t="s">
        <v>2562</v>
      </c>
      <c r="M402" s="409" t="s">
        <v>1248</v>
      </c>
      <c r="N402" s="408" t="s">
        <v>6499</v>
      </c>
      <c r="O402" s="409" t="s">
        <v>6187</v>
      </c>
      <c r="P402" s="408" t="s">
        <v>6500</v>
      </c>
      <c r="Z402" s="409" t="s">
        <v>628</v>
      </c>
      <c r="AA402" s="408">
        <f t="shared" si="83"/>
        <v>0</v>
      </c>
      <c r="AB402" s="408">
        <f t="shared" si="73"/>
        <v>0</v>
      </c>
      <c r="AC402" s="408">
        <f t="shared" si="74"/>
        <v>0</v>
      </c>
      <c r="AD402" s="408">
        <f t="shared" si="75"/>
        <v>0</v>
      </c>
      <c r="AE402" s="408">
        <f t="shared" si="76"/>
        <v>0</v>
      </c>
      <c r="AF402" s="408">
        <f t="shared" si="77"/>
        <v>0</v>
      </c>
      <c r="AG402" s="408">
        <f t="shared" si="78"/>
        <v>0</v>
      </c>
      <c r="AH402" s="408">
        <f t="shared" si="79"/>
        <v>0</v>
      </c>
      <c r="AI402" s="408">
        <f t="shared" si="80"/>
        <v>0</v>
      </c>
      <c r="AJ402" s="408">
        <f t="shared" si="81"/>
        <v>1</v>
      </c>
    </row>
    <row r="403" spans="1:36" x14ac:dyDescent="0.25">
      <c r="A403" s="409">
        <f t="shared" si="84"/>
        <v>402</v>
      </c>
      <c r="B403" s="467" t="s">
        <v>6501</v>
      </c>
      <c r="C403" s="410" t="s">
        <v>6205</v>
      </c>
      <c r="D403" s="409">
        <v>3</v>
      </c>
      <c r="E403" s="408"/>
      <c r="F403" s="409" t="str">
        <f>""</f>
        <v/>
      </c>
      <c r="G403" s="409" t="s">
        <v>6835</v>
      </c>
      <c r="H403" s="409" t="s">
        <v>424</v>
      </c>
      <c r="I403" s="409" t="str">
        <f t="shared" si="82"/>
        <v>Concentration</v>
      </c>
      <c r="J403" s="409" t="s">
        <v>6218</v>
      </c>
      <c r="K403" s="409" t="s">
        <v>2536</v>
      </c>
      <c r="L403" s="409" t="s">
        <v>2562</v>
      </c>
      <c r="M403" s="409" t="s">
        <v>1248</v>
      </c>
      <c r="N403" s="408" t="s">
        <v>6493</v>
      </c>
      <c r="O403" s="409" t="s">
        <v>6187</v>
      </c>
      <c r="P403" s="408" t="s">
        <v>6828</v>
      </c>
      <c r="T403" s="409" t="s">
        <v>626</v>
      </c>
      <c r="W403" s="409" t="s">
        <v>621</v>
      </c>
      <c r="Z403" s="409" t="s">
        <v>628</v>
      </c>
      <c r="AA403" s="408">
        <f t="shared" si="83"/>
        <v>0</v>
      </c>
      <c r="AB403" s="408">
        <f t="shared" si="73"/>
        <v>0</v>
      </c>
      <c r="AC403" s="408">
        <f t="shared" si="74"/>
        <v>0</v>
      </c>
      <c r="AD403" s="408">
        <f t="shared" si="75"/>
        <v>1</v>
      </c>
      <c r="AE403" s="408">
        <f t="shared" si="76"/>
        <v>0</v>
      </c>
      <c r="AF403" s="408">
        <f t="shared" si="77"/>
        <v>0</v>
      </c>
      <c r="AG403" s="408">
        <f t="shared" si="78"/>
        <v>1</v>
      </c>
      <c r="AH403" s="408">
        <f t="shared" si="79"/>
        <v>0</v>
      </c>
      <c r="AI403" s="408">
        <f t="shared" si="80"/>
        <v>0</v>
      </c>
      <c r="AJ403" s="408">
        <f t="shared" si="81"/>
        <v>1</v>
      </c>
    </row>
    <row r="404" spans="1:36" x14ac:dyDescent="0.25">
      <c r="A404" s="409">
        <f t="shared" si="84"/>
        <v>403</v>
      </c>
      <c r="B404" s="467" t="s">
        <v>6502</v>
      </c>
      <c r="C404" s="410" t="s">
        <v>6193</v>
      </c>
      <c r="D404" s="409">
        <v>2</v>
      </c>
      <c r="E404" s="408"/>
      <c r="F404" s="409" t="str">
        <f>""</f>
        <v/>
      </c>
      <c r="G404" s="409" t="s">
        <v>6835</v>
      </c>
      <c r="H404" s="409" t="s">
        <v>6199</v>
      </c>
      <c r="I404" s="409" t="str">
        <f t="shared" si="82"/>
        <v>Concentration</v>
      </c>
      <c r="J404" s="409" t="s">
        <v>6218</v>
      </c>
      <c r="K404" s="409" t="s">
        <v>2536</v>
      </c>
      <c r="L404" s="409" t="s">
        <v>3857</v>
      </c>
      <c r="M404" s="409" t="s">
        <v>3857</v>
      </c>
      <c r="N404" s="408" t="str">
        <f>""</f>
        <v/>
      </c>
      <c r="O404" s="409" t="s">
        <v>6187</v>
      </c>
      <c r="P404" s="408" t="s">
        <v>6829</v>
      </c>
      <c r="Q404" s="409" t="s">
        <v>1112</v>
      </c>
      <c r="T404" s="409" t="s">
        <v>626</v>
      </c>
      <c r="W404" s="409" t="s">
        <v>621</v>
      </c>
      <c r="AA404" s="408">
        <f t="shared" si="83"/>
        <v>1</v>
      </c>
      <c r="AB404" s="408">
        <f t="shared" si="73"/>
        <v>0</v>
      </c>
      <c r="AC404" s="408">
        <f t="shared" si="74"/>
        <v>0</v>
      </c>
      <c r="AD404" s="408">
        <f t="shared" si="75"/>
        <v>1</v>
      </c>
      <c r="AE404" s="408">
        <f t="shared" si="76"/>
        <v>0</v>
      </c>
      <c r="AF404" s="408">
        <f t="shared" si="77"/>
        <v>0</v>
      </c>
      <c r="AG404" s="408">
        <f t="shared" si="78"/>
        <v>1</v>
      </c>
      <c r="AH404" s="408">
        <f t="shared" si="79"/>
        <v>0</v>
      </c>
      <c r="AI404" s="408">
        <f t="shared" si="80"/>
        <v>0</v>
      </c>
      <c r="AJ404" s="408">
        <f t="shared" si="81"/>
        <v>0</v>
      </c>
    </row>
    <row r="405" spans="1:36" x14ac:dyDescent="0.25">
      <c r="A405" s="409">
        <f t="shared" si="84"/>
        <v>404</v>
      </c>
      <c r="B405" s="467" t="s">
        <v>6503</v>
      </c>
      <c r="C405" s="410" t="s">
        <v>6214</v>
      </c>
      <c r="D405" s="409">
        <v>4</v>
      </c>
      <c r="E405" s="408"/>
      <c r="F405" s="409" t="str">
        <f>""</f>
        <v/>
      </c>
      <c r="G405" s="409" t="s">
        <v>6835</v>
      </c>
      <c r="H405" s="409" t="s">
        <v>6234</v>
      </c>
      <c r="I405" s="409" t="str">
        <f t="shared" si="82"/>
        <v>Concentration</v>
      </c>
      <c r="J405" s="409" t="s">
        <v>6210</v>
      </c>
      <c r="K405" s="409" t="s">
        <v>2536</v>
      </c>
      <c r="L405" s="409" t="s">
        <v>2562</v>
      </c>
      <c r="M405" s="409" t="s">
        <v>1248</v>
      </c>
      <c r="N405" s="408" t="s">
        <v>6504</v>
      </c>
      <c r="O405" s="409" t="s">
        <v>6185</v>
      </c>
      <c r="P405" s="408" t="s">
        <v>6830</v>
      </c>
      <c r="W405" s="409" t="s">
        <v>621</v>
      </c>
      <c r="Z405" s="409" t="s">
        <v>628</v>
      </c>
      <c r="AA405" s="408">
        <f t="shared" si="83"/>
        <v>0</v>
      </c>
      <c r="AB405" s="408">
        <f t="shared" si="73"/>
        <v>0</v>
      </c>
      <c r="AC405" s="408">
        <f t="shared" si="74"/>
        <v>0</v>
      </c>
      <c r="AD405" s="408">
        <f t="shared" si="75"/>
        <v>0</v>
      </c>
      <c r="AE405" s="408">
        <f t="shared" si="76"/>
        <v>0</v>
      </c>
      <c r="AF405" s="408">
        <f t="shared" si="77"/>
        <v>0</v>
      </c>
      <c r="AG405" s="408">
        <f t="shared" si="78"/>
        <v>1</v>
      </c>
      <c r="AH405" s="408">
        <f t="shared" si="79"/>
        <v>0</v>
      </c>
      <c r="AI405" s="408">
        <f t="shared" si="80"/>
        <v>0</v>
      </c>
      <c r="AJ405" s="408">
        <f t="shared" si="81"/>
        <v>1</v>
      </c>
    </row>
    <row r="406" spans="1:36" x14ac:dyDescent="0.25">
      <c r="A406" s="409">
        <f t="shared" si="84"/>
        <v>405</v>
      </c>
      <c r="B406" s="467" t="s">
        <v>6505</v>
      </c>
      <c r="C406" s="410" t="s">
        <v>6251</v>
      </c>
      <c r="D406" s="409">
        <v>7</v>
      </c>
      <c r="E406" s="408"/>
      <c r="F406" s="409" t="str">
        <f>""</f>
        <v/>
      </c>
      <c r="G406" s="409" t="s">
        <v>6835</v>
      </c>
      <c r="H406" s="409" t="s">
        <v>6257</v>
      </c>
      <c r="I406" s="409" t="str">
        <f t="shared" si="82"/>
        <v>Concentration</v>
      </c>
      <c r="J406" s="409" t="s">
        <v>6210</v>
      </c>
      <c r="K406" s="409" t="s">
        <v>2536</v>
      </c>
      <c r="L406" s="409" t="s">
        <v>3857</v>
      </c>
      <c r="M406" s="409" t="s">
        <v>1248</v>
      </c>
      <c r="N406" s="408" t="s">
        <v>6506</v>
      </c>
      <c r="O406" s="409" t="s">
        <v>6187</v>
      </c>
      <c r="P406" s="408" t="s">
        <v>6831</v>
      </c>
      <c r="W406" s="409" t="s">
        <v>621</v>
      </c>
      <c r="Z406" s="409" t="s">
        <v>628</v>
      </c>
      <c r="AA406" s="408">
        <f t="shared" si="83"/>
        <v>0</v>
      </c>
      <c r="AB406" s="408">
        <f t="shared" si="73"/>
        <v>0</v>
      </c>
      <c r="AC406" s="408">
        <f t="shared" si="74"/>
        <v>0</v>
      </c>
      <c r="AD406" s="408">
        <f t="shared" si="75"/>
        <v>0</v>
      </c>
      <c r="AE406" s="408">
        <f t="shared" si="76"/>
        <v>0</v>
      </c>
      <c r="AF406" s="408">
        <f t="shared" si="77"/>
        <v>0</v>
      </c>
      <c r="AG406" s="408">
        <f t="shared" si="78"/>
        <v>1</v>
      </c>
      <c r="AH406" s="408">
        <f t="shared" si="79"/>
        <v>0</v>
      </c>
      <c r="AI406" s="408">
        <f t="shared" si="80"/>
        <v>0</v>
      </c>
      <c r="AJ406" s="408">
        <f t="shared" si="81"/>
        <v>1</v>
      </c>
    </row>
  </sheetData>
  <autoFilter ref="A1:Z45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I15"/>
  <sheetViews>
    <sheetView workbookViewId="0">
      <selection activeCell="I1" sqref="I1"/>
    </sheetView>
  </sheetViews>
  <sheetFormatPr defaultRowHeight="15" x14ac:dyDescent="0.25"/>
  <sheetData>
    <row r="1" spans="1:9" ht="15.75" thickBot="1" x14ac:dyDescent="0.3">
      <c r="A1" s="586" t="s">
        <v>88</v>
      </c>
      <c r="B1" s="586" t="s">
        <v>89</v>
      </c>
      <c r="C1" s="586" t="s">
        <v>90</v>
      </c>
      <c r="D1" s="586" t="s">
        <v>91</v>
      </c>
      <c r="E1" s="586" t="s">
        <v>92</v>
      </c>
      <c r="F1" s="586" t="s">
        <v>93</v>
      </c>
      <c r="G1" s="586" t="s">
        <v>75</v>
      </c>
      <c r="H1" s="587" t="s">
        <v>94</v>
      </c>
      <c r="I1" s="588" t="s">
        <v>177</v>
      </c>
    </row>
    <row r="2" spans="1:9" x14ac:dyDescent="0.25">
      <c r="A2" s="6" t="s">
        <v>95</v>
      </c>
      <c r="B2" s="6" t="s">
        <v>95</v>
      </c>
      <c r="C2" s="6"/>
      <c r="D2" s="6"/>
      <c r="E2" s="6"/>
      <c r="F2" s="6"/>
      <c r="G2" s="6"/>
      <c r="H2" s="279"/>
      <c r="I2" s="287"/>
    </row>
    <row r="3" spans="1:9" x14ac:dyDescent="0.25">
      <c r="A3" s="6" t="s">
        <v>5006</v>
      </c>
      <c r="B3" s="6" t="s">
        <v>96</v>
      </c>
      <c r="C3" s="6">
        <v>5</v>
      </c>
      <c r="D3" s="6">
        <v>11</v>
      </c>
      <c r="E3" s="6"/>
      <c r="F3" s="6"/>
      <c r="G3" s="8" t="s">
        <v>97</v>
      </c>
      <c r="H3" s="279">
        <v>8</v>
      </c>
      <c r="I3" s="288" t="str">
        <f>B3&amp;": "&amp;A3&amp;", "&amp;"AC: "&amp;D3&amp;", "&amp;IF(E3="","","Max. Dexterity Bonus: "&amp;E3&amp;", ")&amp;IF(F3="","","Min. Strength: "&amp;F3&amp;", ")&amp;IF(G3="","","Stealh "&amp;G3&amp;", ")</f>
        <v xml:space="preserve">Padded Armor: Light Armor, AC: 11, Stealh Disadvantage, </v>
      </c>
    </row>
    <row r="4" spans="1:9" x14ac:dyDescent="0.25">
      <c r="A4" s="6" t="s">
        <v>5006</v>
      </c>
      <c r="B4" s="6" t="s">
        <v>98</v>
      </c>
      <c r="C4" s="6">
        <v>10</v>
      </c>
      <c r="D4" s="6">
        <v>11</v>
      </c>
      <c r="E4" s="6"/>
      <c r="F4" s="6"/>
      <c r="G4" s="6"/>
      <c r="H4" s="279">
        <v>10</v>
      </c>
      <c r="I4" s="288" t="str">
        <f t="shared" ref="I4:I15" si="0">B4&amp;": "&amp;A4&amp;", "&amp;"AC: "&amp;D4&amp;", "&amp;IF(E4="","","Max. Dexterity Bonus: "&amp;E4&amp;", ")&amp;IF(F4="","","Min. Strength: "&amp;F4&amp;", ")&amp;IF(G4="","","Stealh "&amp;G4&amp;", ")</f>
        <v xml:space="preserve">Leather Armor: Light Armor, AC: 11, </v>
      </c>
    </row>
    <row r="5" spans="1:9" x14ac:dyDescent="0.25">
      <c r="A5" s="6" t="s">
        <v>5006</v>
      </c>
      <c r="B5" s="6" t="s">
        <v>99</v>
      </c>
      <c r="C5" s="6">
        <v>45</v>
      </c>
      <c r="D5" s="6">
        <v>12</v>
      </c>
      <c r="E5" s="6"/>
      <c r="F5" s="6"/>
      <c r="G5" s="6"/>
      <c r="H5" s="279">
        <v>13</v>
      </c>
      <c r="I5" s="288" t="str">
        <f t="shared" si="0"/>
        <v xml:space="preserve">Studded Leather: Light Armor, AC: 12, </v>
      </c>
    </row>
    <row r="6" spans="1:9" x14ac:dyDescent="0.25">
      <c r="A6" s="6" t="s">
        <v>7047</v>
      </c>
      <c r="B6" s="6" t="s">
        <v>100</v>
      </c>
      <c r="C6" s="6">
        <v>10</v>
      </c>
      <c r="D6" s="6">
        <v>12</v>
      </c>
      <c r="E6" s="6">
        <v>2</v>
      </c>
      <c r="F6" s="6"/>
      <c r="G6" s="6"/>
      <c r="H6" s="279">
        <v>12</v>
      </c>
      <c r="I6" s="288" t="str">
        <f t="shared" si="0"/>
        <v xml:space="preserve">Hide: Medium Armor, AC: 12, Max. Dexterity Bonus: 2, </v>
      </c>
    </row>
    <row r="7" spans="1:9" x14ac:dyDescent="0.25">
      <c r="A7" s="6" t="s">
        <v>7047</v>
      </c>
      <c r="B7" s="6" t="s">
        <v>101</v>
      </c>
      <c r="C7" s="6">
        <v>50</v>
      </c>
      <c r="D7" s="6">
        <v>13</v>
      </c>
      <c r="E7" s="6">
        <v>2</v>
      </c>
      <c r="F7" s="6"/>
      <c r="G7" s="6"/>
      <c r="H7" s="279">
        <v>20</v>
      </c>
      <c r="I7" s="288" t="str">
        <f t="shared" si="0"/>
        <v xml:space="preserve">Chain Shirt: Medium Armor, AC: 13, Max. Dexterity Bonus: 2, </v>
      </c>
    </row>
    <row r="8" spans="1:9" x14ac:dyDescent="0.25">
      <c r="A8" s="6" t="s">
        <v>7047</v>
      </c>
      <c r="B8" s="6" t="s">
        <v>102</v>
      </c>
      <c r="C8" s="6">
        <v>50</v>
      </c>
      <c r="D8" s="6">
        <v>14</v>
      </c>
      <c r="E8" s="6">
        <v>2</v>
      </c>
      <c r="F8" s="6"/>
      <c r="G8" s="8" t="s">
        <v>97</v>
      </c>
      <c r="H8" s="279">
        <v>45</v>
      </c>
      <c r="I8" s="288" t="str">
        <f t="shared" si="0"/>
        <v xml:space="preserve">Scale Mail: Medium Armor, AC: 14, Max. Dexterity Bonus: 2, Stealh Disadvantage, </v>
      </c>
    </row>
    <row r="9" spans="1:9" x14ac:dyDescent="0.25">
      <c r="A9" s="6" t="s">
        <v>7047</v>
      </c>
      <c r="B9" s="6" t="s">
        <v>103</v>
      </c>
      <c r="C9" s="6">
        <v>400</v>
      </c>
      <c r="D9" s="6">
        <v>14</v>
      </c>
      <c r="E9" s="6">
        <v>2</v>
      </c>
      <c r="F9" s="6"/>
      <c r="G9" s="6"/>
      <c r="H9" s="279">
        <v>20</v>
      </c>
      <c r="I9" s="288" t="str">
        <f t="shared" si="0"/>
        <v xml:space="preserve">Breastplate: Medium Armor, AC: 14, Max. Dexterity Bonus: 2, </v>
      </c>
    </row>
    <row r="10" spans="1:9" x14ac:dyDescent="0.25">
      <c r="A10" s="6" t="s">
        <v>7047</v>
      </c>
      <c r="B10" s="6" t="s">
        <v>104</v>
      </c>
      <c r="C10" s="6">
        <v>750</v>
      </c>
      <c r="D10" s="6">
        <v>15</v>
      </c>
      <c r="E10" s="6">
        <v>2</v>
      </c>
      <c r="F10" s="6"/>
      <c r="G10" s="8" t="s">
        <v>97</v>
      </c>
      <c r="H10" s="279">
        <v>40</v>
      </c>
      <c r="I10" s="288" t="str">
        <f t="shared" si="0"/>
        <v xml:space="preserve">Half Plate: Medium Armor, AC: 15, Max. Dexterity Bonus: 2, Stealh Disadvantage, </v>
      </c>
    </row>
    <row r="11" spans="1:9" x14ac:dyDescent="0.25">
      <c r="A11" s="6" t="s">
        <v>7048</v>
      </c>
      <c r="B11" s="6" t="s">
        <v>105</v>
      </c>
      <c r="C11" s="6">
        <v>30</v>
      </c>
      <c r="D11" s="6">
        <v>14</v>
      </c>
      <c r="E11" s="6">
        <v>0</v>
      </c>
      <c r="F11" s="6"/>
      <c r="G11" s="8" t="s">
        <v>97</v>
      </c>
      <c r="H11" s="279">
        <v>40</v>
      </c>
      <c r="I11" s="288" t="str">
        <f t="shared" si="0"/>
        <v xml:space="preserve">Ring Mail: Heavy Armor, AC: 14, Max. Dexterity Bonus: 0, Stealh Disadvantage, </v>
      </c>
    </row>
    <row r="12" spans="1:9" x14ac:dyDescent="0.25">
      <c r="A12" s="6" t="s">
        <v>7048</v>
      </c>
      <c r="B12" s="6" t="s">
        <v>106</v>
      </c>
      <c r="C12" s="6">
        <v>75</v>
      </c>
      <c r="D12" s="6">
        <v>16</v>
      </c>
      <c r="E12" s="6">
        <v>0</v>
      </c>
      <c r="F12" s="6">
        <v>13</v>
      </c>
      <c r="G12" s="8" t="s">
        <v>97</v>
      </c>
      <c r="H12" s="279">
        <v>55</v>
      </c>
      <c r="I12" s="288" t="str">
        <f t="shared" si="0"/>
        <v xml:space="preserve">Chain Mail: Heavy Armor, AC: 16, Max. Dexterity Bonus: 0, Min. Strength: 13, Stealh Disadvantage, </v>
      </c>
    </row>
    <row r="13" spans="1:9" x14ac:dyDescent="0.25">
      <c r="A13" s="6" t="s">
        <v>7048</v>
      </c>
      <c r="B13" s="6" t="s">
        <v>107</v>
      </c>
      <c r="C13" s="6">
        <v>200</v>
      </c>
      <c r="D13" s="6">
        <v>17</v>
      </c>
      <c r="E13" s="6">
        <v>0</v>
      </c>
      <c r="F13" s="6">
        <v>15</v>
      </c>
      <c r="G13" s="8" t="s">
        <v>97</v>
      </c>
      <c r="H13" s="279">
        <v>60</v>
      </c>
      <c r="I13" s="288" t="str">
        <f t="shared" si="0"/>
        <v xml:space="preserve">Splint: Heavy Armor, AC: 17, Max. Dexterity Bonus: 0, Min. Strength: 15, Stealh Disadvantage, </v>
      </c>
    </row>
    <row r="14" spans="1:9" x14ac:dyDescent="0.25">
      <c r="A14" s="6" t="s">
        <v>7048</v>
      </c>
      <c r="B14" s="6" t="s">
        <v>108</v>
      </c>
      <c r="C14" s="6">
        <v>1500</v>
      </c>
      <c r="D14" s="6">
        <v>18</v>
      </c>
      <c r="E14" s="6">
        <v>0</v>
      </c>
      <c r="F14" s="6">
        <v>15</v>
      </c>
      <c r="G14" s="8" t="s">
        <v>97</v>
      </c>
      <c r="H14" s="279">
        <v>65</v>
      </c>
      <c r="I14" s="288" t="str">
        <f t="shared" si="0"/>
        <v xml:space="preserve">Plate: Heavy Armor, AC: 18, Max. Dexterity Bonus: 0, Min. Strength: 15, Stealh Disadvantage, </v>
      </c>
    </row>
    <row r="15" spans="1:9" ht="15.75" thickBot="1" x14ac:dyDescent="0.3">
      <c r="A15" s="6" t="s">
        <v>110</v>
      </c>
      <c r="B15" s="8" t="s">
        <v>110</v>
      </c>
      <c r="C15" s="6">
        <v>10</v>
      </c>
      <c r="D15" s="6">
        <v>2</v>
      </c>
      <c r="E15" s="6"/>
      <c r="F15" s="6"/>
      <c r="G15" s="6"/>
      <c r="H15" s="279">
        <v>6</v>
      </c>
      <c r="I15" s="289" t="str">
        <f t="shared" si="0"/>
        <v xml:space="preserve">Shield: Shield, AC: 2, </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dimension ref="A1:V39"/>
  <sheetViews>
    <sheetView workbookViewId="0">
      <pane ySplit="1" topLeftCell="A2" activePane="bottomLeft" state="frozen"/>
      <selection pane="bottomLeft" activeCell="I13" sqref="I13"/>
    </sheetView>
  </sheetViews>
  <sheetFormatPr defaultRowHeight="15" outlineLevelCol="1" x14ac:dyDescent="0.25"/>
  <cols>
    <col min="2" max="7" width="9.140625" customWidth="1" outlineLevel="1"/>
    <col min="8" max="8" width="40.28515625" bestFit="1" customWidth="1" outlineLevel="1"/>
    <col min="9" max="21" width="9.140625" customWidth="1" outlineLevel="1"/>
    <col min="22" max="22" width="29.42578125" customWidth="1" outlineLevel="1"/>
  </cols>
  <sheetData>
    <row r="1" spans="1:22" ht="15.75" thickBot="1" x14ac:dyDescent="0.3">
      <c r="A1" s="558" t="s">
        <v>111</v>
      </c>
      <c r="B1" s="558" t="s">
        <v>90</v>
      </c>
      <c r="C1" s="558" t="s">
        <v>94</v>
      </c>
      <c r="D1" s="558" t="s">
        <v>161</v>
      </c>
      <c r="E1" s="558" t="s">
        <v>169</v>
      </c>
      <c r="F1" s="558" t="s">
        <v>170</v>
      </c>
      <c r="G1" s="589" t="s">
        <v>112</v>
      </c>
      <c r="H1" s="591" t="s">
        <v>177</v>
      </c>
      <c r="I1" s="590" t="s">
        <v>162</v>
      </c>
      <c r="J1" s="558" t="s">
        <v>160</v>
      </c>
      <c r="K1" s="558" t="s">
        <v>166</v>
      </c>
      <c r="L1" s="558" t="s">
        <v>167</v>
      </c>
      <c r="M1" s="558" t="s">
        <v>139</v>
      </c>
      <c r="N1" s="558" t="s">
        <v>115</v>
      </c>
      <c r="O1" s="558" t="s">
        <v>154</v>
      </c>
      <c r="P1" s="558" t="s">
        <v>163</v>
      </c>
      <c r="Q1" s="558" t="s">
        <v>150</v>
      </c>
      <c r="R1" s="558" t="s">
        <v>122</v>
      </c>
      <c r="S1" s="558" t="s">
        <v>164</v>
      </c>
      <c r="T1" s="558" t="s">
        <v>165</v>
      </c>
      <c r="U1" s="558" t="s">
        <v>168</v>
      </c>
      <c r="V1" s="558" t="s">
        <v>168</v>
      </c>
    </row>
    <row r="2" spans="1:22" x14ac:dyDescent="0.25">
      <c r="A2" s="6" t="s">
        <v>35</v>
      </c>
      <c r="B2" s="6">
        <v>10</v>
      </c>
      <c r="C2" s="6">
        <v>4</v>
      </c>
      <c r="D2" s="6" t="s">
        <v>172</v>
      </c>
      <c r="E2" s="6" t="s">
        <v>126</v>
      </c>
      <c r="F2" s="6" t="s">
        <v>128</v>
      </c>
      <c r="G2" s="279" t="s">
        <v>114</v>
      </c>
      <c r="H2" s="290" t="str">
        <f t="shared" ref="H2:H19" si="0">A2&amp;":"&amp;"  "&amp;D2&amp;", "&amp;"Damage "&amp;E2&amp;", "&amp;G2&amp;", "&amp;IF(I2="yes","Reach, ","")&amp;IF(J2="yes","Ranged, ","")&amp;IF(K2="","",K2&amp;" ft./")&amp;IF(L2="","",L2&amp;" ft., ")&amp;IF(M2="Yes","Thrown, ","")&amp;IF(N2="yes","Versatile, ","")&amp;IF(O2="yes","Ammuntion, ","")&amp;IF(P2="yes","Loading, ","")&amp;IF(Q2="yes","Finesse, ","")&amp;IF(R2="yes","Light, ","")&amp;IF(S2="yes","Heavy ","")&amp;IF(T2="yes","Two-Handed, ","")&amp;IF(U2="Yes",V2,"")</f>
        <v xml:space="preserve">Battleaxe:  Martial , Damage 1d8, Slashing, Versatile, Heavy </v>
      </c>
      <c r="I2" s="198"/>
      <c r="J2" s="6"/>
      <c r="K2" s="6"/>
      <c r="L2" s="6"/>
      <c r="M2" s="6"/>
      <c r="N2" s="7" t="s">
        <v>171</v>
      </c>
      <c r="O2" s="6"/>
      <c r="P2" s="6"/>
      <c r="Q2" s="6"/>
      <c r="R2" s="6"/>
      <c r="S2" s="6" t="s">
        <v>171</v>
      </c>
      <c r="T2" s="6"/>
      <c r="U2" s="6"/>
      <c r="V2" s="6"/>
    </row>
    <row r="3" spans="1:22" x14ac:dyDescent="0.25">
      <c r="A3" s="6" t="s">
        <v>116</v>
      </c>
      <c r="B3" s="6">
        <v>10</v>
      </c>
      <c r="C3" s="6">
        <v>1</v>
      </c>
      <c r="D3" s="6" t="s">
        <v>172</v>
      </c>
      <c r="E3" s="6">
        <v>1</v>
      </c>
      <c r="F3" s="6"/>
      <c r="G3" s="279" t="s">
        <v>118</v>
      </c>
      <c r="H3" s="290" t="str">
        <f t="shared" si="0"/>
        <v xml:space="preserve">Blowgun:  Martial , Damage 1, Piercing, Ranged, 25 ft./100 ft., Ammuntion, Loading, </v>
      </c>
      <c r="I3" s="198"/>
      <c r="J3" s="7" t="s">
        <v>171</v>
      </c>
      <c r="K3" s="6">
        <v>25</v>
      </c>
      <c r="L3" s="6">
        <v>100</v>
      </c>
      <c r="M3" s="7"/>
      <c r="N3" s="6"/>
      <c r="O3" s="7" t="s">
        <v>171</v>
      </c>
      <c r="P3" s="7" t="s">
        <v>171</v>
      </c>
      <c r="Q3" s="6"/>
      <c r="R3" s="6"/>
      <c r="S3" s="6"/>
      <c r="T3" s="6"/>
      <c r="U3" s="6"/>
      <c r="V3" s="6"/>
    </row>
    <row r="4" spans="1:22" x14ac:dyDescent="0.25">
      <c r="A4" s="6" t="s">
        <v>119</v>
      </c>
      <c r="B4" s="6">
        <v>0.1</v>
      </c>
      <c r="C4" s="6">
        <v>2</v>
      </c>
      <c r="D4" s="6" t="s">
        <v>3539</v>
      </c>
      <c r="E4" s="6" t="s">
        <v>136</v>
      </c>
      <c r="F4" s="6"/>
      <c r="G4" s="279" t="s">
        <v>121</v>
      </c>
      <c r="H4" s="290" t="str">
        <f t="shared" si="0"/>
        <v xml:space="preserve">Club:  Simple, Damage 1d6, Bludgeoning, Light, </v>
      </c>
      <c r="I4" s="198"/>
      <c r="J4" s="6"/>
      <c r="K4" s="6"/>
      <c r="L4" s="6"/>
      <c r="M4" s="6"/>
      <c r="N4" s="6"/>
      <c r="O4" s="6"/>
      <c r="P4" s="6"/>
      <c r="Q4" s="6"/>
      <c r="R4" s="7" t="s">
        <v>171</v>
      </c>
      <c r="S4" s="6"/>
      <c r="T4" s="6"/>
      <c r="U4" s="6"/>
      <c r="V4" s="6"/>
    </row>
    <row r="5" spans="1:22" x14ac:dyDescent="0.25">
      <c r="A5" s="6" t="s">
        <v>123</v>
      </c>
      <c r="B5" s="6">
        <v>2</v>
      </c>
      <c r="C5" s="6">
        <v>1</v>
      </c>
      <c r="D5" s="6" t="s">
        <v>3539</v>
      </c>
      <c r="E5" s="6" t="s">
        <v>120</v>
      </c>
      <c r="F5" s="6"/>
      <c r="G5" s="279" t="s">
        <v>118</v>
      </c>
      <c r="H5" s="290" t="str">
        <f t="shared" si="0"/>
        <v xml:space="preserve">Dagger:  Simple, Damage 1d4, Piercing, 20 ft./60 ft., Thrown, Finesse, Light, </v>
      </c>
      <c r="I5" s="198"/>
      <c r="J5" s="6"/>
      <c r="K5" s="6">
        <v>20</v>
      </c>
      <c r="L5" s="6">
        <v>60</v>
      </c>
      <c r="M5" s="7" t="s">
        <v>171</v>
      </c>
      <c r="N5" s="6"/>
      <c r="O5" s="6"/>
      <c r="P5" s="6"/>
      <c r="Q5" s="7" t="s">
        <v>171</v>
      </c>
      <c r="R5" s="7" t="s">
        <v>171</v>
      </c>
      <c r="S5" s="6"/>
      <c r="T5" s="6"/>
      <c r="U5" s="6"/>
      <c r="V5" s="6"/>
    </row>
    <row r="6" spans="1:22" x14ac:dyDescent="0.25">
      <c r="A6" s="6" t="s">
        <v>124</v>
      </c>
      <c r="B6" s="6">
        <v>25</v>
      </c>
      <c r="C6" s="6">
        <v>0.25</v>
      </c>
      <c r="D6" s="6" t="s">
        <v>3539</v>
      </c>
      <c r="E6" s="6" t="s">
        <v>120</v>
      </c>
      <c r="F6" s="6"/>
      <c r="G6" s="279" t="s">
        <v>118</v>
      </c>
      <c r="H6" s="290" t="str">
        <f t="shared" si="0"/>
        <v xml:space="preserve">Dart:  Simple, Damage 1d4, Piercing, 20 ft./60 ft., Thrown, Finesse, Light, </v>
      </c>
      <c r="I6" s="198"/>
      <c r="J6" s="6"/>
      <c r="K6" s="6">
        <v>20</v>
      </c>
      <c r="L6" s="6">
        <v>60</v>
      </c>
      <c r="M6" s="7" t="s">
        <v>171</v>
      </c>
      <c r="N6" s="6"/>
      <c r="O6" s="6"/>
      <c r="P6" s="6"/>
      <c r="Q6" s="7" t="s">
        <v>171</v>
      </c>
      <c r="R6" s="7" t="s">
        <v>171</v>
      </c>
      <c r="S6" s="6"/>
      <c r="T6" s="6"/>
      <c r="U6" s="6"/>
      <c r="V6" s="6"/>
    </row>
    <row r="7" spans="1:22" x14ac:dyDescent="0.25">
      <c r="A7" s="6" t="s">
        <v>125</v>
      </c>
      <c r="B7" s="6">
        <v>10</v>
      </c>
      <c r="C7" s="6">
        <v>2</v>
      </c>
      <c r="D7" s="6" t="s">
        <v>173</v>
      </c>
      <c r="E7" s="6" t="s">
        <v>126</v>
      </c>
      <c r="F7" s="6"/>
      <c r="G7" s="279" t="s">
        <v>121</v>
      </c>
      <c r="H7" s="290" t="str">
        <f t="shared" si="0"/>
        <v xml:space="preserve">Flail:  Martial, Damage 1d8, Bludgeoning, </v>
      </c>
      <c r="I7" s="198"/>
      <c r="J7" s="6"/>
      <c r="K7" s="6"/>
      <c r="L7" s="6"/>
      <c r="M7" s="6"/>
      <c r="N7" s="6"/>
      <c r="O7" s="6"/>
      <c r="P7" s="6"/>
      <c r="Q7" s="6"/>
      <c r="R7" s="6"/>
      <c r="S7" s="6"/>
      <c r="T7" s="6"/>
      <c r="U7" s="6"/>
      <c r="V7" s="6"/>
    </row>
    <row r="8" spans="1:22" x14ac:dyDescent="0.25">
      <c r="A8" s="6" t="s">
        <v>127</v>
      </c>
      <c r="B8" s="6">
        <v>20</v>
      </c>
      <c r="C8" s="6">
        <v>6</v>
      </c>
      <c r="D8" s="6" t="s">
        <v>173</v>
      </c>
      <c r="E8" s="6" t="s">
        <v>128</v>
      </c>
      <c r="F8" s="6"/>
      <c r="G8" s="279" t="s">
        <v>114</v>
      </c>
      <c r="H8" s="290" t="str">
        <f t="shared" si="0"/>
        <v xml:space="preserve">Glaive:  Martial, Damage 1d10, Slashing, Reach, Heavy Two-Handed, </v>
      </c>
      <c r="I8" s="286" t="s">
        <v>171</v>
      </c>
      <c r="J8" s="6"/>
      <c r="K8" s="6"/>
      <c r="L8" s="6"/>
      <c r="M8" s="6"/>
      <c r="N8" s="6"/>
      <c r="O8" s="6"/>
      <c r="P8" s="6"/>
      <c r="Q8" s="6"/>
      <c r="R8" s="6"/>
      <c r="S8" s="7" t="s">
        <v>171</v>
      </c>
      <c r="T8" s="7" t="s">
        <v>171</v>
      </c>
      <c r="U8" s="7"/>
      <c r="V8" s="6"/>
    </row>
    <row r="9" spans="1:22" x14ac:dyDescent="0.25">
      <c r="A9" s="6" t="s">
        <v>129</v>
      </c>
      <c r="B9" s="6">
        <v>0.2</v>
      </c>
      <c r="C9" s="6">
        <v>10</v>
      </c>
      <c r="D9" s="6" t="s">
        <v>3539</v>
      </c>
      <c r="E9" s="6" t="s">
        <v>126</v>
      </c>
      <c r="F9" s="6"/>
      <c r="G9" s="279" t="s">
        <v>121</v>
      </c>
      <c r="H9" s="290" t="str">
        <f t="shared" si="0"/>
        <v xml:space="preserve">Great Club:  Simple, Damage 1d8, Bludgeoning, Two-Handed, </v>
      </c>
      <c r="I9" s="198"/>
      <c r="J9" s="6"/>
      <c r="K9" s="6"/>
      <c r="L9" s="6"/>
      <c r="M9" s="6"/>
      <c r="N9" s="6"/>
      <c r="O9" s="6"/>
      <c r="P9" s="6"/>
      <c r="Q9" s="6"/>
      <c r="R9" s="6"/>
      <c r="S9" s="6"/>
      <c r="T9" s="7" t="s">
        <v>171</v>
      </c>
      <c r="U9" s="7"/>
      <c r="V9" s="6"/>
    </row>
    <row r="10" spans="1:22" x14ac:dyDescent="0.25">
      <c r="A10" s="6" t="s">
        <v>130</v>
      </c>
      <c r="B10" s="6">
        <v>30</v>
      </c>
      <c r="C10" s="6">
        <v>7</v>
      </c>
      <c r="D10" s="6" t="s">
        <v>173</v>
      </c>
      <c r="E10" s="6" t="s">
        <v>131</v>
      </c>
      <c r="F10" s="6"/>
      <c r="G10" s="279" t="s">
        <v>114</v>
      </c>
      <c r="H10" s="290" t="str">
        <f t="shared" si="0"/>
        <v xml:space="preserve">Greataxe:  Martial, Damage 1d12, Slashing, Heavy Two-Handed, </v>
      </c>
      <c r="I10" s="198"/>
      <c r="J10" s="6"/>
      <c r="K10" s="6"/>
      <c r="L10" s="6"/>
      <c r="M10" s="6"/>
      <c r="N10" s="6"/>
      <c r="O10" s="6"/>
      <c r="P10" s="6"/>
      <c r="Q10" s="6"/>
      <c r="R10" s="6"/>
      <c r="S10" s="7" t="s">
        <v>171</v>
      </c>
      <c r="T10" s="7" t="s">
        <v>171</v>
      </c>
      <c r="U10" s="7"/>
      <c r="V10" s="6"/>
    </row>
    <row r="11" spans="1:22" x14ac:dyDescent="0.25">
      <c r="A11" s="6" t="s">
        <v>132</v>
      </c>
      <c r="B11" s="6">
        <v>50</v>
      </c>
      <c r="C11" s="6">
        <v>6</v>
      </c>
      <c r="D11" s="6" t="s">
        <v>173</v>
      </c>
      <c r="E11" s="6" t="s">
        <v>133</v>
      </c>
      <c r="F11" s="6"/>
      <c r="G11" s="279" t="s">
        <v>114</v>
      </c>
      <c r="H11" s="290" t="str">
        <f t="shared" si="0"/>
        <v xml:space="preserve">Greatsword:  Martial, Damage 2d6, Slashing, Heavy Two-Handed, </v>
      </c>
      <c r="I11" s="198"/>
      <c r="J11" s="6"/>
      <c r="K11" s="6"/>
      <c r="L11" s="6"/>
      <c r="M11" s="6"/>
      <c r="N11" s="6"/>
      <c r="O11" s="6"/>
      <c r="P11" s="6"/>
      <c r="Q11" s="6"/>
      <c r="R11" s="6"/>
      <c r="S11" s="7" t="s">
        <v>171</v>
      </c>
      <c r="T11" s="7" t="s">
        <v>171</v>
      </c>
      <c r="U11" s="7"/>
      <c r="V11" s="6"/>
    </row>
    <row r="12" spans="1:22" x14ac:dyDescent="0.25">
      <c r="A12" s="6" t="s">
        <v>134</v>
      </c>
      <c r="B12" s="6">
        <v>20</v>
      </c>
      <c r="C12" s="6">
        <v>6</v>
      </c>
      <c r="D12" s="6" t="s">
        <v>173</v>
      </c>
      <c r="E12" s="6" t="s">
        <v>128</v>
      </c>
      <c r="F12" s="6"/>
      <c r="G12" s="279" t="s">
        <v>114</v>
      </c>
      <c r="H12" s="290" t="str">
        <f t="shared" si="0"/>
        <v xml:space="preserve">Halberd:  Martial, Damage 1d10, Slashing, Reach, Heavy Two-Handed, </v>
      </c>
      <c r="I12" s="286" t="s">
        <v>171</v>
      </c>
      <c r="J12" s="6"/>
      <c r="K12" s="6"/>
      <c r="L12" s="6"/>
      <c r="M12" s="6"/>
      <c r="N12" s="6"/>
      <c r="O12" s="6"/>
      <c r="P12" s="6"/>
      <c r="Q12" s="6"/>
      <c r="R12" s="6"/>
      <c r="S12" s="7" t="s">
        <v>171</v>
      </c>
      <c r="T12" s="7" t="s">
        <v>171</v>
      </c>
      <c r="U12" s="7"/>
      <c r="V12" s="6"/>
    </row>
    <row r="13" spans="1:22" x14ac:dyDescent="0.25">
      <c r="A13" s="6" t="s">
        <v>135</v>
      </c>
      <c r="B13" s="6">
        <v>75</v>
      </c>
      <c r="C13" s="6">
        <v>3</v>
      </c>
      <c r="D13" s="6" t="s">
        <v>173</v>
      </c>
      <c r="E13" s="6" t="s">
        <v>136</v>
      </c>
      <c r="F13" s="6"/>
      <c r="G13" s="279" t="s">
        <v>118</v>
      </c>
      <c r="H13" s="290" t="str">
        <f t="shared" si="0"/>
        <v xml:space="preserve">Hand Crossbow:  Martial, Damage 1d6, Piercing, Ranged, 30 ft./120 ft., Ammuntion, Loading, Light, </v>
      </c>
      <c r="I13" s="198"/>
      <c r="J13" s="7" t="s">
        <v>171</v>
      </c>
      <c r="K13" s="6">
        <v>30</v>
      </c>
      <c r="L13" s="6">
        <v>120</v>
      </c>
      <c r="M13" s="7"/>
      <c r="N13" s="6"/>
      <c r="O13" s="7" t="s">
        <v>171</v>
      </c>
      <c r="P13" s="7" t="s">
        <v>171</v>
      </c>
      <c r="Q13" s="6"/>
      <c r="R13" s="7" t="s">
        <v>171</v>
      </c>
      <c r="S13" s="6"/>
      <c r="T13" s="6"/>
      <c r="U13" s="6"/>
      <c r="V13" s="6"/>
    </row>
    <row r="14" spans="1:22" x14ac:dyDescent="0.25">
      <c r="A14" s="6" t="s">
        <v>36</v>
      </c>
      <c r="B14" s="6">
        <v>5</v>
      </c>
      <c r="C14" s="6">
        <v>2</v>
      </c>
      <c r="D14" s="6" t="s">
        <v>3539</v>
      </c>
      <c r="E14" s="6" t="s">
        <v>136</v>
      </c>
      <c r="F14" s="6"/>
      <c r="G14" s="279" t="s">
        <v>114</v>
      </c>
      <c r="H14" s="290" t="str">
        <f t="shared" si="0"/>
        <v xml:space="preserve">Handaxe:  Simple, Damage 1d6, Slashing, 20 ft./60 ft., Thrown, Light, </v>
      </c>
      <c r="I14" s="198"/>
      <c r="J14" s="6"/>
      <c r="K14" s="6">
        <v>20</v>
      </c>
      <c r="L14" s="6">
        <v>60</v>
      </c>
      <c r="M14" s="7" t="s">
        <v>171</v>
      </c>
      <c r="N14" s="6"/>
      <c r="O14" s="6"/>
      <c r="P14" s="6"/>
      <c r="Q14" s="6"/>
      <c r="R14" s="7" t="s">
        <v>171</v>
      </c>
      <c r="S14" s="6"/>
      <c r="T14" s="6"/>
      <c r="U14" s="6"/>
      <c r="V14" s="6"/>
    </row>
    <row r="15" spans="1:22" x14ac:dyDescent="0.25">
      <c r="A15" s="6" t="s">
        <v>137</v>
      </c>
      <c r="B15" s="6">
        <v>50</v>
      </c>
      <c r="C15" s="6">
        <v>18</v>
      </c>
      <c r="D15" s="6" t="s">
        <v>173</v>
      </c>
      <c r="E15" s="6" t="s">
        <v>128</v>
      </c>
      <c r="F15" s="6"/>
      <c r="G15" s="279" t="s">
        <v>118</v>
      </c>
      <c r="H15" s="290" t="str">
        <f t="shared" si="0"/>
        <v xml:space="preserve">Heavy Crossbow:  Martial, Damage 1d10, Piercing, Ranged, 100 ft./400 ft., Ammuntion, Loading, Heavy Two-Handed, </v>
      </c>
      <c r="I15" s="198"/>
      <c r="J15" s="7" t="s">
        <v>171</v>
      </c>
      <c r="K15" s="6">
        <v>100</v>
      </c>
      <c r="L15" s="6">
        <v>400</v>
      </c>
      <c r="M15" s="7"/>
      <c r="N15" s="6"/>
      <c r="O15" s="7" t="s">
        <v>171</v>
      </c>
      <c r="P15" s="7" t="s">
        <v>171</v>
      </c>
      <c r="Q15" s="6"/>
      <c r="R15" s="6"/>
      <c r="S15" s="7" t="s">
        <v>171</v>
      </c>
      <c r="T15" s="7" t="s">
        <v>171</v>
      </c>
      <c r="U15" s="7"/>
      <c r="V15" s="6"/>
    </row>
    <row r="16" spans="1:22" x14ac:dyDescent="0.25">
      <c r="A16" s="6" t="s">
        <v>138</v>
      </c>
      <c r="B16" s="6">
        <v>0.5</v>
      </c>
      <c r="C16" s="6">
        <v>2</v>
      </c>
      <c r="D16" s="6" t="s">
        <v>3539</v>
      </c>
      <c r="E16" s="6" t="s">
        <v>126</v>
      </c>
      <c r="F16" s="6"/>
      <c r="G16" s="279" t="s">
        <v>118</v>
      </c>
      <c r="H16" s="290" t="str">
        <f t="shared" si="0"/>
        <v xml:space="preserve">Javelin:  Simple, Damage 1d8, Piercing, 30 ft./120 ft., Thrown, </v>
      </c>
      <c r="I16" s="198"/>
      <c r="J16" s="6"/>
      <c r="K16" s="6">
        <v>30</v>
      </c>
      <c r="L16" s="6">
        <v>120</v>
      </c>
      <c r="M16" s="7" t="s">
        <v>171</v>
      </c>
      <c r="N16" s="6"/>
      <c r="O16" s="6"/>
      <c r="P16" s="6"/>
      <c r="Q16" s="6"/>
      <c r="R16" s="6"/>
      <c r="S16" s="6"/>
      <c r="T16" s="6"/>
      <c r="U16" s="6"/>
      <c r="V16" s="6"/>
    </row>
    <row r="17" spans="1:22" x14ac:dyDescent="0.25">
      <c r="A17" s="6" t="s">
        <v>140</v>
      </c>
      <c r="B17" s="6">
        <v>10</v>
      </c>
      <c r="C17" s="6">
        <v>6</v>
      </c>
      <c r="D17" s="6" t="s">
        <v>173</v>
      </c>
      <c r="E17" s="6" t="s">
        <v>131</v>
      </c>
      <c r="F17" s="6"/>
      <c r="G17" s="279" t="s">
        <v>118</v>
      </c>
      <c r="H17" s="290" t="str">
        <f t="shared" si="0"/>
        <v>Lance:  Martial, Damage 1d12, Piercing, Reach, You have disadvantage when you use a lance to attack a target within 5 feet of you. Also, a lance requires two hands to wield when you aren’t mounted.</v>
      </c>
      <c r="I17" s="286" t="s">
        <v>171</v>
      </c>
      <c r="J17" s="6"/>
      <c r="K17" s="6"/>
      <c r="L17" s="6"/>
      <c r="M17" s="6"/>
      <c r="N17" s="6"/>
      <c r="O17" s="6"/>
      <c r="P17" s="6"/>
      <c r="Q17" s="6"/>
      <c r="R17" s="6"/>
      <c r="S17" s="6"/>
      <c r="T17" s="6"/>
      <c r="U17" s="6" t="s">
        <v>171</v>
      </c>
      <c r="V17" s="6" t="s">
        <v>2294</v>
      </c>
    </row>
    <row r="18" spans="1:22" x14ac:dyDescent="0.25">
      <c r="A18" s="6" t="s">
        <v>141</v>
      </c>
      <c r="B18" s="6">
        <v>0.05</v>
      </c>
      <c r="C18" s="6">
        <v>5</v>
      </c>
      <c r="D18" s="6" t="s">
        <v>3539</v>
      </c>
      <c r="E18" s="6" t="s">
        <v>126</v>
      </c>
      <c r="F18" s="6"/>
      <c r="G18" s="279" t="s">
        <v>118</v>
      </c>
      <c r="H18" s="290" t="str">
        <f t="shared" si="0"/>
        <v xml:space="preserve">Light Crossbow:  Simple, Damage 1d8, Piercing, Ranged, 80 ft./320 ft., Ammuntion, Loading, Two-Handed, </v>
      </c>
      <c r="I18" s="198"/>
      <c r="J18" s="7" t="s">
        <v>171</v>
      </c>
      <c r="K18" s="6">
        <v>80</v>
      </c>
      <c r="L18" s="6">
        <v>320</v>
      </c>
      <c r="M18" s="7"/>
      <c r="N18" s="6"/>
      <c r="O18" s="7" t="s">
        <v>171</v>
      </c>
      <c r="P18" s="7" t="s">
        <v>171</v>
      </c>
      <c r="Q18" s="6"/>
      <c r="R18" s="6"/>
      <c r="S18" s="6"/>
      <c r="T18" s="7" t="s">
        <v>171</v>
      </c>
      <c r="U18" s="6"/>
      <c r="V18" s="6"/>
    </row>
    <row r="19" spans="1:22" x14ac:dyDescent="0.25">
      <c r="A19" s="6" t="s">
        <v>142</v>
      </c>
      <c r="B19" s="6">
        <v>2</v>
      </c>
      <c r="C19" s="6">
        <v>2</v>
      </c>
      <c r="D19" s="6" t="s">
        <v>3539</v>
      </c>
      <c r="E19" s="6" t="s">
        <v>120</v>
      </c>
      <c r="F19" s="6"/>
      <c r="G19" s="279" t="s">
        <v>121</v>
      </c>
      <c r="H19" s="290" t="str">
        <f t="shared" si="0"/>
        <v xml:space="preserve">Light Hammer:  Simple, Damage 1d4, Bludgeoning, 20 ft./60 ft., Thrown, Light, </v>
      </c>
      <c r="I19" s="198"/>
      <c r="J19" s="6"/>
      <c r="K19" s="6">
        <v>20</v>
      </c>
      <c r="L19" s="6">
        <v>60</v>
      </c>
      <c r="M19" s="7" t="s">
        <v>171</v>
      </c>
      <c r="N19" s="6"/>
      <c r="O19" s="6"/>
      <c r="P19" s="6"/>
      <c r="Q19" s="6"/>
      <c r="R19" s="7" t="s">
        <v>171</v>
      </c>
      <c r="S19" s="6"/>
      <c r="T19" s="6"/>
      <c r="U19" s="6"/>
      <c r="V19" s="6"/>
    </row>
    <row r="20" spans="1:22" x14ac:dyDescent="0.25">
      <c r="A20" s="6" t="s">
        <v>53</v>
      </c>
      <c r="B20" s="6">
        <v>50</v>
      </c>
      <c r="C20" s="6">
        <v>2</v>
      </c>
      <c r="D20" s="6" t="s">
        <v>173</v>
      </c>
      <c r="E20" s="6" t="s">
        <v>126</v>
      </c>
      <c r="F20" s="6"/>
      <c r="G20" s="279" t="s">
        <v>118</v>
      </c>
      <c r="H20" s="290" t="str">
        <f t="shared" ref="H20:H39" si="1">A20&amp;":"&amp;"  "&amp;D20&amp;", "&amp;"Damage "&amp;E20&amp;", "&amp;G20&amp;", "&amp;IF(I20="yes","Reach, ","")&amp;IF(J20="yes","Ranged, ","")&amp;IF(K20="","",K20&amp;" ft./")&amp;IF(L20="","",L20&amp;" ft., ")&amp;IF(M20="Yes","Thrown, ","")&amp;IF(N20="yes","Versatile, ","")&amp;IF(O20="yes","Ammuntion, ","")&amp;IF(P20="yes","Loading, ","")&amp;IF(Q20="yes","Finesse, ","")&amp;IF(R20="yes","Light, ","")&amp;IF(S20="yes","Heavy ","")&amp;IF(T20="yes","Two-Handed, ","")&amp;IF(U20="Yes",V20,"")</f>
        <v xml:space="preserve">Longbow:  Martial, Damage 1d8, Piercing, Ranged, 150 ft./600 ft., Ammuntion, Heavy Two-Handed, </v>
      </c>
      <c r="I20" s="198"/>
      <c r="J20" s="7" t="s">
        <v>171</v>
      </c>
      <c r="K20" s="6">
        <v>150</v>
      </c>
      <c r="L20" s="6">
        <v>600</v>
      </c>
      <c r="M20" s="7"/>
      <c r="O20" s="7" t="s">
        <v>171</v>
      </c>
      <c r="P20" s="6"/>
      <c r="Q20" s="6"/>
      <c r="R20" s="6"/>
      <c r="S20" s="7" t="s">
        <v>171</v>
      </c>
      <c r="T20" s="7" t="s">
        <v>171</v>
      </c>
      <c r="U20" s="6"/>
      <c r="V20" s="6"/>
    </row>
    <row r="21" spans="1:22" x14ac:dyDescent="0.25">
      <c r="A21" s="6" t="s">
        <v>50</v>
      </c>
      <c r="B21" s="6">
        <v>15</v>
      </c>
      <c r="C21" s="6">
        <v>3</v>
      </c>
      <c r="D21" s="6" t="s">
        <v>173</v>
      </c>
      <c r="E21" s="6" t="s">
        <v>126</v>
      </c>
      <c r="F21" s="6" t="s">
        <v>128</v>
      </c>
      <c r="G21" s="279" t="s">
        <v>114</v>
      </c>
      <c r="H21" s="290" t="str">
        <f t="shared" si="1"/>
        <v xml:space="preserve">Longsword:  Martial, Damage 1d8, Slashing, Versatile, </v>
      </c>
      <c r="I21" s="198"/>
      <c r="J21" s="6"/>
      <c r="K21" s="6"/>
      <c r="L21" s="6"/>
      <c r="M21" s="6"/>
      <c r="N21" s="7" t="s">
        <v>171</v>
      </c>
      <c r="O21" s="6"/>
      <c r="P21" s="6"/>
      <c r="Q21" s="6"/>
      <c r="R21" s="6"/>
      <c r="S21" s="6"/>
      <c r="T21" s="6"/>
      <c r="U21" s="6"/>
      <c r="V21" s="6"/>
    </row>
    <row r="22" spans="1:22" x14ac:dyDescent="0.25">
      <c r="A22" s="6" t="s">
        <v>143</v>
      </c>
      <c r="B22" s="6">
        <v>5</v>
      </c>
      <c r="C22" s="6">
        <v>4</v>
      </c>
      <c r="D22" s="6" t="s">
        <v>3539</v>
      </c>
      <c r="E22" s="6" t="s">
        <v>136</v>
      </c>
      <c r="F22" s="6"/>
      <c r="G22" s="279" t="s">
        <v>121</v>
      </c>
      <c r="H22" s="290" t="str">
        <f t="shared" si="1"/>
        <v xml:space="preserve">Mace:  Simple, Damage 1d6, Bludgeoning, </v>
      </c>
      <c r="I22" s="198"/>
      <c r="J22" s="6"/>
      <c r="K22" s="6"/>
      <c r="L22" s="6"/>
      <c r="M22" s="6"/>
      <c r="N22" s="6"/>
      <c r="O22" s="6"/>
      <c r="P22" s="6"/>
      <c r="Q22" s="6"/>
      <c r="R22" s="6"/>
      <c r="S22" s="6"/>
      <c r="T22" s="6"/>
      <c r="U22" s="6"/>
      <c r="V22" s="6"/>
    </row>
    <row r="23" spans="1:22" x14ac:dyDescent="0.25">
      <c r="A23" s="6" t="s">
        <v>144</v>
      </c>
      <c r="B23" s="6">
        <v>10</v>
      </c>
      <c r="C23" s="6">
        <v>10</v>
      </c>
      <c r="D23" s="6" t="s">
        <v>173</v>
      </c>
      <c r="E23" s="6" t="s">
        <v>133</v>
      </c>
      <c r="F23" s="6"/>
      <c r="G23" s="279" t="s">
        <v>121</v>
      </c>
      <c r="H23" s="290" t="str">
        <f t="shared" si="1"/>
        <v xml:space="preserve">Maul:  Martial, Damage 2d6, Bludgeoning, Heavy Two-Handed, </v>
      </c>
      <c r="I23" s="198"/>
      <c r="J23" s="6"/>
      <c r="K23" s="6"/>
      <c r="L23" s="6"/>
      <c r="M23" s="6"/>
      <c r="N23" s="6"/>
      <c r="O23" s="6"/>
      <c r="P23" s="6"/>
      <c r="Q23" s="6"/>
      <c r="R23" s="6"/>
      <c r="S23" s="7" t="s">
        <v>171</v>
      </c>
      <c r="T23" s="7" t="s">
        <v>171</v>
      </c>
      <c r="U23" s="6"/>
      <c r="V23" s="6"/>
    </row>
    <row r="24" spans="1:22" x14ac:dyDescent="0.25">
      <c r="A24" s="6" t="s">
        <v>145</v>
      </c>
      <c r="B24" s="6">
        <v>5</v>
      </c>
      <c r="C24" s="6">
        <v>4</v>
      </c>
      <c r="D24" s="6" t="s">
        <v>173</v>
      </c>
      <c r="E24" s="6" t="s">
        <v>126</v>
      </c>
      <c r="F24" s="6"/>
      <c r="G24" s="279" t="s">
        <v>118</v>
      </c>
      <c r="H24" s="290" t="str">
        <f t="shared" si="1"/>
        <v xml:space="preserve">Morningstar:  Martial, Damage 1d8, Piercing, </v>
      </c>
      <c r="I24" s="198"/>
      <c r="J24" s="6"/>
      <c r="K24" s="6"/>
      <c r="L24" s="6"/>
      <c r="M24" s="6"/>
      <c r="N24" s="6"/>
      <c r="O24" s="6"/>
      <c r="P24" s="6"/>
      <c r="Q24" s="6"/>
      <c r="R24" s="6"/>
      <c r="S24" s="6"/>
      <c r="T24" s="6"/>
      <c r="U24" s="6"/>
      <c r="V24" s="6"/>
    </row>
    <row r="25" spans="1:22" x14ac:dyDescent="0.25">
      <c r="A25" s="6" t="s">
        <v>146</v>
      </c>
      <c r="B25" s="6">
        <v>1</v>
      </c>
      <c r="C25" s="6">
        <v>3</v>
      </c>
      <c r="D25" s="6" t="s">
        <v>173</v>
      </c>
      <c r="E25" s="6"/>
      <c r="F25" s="6"/>
      <c r="G25" s="279"/>
      <c r="H25" s="290" t="str">
        <f t="shared" si="1"/>
        <v xml:space="preserve">Net:  Martial, Damage , , 5 ft./15 ft., Thrown, Large or smaller creature hit by a net is restrained until it is freed. A net has no effect on creatures that are formless, or creatures that are Huge or larger. A creature can use its action to make a DC 10 Strength check, freeing itself or another creature within its reach on a success. Dealing 5 slashing damage to the net (AC 10) also frees the creature without harming it, ending the effect and destroying the net. </v>
      </c>
      <c r="I25" s="198"/>
      <c r="J25" s="6"/>
      <c r="K25" s="6">
        <v>5</v>
      </c>
      <c r="L25" s="6">
        <v>15</v>
      </c>
      <c r="M25" s="7" t="s">
        <v>171</v>
      </c>
      <c r="N25" s="6"/>
      <c r="O25" s="6"/>
      <c r="P25" s="6"/>
      <c r="Q25" s="6"/>
      <c r="R25" s="6"/>
      <c r="S25" s="6"/>
      <c r="T25" s="6"/>
      <c r="U25" s="6" t="s">
        <v>171</v>
      </c>
      <c r="V25" s="6" t="s">
        <v>2295</v>
      </c>
    </row>
    <row r="26" spans="1:22" x14ac:dyDescent="0.25">
      <c r="A26" s="6" t="s">
        <v>147</v>
      </c>
      <c r="B26" s="6">
        <v>5</v>
      </c>
      <c r="C26" s="6">
        <v>18</v>
      </c>
      <c r="D26" s="6" t="s">
        <v>173</v>
      </c>
      <c r="E26" s="6" t="s">
        <v>128</v>
      </c>
      <c r="F26" s="6"/>
      <c r="G26" s="279" t="s">
        <v>118</v>
      </c>
      <c r="H26" s="290" t="str">
        <f t="shared" si="1"/>
        <v xml:space="preserve">Pike:  Martial, Damage 1d10, Piercing, Reach, Heavy Two-Handed, </v>
      </c>
      <c r="I26" s="286" t="s">
        <v>171</v>
      </c>
      <c r="J26" s="6"/>
      <c r="K26" s="6"/>
      <c r="L26" s="6"/>
      <c r="M26" s="6"/>
      <c r="N26" s="6"/>
      <c r="O26" s="6"/>
      <c r="P26" s="6"/>
      <c r="Q26" s="6"/>
      <c r="R26" s="6"/>
      <c r="S26" s="7" t="s">
        <v>171</v>
      </c>
      <c r="T26" s="7" t="s">
        <v>171</v>
      </c>
      <c r="U26" s="6"/>
      <c r="V26" s="6" t="s">
        <v>2296</v>
      </c>
    </row>
    <row r="27" spans="1:22" x14ac:dyDescent="0.25">
      <c r="A27" s="6" t="s">
        <v>148</v>
      </c>
      <c r="B27" s="6">
        <v>0.2</v>
      </c>
      <c r="C27" s="6">
        <v>4</v>
      </c>
      <c r="D27" s="6" t="s">
        <v>3539</v>
      </c>
      <c r="E27" s="6" t="s">
        <v>136</v>
      </c>
      <c r="F27" s="6" t="s">
        <v>126</v>
      </c>
      <c r="G27" s="279" t="s">
        <v>121</v>
      </c>
      <c r="H27" s="290" t="str">
        <f t="shared" si="1"/>
        <v xml:space="preserve">Quarterstaff:  Simple, Damage 1d6, Bludgeoning, Versatile, </v>
      </c>
      <c r="I27" s="198"/>
      <c r="J27" s="6"/>
      <c r="K27" s="6"/>
      <c r="L27" s="6"/>
      <c r="M27" s="6"/>
      <c r="N27" s="7" t="s">
        <v>171</v>
      </c>
      <c r="O27" s="6"/>
      <c r="P27" s="6"/>
      <c r="Q27" s="6"/>
      <c r="R27" s="6"/>
      <c r="S27" s="6"/>
      <c r="T27" s="6"/>
      <c r="U27" s="6"/>
      <c r="V27" s="6"/>
    </row>
    <row r="28" spans="1:22" x14ac:dyDescent="0.25">
      <c r="A28" s="6" t="s">
        <v>149</v>
      </c>
      <c r="B28" s="6">
        <v>25</v>
      </c>
      <c r="C28" s="6">
        <v>2</v>
      </c>
      <c r="D28" s="6" t="s">
        <v>173</v>
      </c>
      <c r="E28" s="6" t="s">
        <v>126</v>
      </c>
      <c r="F28" s="6"/>
      <c r="G28" s="279" t="s">
        <v>118</v>
      </c>
      <c r="H28" s="290" t="str">
        <f t="shared" si="1"/>
        <v xml:space="preserve">Rapier:  Martial, Damage 1d8, Piercing, Finesse, </v>
      </c>
      <c r="I28" s="198"/>
      <c r="J28" s="6"/>
      <c r="K28" s="6"/>
      <c r="L28" s="6"/>
      <c r="M28" s="6"/>
      <c r="N28" s="6"/>
      <c r="O28" s="6"/>
      <c r="P28" s="6"/>
      <c r="Q28" s="7" t="s">
        <v>171</v>
      </c>
      <c r="R28" s="6"/>
      <c r="S28" s="6"/>
      <c r="T28" s="6"/>
      <c r="U28" s="6"/>
      <c r="V28" s="6"/>
    </row>
    <row r="29" spans="1:22" x14ac:dyDescent="0.25">
      <c r="A29" s="6" t="s">
        <v>151</v>
      </c>
      <c r="B29" s="6">
        <v>25</v>
      </c>
      <c r="C29" s="6">
        <v>3</v>
      </c>
      <c r="D29" s="6" t="s">
        <v>173</v>
      </c>
      <c r="E29" s="6" t="s">
        <v>136</v>
      </c>
      <c r="F29" s="6"/>
      <c r="G29" s="279" t="s">
        <v>114</v>
      </c>
      <c r="H29" s="290" t="str">
        <f t="shared" si="1"/>
        <v xml:space="preserve">Scimitar:  Martial, Damage 1d6, Slashing, Finesse, Light, </v>
      </c>
      <c r="I29" s="198"/>
      <c r="J29" s="6"/>
      <c r="K29" s="6"/>
      <c r="L29" s="6"/>
      <c r="M29" s="6"/>
      <c r="N29" s="6"/>
      <c r="O29" s="6"/>
      <c r="P29" s="6"/>
      <c r="Q29" s="7" t="s">
        <v>171</v>
      </c>
      <c r="R29" s="7" t="s">
        <v>171</v>
      </c>
      <c r="S29" s="6"/>
      <c r="T29" s="6"/>
      <c r="U29" s="6"/>
      <c r="V29" s="6"/>
    </row>
    <row r="30" spans="1:22" x14ac:dyDescent="0.25">
      <c r="A30" s="6" t="s">
        <v>52</v>
      </c>
      <c r="B30" s="6">
        <v>1</v>
      </c>
      <c r="C30" s="6">
        <v>2</v>
      </c>
      <c r="D30" s="6" t="s">
        <v>3539</v>
      </c>
      <c r="E30" s="6" t="s">
        <v>136</v>
      </c>
      <c r="F30" s="6"/>
      <c r="G30" s="279" t="s">
        <v>118</v>
      </c>
      <c r="H30" s="290" t="str">
        <f t="shared" si="1"/>
        <v xml:space="preserve">Shortbow:  Simple, Damage 1d6, Piercing, Ranged, 80 ft./320 ft., Ammuntion, Two-Handed, </v>
      </c>
      <c r="I30" s="198"/>
      <c r="J30" s="7" t="s">
        <v>171</v>
      </c>
      <c r="K30" s="6">
        <v>80</v>
      </c>
      <c r="L30" s="6">
        <v>320</v>
      </c>
      <c r="M30" s="7"/>
      <c r="N30" s="6"/>
      <c r="O30" s="7" t="s">
        <v>171</v>
      </c>
      <c r="P30" s="6"/>
      <c r="Q30" s="6"/>
      <c r="R30" s="6"/>
      <c r="S30" s="6"/>
      <c r="T30" s="7" t="s">
        <v>171</v>
      </c>
      <c r="U30" s="6"/>
      <c r="V30" s="6"/>
    </row>
    <row r="31" spans="1:22" x14ac:dyDescent="0.25">
      <c r="A31" s="6" t="s">
        <v>51</v>
      </c>
      <c r="B31" s="6">
        <v>10</v>
      </c>
      <c r="C31" s="6">
        <v>2</v>
      </c>
      <c r="D31" s="6" t="s">
        <v>173</v>
      </c>
      <c r="E31" s="6" t="s">
        <v>136</v>
      </c>
      <c r="F31" s="6"/>
      <c r="G31" s="279" t="s">
        <v>118</v>
      </c>
      <c r="H31" s="290" t="str">
        <f t="shared" si="1"/>
        <v xml:space="preserve">Shortsword:  Martial, Damage 1d6, Piercing, Finesse, Light, </v>
      </c>
      <c r="I31" s="198"/>
      <c r="J31" s="6"/>
      <c r="K31" s="6"/>
      <c r="L31" s="6"/>
      <c r="M31" s="6"/>
      <c r="N31" s="6"/>
      <c r="O31" s="6"/>
      <c r="P31" s="6"/>
      <c r="Q31" s="7" t="s">
        <v>171</v>
      </c>
      <c r="R31" s="7" t="s">
        <v>171</v>
      </c>
      <c r="S31" s="6"/>
      <c r="T31" s="6"/>
      <c r="U31" s="6"/>
      <c r="V31" s="6"/>
    </row>
    <row r="32" spans="1:22" x14ac:dyDescent="0.25">
      <c r="A32" s="6" t="s">
        <v>152</v>
      </c>
      <c r="B32" s="6">
        <v>1</v>
      </c>
      <c r="C32" s="6">
        <v>2</v>
      </c>
      <c r="D32" s="6" t="s">
        <v>3539</v>
      </c>
      <c r="E32" s="6" t="s">
        <v>120</v>
      </c>
      <c r="F32" s="6"/>
      <c r="G32" s="279" t="s">
        <v>114</v>
      </c>
      <c r="H32" s="290" t="str">
        <f t="shared" si="1"/>
        <v xml:space="preserve">Sickle:  Simple, Damage 1d4, Slashing, Light, </v>
      </c>
      <c r="I32" s="198"/>
      <c r="J32" s="6"/>
      <c r="K32" s="6"/>
      <c r="L32" s="6"/>
      <c r="M32" s="6"/>
      <c r="N32" s="6"/>
      <c r="O32" s="6"/>
      <c r="P32" s="6"/>
      <c r="Q32" s="6"/>
      <c r="R32" s="7" t="s">
        <v>171</v>
      </c>
      <c r="S32" s="6"/>
      <c r="T32" s="6"/>
      <c r="U32" s="6"/>
      <c r="V32" s="6"/>
    </row>
    <row r="33" spans="1:22" x14ac:dyDescent="0.25">
      <c r="A33" s="6" t="s">
        <v>153</v>
      </c>
      <c r="B33" s="6">
        <v>0.1</v>
      </c>
      <c r="C33" s="6">
        <v>0</v>
      </c>
      <c r="D33" s="6" t="s">
        <v>3539</v>
      </c>
      <c r="E33" s="6" t="s">
        <v>120</v>
      </c>
      <c r="F33" s="6"/>
      <c r="G33" s="279" t="s">
        <v>121</v>
      </c>
      <c r="H33" s="290" t="str">
        <f t="shared" si="1"/>
        <v xml:space="preserve">Sling:  Simple, Damage 1d4, Bludgeoning, Ranged, 30 ft./120 ft., Ammuntion, </v>
      </c>
      <c r="I33" s="198"/>
      <c r="J33" s="7" t="s">
        <v>171</v>
      </c>
      <c r="K33" s="6">
        <v>30</v>
      </c>
      <c r="L33" s="6">
        <v>120</v>
      </c>
      <c r="M33" s="7"/>
      <c r="N33" s="6"/>
      <c r="O33" s="7" t="s">
        <v>171</v>
      </c>
      <c r="P33" s="6"/>
      <c r="Q33" s="6"/>
      <c r="R33" s="6"/>
      <c r="S33" s="6"/>
      <c r="T33" s="6"/>
      <c r="U33" s="6"/>
      <c r="V33" s="6"/>
    </row>
    <row r="34" spans="1:22" x14ac:dyDescent="0.25">
      <c r="A34" s="6" t="s">
        <v>155</v>
      </c>
      <c r="B34" s="6">
        <v>1</v>
      </c>
      <c r="C34" s="6">
        <v>3</v>
      </c>
      <c r="D34" s="6" t="s">
        <v>3539</v>
      </c>
      <c r="E34" s="6" t="s">
        <v>136</v>
      </c>
      <c r="F34" s="6" t="s">
        <v>126</v>
      </c>
      <c r="G34" s="279" t="s">
        <v>118</v>
      </c>
      <c r="H34" s="290" t="str">
        <f t="shared" si="1"/>
        <v xml:space="preserve">Spear:  Simple, Damage 1d6, Piercing, 20 ft./60 ft., Thrown, Versatile, </v>
      </c>
      <c r="I34" s="198"/>
      <c r="J34" s="6"/>
      <c r="K34" s="6">
        <v>20</v>
      </c>
      <c r="L34" s="6">
        <v>60</v>
      </c>
      <c r="M34" s="7" t="s">
        <v>171</v>
      </c>
      <c r="N34" s="7" t="s">
        <v>171</v>
      </c>
      <c r="O34" s="6"/>
      <c r="P34" s="6"/>
      <c r="Q34" s="6"/>
      <c r="R34" s="6"/>
      <c r="S34" s="6"/>
      <c r="T34" s="6"/>
      <c r="U34" s="6"/>
      <c r="V34" s="6"/>
    </row>
    <row r="35" spans="1:22" x14ac:dyDescent="0.25">
      <c r="A35" s="6" t="s">
        <v>156</v>
      </c>
      <c r="B35" s="6">
        <v>5</v>
      </c>
      <c r="C35" s="6">
        <v>4</v>
      </c>
      <c r="D35" s="6" t="s">
        <v>173</v>
      </c>
      <c r="E35" s="6" t="s">
        <v>136</v>
      </c>
      <c r="F35" s="6" t="s">
        <v>126</v>
      </c>
      <c r="G35" s="279" t="s">
        <v>118</v>
      </c>
      <c r="H35" s="290" t="str">
        <f t="shared" si="1"/>
        <v xml:space="preserve">Trident:  Martial, Damage 1d6, Piercing, 20 ft./60 ft., Thrown, Versatile, </v>
      </c>
      <c r="I35" s="198"/>
      <c r="J35" s="7"/>
      <c r="K35" s="6">
        <v>20</v>
      </c>
      <c r="L35" s="6">
        <v>60</v>
      </c>
      <c r="M35" s="7" t="s">
        <v>171</v>
      </c>
      <c r="N35" s="7" t="s">
        <v>171</v>
      </c>
      <c r="O35" s="6"/>
      <c r="P35" s="6"/>
      <c r="Q35" s="6"/>
      <c r="R35" s="6"/>
      <c r="S35" s="6"/>
      <c r="T35" s="6"/>
      <c r="U35" s="6"/>
      <c r="V35" s="6"/>
    </row>
    <row r="36" spans="1:22" x14ac:dyDescent="0.25">
      <c r="A36" s="6" t="s">
        <v>157</v>
      </c>
      <c r="B36" s="6"/>
      <c r="C36" s="6">
        <v>0</v>
      </c>
      <c r="D36" s="6" t="s">
        <v>3539</v>
      </c>
      <c r="E36" s="6">
        <v>1</v>
      </c>
      <c r="F36" s="6"/>
      <c r="G36" s="279" t="s">
        <v>121</v>
      </c>
      <c r="H36" s="290" t="str">
        <f t="shared" si="1"/>
        <v xml:space="preserve">Unarmed Strike:  Simple, Damage 1, Bludgeoning, </v>
      </c>
      <c r="I36" s="198"/>
      <c r="J36" s="6"/>
      <c r="K36" s="6"/>
      <c r="L36" s="6"/>
      <c r="M36" s="6"/>
      <c r="N36" s="6"/>
      <c r="O36" s="6"/>
      <c r="P36" s="6"/>
      <c r="Q36" s="6"/>
      <c r="R36" s="6"/>
      <c r="S36" s="6"/>
      <c r="T36" s="6"/>
      <c r="U36" s="6"/>
      <c r="V36" s="6"/>
    </row>
    <row r="37" spans="1:22" x14ac:dyDescent="0.25">
      <c r="A37" s="6" t="s">
        <v>158</v>
      </c>
      <c r="B37" s="6">
        <v>5</v>
      </c>
      <c r="C37" s="6">
        <v>2</v>
      </c>
      <c r="D37" s="6" t="s">
        <v>173</v>
      </c>
      <c r="E37" s="6" t="s">
        <v>126</v>
      </c>
      <c r="F37" s="6"/>
      <c r="G37" s="279" t="s">
        <v>118</v>
      </c>
      <c r="H37" s="290" t="str">
        <f t="shared" si="1"/>
        <v xml:space="preserve">War Pick:  Martial, Damage 1d8, Piercing, </v>
      </c>
      <c r="I37" s="198"/>
      <c r="J37" s="6"/>
      <c r="K37" s="6"/>
      <c r="L37" s="6"/>
      <c r="M37" s="6"/>
      <c r="N37" s="6"/>
      <c r="O37" s="6"/>
      <c r="P37" s="6"/>
      <c r="Q37" s="6"/>
      <c r="R37" s="6"/>
      <c r="S37" s="6"/>
      <c r="T37" s="6"/>
      <c r="U37" s="6"/>
      <c r="V37" s="6"/>
    </row>
    <row r="38" spans="1:22" x14ac:dyDescent="0.25">
      <c r="A38" s="6" t="s">
        <v>38</v>
      </c>
      <c r="B38" s="6">
        <v>15</v>
      </c>
      <c r="C38" s="6">
        <v>2</v>
      </c>
      <c r="D38" s="6" t="s">
        <v>173</v>
      </c>
      <c r="E38" s="6" t="s">
        <v>126</v>
      </c>
      <c r="F38" s="6" t="s">
        <v>128</v>
      </c>
      <c r="G38" s="279" t="s">
        <v>121</v>
      </c>
      <c r="H38" s="290" t="str">
        <f t="shared" si="1"/>
        <v xml:space="preserve">Warhammer:  Martial, Damage 1d8, Bludgeoning, Versatile, </v>
      </c>
      <c r="I38" s="198"/>
      <c r="J38" s="6"/>
      <c r="K38" s="6"/>
      <c r="L38" s="6"/>
      <c r="M38" s="6"/>
      <c r="N38" s="7" t="s">
        <v>171</v>
      </c>
      <c r="O38" s="6"/>
      <c r="P38" s="6"/>
      <c r="Q38" s="6"/>
      <c r="R38" s="6"/>
      <c r="S38" s="6"/>
      <c r="T38" s="6"/>
      <c r="U38" s="6"/>
      <c r="V38" s="6"/>
    </row>
    <row r="39" spans="1:22" ht="15.75" thickBot="1" x14ac:dyDescent="0.3">
      <c r="A39" s="6" t="s">
        <v>159</v>
      </c>
      <c r="B39" s="6">
        <v>2</v>
      </c>
      <c r="C39" s="6">
        <v>3</v>
      </c>
      <c r="D39" s="6" t="s">
        <v>173</v>
      </c>
      <c r="E39" s="6" t="s">
        <v>120</v>
      </c>
      <c r="F39" s="6"/>
      <c r="G39" s="279" t="s">
        <v>114</v>
      </c>
      <c r="H39" s="291" t="str">
        <f t="shared" si="1"/>
        <v xml:space="preserve">Whip:  Martial, Damage 1d4, Slashing, Reach, Finesse, </v>
      </c>
      <c r="I39" s="286" t="s">
        <v>171</v>
      </c>
      <c r="J39" s="6"/>
      <c r="K39" s="6"/>
      <c r="L39" s="6"/>
      <c r="M39" s="6"/>
      <c r="N39" s="6"/>
      <c r="O39" s="6"/>
      <c r="P39" s="6"/>
      <c r="Q39" s="7" t="s">
        <v>171</v>
      </c>
      <c r="R39" s="6"/>
      <c r="S39" s="6"/>
      <c r="T39" s="6"/>
      <c r="U39" s="6"/>
      <c r="V39" s="6"/>
    </row>
  </sheetData>
  <autoFilter ref="A1:V39"/>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0"/>
  <dimension ref="A1:AO110"/>
  <sheetViews>
    <sheetView workbookViewId="0">
      <selection activeCell="Q7" sqref="Q7"/>
    </sheetView>
  </sheetViews>
  <sheetFormatPr defaultRowHeight="15" outlineLevelRow="1" x14ac:dyDescent="0.25"/>
  <sheetData>
    <row r="1" spans="1:41" x14ac:dyDescent="0.25">
      <c r="A1" s="558" t="s">
        <v>392</v>
      </c>
      <c r="B1" s="558" t="s">
        <v>3540</v>
      </c>
      <c r="C1" s="558" t="s">
        <v>3541</v>
      </c>
      <c r="D1" s="558" t="s">
        <v>3542</v>
      </c>
      <c r="E1" s="558" t="s">
        <v>3543</v>
      </c>
      <c r="F1" s="558" t="s">
        <v>3544</v>
      </c>
      <c r="G1" s="558" t="s">
        <v>3545</v>
      </c>
      <c r="H1" s="558" t="s">
        <v>3546</v>
      </c>
      <c r="I1" s="558" t="s">
        <v>3660</v>
      </c>
      <c r="J1" s="558" t="s">
        <v>3661</v>
      </c>
      <c r="K1" s="558" t="s">
        <v>3662</v>
      </c>
      <c r="L1" s="558" t="s">
        <v>3670</v>
      </c>
      <c r="M1" s="558" t="s">
        <v>3672</v>
      </c>
      <c r="N1" s="558" t="s">
        <v>3674</v>
      </c>
      <c r="O1" s="558" t="s">
        <v>3676</v>
      </c>
      <c r="P1" s="558" t="s">
        <v>3678</v>
      </c>
      <c r="Q1" s="558" t="s">
        <v>3680</v>
      </c>
      <c r="R1" s="558" t="s">
        <v>3682</v>
      </c>
      <c r="S1" s="558" t="s">
        <v>3684</v>
      </c>
      <c r="T1" s="558" t="s">
        <v>3686</v>
      </c>
      <c r="U1" s="558" t="s">
        <v>3688</v>
      </c>
      <c r="V1" s="558" t="s">
        <v>3612</v>
      </c>
      <c r="W1" s="558" t="s">
        <v>3613</v>
      </c>
      <c r="X1" s="558" t="s">
        <v>3617</v>
      </c>
      <c r="Y1" s="558" t="s">
        <v>3663</v>
      </c>
      <c r="Z1" s="558" t="s">
        <v>3664</v>
      </c>
      <c r="AA1" s="558" t="s">
        <v>3665</v>
      </c>
      <c r="AB1" s="558" t="s">
        <v>3666</v>
      </c>
      <c r="AC1" s="558" t="s">
        <v>3667</v>
      </c>
      <c r="AD1" s="558" t="s">
        <v>3668</v>
      </c>
      <c r="AE1" s="558" t="s">
        <v>3669</v>
      </c>
      <c r="AF1" s="558" t="s">
        <v>3671</v>
      </c>
      <c r="AG1" s="558" t="s">
        <v>3673</v>
      </c>
      <c r="AH1" s="558" t="s">
        <v>3675</v>
      </c>
      <c r="AI1" s="558" t="s">
        <v>3677</v>
      </c>
      <c r="AJ1" s="558" t="s">
        <v>3679</v>
      </c>
      <c r="AK1" s="558" t="s">
        <v>3681</v>
      </c>
      <c r="AL1" s="558" t="s">
        <v>3683</v>
      </c>
      <c r="AM1" s="558" t="s">
        <v>3685</v>
      </c>
      <c r="AN1" s="558" t="s">
        <v>3687</v>
      </c>
      <c r="AO1" s="558" t="s">
        <v>3689</v>
      </c>
    </row>
    <row r="2" spans="1:41" x14ac:dyDescent="0.25">
      <c r="A2" s="502" t="s">
        <v>3618</v>
      </c>
      <c r="B2" s="502" t="s">
        <v>3619</v>
      </c>
      <c r="C2" s="502" t="s">
        <v>3620</v>
      </c>
      <c r="D2" s="502" t="s">
        <v>3621</v>
      </c>
      <c r="E2" s="502" t="s">
        <v>3622</v>
      </c>
      <c r="F2" s="502" t="s">
        <v>3623</v>
      </c>
      <c r="G2" s="502" t="s">
        <v>3553</v>
      </c>
      <c r="H2" s="502" t="s">
        <v>3624</v>
      </c>
      <c r="I2" s="502" t="s">
        <v>3625</v>
      </c>
      <c r="J2" s="502" t="s">
        <v>3626</v>
      </c>
      <c r="K2" s="502" t="s">
        <v>3627</v>
      </c>
      <c r="L2" s="502" t="s">
        <v>3628</v>
      </c>
      <c r="M2" s="502" t="s">
        <v>3629</v>
      </c>
      <c r="N2" s="502" t="s">
        <v>3630</v>
      </c>
      <c r="O2" s="502" t="s">
        <v>3631</v>
      </c>
      <c r="P2" s="502"/>
      <c r="Q2" s="502"/>
      <c r="R2" s="502"/>
      <c r="S2" s="502"/>
      <c r="T2" s="502"/>
      <c r="U2" s="502"/>
      <c r="V2" s="502">
        <v>1</v>
      </c>
      <c r="W2" s="502">
        <v>1</v>
      </c>
      <c r="X2" s="502">
        <v>1</v>
      </c>
      <c r="Y2" s="502">
        <v>5</v>
      </c>
      <c r="Z2" s="502">
        <v>1</v>
      </c>
      <c r="AA2" s="502">
        <v>1</v>
      </c>
      <c r="AB2" s="502">
        <v>1</v>
      </c>
      <c r="AC2" s="502">
        <v>10</v>
      </c>
      <c r="AD2" s="502">
        <v>1</v>
      </c>
      <c r="AE2" s="502">
        <v>2</v>
      </c>
      <c r="AF2" s="502">
        <v>5</v>
      </c>
      <c r="AG2" s="502">
        <v>1</v>
      </c>
      <c r="AH2" s="502">
        <v>1</v>
      </c>
      <c r="AI2" s="502">
        <v>1</v>
      </c>
      <c r="AJ2" s="502"/>
      <c r="AK2" s="502"/>
      <c r="AL2" s="502"/>
      <c r="AM2" s="502"/>
      <c r="AN2" s="502"/>
      <c r="AO2" s="502"/>
    </row>
    <row r="3" spans="1:41" x14ac:dyDescent="0.25">
      <c r="A3" s="502" t="s">
        <v>3641</v>
      </c>
      <c r="B3" s="502" t="s">
        <v>3632</v>
      </c>
      <c r="C3" s="502" t="s">
        <v>3633</v>
      </c>
      <c r="D3" s="502" t="s">
        <v>3561</v>
      </c>
      <c r="E3" s="502" t="s">
        <v>3634</v>
      </c>
      <c r="F3" s="502" t="s">
        <v>3635</v>
      </c>
      <c r="G3" s="502" t="s">
        <v>3636</v>
      </c>
      <c r="H3" s="502" t="s">
        <v>3627</v>
      </c>
      <c r="I3" s="502" t="s">
        <v>3637</v>
      </c>
      <c r="J3" s="502" t="s">
        <v>3638</v>
      </c>
      <c r="K3" s="502" t="s">
        <v>3639</v>
      </c>
      <c r="L3" s="502" t="s">
        <v>3640</v>
      </c>
      <c r="M3" s="502"/>
      <c r="N3" s="502"/>
      <c r="O3" s="502"/>
      <c r="P3" s="502"/>
      <c r="Q3" s="502"/>
      <c r="R3" s="502"/>
      <c r="S3" s="502"/>
      <c r="T3" s="502"/>
      <c r="U3" s="502"/>
      <c r="V3" s="502">
        <v>1</v>
      </c>
      <c r="W3" s="502">
        <v>2</v>
      </c>
      <c r="X3" s="502">
        <v>1</v>
      </c>
      <c r="Y3" s="502">
        <v>1</v>
      </c>
      <c r="Z3" s="502">
        <v>1</v>
      </c>
      <c r="AA3" s="502">
        <v>1</v>
      </c>
      <c r="AB3" s="502">
        <v>2</v>
      </c>
      <c r="AC3" s="502">
        <v>1</v>
      </c>
      <c r="AD3" s="502">
        <v>1</v>
      </c>
      <c r="AE3" s="502">
        <v>1</v>
      </c>
      <c r="AF3" s="502">
        <v>1</v>
      </c>
      <c r="AG3" s="502"/>
      <c r="AH3" s="502"/>
      <c r="AI3" s="502"/>
      <c r="AJ3" s="502"/>
      <c r="AK3" s="502"/>
      <c r="AL3" s="502"/>
      <c r="AM3" s="502"/>
      <c r="AN3" s="502"/>
      <c r="AO3" s="502"/>
    </row>
    <row r="4" spans="1:41" x14ac:dyDescent="0.25">
      <c r="A4" s="502" t="s">
        <v>3642</v>
      </c>
      <c r="B4" s="502" t="s">
        <v>3619</v>
      </c>
      <c r="C4" s="502" t="s">
        <v>3553</v>
      </c>
      <c r="D4" s="502" t="s">
        <v>3624</v>
      </c>
      <c r="E4" s="502" t="s">
        <v>3625</v>
      </c>
      <c r="F4" s="502" t="s">
        <v>3643</v>
      </c>
      <c r="G4" s="502" t="s">
        <v>3629</v>
      </c>
      <c r="H4" s="502" t="s">
        <v>3628</v>
      </c>
      <c r="I4" s="502" t="s">
        <v>3630</v>
      </c>
      <c r="J4" s="502" t="s">
        <v>3631</v>
      </c>
      <c r="K4" s="502"/>
      <c r="L4" s="502"/>
      <c r="M4" s="502"/>
      <c r="N4" s="502"/>
      <c r="O4" s="502"/>
      <c r="P4" s="502"/>
      <c r="Q4" s="502"/>
      <c r="R4" s="502"/>
      <c r="S4" s="502"/>
      <c r="T4" s="502"/>
      <c r="U4" s="502"/>
      <c r="V4" s="502">
        <v>1</v>
      </c>
      <c r="W4" s="502">
        <v>1</v>
      </c>
      <c r="X4" s="502">
        <v>1</v>
      </c>
      <c r="Y4" s="502">
        <v>10</v>
      </c>
      <c r="Z4" s="502">
        <v>10</v>
      </c>
      <c r="AA4" s="502">
        <v>1</v>
      </c>
      <c r="AB4" s="502">
        <v>5</v>
      </c>
      <c r="AC4" s="502">
        <v>1</v>
      </c>
      <c r="AD4" s="502">
        <v>1</v>
      </c>
      <c r="AE4" s="502"/>
      <c r="AF4" s="502"/>
      <c r="AG4" s="502"/>
      <c r="AH4" s="502"/>
      <c r="AI4" s="502"/>
      <c r="AJ4" s="502"/>
      <c r="AK4" s="502"/>
      <c r="AL4" s="502"/>
      <c r="AM4" s="502"/>
      <c r="AN4" s="502"/>
      <c r="AO4" s="502"/>
    </row>
    <row r="5" spans="1:41" x14ac:dyDescent="0.25">
      <c r="A5" s="502" t="s">
        <v>3648</v>
      </c>
      <c r="B5" s="502" t="s">
        <v>3619</v>
      </c>
      <c r="C5" s="502" t="s">
        <v>3644</v>
      </c>
      <c r="D5" s="502" t="s">
        <v>3645</v>
      </c>
      <c r="E5" s="502" t="s">
        <v>3646</v>
      </c>
      <c r="F5" s="502" t="s">
        <v>3628</v>
      </c>
      <c r="G5" s="502" t="s">
        <v>3630</v>
      </c>
      <c r="H5" s="502" t="s">
        <v>3647</v>
      </c>
      <c r="I5" s="502"/>
      <c r="J5" s="502"/>
      <c r="K5" s="502"/>
      <c r="L5" s="502"/>
      <c r="M5" s="502"/>
      <c r="N5" s="502"/>
      <c r="O5" s="502"/>
      <c r="P5" s="502"/>
      <c r="Q5" s="502"/>
      <c r="R5" s="502"/>
      <c r="S5" s="502"/>
      <c r="T5" s="502"/>
      <c r="U5" s="502"/>
      <c r="V5" s="502">
        <v>1</v>
      </c>
      <c r="W5" s="502">
        <v>1</v>
      </c>
      <c r="X5" s="502">
        <v>2</v>
      </c>
      <c r="Y5" s="502">
        <v>5</v>
      </c>
      <c r="Z5" s="502">
        <v>5</v>
      </c>
      <c r="AA5" s="502">
        <v>1</v>
      </c>
      <c r="AB5" s="502">
        <v>1</v>
      </c>
      <c r="AC5" s="502"/>
      <c r="AD5" s="502"/>
      <c r="AE5" s="502"/>
      <c r="AF5" s="502"/>
      <c r="AG5" s="502"/>
      <c r="AH5" s="502"/>
      <c r="AI5" s="502"/>
      <c r="AJ5" s="502"/>
      <c r="AK5" s="502"/>
      <c r="AL5" s="502"/>
      <c r="AM5" s="502"/>
      <c r="AN5" s="502"/>
      <c r="AO5" s="502"/>
    </row>
    <row r="6" spans="1:41" x14ac:dyDescent="0.25">
      <c r="A6" s="502" t="s">
        <v>2197</v>
      </c>
      <c r="B6" s="502" t="s">
        <v>3619</v>
      </c>
      <c r="C6" s="502" t="s">
        <v>3644</v>
      </c>
      <c r="D6" s="502" t="s">
        <v>3649</v>
      </c>
      <c r="E6" s="502" t="s">
        <v>3629</v>
      </c>
      <c r="F6" s="502" t="s">
        <v>3643</v>
      </c>
      <c r="G6" s="502" t="s">
        <v>3628</v>
      </c>
      <c r="H6" s="502" t="s">
        <v>3630</v>
      </c>
      <c r="I6" s="502" t="s">
        <v>3631</v>
      </c>
      <c r="J6" s="502"/>
      <c r="K6" s="502"/>
      <c r="L6" s="502"/>
      <c r="M6" s="502"/>
      <c r="N6" s="502"/>
      <c r="O6" s="502"/>
      <c r="P6" s="502"/>
      <c r="Q6" s="502"/>
      <c r="R6" s="502"/>
      <c r="S6" s="502"/>
      <c r="T6" s="502"/>
      <c r="U6" s="502"/>
      <c r="V6" s="502">
        <v>1</v>
      </c>
      <c r="W6" s="502">
        <v>1</v>
      </c>
      <c r="X6" s="502">
        <v>1</v>
      </c>
      <c r="Y6" s="502">
        <v>1</v>
      </c>
      <c r="Z6" s="502">
        <v>10</v>
      </c>
      <c r="AA6" s="502">
        <v>10</v>
      </c>
      <c r="AB6" s="502">
        <v>1</v>
      </c>
      <c r="AC6" s="502">
        <v>1</v>
      </c>
      <c r="AD6" s="502"/>
      <c r="AE6" s="502"/>
      <c r="AF6" s="502"/>
      <c r="AG6" s="502"/>
      <c r="AH6" s="502"/>
      <c r="AI6" s="502"/>
      <c r="AJ6" s="502"/>
      <c r="AK6" s="502"/>
      <c r="AL6" s="502"/>
      <c r="AM6" s="502"/>
      <c r="AN6" s="502"/>
      <c r="AO6" s="502"/>
    </row>
    <row r="7" spans="1:41" x14ac:dyDescent="0.25">
      <c r="A7" s="502" t="s">
        <v>3650</v>
      </c>
      <c r="B7" s="502" t="s">
        <v>3619</v>
      </c>
      <c r="C7" s="502" t="s">
        <v>3651</v>
      </c>
      <c r="D7" s="502" t="s">
        <v>3646</v>
      </c>
      <c r="E7" s="502" t="s">
        <v>3652</v>
      </c>
      <c r="F7" s="502" t="s">
        <v>3653</v>
      </c>
      <c r="G7" s="502" t="s">
        <v>3628</v>
      </c>
      <c r="H7" s="502" t="s">
        <v>3630</v>
      </c>
      <c r="I7" s="502" t="s">
        <v>3654</v>
      </c>
      <c r="J7" s="502" t="s">
        <v>3655</v>
      </c>
      <c r="K7" s="502"/>
      <c r="L7" s="502"/>
      <c r="M7" s="502"/>
      <c r="N7" s="502"/>
      <c r="O7" s="502"/>
      <c r="P7" s="502"/>
      <c r="Q7" s="502"/>
      <c r="R7" s="502"/>
      <c r="S7" s="502"/>
      <c r="T7" s="502"/>
      <c r="U7" s="502"/>
      <c r="V7" s="502">
        <v>1</v>
      </c>
      <c r="W7" s="502">
        <v>1</v>
      </c>
      <c r="X7" s="502">
        <v>10</v>
      </c>
      <c r="Y7" s="502">
        <v>2</v>
      </c>
      <c r="Z7" s="502">
        <v>1</v>
      </c>
      <c r="AA7" s="502">
        <v>2</v>
      </c>
      <c r="AB7" s="502">
        <v>1</v>
      </c>
      <c r="AC7" s="502">
        <v>1</v>
      </c>
      <c r="AD7" s="502">
        <v>1</v>
      </c>
      <c r="AE7" s="502"/>
      <c r="AF7" s="502"/>
      <c r="AG7" s="502"/>
      <c r="AH7" s="502"/>
      <c r="AI7" s="502"/>
      <c r="AJ7" s="502"/>
      <c r="AK7" s="502"/>
      <c r="AL7" s="502"/>
      <c r="AM7" s="502"/>
      <c r="AN7" s="502"/>
      <c r="AO7" s="502"/>
    </row>
    <row r="8" spans="1:41" x14ac:dyDescent="0.25">
      <c r="A8" s="502" t="s">
        <v>3656</v>
      </c>
      <c r="B8" s="502" t="s">
        <v>3619</v>
      </c>
      <c r="C8" s="502" t="s">
        <v>3657</v>
      </c>
      <c r="D8" s="502" t="s">
        <v>3634</v>
      </c>
      <c r="E8" s="502" t="s">
        <v>3635</v>
      </c>
      <c r="F8" s="502" t="s">
        <v>3658</v>
      </c>
      <c r="G8" s="502" t="s">
        <v>3659</v>
      </c>
      <c r="H8" s="502" t="s">
        <v>3566</v>
      </c>
      <c r="I8" s="502"/>
      <c r="J8" s="502"/>
      <c r="K8" s="502"/>
      <c r="L8" s="502"/>
      <c r="M8" s="502"/>
      <c r="N8" s="502"/>
      <c r="O8" s="502"/>
      <c r="P8" s="502"/>
      <c r="Q8" s="502"/>
      <c r="R8" s="502"/>
      <c r="S8" s="502"/>
      <c r="T8" s="502"/>
      <c r="U8" s="502"/>
      <c r="V8" s="502">
        <v>1</v>
      </c>
      <c r="W8" s="502">
        <v>1</v>
      </c>
      <c r="X8" s="502">
        <v>1</v>
      </c>
      <c r="Y8" s="502">
        <v>1</v>
      </c>
      <c r="Z8" s="502">
        <v>10</v>
      </c>
      <c r="AA8" s="502">
        <v>1</v>
      </c>
      <c r="AB8" s="502">
        <v>1</v>
      </c>
      <c r="AC8" s="502"/>
      <c r="AD8" s="502"/>
      <c r="AE8" s="502"/>
      <c r="AF8" s="502"/>
      <c r="AG8" s="502"/>
      <c r="AH8" s="502"/>
      <c r="AI8" s="502"/>
      <c r="AJ8" s="502"/>
      <c r="AK8" s="502"/>
      <c r="AL8" s="502"/>
      <c r="AM8" s="502"/>
      <c r="AN8" s="502"/>
      <c r="AO8" s="502"/>
    </row>
    <row r="9" spans="1:41" outlineLevel="1" x14ac:dyDescent="0.25">
      <c r="A9" s="158"/>
    </row>
    <row r="10" spans="1:41" outlineLevel="1" x14ac:dyDescent="0.25"/>
    <row r="11" spans="1:41" outlineLevel="1" x14ac:dyDescent="0.25">
      <c r="A11" s="158"/>
    </row>
    <row r="12" spans="1:41" outlineLevel="1" x14ac:dyDescent="0.25"/>
    <row r="13" spans="1:41" outlineLevel="1" x14ac:dyDescent="0.25">
      <c r="A13" s="158"/>
    </row>
    <row r="14" spans="1:41" outlineLevel="1" x14ac:dyDescent="0.25"/>
    <row r="15" spans="1:41" outlineLevel="1" x14ac:dyDescent="0.25"/>
    <row r="16" spans="1:41" outlineLevel="1" x14ac:dyDescent="0.25"/>
    <row r="17" outlineLevel="1" x14ac:dyDescent="0.25"/>
    <row r="18" outlineLevel="1" x14ac:dyDescent="0.25"/>
    <row r="19" outlineLevel="1" x14ac:dyDescent="0.25"/>
    <row r="20" outlineLevel="1" x14ac:dyDescent="0.25"/>
    <row r="21" outlineLevel="1" x14ac:dyDescent="0.25"/>
    <row r="22" outlineLevel="1" x14ac:dyDescent="0.25"/>
    <row r="23" outlineLevel="1" x14ac:dyDescent="0.25"/>
    <row r="24" outlineLevel="1" x14ac:dyDescent="0.25"/>
    <row r="25" outlineLevel="1" x14ac:dyDescent="0.25"/>
    <row r="26" outlineLevel="1" x14ac:dyDescent="0.25"/>
    <row r="27" outlineLevel="1" x14ac:dyDescent="0.25"/>
    <row r="28" outlineLevel="1" x14ac:dyDescent="0.25"/>
    <row r="29" outlineLevel="1" x14ac:dyDescent="0.25"/>
    <row r="30" outlineLevel="1" x14ac:dyDescent="0.25"/>
    <row r="31" outlineLevel="1" x14ac:dyDescent="0.25"/>
    <row r="32" outlineLevel="1" x14ac:dyDescent="0.25"/>
    <row r="33" outlineLevel="1" x14ac:dyDescent="0.25"/>
    <row r="34" outlineLevel="1" x14ac:dyDescent="0.25"/>
    <row r="35" outlineLevel="1" x14ac:dyDescent="0.25"/>
    <row r="36" outlineLevel="1" x14ac:dyDescent="0.25"/>
    <row r="37" outlineLevel="1" x14ac:dyDescent="0.25"/>
    <row r="38" outlineLevel="1" x14ac:dyDescent="0.25"/>
    <row r="39" outlineLevel="1" x14ac:dyDescent="0.25"/>
    <row r="40" outlineLevel="1" x14ac:dyDescent="0.25"/>
    <row r="41" outlineLevel="1" x14ac:dyDescent="0.25"/>
    <row r="42" outlineLevel="1" x14ac:dyDescent="0.25"/>
    <row r="43" outlineLevel="1" x14ac:dyDescent="0.25"/>
    <row r="44" outlineLevel="1" x14ac:dyDescent="0.25"/>
    <row r="45" outlineLevel="1" x14ac:dyDescent="0.25"/>
    <row r="46" outlineLevel="1" x14ac:dyDescent="0.25"/>
    <row r="47" outlineLevel="1" x14ac:dyDescent="0.25"/>
    <row r="48" outlineLevel="1" x14ac:dyDescent="0.25"/>
    <row r="49" outlineLevel="1" x14ac:dyDescent="0.25"/>
    <row r="50" outlineLevel="1" x14ac:dyDescent="0.25"/>
    <row r="51" outlineLevel="1" x14ac:dyDescent="0.25"/>
    <row r="52" outlineLevel="1" x14ac:dyDescent="0.25"/>
    <row r="53" outlineLevel="1" x14ac:dyDescent="0.25"/>
    <row r="54" outlineLevel="1" x14ac:dyDescent="0.25"/>
    <row r="55" outlineLevel="1" x14ac:dyDescent="0.25"/>
    <row r="56" outlineLevel="1" x14ac:dyDescent="0.25"/>
    <row r="57" outlineLevel="1" x14ac:dyDescent="0.25"/>
    <row r="58" outlineLevel="1" x14ac:dyDescent="0.25"/>
    <row r="59" outlineLevel="1" x14ac:dyDescent="0.25"/>
    <row r="60" outlineLevel="1" x14ac:dyDescent="0.25"/>
    <row r="61" outlineLevel="1" x14ac:dyDescent="0.25"/>
    <row r="62" outlineLevel="1" x14ac:dyDescent="0.25"/>
    <row r="63" outlineLevel="1" x14ac:dyDescent="0.25"/>
    <row r="64" outlineLevel="1" x14ac:dyDescent="0.25"/>
    <row r="65" outlineLevel="1" x14ac:dyDescent="0.25"/>
    <row r="66" outlineLevel="1" x14ac:dyDescent="0.25"/>
    <row r="67" outlineLevel="1" x14ac:dyDescent="0.25"/>
    <row r="68" outlineLevel="1" x14ac:dyDescent="0.25"/>
    <row r="69" outlineLevel="1" x14ac:dyDescent="0.25"/>
    <row r="70" outlineLevel="1" x14ac:dyDescent="0.25"/>
    <row r="71" outlineLevel="1" x14ac:dyDescent="0.25"/>
    <row r="72" outlineLevel="1" x14ac:dyDescent="0.25"/>
    <row r="73" outlineLevel="1" x14ac:dyDescent="0.25"/>
    <row r="74" outlineLevel="1" x14ac:dyDescent="0.25"/>
    <row r="75" outlineLevel="1" x14ac:dyDescent="0.25"/>
    <row r="76" outlineLevel="1" x14ac:dyDescent="0.25"/>
    <row r="77" outlineLevel="1" x14ac:dyDescent="0.25"/>
    <row r="78" outlineLevel="1" x14ac:dyDescent="0.25"/>
    <row r="79" outlineLevel="1" x14ac:dyDescent="0.25"/>
    <row r="80" outlineLevel="1" x14ac:dyDescent="0.25"/>
    <row r="81" outlineLevel="1" x14ac:dyDescent="0.25"/>
    <row r="82" outlineLevel="1" x14ac:dyDescent="0.25"/>
    <row r="83" outlineLevel="1" x14ac:dyDescent="0.25"/>
    <row r="84" outlineLevel="1" x14ac:dyDescent="0.25"/>
    <row r="85" outlineLevel="1" x14ac:dyDescent="0.25"/>
    <row r="86" outlineLevel="1" x14ac:dyDescent="0.25"/>
    <row r="87" outlineLevel="1" x14ac:dyDescent="0.25"/>
    <row r="88" outlineLevel="1" x14ac:dyDescent="0.25"/>
    <row r="89" outlineLevel="1" x14ac:dyDescent="0.25"/>
    <row r="90" outlineLevel="1" x14ac:dyDescent="0.25"/>
    <row r="91" outlineLevel="1" x14ac:dyDescent="0.25"/>
    <row r="92" outlineLevel="1" x14ac:dyDescent="0.25"/>
    <row r="93" outlineLevel="1" x14ac:dyDescent="0.25"/>
    <row r="94" outlineLevel="1" x14ac:dyDescent="0.25"/>
    <row r="95" outlineLevel="1" x14ac:dyDescent="0.25"/>
    <row r="96" outlineLevel="1" x14ac:dyDescent="0.25"/>
    <row r="97" spans="1:37" outlineLevel="1" x14ac:dyDescent="0.25"/>
    <row r="98" spans="1:37" outlineLevel="1" x14ac:dyDescent="0.25"/>
    <row r="99" spans="1:37" outlineLevel="1" x14ac:dyDescent="0.25"/>
    <row r="100" spans="1:37" outlineLevel="1" x14ac:dyDescent="0.25"/>
    <row r="101" spans="1:37" outlineLevel="1" x14ac:dyDescent="0.25"/>
    <row r="102" spans="1:37" outlineLevel="1" x14ac:dyDescent="0.25"/>
    <row r="103" spans="1:37" x14ac:dyDescent="0.25">
      <c r="A103" s="163"/>
      <c r="B103" s="163"/>
      <c r="C103" s="163"/>
      <c r="D103" s="163"/>
      <c r="E103" s="163"/>
      <c r="F103" s="163"/>
      <c r="G103" s="163"/>
      <c r="H103" s="163"/>
      <c r="I103" s="163"/>
      <c r="J103" s="163"/>
      <c r="K103" s="163"/>
      <c r="L103" s="163"/>
      <c r="M103" s="163"/>
      <c r="N103" s="163"/>
      <c r="O103" s="163"/>
      <c r="P103" s="163"/>
      <c r="Q103" s="163"/>
      <c r="R103" s="163"/>
      <c r="S103" s="163"/>
      <c r="T103" s="163"/>
      <c r="U103" s="163"/>
      <c r="V103" s="163"/>
      <c r="W103" s="163"/>
      <c r="X103" s="163"/>
      <c r="Y103" s="163"/>
      <c r="Z103" s="163"/>
      <c r="AA103" s="163"/>
      <c r="AB103" s="163"/>
      <c r="AC103" s="163"/>
      <c r="AD103" s="163"/>
      <c r="AE103" s="163"/>
      <c r="AF103" s="163"/>
      <c r="AG103" s="163"/>
      <c r="AH103" s="163"/>
      <c r="AI103" s="163"/>
      <c r="AJ103" s="163"/>
      <c r="AK103" s="163"/>
    </row>
    <row r="104" spans="1:37" x14ac:dyDescent="0.25">
      <c r="A104" s="164" t="s">
        <v>3764</v>
      </c>
      <c r="B104" t="s">
        <v>3765</v>
      </c>
      <c r="C104" t="s">
        <v>3766</v>
      </c>
      <c r="D104" t="s">
        <v>3900</v>
      </c>
      <c r="E104" t="s">
        <v>3901</v>
      </c>
      <c r="F104" t="s">
        <v>3902</v>
      </c>
      <c r="G104" t="s">
        <v>5332</v>
      </c>
      <c r="H104" t="s">
        <v>5333</v>
      </c>
      <c r="I104" t="s">
        <v>5334</v>
      </c>
      <c r="J104" t="s">
        <v>5335</v>
      </c>
      <c r="K104" t="s">
        <v>5336</v>
      </c>
      <c r="L104" t="s">
        <v>5337</v>
      </c>
      <c r="M104" t="s">
        <v>5338</v>
      </c>
      <c r="N104" t="s">
        <v>5339</v>
      </c>
      <c r="O104" t="s">
        <v>5340</v>
      </c>
      <c r="P104" t="s">
        <v>5341</v>
      </c>
      <c r="Q104" t="s">
        <v>5342</v>
      </c>
      <c r="R104" t="s">
        <v>5343</v>
      </c>
      <c r="S104" t="s">
        <v>5344</v>
      </c>
      <c r="T104" t="s">
        <v>5345</v>
      </c>
      <c r="U104" t="s">
        <v>5346</v>
      </c>
    </row>
    <row r="105" spans="1:37" x14ac:dyDescent="0.25">
      <c r="A105" t="s">
        <v>3593</v>
      </c>
      <c r="B105" t="s">
        <v>203</v>
      </c>
      <c r="C105" t="s">
        <v>295</v>
      </c>
      <c r="D105" t="s">
        <v>296</v>
      </c>
      <c r="E105" t="s">
        <v>316</v>
      </c>
      <c r="F105" t="s">
        <v>339</v>
      </c>
      <c r="G105" t="s">
        <v>365</v>
      </c>
      <c r="H105" t="s">
        <v>366</v>
      </c>
      <c r="I105" t="s">
        <v>395</v>
      </c>
      <c r="J105" t="s">
        <v>441</v>
      </c>
      <c r="K105" t="s">
        <v>485</v>
      </c>
    </row>
    <row r="106" spans="1:37" x14ac:dyDescent="0.25">
      <c r="A106" t="s">
        <v>3547</v>
      </c>
    </row>
    <row r="107" spans="1:37" x14ac:dyDescent="0.25">
      <c r="A107" t="s">
        <v>3599</v>
      </c>
    </row>
    <row r="108" spans="1:37" x14ac:dyDescent="0.25">
      <c r="A108" t="s">
        <v>3611</v>
      </c>
      <c r="B108" s="6" t="s">
        <v>282</v>
      </c>
      <c r="C108" s="6" t="s">
        <v>391</v>
      </c>
      <c r="D108" s="6" t="s">
        <v>430</v>
      </c>
      <c r="E108" s="6" t="s">
        <v>466</v>
      </c>
      <c r="F108" s="6" t="s">
        <v>487</v>
      </c>
    </row>
    <row r="109" spans="1:37" x14ac:dyDescent="0.25">
      <c r="A109" t="s">
        <v>3763</v>
      </c>
    </row>
    <row r="110" spans="1:37" x14ac:dyDescent="0.25">
      <c r="A110" t="s">
        <v>3570</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1"/>
  <dimension ref="A1:G235"/>
  <sheetViews>
    <sheetView zoomScale="85" zoomScaleNormal="85" workbookViewId="0"/>
  </sheetViews>
  <sheetFormatPr defaultRowHeight="15" x14ac:dyDescent="0.25"/>
  <cols>
    <col min="4" max="4" width="19.85546875" bestFit="1" customWidth="1"/>
    <col min="5" max="5" width="50" customWidth="1"/>
  </cols>
  <sheetData>
    <row r="1" spans="1:5" x14ac:dyDescent="0.25">
      <c r="A1" s="592" t="s">
        <v>3753</v>
      </c>
      <c r="B1" s="592" t="s">
        <v>3754</v>
      </c>
      <c r="C1" s="592" t="s">
        <v>94</v>
      </c>
      <c r="D1" s="592" t="s">
        <v>7049</v>
      </c>
      <c r="E1" s="592" t="s">
        <v>177</v>
      </c>
    </row>
    <row r="2" spans="1:5" x14ac:dyDescent="0.25">
      <c r="A2" s="6" t="s">
        <v>35</v>
      </c>
      <c r="B2" s="6">
        <v>10</v>
      </c>
      <c r="C2" s="6">
        <v>4</v>
      </c>
      <c r="D2" s="6" t="s">
        <v>111</v>
      </c>
      <c r="E2" s="6"/>
    </row>
    <row r="3" spans="1:5" x14ac:dyDescent="0.25">
      <c r="A3" s="6" t="s">
        <v>116</v>
      </c>
      <c r="B3" s="6">
        <v>10</v>
      </c>
      <c r="C3" s="6">
        <v>1</v>
      </c>
      <c r="D3" s="6" t="s">
        <v>111</v>
      </c>
      <c r="E3" s="6"/>
    </row>
    <row r="4" spans="1:5" x14ac:dyDescent="0.25">
      <c r="A4" s="6" t="s">
        <v>119</v>
      </c>
      <c r="B4" s="6">
        <v>0.1</v>
      </c>
      <c r="C4" s="6">
        <v>2</v>
      </c>
      <c r="D4" s="6" t="s">
        <v>111</v>
      </c>
      <c r="E4" s="6"/>
    </row>
    <row r="5" spans="1:5" x14ac:dyDescent="0.25">
      <c r="A5" s="6" t="s">
        <v>123</v>
      </c>
      <c r="B5" s="6">
        <v>2</v>
      </c>
      <c r="C5" s="6">
        <v>1</v>
      </c>
      <c r="D5" s="6" t="s">
        <v>111</v>
      </c>
      <c r="E5" s="6"/>
    </row>
    <row r="6" spans="1:5" x14ac:dyDescent="0.25">
      <c r="A6" s="6" t="s">
        <v>124</v>
      </c>
      <c r="B6" s="6">
        <v>25</v>
      </c>
      <c r="C6" s="6">
        <v>0.25</v>
      </c>
      <c r="D6" s="6" t="s">
        <v>111</v>
      </c>
      <c r="E6" s="6"/>
    </row>
    <row r="7" spans="1:5" x14ac:dyDescent="0.25">
      <c r="A7" s="6" t="s">
        <v>125</v>
      </c>
      <c r="B7" s="6">
        <v>10</v>
      </c>
      <c r="C7" s="6">
        <v>2</v>
      </c>
      <c r="D7" s="6" t="s">
        <v>111</v>
      </c>
      <c r="E7" s="6"/>
    </row>
    <row r="8" spans="1:5" x14ac:dyDescent="0.25">
      <c r="A8" s="6" t="s">
        <v>127</v>
      </c>
      <c r="B8" s="6">
        <v>20</v>
      </c>
      <c r="C8" s="6">
        <v>6</v>
      </c>
      <c r="D8" s="6" t="s">
        <v>111</v>
      </c>
      <c r="E8" s="6"/>
    </row>
    <row r="9" spans="1:5" x14ac:dyDescent="0.25">
      <c r="A9" s="6" t="s">
        <v>129</v>
      </c>
      <c r="B9" s="6">
        <v>0.2</v>
      </c>
      <c r="C9" s="6">
        <v>10</v>
      </c>
      <c r="D9" s="6" t="s">
        <v>111</v>
      </c>
      <c r="E9" s="6"/>
    </row>
    <row r="10" spans="1:5" x14ac:dyDescent="0.25">
      <c r="A10" s="6" t="s">
        <v>130</v>
      </c>
      <c r="B10" s="6">
        <v>30</v>
      </c>
      <c r="C10" s="6">
        <v>7</v>
      </c>
      <c r="D10" s="6" t="s">
        <v>111</v>
      </c>
      <c r="E10" s="6"/>
    </row>
    <row r="11" spans="1:5" x14ac:dyDescent="0.25">
      <c r="A11" s="6" t="s">
        <v>132</v>
      </c>
      <c r="B11" s="6">
        <v>50</v>
      </c>
      <c r="C11" s="6">
        <v>6</v>
      </c>
      <c r="D11" s="6" t="s">
        <v>111</v>
      </c>
      <c r="E11" s="6"/>
    </row>
    <row r="12" spans="1:5" x14ac:dyDescent="0.25">
      <c r="A12" s="6" t="s">
        <v>134</v>
      </c>
      <c r="B12" s="6">
        <v>20</v>
      </c>
      <c r="C12" s="6">
        <v>6</v>
      </c>
      <c r="D12" s="6" t="s">
        <v>111</v>
      </c>
      <c r="E12" s="6"/>
    </row>
    <row r="13" spans="1:5" x14ac:dyDescent="0.25">
      <c r="A13" s="6" t="s">
        <v>135</v>
      </c>
      <c r="B13" s="6">
        <v>75</v>
      </c>
      <c r="C13" s="6">
        <v>3</v>
      </c>
      <c r="D13" s="6" t="s">
        <v>111</v>
      </c>
      <c r="E13" s="6"/>
    </row>
    <row r="14" spans="1:5" x14ac:dyDescent="0.25">
      <c r="A14" s="6" t="s">
        <v>36</v>
      </c>
      <c r="B14" s="6">
        <v>5</v>
      </c>
      <c r="C14" s="6">
        <v>2</v>
      </c>
      <c r="D14" s="6" t="s">
        <v>111</v>
      </c>
      <c r="E14" s="6"/>
    </row>
    <row r="15" spans="1:5" x14ac:dyDescent="0.25">
      <c r="A15" s="6" t="s">
        <v>137</v>
      </c>
      <c r="B15" s="6">
        <v>50</v>
      </c>
      <c r="C15" s="6">
        <v>18</v>
      </c>
      <c r="D15" s="6" t="s">
        <v>111</v>
      </c>
      <c r="E15" s="6"/>
    </row>
    <row r="16" spans="1:5" x14ac:dyDescent="0.25">
      <c r="A16" s="6" t="s">
        <v>138</v>
      </c>
      <c r="B16" s="6">
        <v>0.5</v>
      </c>
      <c r="C16" s="6">
        <v>2</v>
      </c>
      <c r="D16" s="6" t="s">
        <v>111</v>
      </c>
      <c r="E16" s="6"/>
    </row>
    <row r="17" spans="1:5" x14ac:dyDescent="0.25">
      <c r="A17" s="6" t="s">
        <v>140</v>
      </c>
      <c r="B17" s="6">
        <v>10</v>
      </c>
      <c r="C17" s="6">
        <v>6</v>
      </c>
      <c r="D17" s="6" t="s">
        <v>111</v>
      </c>
      <c r="E17" s="6"/>
    </row>
    <row r="18" spans="1:5" x14ac:dyDescent="0.25">
      <c r="A18" s="6" t="s">
        <v>141</v>
      </c>
      <c r="B18" s="6">
        <v>0.05</v>
      </c>
      <c r="C18" s="6">
        <v>5</v>
      </c>
      <c r="D18" s="6" t="s">
        <v>111</v>
      </c>
      <c r="E18" s="6"/>
    </row>
    <row r="19" spans="1:5" x14ac:dyDescent="0.25">
      <c r="A19" s="6" t="s">
        <v>142</v>
      </c>
      <c r="B19" s="6">
        <v>2</v>
      </c>
      <c r="C19" s="6">
        <v>2</v>
      </c>
      <c r="D19" s="6" t="s">
        <v>111</v>
      </c>
      <c r="E19" s="6"/>
    </row>
    <row r="20" spans="1:5" x14ac:dyDescent="0.25">
      <c r="A20" s="6" t="s">
        <v>53</v>
      </c>
      <c r="B20" s="6">
        <v>50</v>
      </c>
      <c r="C20" s="6">
        <v>2</v>
      </c>
      <c r="D20" s="6" t="s">
        <v>111</v>
      </c>
      <c r="E20" s="6"/>
    </row>
    <row r="21" spans="1:5" x14ac:dyDescent="0.25">
      <c r="A21" s="6" t="s">
        <v>50</v>
      </c>
      <c r="B21" s="6">
        <v>15</v>
      </c>
      <c r="C21" s="6">
        <v>3</v>
      </c>
      <c r="D21" s="6" t="s">
        <v>111</v>
      </c>
      <c r="E21" s="6"/>
    </row>
    <row r="22" spans="1:5" x14ac:dyDescent="0.25">
      <c r="A22" s="6" t="s">
        <v>143</v>
      </c>
      <c r="B22" s="6">
        <v>5</v>
      </c>
      <c r="C22" s="6">
        <v>4</v>
      </c>
      <c r="D22" s="6" t="s">
        <v>111</v>
      </c>
      <c r="E22" s="6"/>
    </row>
    <row r="23" spans="1:5" x14ac:dyDescent="0.25">
      <c r="A23" s="6" t="s">
        <v>144</v>
      </c>
      <c r="B23" s="6">
        <v>10</v>
      </c>
      <c r="C23" s="6">
        <v>10</v>
      </c>
      <c r="D23" s="6" t="s">
        <v>111</v>
      </c>
      <c r="E23" s="6"/>
    </row>
    <row r="24" spans="1:5" x14ac:dyDescent="0.25">
      <c r="A24" s="6" t="s">
        <v>145</v>
      </c>
      <c r="B24" s="6">
        <v>5</v>
      </c>
      <c r="C24" s="6">
        <v>4</v>
      </c>
      <c r="D24" s="6" t="s">
        <v>111</v>
      </c>
      <c r="E24" s="6"/>
    </row>
    <row r="25" spans="1:5" x14ac:dyDescent="0.25">
      <c r="A25" s="6" t="s">
        <v>146</v>
      </c>
      <c r="B25" s="6">
        <v>1</v>
      </c>
      <c r="C25" s="6">
        <v>3</v>
      </c>
      <c r="D25" s="6" t="s">
        <v>111</v>
      </c>
      <c r="E25" s="6"/>
    </row>
    <row r="26" spans="1:5" x14ac:dyDescent="0.25">
      <c r="A26" s="6" t="s">
        <v>147</v>
      </c>
      <c r="B26" s="6">
        <v>5</v>
      </c>
      <c r="C26" s="6">
        <v>18</v>
      </c>
      <c r="D26" s="6" t="s">
        <v>111</v>
      </c>
      <c r="E26" s="6"/>
    </row>
    <row r="27" spans="1:5" x14ac:dyDescent="0.25">
      <c r="A27" s="6" t="s">
        <v>148</v>
      </c>
      <c r="B27" s="6">
        <v>0.2</v>
      </c>
      <c r="C27" s="6">
        <v>4</v>
      </c>
      <c r="D27" s="6" t="s">
        <v>111</v>
      </c>
      <c r="E27" s="6"/>
    </row>
    <row r="28" spans="1:5" x14ac:dyDescent="0.25">
      <c r="A28" s="6" t="s">
        <v>149</v>
      </c>
      <c r="B28" s="6">
        <v>25</v>
      </c>
      <c r="C28" s="6">
        <v>2</v>
      </c>
      <c r="D28" s="6" t="s">
        <v>111</v>
      </c>
      <c r="E28" s="6"/>
    </row>
    <row r="29" spans="1:5" x14ac:dyDescent="0.25">
      <c r="A29" s="6" t="s">
        <v>151</v>
      </c>
      <c r="B29" s="6">
        <v>25</v>
      </c>
      <c r="C29" s="6">
        <v>3</v>
      </c>
      <c r="D29" s="6" t="s">
        <v>111</v>
      </c>
      <c r="E29" s="6"/>
    </row>
    <row r="30" spans="1:5" x14ac:dyDescent="0.25">
      <c r="A30" s="6" t="s">
        <v>52</v>
      </c>
      <c r="B30" s="6">
        <v>1</v>
      </c>
      <c r="C30" s="6">
        <v>2</v>
      </c>
      <c r="D30" s="6" t="s">
        <v>111</v>
      </c>
      <c r="E30" s="6"/>
    </row>
    <row r="31" spans="1:5" x14ac:dyDescent="0.25">
      <c r="A31" s="6" t="s">
        <v>51</v>
      </c>
      <c r="B31" s="6">
        <v>10</v>
      </c>
      <c r="C31" s="6">
        <v>2</v>
      </c>
      <c r="D31" s="6" t="s">
        <v>111</v>
      </c>
      <c r="E31" s="6"/>
    </row>
    <row r="32" spans="1:5" x14ac:dyDescent="0.25">
      <c r="A32" s="6" t="s">
        <v>152</v>
      </c>
      <c r="B32" s="6">
        <v>1</v>
      </c>
      <c r="C32" s="6">
        <v>2</v>
      </c>
      <c r="D32" s="6" t="s">
        <v>111</v>
      </c>
      <c r="E32" s="6"/>
    </row>
    <row r="33" spans="1:7" x14ac:dyDescent="0.25">
      <c r="A33" s="6" t="s">
        <v>153</v>
      </c>
      <c r="B33" s="6">
        <v>0.1</v>
      </c>
      <c r="C33" s="6">
        <v>0</v>
      </c>
      <c r="D33" s="6" t="s">
        <v>111</v>
      </c>
      <c r="E33" s="6"/>
    </row>
    <row r="34" spans="1:7" x14ac:dyDescent="0.25">
      <c r="A34" s="6" t="s">
        <v>155</v>
      </c>
      <c r="B34" s="6">
        <v>1</v>
      </c>
      <c r="C34" s="6">
        <v>3</v>
      </c>
      <c r="D34" s="6" t="s">
        <v>111</v>
      </c>
      <c r="E34" s="6"/>
    </row>
    <row r="35" spans="1:7" x14ac:dyDescent="0.25">
      <c r="A35" s="6" t="s">
        <v>156</v>
      </c>
      <c r="B35" s="6">
        <v>5</v>
      </c>
      <c r="C35" s="6">
        <v>4</v>
      </c>
      <c r="D35" s="6" t="s">
        <v>111</v>
      </c>
      <c r="E35" s="6"/>
    </row>
    <row r="36" spans="1:7" x14ac:dyDescent="0.25">
      <c r="A36" s="6" t="s">
        <v>157</v>
      </c>
      <c r="B36" s="6"/>
      <c r="C36" s="6">
        <v>0</v>
      </c>
      <c r="D36" s="6" t="s">
        <v>111</v>
      </c>
      <c r="E36" s="6"/>
    </row>
    <row r="37" spans="1:7" x14ac:dyDescent="0.25">
      <c r="A37" s="6" t="s">
        <v>158</v>
      </c>
      <c r="B37" s="6">
        <v>5</v>
      </c>
      <c r="C37" s="6">
        <v>2</v>
      </c>
      <c r="D37" s="6" t="s">
        <v>111</v>
      </c>
      <c r="E37" s="6"/>
    </row>
    <row r="38" spans="1:7" x14ac:dyDescent="0.25">
      <c r="A38" s="6" t="s">
        <v>38</v>
      </c>
      <c r="B38" s="6">
        <v>15</v>
      </c>
      <c r="C38" s="6">
        <v>2</v>
      </c>
      <c r="D38" s="6" t="s">
        <v>111</v>
      </c>
      <c r="E38" s="6"/>
    </row>
    <row r="39" spans="1:7" x14ac:dyDescent="0.25">
      <c r="A39" s="6" t="s">
        <v>159</v>
      </c>
      <c r="B39" s="6">
        <v>2</v>
      </c>
      <c r="C39" s="6">
        <v>3</v>
      </c>
      <c r="D39" s="6" t="s">
        <v>111</v>
      </c>
      <c r="E39" s="6"/>
    </row>
    <row r="40" spans="1:7" x14ac:dyDescent="0.25">
      <c r="A40" s="6" t="s">
        <v>96</v>
      </c>
      <c r="B40" s="6">
        <v>5</v>
      </c>
      <c r="C40" s="6">
        <v>8</v>
      </c>
      <c r="D40" s="6" t="s">
        <v>89</v>
      </c>
      <c r="E40" s="6"/>
      <c r="F40" s="378"/>
      <c r="G40" s="6"/>
    </row>
    <row r="41" spans="1:7" x14ac:dyDescent="0.25">
      <c r="A41" s="6" t="s">
        <v>98</v>
      </c>
      <c r="B41" s="6">
        <v>10</v>
      </c>
      <c r="C41" s="6">
        <v>10</v>
      </c>
      <c r="D41" s="6" t="s">
        <v>89</v>
      </c>
      <c r="E41" s="6"/>
      <c r="F41" s="198"/>
      <c r="G41" s="6"/>
    </row>
    <row r="42" spans="1:7" x14ac:dyDescent="0.25">
      <c r="A42" s="6" t="s">
        <v>99</v>
      </c>
      <c r="B42" s="6">
        <v>45</v>
      </c>
      <c r="C42" s="6">
        <v>13</v>
      </c>
      <c r="D42" s="6" t="s">
        <v>89</v>
      </c>
      <c r="E42" s="6"/>
      <c r="F42" s="198"/>
      <c r="G42" s="6"/>
    </row>
    <row r="43" spans="1:7" x14ac:dyDescent="0.25">
      <c r="A43" s="6" t="s">
        <v>100</v>
      </c>
      <c r="B43" s="6">
        <v>10</v>
      </c>
      <c r="C43" s="6">
        <v>12</v>
      </c>
      <c r="D43" s="6" t="s">
        <v>89</v>
      </c>
      <c r="E43" s="6"/>
      <c r="F43" s="198"/>
      <c r="G43" s="6"/>
    </row>
    <row r="44" spans="1:7" x14ac:dyDescent="0.25">
      <c r="A44" s="6" t="s">
        <v>101</v>
      </c>
      <c r="B44" s="6">
        <v>50</v>
      </c>
      <c r="C44" s="6">
        <v>20</v>
      </c>
      <c r="D44" s="6" t="s">
        <v>89</v>
      </c>
      <c r="E44" s="6"/>
      <c r="F44" s="198"/>
      <c r="G44" s="6"/>
    </row>
    <row r="45" spans="1:7" x14ac:dyDescent="0.25">
      <c r="A45" s="6" t="s">
        <v>102</v>
      </c>
      <c r="B45" s="6">
        <v>50</v>
      </c>
      <c r="C45" s="6">
        <v>45</v>
      </c>
      <c r="D45" s="6" t="s">
        <v>89</v>
      </c>
      <c r="E45" s="6"/>
      <c r="F45" s="378"/>
      <c r="G45" s="6"/>
    </row>
    <row r="46" spans="1:7" x14ac:dyDescent="0.25">
      <c r="A46" s="6" t="s">
        <v>103</v>
      </c>
      <c r="B46" s="6">
        <v>400</v>
      </c>
      <c r="C46" s="6">
        <v>20</v>
      </c>
      <c r="D46" s="6" t="s">
        <v>89</v>
      </c>
      <c r="E46" s="6"/>
      <c r="F46" s="198"/>
      <c r="G46" s="6"/>
    </row>
    <row r="47" spans="1:7" x14ac:dyDescent="0.25">
      <c r="A47" s="6" t="s">
        <v>104</v>
      </c>
      <c r="B47" s="6">
        <v>750</v>
      </c>
      <c r="C47" s="6">
        <v>40</v>
      </c>
      <c r="D47" s="6" t="s">
        <v>89</v>
      </c>
      <c r="E47" s="6"/>
      <c r="F47" s="378"/>
      <c r="G47" s="6"/>
    </row>
    <row r="48" spans="1:7" x14ac:dyDescent="0.25">
      <c r="A48" s="6" t="s">
        <v>105</v>
      </c>
      <c r="B48" s="6">
        <v>30</v>
      </c>
      <c r="C48" s="6">
        <v>40</v>
      </c>
      <c r="D48" s="6" t="s">
        <v>89</v>
      </c>
      <c r="E48" s="6"/>
      <c r="F48" s="378"/>
      <c r="G48" s="6"/>
    </row>
    <row r="49" spans="1:7" x14ac:dyDescent="0.25">
      <c r="A49" s="6" t="s">
        <v>3758</v>
      </c>
      <c r="B49" s="6">
        <v>75</v>
      </c>
      <c r="C49" s="6">
        <v>55</v>
      </c>
      <c r="D49" s="6" t="s">
        <v>89</v>
      </c>
      <c r="E49" s="6"/>
      <c r="F49" s="378"/>
      <c r="G49" s="6"/>
    </row>
    <row r="50" spans="1:7" x14ac:dyDescent="0.25">
      <c r="A50" s="6" t="s">
        <v>107</v>
      </c>
      <c r="B50" s="6">
        <v>200</v>
      </c>
      <c r="C50" s="6">
        <v>60</v>
      </c>
      <c r="D50" s="6" t="s">
        <v>89</v>
      </c>
      <c r="E50" s="6"/>
      <c r="F50" s="378"/>
      <c r="G50" s="6"/>
    </row>
    <row r="51" spans="1:7" x14ac:dyDescent="0.25">
      <c r="A51" s="6" t="s">
        <v>108</v>
      </c>
      <c r="B51" s="6">
        <v>1500</v>
      </c>
      <c r="C51" s="6">
        <v>65</v>
      </c>
      <c r="D51" s="6" t="s">
        <v>89</v>
      </c>
      <c r="E51" s="6"/>
      <c r="F51" s="378"/>
      <c r="G51" s="6"/>
    </row>
    <row r="52" spans="1:7" x14ac:dyDescent="0.25">
      <c r="A52" s="8" t="s">
        <v>110</v>
      </c>
      <c r="B52" s="6">
        <v>10</v>
      </c>
      <c r="C52" s="6">
        <v>6</v>
      </c>
      <c r="D52" s="6" t="s">
        <v>89</v>
      </c>
      <c r="E52" s="6"/>
      <c r="F52" s="198"/>
      <c r="G52" s="6"/>
    </row>
    <row r="53" spans="1:7" x14ac:dyDescent="0.25">
      <c r="A53" s="6" t="s">
        <v>186</v>
      </c>
      <c r="B53" s="6">
        <v>50</v>
      </c>
      <c r="C53" s="6">
        <v>8</v>
      </c>
      <c r="D53" s="160" t="s">
        <v>3557</v>
      </c>
      <c r="E53" s="6"/>
    </row>
    <row r="54" spans="1:7" x14ac:dyDescent="0.25">
      <c r="A54" s="6" t="s">
        <v>229</v>
      </c>
      <c r="B54" s="6">
        <v>20</v>
      </c>
      <c r="C54" s="6">
        <v>9</v>
      </c>
      <c r="D54" s="160" t="s">
        <v>3557</v>
      </c>
      <c r="E54" s="6"/>
    </row>
    <row r="55" spans="1:7" x14ac:dyDescent="0.25">
      <c r="A55" s="6" t="s">
        <v>234</v>
      </c>
      <c r="B55" s="6">
        <v>10</v>
      </c>
      <c r="C55" s="6">
        <v>5</v>
      </c>
      <c r="D55" s="160" t="s">
        <v>3557</v>
      </c>
      <c r="E55" s="6"/>
    </row>
    <row r="56" spans="1:7" x14ac:dyDescent="0.25">
      <c r="A56" s="6" t="s">
        <v>244</v>
      </c>
      <c r="B56" s="6">
        <v>8</v>
      </c>
      <c r="C56" s="6">
        <v>6</v>
      </c>
      <c r="D56" s="160" t="s">
        <v>3557</v>
      </c>
      <c r="E56" s="6"/>
    </row>
    <row r="57" spans="1:7" x14ac:dyDescent="0.25">
      <c r="A57" s="6" t="s">
        <v>248</v>
      </c>
      <c r="B57" s="6">
        <v>15</v>
      </c>
      <c r="C57" s="6">
        <v>6</v>
      </c>
      <c r="D57" s="160" t="s">
        <v>3557</v>
      </c>
      <c r="E57" s="6"/>
    </row>
    <row r="58" spans="1:7" x14ac:dyDescent="0.25">
      <c r="A58" s="6" t="s">
        <v>264</v>
      </c>
      <c r="B58" s="6">
        <v>5</v>
      </c>
      <c r="C58" s="6">
        <v>5</v>
      </c>
      <c r="D58" s="160" t="s">
        <v>3557</v>
      </c>
      <c r="E58" s="6"/>
    </row>
    <row r="59" spans="1:7" x14ac:dyDescent="0.25">
      <c r="A59" s="6" t="s">
        <v>273</v>
      </c>
      <c r="B59" s="6">
        <v>1</v>
      </c>
      <c r="C59" s="6">
        <v>8</v>
      </c>
      <c r="D59" s="160" t="s">
        <v>3557</v>
      </c>
      <c r="E59" s="6"/>
    </row>
    <row r="60" spans="1:7" x14ac:dyDescent="0.25">
      <c r="A60" s="6" t="s">
        <v>325</v>
      </c>
      <c r="B60" s="6">
        <v>30</v>
      </c>
      <c r="C60" s="6">
        <v>5</v>
      </c>
      <c r="D60" s="160" t="s">
        <v>3557</v>
      </c>
      <c r="E60" s="6"/>
    </row>
    <row r="61" spans="1:7" x14ac:dyDescent="0.25">
      <c r="A61" s="6" t="s">
        <v>349</v>
      </c>
      <c r="B61" s="6">
        <v>25</v>
      </c>
      <c r="C61" s="6">
        <v>2</v>
      </c>
      <c r="D61" s="160" t="s">
        <v>3557</v>
      </c>
      <c r="E61" s="6"/>
    </row>
    <row r="62" spans="1:7" x14ac:dyDescent="0.25">
      <c r="A62" s="6" t="s">
        <v>359</v>
      </c>
      <c r="B62" s="6">
        <v>5</v>
      </c>
      <c r="C62" s="6">
        <v>5</v>
      </c>
      <c r="D62" s="160" t="s">
        <v>3557</v>
      </c>
      <c r="E62" s="6"/>
    </row>
    <row r="63" spans="1:7" x14ac:dyDescent="0.25">
      <c r="A63" s="6" t="s">
        <v>373</v>
      </c>
      <c r="B63" s="6">
        <v>10</v>
      </c>
      <c r="C63" s="6">
        <v>8</v>
      </c>
      <c r="D63" s="160" t="s">
        <v>3557</v>
      </c>
      <c r="E63" s="6"/>
    </row>
    <row r="64" spans="1:7" x14ac:dyDescent="0.25">
      <c r="A64" s="6" t="s">
        <v>394</v>
      </c>
      <c r="B64" s="6">
        <v>10</v>
      </c>
      <c r="C64" s="6">
        <v>5</v>
      </c>
      <c r="D64" s="160" t="s">
        <v>3557</v>
      </c>
      <c r="E64" s="6"/>
    </row>
    <row r="65" spans="1:5" x14ac:dyDescent="0.25">
      <c r="A65" s="6" t="s">
        <v>413</v>
      </c>
      <c r="B65" s="6">
        <v>10</v>
      </c>
      <c r="C65" s="6">
        <v>3</v>
      </c>
      <c r="D65" s="160" t="s">
        <v>3557</v>
      </c>
      <c r="E65" s="6"/>
    </row>
    <row r="66" spans="1:5" x14ac:dyDescent="0.25">
      <c r="A66" s="6" t="s">
        <v>454</v>
      </c>
      <c r="B66" s="6">
        <v>10</v>
      </c>
      <c r="C66" s="6">
        <v>8</v>
      </c>
      <c r="D66" s="160" t="s">
        <v>3557</v>
      </c>
      <c r="E66" s="6"/>
    </row>
    <row r="67" spans="1:5" x14ac:dyDescent="0.25">
      <c r="A67" s="6" t="s">
        <v>475</v>
      </c>
      <c r="B67" s="6">
        <v>50</v>
      </c>
      <c r="C67" s="6">
        <v>10</v>
      </c>
      <c r="D67" s="160" t="s">
        <v>3557</v>
      </c>
      <c r="E67" s="6"/>
    </row>
    <row r="68" spans="1:5" x14ac:dyDescent="0.25">
      <c r="A68" s="6" t="s">
        <v>495</v>
      </c>
      <c r="B68" s="6">
        <v>1</v>
      </c>
      <c r="C68" s="6">
        <v>5</v>
      </c>
      <c r="D68" s="160" t="s">
        <v>3557</v>
      </c>
      <c r="E68" s="6"/>
    </row>
    <row r="69" spans="1:5" x14ac:dyDescent="0.25">
      <c r="A69" s="6" t="s">
        <v>497</v>
      </c>
      <c r="B69" s="6">
        <v>1</v>
      </c>
      <c r="C69" s="6">
        <v>5</v>
      </c>
      <c r="D69" s="160" t="s">
        <v>3557</v>
      </c>
      <c r="E69" s="6"/>
    </row>
    <row r="70" spans="1:5" x14ac:dyDescent="0.25">
      <c r="A70" s="6" t="s">
        <v>282</v>
      </c>
      <c r="B70" s="6">
        <v>10</v>
      </c>
      <c r="C70" s="6">
        <v>1</v>
      </c>
      <c r="D70" s="160" t="s">
        <v>281</v>
      </c>
      <c r="E70" s="6"/>
    </row>
    <row r="71" spans="1:5" x14ac:dyDescent="0.25">
      <c r="A71" s="6" t="s">
        <v>391</v>
      </c>
      <c r="B71" s="6">
        <v>20</v>
      </c>
      <c r="C71" s="6">
        <v>3</v>
      </c>
      <c r="D71" s="160" t="s">
        <v>281</v>
      </c>
      <c r="E71" s="6"/>
    </row>
    <row r="72" spans="1:5" x14ac:dyDescent="0.25">
      <c r="A72" s="6" t="s">
        <v>430</v>
      </c>
      <c r="B72" s="6">
        <v>10</v>
      </c>
      <c r="C72" s="6">
        <v>2</v>
      </c>
      <c r="D72" s="160" t="s">
        <v>281</v>
      </c>
      <c r="E72" s="6"/>
    </row>
    <row r="73" spans="1:5" x14ac:dyDescent="0.25">
      <c r="A73" s="6" t="s">
        <v>466</v>
      </c>
      <c r="B73" s="6">
        <v>5</v>
      </c>
      <c r="C73" s="6">
        <v>4</v>
      </c>
      <c r="D73" s="160" t="s">
        <v>281</v>
      </c>
      <c r="E73" s="6"/>
    </row>
    <row r="74" spans="1:5" x14ac:dyDescent="0.25">
      <c r="A74" s="6" t="s">
        <v>487</v>
      </c>
      <c r="B74" s="6">
        <v>10</v>
      </c>
      <c r="C74" s="6">
        <v>1</v>
      </c>
      <c r="D74" s="160" t="s">
        <v>281</v>
      </c>
      <c r="E74" s="6"/>
    </row>
    <row r="75" spans="1:5" x14ac:dyDescent="0.25">
      <c r="A75" s="6" t="s">
        <v>287</v>
      </c>
      <c r="B75" s="6">
        <v>25</v>
      </c>
      <c r="C75" s="6">
        <v>3</v>
      </c>
      <c r="D75" s="160" t="s">
        <v>3767</v>
      </c>
      <c r="E75" s="6" t="s">
        <v>288</v>
      </c>
    </row>
    <row r="76" spans="1:5" x14ac:dyDescent="0.25">
      <c r="A76" s="6" t="s">
        <v>317</v>
      </c>
      <c r="B76" s="6">
        <v>15</v>
      </c>
      <c r="C76" s="6">
        <v>5</v>
      </c>
      <c r="D76" s="160" t="s">
        <v>3767</v>
      </c>
      <c r="E76" s="6" t="s">
        <v>318</v>
      </c>
    </row>
    <row r="77" spans="1:5" x14ac:dyDescent="0.25">
      <c r="A77" s="6" t="s">
        <v>333</v>
      </c>
      <c r="B77" s="6">
        <v>5</v>
      </c>
      <c r="C77" s="6">
        <v>3</v>
      </c>
      <c r="D77" s="160" t="s">
        <v>3767</v>
      </c>
      <c r="E77" s="6" t="s">
        <v>334</v>
      </c>
    </row>
    <row r="78" spans="1:5" x14ac:dyDescent="0.25">
      <c r="A78" s="6" t="s">
        <v>387</v>
      </c>
      <c r="B78" s="6">
        <v>25</v>
      </c>
      <c r="C78" s="6">
        <v>2</v>
      </c>
      <c r="D78" s="160" t="s">
        <v>3767</v>
      </c>
      <c r="E78" s="6" t="s">
        <v>388</v>
      </c>
    </row>
    <row r="79" spans="1:5" x14ac:dyDescent="0.25">
      <c r="A79" s="6" t="s">
        <v>401</v>
      </c>
      <c r="B79" s="6">
        <v>50</v>
      </c>
      <c r="C79" s="6">
        <v>2</v>
      </c>
      <c r="D79" s="160" t="s">
        <v>3767</v>
      </c>
      <c r="E79" s="6" t="s">
        <v>402</v>
      </c>
    </row>
    <row r="80" spans="1:5" x14ac:dyDescent="0.25">
      <c r="A80" s="6" t="s">
        <v>470</v>
      </c>
      <c r="B80" s="6">
        <v>25</v>
      </c>
      <c r="C80" s="6">
        <v>1</v>
      </c>
      <c r="D80" s="160" t="s">
        <v>3767</v>
      </c>
      <c r="E80" s="6" t="s">
        <v>471</v>
      </c>
    </row>
    <row r="81" spans="1:5" x14ac:dyDescent="0.25">
      <c r="A81" s="6" t="s">
        <v>284</v>
      </c>
      <c r="B81" s="6">
        <v>0.1</v>
      </c>
      <c r="C81" s="6">
        <v>0</v>
      </c>
      <c r="D81" s="160" t="s">
        <v>3768</v>
      </c>
      <c r="E81" s="6"/>
    </row>
    <row r="82" spans="1:5" x14ac:dyDescent="0.25">
      <c r="A82" s="6" t="s">
        <v>294</v>
      </c>
      <c r="B82" s="6">
        <v>1</v>
      </c>
      <c r="C82" s="6">
        <v>0.5</v>
      </c>
      <c r="D82" s="160" t="s">
        <v>3768</v>
      </c>
      <c r="E82" s="6"/>
    </row>
    <row r="83" spans="1:5" x14ac:dyDescent="0.25">
      <c r="A83" s="6" t="s">
        <v>400</v>
      </c>
      <c r="B83" s="6">
        <v>0.5</v>
      </c>
      <c r="C83" s="6">
        <v>0</v>
      </c>
      <c r="D83" s="160" t="s">
        <v>3768</v>
      </c>
      <c r="E83" s="6"/>
    </row>
    <row r="84" spans="1:5" x14ac:dyDescent="0.25">
      <c r="A84" s="6" t="s">
        <v>472</v>
      </c>
      <c r="B84" s="6">
        <v>1</v>
      </c>
      <c r="C84" s="6">
        <v>0</v>
      </c>
      <c r="D84" s="160" t="s">
        <v>3768</v>
      </c>
      <c r="E84" s="6"/>
    </row>
    <row r="85" spans="1:5" x14ac:dyDescent="0.25">
      <c r="A85" s="6" t="s">
        <v>43</v>
      </c>
      <c r="B85" s="6">
        <v>0.5</v>
      </c>
      <c r="C85" s="6">
        <v>3</v>
      </c>
      <c r="D85" s="160" t="s">
        <v>3588</v>
      </c>
      <c r="E85" s="6"/>
    </row>
    <row r="86" spans="1:5" x14ac:dyDescent="0.25">
      <c r="A86" s="6" t="s">
        <v>274</v>
      </c>
      <c r="B86" s="6">
        <v>5</v>
      </c>
      <c r="C86" s="6">
        <v>4</v>
      </c>
      <c r="D86" s="160" t="s">
        <v>3588</v>
      </c>
      <c r="E86" s="6"/>
    </row>
    <row r="87" spans="1:5" x14ac:dyDescent="0.25">
      <c r="A87" s="6" t="s">
        <v>304</v>
      </c>
      <c r="B87" s="6">
        <v>15</v>
      </c>
      <c r="C87" s="6">
        <v>6</v>
      </c>
      <c r="D87" s="160" t="s">
        <v>3588</v>
      </c>
      <c r="E87" s="6"/>
    </row>
    <row r="88" spans="1:5" x14ac:dyDescent="0.25">
      <c r="A88" s="6" t="s">
        <v>429</v>
      </c>
      <c r="B88" s="6">
        <v>1</v>
      </c>
      <c r="C88" s="6">
        <v>4</v>
      </c>
      <c r="D88" s="160" t="s">
        <v>3588</v>
      </c>
      <c r="E88" s="6"/>
    </row>
    <row r="89" spans="1:5" x14ac:dyDescent="0.25">
      <c r="A89" s="6" t="s">
        <v>479</v>
      </c>
      <c r="B89" s="6">
        <v>2</v>
      </c>
      <c r="C89" s="6">
        <v>4</v>
      </c>
      <c r="D89" s="160" t="s">
        <v>3588</v>
      </c>
      <c r="E89" s="6"/>
    </row>
    <row r="90" spans="1:5" x14ac:dyDescent="0.25">
      <c r="A90" s="6" t="s">
        <v>189</v>
      </c>
      <c r="B90" s="6">
        <v>5</v>
      </c>
      <c r="C90" s="6">
        <v>1</v>
      </c>
      <c r="D90" s="160" t="s">
        <v>188</v>
      </c>
      <c r="E90" s="6"/>
    </row>
    <row r="91" spans="1:5" x14ac:dyDescent="0.25">
      <c r="A91" s="6" t="s">
        <v>299</v>
      </c>
      <c r="B91" s="6">
        <v>5</v>
      </c>
      <c r="C91" s="6">
        <v>0</v>
      </c>
      <c r="D91" s="160" t="s">
        <v>188</v>
      </c>
      <c r="E91" s="6"/>
    </row>
    <row r="92" spans="1:5" x14ac:dyDescent="0.25">
      <c r="A92" s="6" t="s">
        <v>421</v>
      </c>
      <c r="B92" s="6">
        <v>5</v>
      </c>
      <c r="C92" s="6">
        <v>2</v>
      </c>
      <c r="D92" s="160" t="s">
        <v>188</v>
      </c>
      <c r="E92" s="6"/>
    </row>
    <row r="93" spans="1:5" x14ac:dyDescent="0.25">
      <c r="A93" s="6" t="s">
        <v>459</v>
      </c>
      <c r="B93" s="6">
        <v>1</v>
      </c>
      <c r="C93" s="6">
        <v>0</v>
      </c>
      <c r="D93" s="160" t="s">
        <v>458</v>
      </c>
      <c r="E93" s="6"/>
    </row>
    <row r="94" spans="1:5" x14ac:dyDescent="0.25">
      <c r="A94" s="6" t="s">
        <v>478</v>
      </c>
      <c r="B94" s="6">
        <v>1</v>
      </c>
      <c r="C94" s="6">
        <v>0</v>
      </c>
      <c r="D94" s="160" t="s">
        <v>458</v>
      </c>
      <c r="E94" s="6"/>
    </row>
    <row r="95" spans="1:5" x14ac:dyDescent="0.25">
      <c r="A95" s="6" t="s">
        <v>498</v>
      </c>
      <c r="B95" s="6">
        <v>5</v>
      </c>
      <c r="C95" s="6">
        <v>4</v>
      </c>
      <c r="D95" s="160" t="s">
        <v>458</v>
      </c>
      <c r="E95" s="6"/>
    </row>
    <row r="96" spans="1:5" x14ac:dyDescent="0.25">
      <c r="A96" s="6" t="s">
        <v>499</v>
      </c>
      <c r="B96" s="6">
        <v>10</v>
      </c>
      <c r="C96" s="6">
        <v>1</v>
      </c>
      <c r="D96" s="160" t="s">
        <v>458</v>
      </c>
      <c r="E96" s="6"/>
    </row>
    <row r="97" spans="1:5" x14ac:dyDescent="0.25">
      <c r="A97" s="6" t="s">
        <v>203</v>
      </c>
      <c r="B97" s="6">
        <v>30</v>
      </c>
      <c r="C97" s="6">
        <v>6</v>
      </c>
      <c r="D97" s="160" t="s">
        <v>202</v>
      </c>
      <c r="E97" s="6"/>
    </row>
    <row r="98" spans="1:5" x14ac:dyDescent="0.25">
      <c r="A98" s="6" t="s">
        <v>295</v>
      </c>
      <c r="B98" s="6">
        <v>6</v>
      </c>
      <c r="C98" s="6">
        <v>3</v>
      </c>
      <c r="D98" s="160" t="s">
        <v>202</v>
      </c>
      <c r="E98" s="6"/>
    </row>
    <row r="99" spans="1:5" x14ac:dyDescent="0.25">
      <c r="A99" s="6" t="s">
        <v>296</v>
      </c>
      <c r="B99" s="6">
        <v>25</v>
      </c>
      <c r="C99" s="6">
        <v>10</v>
      </c>
      <c r="D99" s="160" t="s">
        <v>202</v>
      </c>
      <c r="E99" s="6"/>
    </row>
    <row r="100" spans="1:5" x14ac:dyDescent="0.25">
      <c r="A100" s="6" t="s">
        <v>316</v>
      </c>
      <c r="B100" s="6">
        <v>2</v>
      </c>
      <c r="C100" s="6">
        <v>1</v>
      </c>
      <c r="D100" s="160" t="s">
        <v>202</v>
      </c>
      <c r="E100" s="6"/>
    </row>
    <row r="101" spans="1:5" x14ac:dyDescent="0.25">
      <c r="A101" s="6" t="s">
        <v>339</v>
      </c>
      <c r="B101" s="6">
        <v>3</v>
      </c>
      <c r="C101" s="6">
        <v>2</v>
      </c>
      <c r="D101" s="160" t="s">
        <v>202</v>
      </c>
      <c r="E101" s="6"/>
    </row>
    <row r="102" spans="1:5" x14ac:dyDescent="0.25">
      <c r="A102" s="6" t="s">
        <v>365</v>
      </c>
      <c r="B102" s="6">
        <v>35</v>
      </c>
      <c r="C102" s="6">
        <v>2</v>
      </c>
      <c r="D102" s="160" t="s">
        <v>202</v>
      </c>
      <c r="E102" s="6"/>
    </row>
    <row r="103" spans="1:5" x14ac:dyDescent="0.25">
      <c r="A103" s="6" t="s">
        <v>366</v>
      </c>
      <c r="B103" s="6">
        <v>30</v>
      </c>
      <c r="C103" s="6">
        <v>2</v>
      </c>
      <c r="D103" s="160" t="s">
        <v>202</v>
      </c>
      <c r="E103" s="6"/>
    </row>
    <row r="104" spans="1:5" x14ac:dyDescent="0.25">
      <c r="A104" s="6" t="s">
        <v>395</v>
      </c>
      <c r="B104" s="6">
        <v>12</v>
      </c>
      <c r="C104" s="6">
        <v>2</v>
      </c>
      <c r="D104" s="160" t="s">
        <v>202</v>
      </c>
      <c r="E104" s="6"/>
    </row>
    <row r="105" spans="1:5" x14ac:dyDescent="0.25">
      <c r="A105" s="6" t="s">
        <v>441</v>
      </c>
      <c r="B105" s="6">
        <v>2</v>
      </c>
      <c r="C105" s="6">
        <v>1</v>
      </c>
      <c r="D105" s="160" t="s">
        <v>202</v>
      </c>
      <c r="E105" s="6"/>
    </row>
    <row r="106" spans="1:5" x14ac:dyDescent="0.25">
      <c r="A106" s="6" t="s">
        <v>485</v>
      </c>
      <c r="B106" s="6">
        <v>30</v>
      </c>
      <c r="C106" s="6">
        <v>1</v>
      </c>
      <c r="D106" s="160" t="s">
        <v>202</v>
      </c>
      <c r="E106" s="6"/>
    </row>
    <row r="107" spans="1:5" x14ac:dyDescent="0.25">
      <c r="A107" s="6" t="s">
        <v>181</v>
      </c>
      <c r="B107" s="6">
        <v>25</v>
      </c>
      <c r="C107" s="6">
        <v>1</v>
      </c>
      <c r="D107" s="6" t="s">
        <v>180</v>
      </c>
      <c r="E107" s="6" t="s">
        <v>182</v>
      </c>
    </row>
    <row r="108" spans="1:5" x14ac:dyDescent="0.25">
      <c r="A108" s="6" t="s">
        <v>183</v>
      </c>
      <c r="B108" s="6">
        <v>50</v>
      </c>
      <c r="C108" s="6">
        <v>1</v>
      </c>
      <c r="D108" s="6" t="s">
        <v>180</v>
      </c>
      <c r="E108" s="6" t="s">
        <v>184</v>
      </c>
    </row>
    <row r="109" spans="1:5" x14ac:dyDescent="0.25">
      <c r="A109" s="6" t="s">
        <v>192</v>
      </c>
      <c r="B109" s="6">
        <v>50</v>
      </c>
      <c r="C109" s="6">
        <v>0</v>
      </c>
      <c r="D109" s="6" t="s">
        <v>191</v>
      </c>
      <c r="E109" s="6" t="s">
        <v>193</v>
      </c>
    </row>
    <row r="110" spans="1:5" x14ac:dyDescent="0.25">
      <c r="A110" s="6" t="s">
        <v>195</v>
      </c>
      <c r="B110" s="6">
        <v>4</v>
      </c>
      <c r="C110" s="6"/>
      <c r="D110" s="6" t="s">
        <v>194</v>
      </c>
      <c r="E110" s="6"/>
    </row>
    <row r="111" spans="1:5" x14ac:dyDescent="0.25">
      <c r="A111" s="6" t="s">
        <v>197</v>
      </c>
      <c r="B111" s="6">
        <v>2</v>
      </c>
      <c r="C111" s="6"/>
      <c r="D111" s="6" t="s">
        <v>196</v>
      </c>
      <c r="E111" s="6"/>
    </row>
    <row r="112" spans="1:5" x14ac:dyDescent="0.25">
      <c r="A112" s="6" t="s">
        <v>198</v>
      </c>
      <c r="B112" s="6">
        <v>1</v>
      </c>
      <c r="C112" s="6">
        <v>1</v>
      </c>
      <c r="D112" s="6" t="s">
        <v>154</v>
      </c>
      <c r="E112" s="6"/>
    </row>
    <row r="113" spans="1:5" x14ac:dyDescent="0.25">
      <c r="A113" s="6" t="s">
        <v>200</v>
      </c>
      <c r="B113" s="6">
        <v>2</v>
      </c>
      <c r="C113" s="6">
        <v>5</v>
      </c>
      <c r="D113" s="6" t="s">
        <v>199</v>
      </c>
      <c r="E113" s="6"/>
    </row>
    <row r="114" spans="1:5" x14ac:dyDescent="0.25">
      <c r="A114" s="6" t="s">
        <v>206</v>
      </c>
      <c r="B114" s="6">
        <v>1</v>
      </c>
      <c r="C114" s="6">
        <v>2</v>
      </c>
      <c r="D114" s="6" t="s">
        <v>205</v>
      </c>
      <c r="E114" s="6" t="s">
        <v>207</v>
      </c>
    </row>
    <row r="115" spans="1:5" x14ac:dyDescent="0.25">
      <c r="A115" s="6" t="s">
        <v>208</v>
      </c>
      <c r="B115" s="6">
        <v>10</v>
      </c>
      <c r="C115" s="6"/>
      <c r="D115" s="6" t="s">
        <v>196</v>
      </c>
      <c r="E115" s="6"/>
    </row>
    <row r="116" spans="1:5" x14ac:dyDescent="0.25">
      <c r="A116" s="6" t="s">
        <v>209</v>
      </c>
      <c r="B116" s="6">
        <v>2</v>
      </c>
      <c r="C116" s="6">
        <v>70</v>
      </c>
      <c r="D116" s="6" t="s">
        <v>199</v>
      </c>
      <c r="E116" s="6"/>
    </row>
    <row r="117" spans="1:5" x14ac:dyDescent="0.25">
      <c r="A117" s="6" t="s">
        <v>212</v>
      </c>
      <c r="B117" s="6">
        <v>100</v>
      </c>
      <c r="C117" s="6">
        <v>0</v>
      </c>
      <c r="D117" s="6" t="s">
        <v>211</v>
      </c>
      <c r="E117" s="6" t="s">
        <v>213</v>
      </c>
    </row>
    <row r="118" spans="1:5" x14ac:dyDescent="0.25">
      <c r="A118" s="6" t="s">
        <v>214</v>
      </c>
      <c r="B118" s="6">
        <v>0.4</v>
      </c>
      <c r="C118" s="6">
        <v>2</v>
      </c>
      <c r="D118" s="6" t="s">
        <v>199</v>
      </c>
      <c r="E118" s="6"/>
    </row>
    <row r="119" spans="1:5" x14ac:dyDescent="0.25">
      <c r="A119" s="6" t="s">
        <v>217</v>
      </c>
      <c r="B119" s="6">
        <v>1</v>
      </c>
      <c r="C119" s="6">
        <v>7</v>
      </c>
      <c r="D119" s="6" t="s">
        <v>216</v>
      </c>
      <c r="E119" s="6"/>
    </row>
    <row r="120" spans="1:5" x14ac:dyDescent="0.25">
      <c r="A120" s="6" t="s">
        <v>218</v>
      </c>
      <c r="B120" s="6">
        <v>1</v>
      </c>
      <c r="C120" s="6">
        <v>0</v>
      </c>
      <c r="D120" s="6" t="s">
        <v>205</v>
      </c>
      <c r="E120" s="6"/>
    </row>
    <row r="121" spans="1:5" x14ac:dyDescent="0.25">
      <c r="A121" s="6" t="s">
        <v>220</v>
      </c>
      <c r="B121" s="6">
        <v>2</v>
      </c>
      <c r="C121" s="6">
        <v>1</v>
      </c>
      <c r="D121" s="6" t="s">
        <v>219</v>
      </c>
      <c r="E121" s="6"/>
    </row>
    <row r="122" spans="1:5" x14ac:dyDescent="0.25">
      <c r="A122" s="6" t="s">
        <v>221</v>
      </c>
      <c r="B122" s="6">
        <v>0.5</v>
      </c>
      <c r="C122" s="6">
        <v>3</v>
      </c>
      <c r="D122" s="6" t="s">
        <v>216</v>
      </c>
      <c r="E122" s="6"/>
    </row>
    <row r="123" spans="1:5" x14ac:dyDescent="0.25">
      <c r="A123" s="6" t="s">
        <v>222</v>
      </c>
      <c r="B123" s="6">
        <v>1</v>
      </c>
      <c r="C123" s="6">
        <v>5</v>
      </c>
      <c r="D123" s="6" t="s">
        <v>205</v>
      </c>
      <c r="E123" s="6" t="s">
        <v>223</v>
      </c>
    </row>
    <row r="124" spans="1:5" x14ac:dyDescent="0.25">
      <c r="A124" s="6" t="s">
        <v>224</v>
      </c>
      <c r="B124" s="6">
        <v>1</v>
      </c>
      <c r="C124" s="6">
        <v>1</v>
      </c>
      <c r="D124" s="6" t="s">
        <v>154</v>
      </c>
      <c r="E124" s="6"/>
    </row>
    <row r="125" spans="1:5" x14ac:dyDescent="0.25">
      <c r="A125" s="6" t="s">
        <v>225</v>
      </c>
      <c r="B125" s="6">
        <v>25</v>
      </c>
      <c r="C125" s="6">
        <v>5</v>
      </c>
      <c r="D125" s="6" t="s">
        <v>205</v>
      </c>
      <c r="E125" s="6" t="s">
        <v>226</v>
      </c>
    </row>
    <row r="126" spans="1:5" x14ac:dyDescent="0.25">
      <c r="A126" s="6" t="s">
        <v>103</v>
      </c>
      <c r="B126" s="6">
        <v>1600</v>
      </c>
      <c r="C126" s="6">
        <v>40</v>
      </c>
      <c r="D126" s="6" t="s">
        <v>227</v>
      </c>
      <c r="E126" s="6" t="s">
        <v>228</v>
      </c>
    </row>
    <row r="127" spans="1:5" x14ac:dyDescent="0.25">
      <c r="A127" s="6" t="s">
        <v>230</v>
      </c>
      <c r="B127" s="6">
        <v>0.05</v>
      </c>
      <c r="C127" s="6">
        <v>2</v>
      </c>
      <c r="D127" s="6" t="s">
        <v>199</v>
      </c>
      <c r="E127" s="6"/>
    </row>
    <row r="128" spans="1:5" x14ac:dyDescent="0.25">
      <c r="A128" s="6" t="s">
        <v>232</v>
      </c>
      <c r="B128" s="6">
        <v>10</v>
      </c>
      <c r="C128" s="6">
        <v>2</v>
      </c>
      <c r="D128" s="6" t="s">
        <v>216</v>
      </c>
      <c r="E128" s="6" t="s">
        <v>233</v>
      </c>
    </row>
    <row r="129" spans="1:5" x14ac:dyDescent="0.25">
      <c r="A129" s="6" t="s">
        <v>235</v>
      </c>
      <c r="B129" s="6">
        <v>1</v>
      </c>
      <c r="C129" s="6">
        <v>2</v>
      </c>
      <c r="D129" s="6" t="s">
        <v>205</v>
      </c>
      <c r="E129" s="6" t="s">
        <v>236</v>
      </c>
    </row>
    <row r="130" spans="1:5" x14ac:dyDescent="0.25">
      <c r="A130" s="6" t="s">
        <v>238</v>
      </c>
      <c r="B130" s="6">
        <v>50</v>
      </c>
      <c r="C130" s="6"/>
      <c r="D130" s="6" t="s">
        <v>237</v>
      </c>
      <c r="E130" s="6" t="s">
        <v>241</v>
      </c>
    </row>
    <row r="131" spans="1:5" x14ac:dyDescent="0.25">
      <c r="A131" s="6" t="s">
        <v>242</v>
      </c>
      <c r="B131" s="6">
        <v>0.01</v>
      </c>
      <c r="C131" s="6">
        <v>0</v>
      </c>
      <c r="D131" s="6" t="s">
        <v>216</v>
      </c>
      <c r="E131" s="6" t="s">
        <v>243</v>
      </c>
    </row>
    <row r="132" spans="1:5" x14ac:dyDescent="0.25">
      <c r="A132" s="6" t="s">
        <v>246</v>
      </c>
      <c r="B132" s="6">
        <v>100</v>
      </c>
      <c r="C132" s="6">
        <v>600</v>
      </c>
      <c r="D132" s="6" t="s">
        <v>245</v>
      </c>
      <c r="E132" s="6"/>
    </row>
    <row r="133" spans="1:5" x14ac:dyDescent="0.25">
      <c r="A133" s="6" t="s">
        <v>247</v>
      </c>
      <c r="B133" s="6">
        <v>15</v>
      </c>
      <c r="C133" s="6">
        <v>200</v>
      </c>
      <c r="D133" s="6" t="s">
        <v>245</v>
      </c>
      <c r="E133" s="6"/>
    </row>
    <row r="134" spans="1:5" x14ac:dyDescent="0.25">
      <c r="A134" s="6" t="s">
        <v>249</v>
      </c>
      <c r="B134" s="6">
        <v>5</v>
      </c>
      <c r="C134" s="6">
        <v>10</v>
      </c>
      <c r="D134" s="6" t="s">
        <v>216</v>
      </c>
      <c r="E134" s="6" t="s">
        <v>250</v>
      </c>
    </row>
    <row r="135" spans="1:5" x14ac:dyDescent="0.25">
      <c r="A135" s="6" t="s">
        <v>252</v>
      </c>
      <c r="B135" s="6">
        <v>300</v>
      </c>
      <c r="C135" s="6">
        <v>110</v>
      </c>
      <c r="D135" s="6" t="s">
        <v>251</v>
      </c>
      <c r="E135" s="6" t="s">
        <v>228</v>
      </c>
    </row>
    <row r="136" spans="1:5" x14ac:dyDescent="0.25">
      <c r="A136" s="6" t="s">
        <v>253</v>
      </c>
      <c r="B136" s="6">
        <v>200</v>
      </c>
      <c r="C136" s="6">
        <v>40</v>
      </c>
      <c r="D136" s="6" t="s">
        <v>227</v>
      </c>
      <c r="E136" s="6" t="s">
        <v>228</v>
      </c>
    </row>
    <row r="137" spans="1:5" x14ac:dyDescent="0.25">
      <c r="A137" s="6" t="s">
        <v>254</v>
      </c>
      <c r="B137" s="6">
        <v>0.01</v>
      </c>
      <c r="C137" s="6">
        <v>0</v>
      </c>
      <c r="D137" s="6" t="s">
        <v>205</v>
      </c>
      <c r="E137" s="6"/>
    </row>
    <row r="138" spans="1:5" x14ac:dyDescent="0.25">
      <c r="A138" s="6" t="s">
        <v>255</v>
      </c>
      <c r="B138" s="6">
        <v>200</v>
      </c>
      <c r="C138" s="6">
        <v>100</v>
      </c>
      <c r="D138" s="6" t="s">
        <v>245</v>
      </c>
      <c r="E138" s="6"/>
    </row>
    <row r="139" spans="1:5" x14ac:dyDescent="0.25">
      <c r="A139" s="6" t="s">
        <v>256</v>
      </c>
      <c r="B139" s="6">
        <v>5</v>
      </c>
      <c r="C139" s="6">
        <v>25</v>
      </c>
      <c r="D139" s="6" t="s">
        <v>199</v>
      </c>
      <c r="E139" s="6"/>
    </row>
    <row r="140" spans="1:5" x14ac:dyDescent="0.25">
      <c r="A140" s="6" t="s">
        <v>258</v>
      </c>
      <c r="B140" s="6">
        <v>0.3</v>
      </c>
      <c r="C140" s="6"/>
      <c r="D140" s="6" t="s">
        <v>196</v>
      </c>
      <c r="E140" s="6"/>
    </row>
    <row r="141" spans="1:5" x14ac:dyDescent="0.25">
      <c r="A141" s="6" t="s">
        <v>261</v>
      </c>
      <c r="B141" s="6">
        <v>0.03</v>
      </c>
      <c r="C141" s="6"/>
      <c r="D141" s="6" t="s">
        <v>194</v>
      </c>
      <c r="E141" s="6" t="s">
        <v>262</v>
      </c>
    </row>
    <row r="142" spans="1:5" x14ac:dyDescent="0.25">
      <c r="A142" s="6" t="s">
        <v>263</v>
      </c>
      <c r="B142" s="6">
        <v>0.01</v>
      </c>
      <c r="C142" s="6"/>
      <c r="D142" s="6" t="s">
        <v>194</v>
      </c>
      <c r="E142" s="6"/>
    </row>
    <row r="143" spans="1:5" x14ac:dyDescent="0.25">
      <c r="A143" s="6" t="s">
        <v>265</v>
      </c>
      <c r="B143" s="6">
        <v>0.8</v>
      </c>
      <c r="C143" s="6"/>
      <c r="D143" s="6" t="s">
        <v>194</v>
      </c>
      <c r="E143" s="6"/>
    </row>
    <row r="144" spans="1:5" x14ac:dyDescent="0.25">
      <c r="A144" s="6" t="s">
        <v>266</v>
      </c>
      <c r="B144" s="6">
        <v>0.5</v>
      </c>
      <c r="C144" s="6"/>
      <c r="D144" s="6" t="s">
        <v>196</v>
      </c>
      <c r="E144" s="6"/>
    </row>
    <row r="145" spans="1:5" x14ac:dyDescent="0.25">
      <c r="A145" s="6" t="s">
        <v>269</v>
      </c>
      <c r="B145" s="6">
        <v>0.2</v>
      </c>
      <c r="C145" s="6"/>
      <c r="D145" s="6" t="s">
        <v>268</v>
      </c>
      <c r="E145" s="6"/>
    </row>
    <row r="146" spans="1:5" x14ac:dyDescent="0.25">
      <c r="A146" s="6" t="s">
        <v>271</v>
      </c>
      <c r="B146" s="6">
        <v>25</v>
      </c>
      <c r="C146" s="6">
        <v>2</v>
      </c>
      <c r="D146" s="6" t="s">
        <v>270</v>
      </c>
      <c r="E146" s="6" t="s">
        <v>272</v>
      </c>
    </row>
    <row r="147" spans="1:5" x14ac:dyDescent="0.25">
      <c r="A147" s="6" t="s">
        <v>276</v>
      </c>
      <c r="B147" s="6">
        <v>1</v>
      </c>
      <c r="C147" s="6">
        <v>1</v>
      </c>
      <c r="D147" s="6" t="s">
        <v>275</v>
      </c>
      <c r="E147" s="6" t="s">
        <v>277</v>
      </c>
    </row>
    <row r="148" spans="1:5" x14ac:dyDescent="0.25">
      <c r="A148" s="6" t="s">
        <v>278</v>
      </c>
      <c r="B148" s="6">
        <v>1</v>
      </c>
      <c r="C148" s="6">
        <v>1.5</v>
      </c>
      <c r="D148" s="6" t="s">
        <v>154</v>
      </c>
      <c r="E148" s="6"/>
    </row>
    <row r="149" spans="1:5" x14ac:dyDescent="0.25">
      <c r="A149" s="6" t="s">
        <v>289</v>
      </c>
      <c r="B149" s="6">
        <v>8</v>
      </c>
      <c r="C149" s="6"/>
      <c r="D149" s="6" t="s">
        <v>237</v>
      </c>
      <c r="E149" s="6" t="s">
        <v>241</v>
      </c>
    </row>
    <row r="150" spans="1:5" x14ac:dyDescent="0.25">
      <c r="A150" s="6" t="s">
        <v>292</v>
      </c>
      <c r="B150" s="6">
        <v>50</v>
      </c>
      <c r="C150" s="6"/>
      <c r="D150" s="6" t="s">
        <v>237</v>
      </c>
      <c r="E150" s="6" t="s">
        <v>241</v>
      </c>
    </row>
    <row r="151" spans="1:5" x14ac:dyDescent="0.25">
      <c r="A151" s="6" t="s">
        <v>297</v>
      </c>
      <c r="B151" s="6">
        <v>200</v>
      </c>
      <c r="C151" s="6"/>
      <c r="D151" s="6" t="s">
        <v>237</v>
      </c>
      <c r="E151" s="6" t="s">
        <v>241</v>
      </c>
    </row>
    <row r="152" spans="1:5" x14ac:dyDescent="0.25">
      <c r="A152" s="6" t="s">
        <v>301</v>
      </c>
      <c r="B152" s="6">
        <v>60</v>
      </c>
      <c r="C152" s="6">
        <v>40</v>
      </c>
      <c r="D152" s="6" t="s">
        <v>300</v>
      </c>
      <c r="E152" s="6" t="s">
        <v>302</v>
      </c>
    </row>
    <row r="153" spans="1:5" x14ac:dyDescent="0.25">
      <c r="A153" s="6" t="s">
        <v>303</v>
      </c>
      <c r="B153" s="6">
        <v>0.05</v>
      </c>
      <c r="C153" s="6">
        <v>10</v>
      </c>
      <c r="D153" s="6" t="s">
        <v>216</v>
      </c>
      <c r="E153" s="6"/>
    </row>
    <row r="154" spans="1:5" x14ac:dyDescent="0.25">
      <c r="A154" s="6" t="s">
        <v>306</v>
      </c>
      <c r="B154" s="6">
        <v>3</v>
      </c>
      <c r="C154" s="6">
        <v>0</v>
      </c>
      <c r="D154" s="6" t="s">
        <v>305</v>
      </c>
      <c r="E154" s="6"/>
    </row>
    <row r="155" spans="1:5" x14ac:dyDescent="0.25">
      <c r="A155" s="6" t="s">
        <v>308</v>
      </c>
      <c r="B155" s="6">
        <v>3</v>
      </c>
      <c r="C155" s="6">
        <v>0</v>
      </c>
      <c r="D155" s="6" t="s">
        <v>307</v>
      </c>
      <c r="E155" s="6"/>
    </row>
    <row r="156" spans="1:5" x14ac:dyDescent="0.25">
      <c r="A156" s="6" t="s">
        <v>310</v>
      </c>
      <c r="B156" s="6">
        <v>2</v>
      </c>
      <c r="C156" s="6">
        <v>0</v>
      </c>
      <c r="D156" s="6" t="s">
        <v>309</v>
      </c>
      <c r="E156" s="6"/>
    </row>
    <row r="157" spans="1:5" x14ac:dyDescent="0.25">
      <c r="A157" s="6" t="s">
        <v>311</v>
      </c>
      <c r="B157" s="6">
        <v>10</v>
      </c>
      <c r="C157" s="6"/>
      <c r="D157" s="6" t="s">
        <v>268</v>
      </c>
      <c r="E157" s="6"/>
    </row>
    <row r="158" spans="1:5" x14ac:dyDescent="0.25">
      <c r="A158" s="6" t="s">
        <v>314</v>
      </c>
      <c r="B158" s="6">
        <v>0.02</v>
      </c>
      <c r="C158" s="6">
        <v>1</v>
      </c>
      <c r="D158" s="6" t="s">
        <v>199</v>
      </c>
      <c r="E158" s="6"/>
    </row>
    <row r="159" spans="1:5" x14ac:dyDescent="0.25">
      <c r="A159" s="6" t="s">
        <v>320</v>
      </c>
      <c r="B159" s="6">
        <v>30000</v>
      </c>
      <c r="C159" s="6"/>
      <c r="D159" s="6" t="s">
        <v>319</v>
      </c>
      <c r="E159" s="6"/>
    </row>
    <row r="160" spans="1:5" x14ac:dyDescent="0.25">
      <c r="A160" s="6" t="s">
        <v>322</v>
      </c>
      <c r="B160" s="6">
        <v>0.2</v>
      </c>
      <c r="C160" s="6"/>
      <c r="D160" s="6" t="s">
        <v>268</v>
      </c>
      <c r="E160" s="6"/>
    </row>
    <row r="161" spans="1:5" x14ac:dyDescent="0.25">
      <c r="A161" s="6" t="s">
        <v>323</v>
      </c>
      <c r="B161" s="6">
        <v>2</v>
      </c>
      <c r="C161" s="6">
        <v>2</v>
      </c>
      <c r="D161" s="6" t="s">
        <v>199</v>
      </c>
      <c r="E161" s="6"/>
    </row>
    <row r="162" spans="1:5" x14ac:dyDescent="0.25">
      <c r="A162" s="6" t="s">
        <v>327</v>
      </c>
      <c r="B162" s="6">
        <v>3000</v>
      </c>
      <c r="C162" s="6">
        <v>80</v>
      </c>
      <c r="D162" s="6" t="s">
        <v>227</v>
      </c>
      <c r="E162" s="6" t="s">
        <v>228</v>
      </c>
    </row>
    <row r="163" spans="1:5" x14ac:dyDescent="0.25">
      <c r="A163" s="6" t="s">
        <v>329</v>
      </c>
      <c r="B163" s="6">
        <v>5</v>
      </c>
      <c r="C163" s="6">
        <v>3</v>
      </c>
      <c r="D163" s="6" t="s">
        <v>191</v>
      </c>
      <c r="E163" s="6" t="s">
        <v>330</v>
      </c>
    </row>
    <row r="164" spans="1:5" x14ac:dyDescent="0.25">
      <c r="A164" s="6" t="s">
        <v>331</v>
      </c>
      <c r="B164" s="6">
        <v>1</v>
      </c>
      <c r="C164" s="6">
        <v>10</v>
      </c>
      <c r="D164" s="6" t="s">
        <v>216</v>
      </c>
      <c r="E164" s="6" t="s">
        <v>332</v>
      </c>
    </row>
    <row r="165" spans="1:5" x14ac:dyDescent="0.25">
      <c r="A165" s="6" t="s">
        <v>100</v>
      </c>
      <c r="B165" s="6">
        <v>40</v>
      </c>
      <c r="C165" s="6">
        <v>24</v>
      </c>
      <c r="D165" s="6" t="s">
        <v>227</v>
      </c>
      <c r="E165" s="6" t="s">
        <v>228</v>
      </c>
    </row>
    <row r="166" spans="1:5" x14ac:dyDescent="0.25">
      <c r="A166" s="6" t="s">
        <v>335</v>
      </c>
      <c r="B166" s="6">
        <v>25</v>
      </c>
      <c r="C166" s="6">
        <v>1</v>
      </c>
      <c r="D166" s="6" t="s">
        <v>180</v>
      </c>
      <c r="E166" s="6" t="s">
        <v>336</v>
      </c>
    </row>
    <row r="167" spans="1:5" x14ac:dyDescent="0.25">
      <c r="A167" s="6" t="s">
        <v>337</v>
      </c>
      <c r="B167" s="6">
        <v>5</v>
      </c>
      <c r="C167" s="6">
        <v>2</v>
      </c>
      <c r="D167" s="6" t="s">
        <v>216</v>
      </c>
      <c r="E167" s="6" t="s">
        <v>338</v>
      </c>
    </row>
    <row r="168" spans="1:5" x14ac:dyDescent="0.25">
      <c r="A168" s="6" t="s">
        <v>341</v>
      </c>
      <c r="B168" s="6">
        <v>0.1</v>
      </c>
      <c r="C168" s="6"/>
      <c r="D168" s="6" t="s">
        <v>196</v>
      </c>
      <c r="E168" s="6"/>
    </row>
    <row r="169" spans="1:5" x14ac:dyDescent="0.25">
      <c r="A169" s="6" t="s">
        <v>344</v>
      </c>
      <c r="B169" s="6">
        <v>10</v>
      </c>
      <c r="C169" s="6">
        <v>0</v>
      </c>
      <c r="D169" s="6" t="s">
        <v>216</v>
      </c>
      <c r="E169" s="6"/>
    </row>
    <row r="170" spans="1:5" x14ac:dyDescent="0.25">
      <c r="A170" s="6" t="s">
        <v>346</v>
      </c>
      <c r="B170" s="6">
        <v>2</v>
      </c>
      <c r="C170" s="6">
        <v>10</v>
      </c>
      <c r="D170" s="6" t="s">
        <v>199</v>
      </c>
      <c r="E170" s="6"/>
    </row>
    <row r="171" spans="1:5" x14ac:dyDescent="0.25">
      <c r="A171" s="6" t="s">
        <v>350</v>
      </c>
      <c r="B171" s="6">
        <v>0.02</v>
      </c>
      <c r="C171" s="6">
        <v>4</v>
      </c>
      <c r="D171" s="6" t="s">
        <v>199</v>
      </c>
      <c r="E171" s="6"/>
    </row>
    <row r="172" spans="1:5" x14ac:dyDescent="0.25">
      <c r="A172" s="6" t="s">
        <v>351</v>
      </c>
      <c r="B172" s="6">
        <v>3000</v>
      </c>
      <c r="C172" s="6"/>
      <c r="D172" s="6" t="s">
        <v>319</v>
      </c>
      <c r="E172" s="6" t="s">
        <v>353</v>
      </c>
    </row>
    <row r="173" spans="1:5" x14ac:dyDescent="0.25">
      <c r="A173" s="6" t="s">
        <v>355</v>
      </c>
      <c r="B173" s="6">
        <v>0.5</v>
      </c>
      <c r="C173" s="6">
        <v>1</v>
      </c>
      <c r="D173" s="6" t="s">
        <v>216</v>
      </c>
      <c r="E173" s="6" t="s">
        <v>356</v>
      </c>
    </row>
    <row r="174" spans="1:5" x14ac:dyDescent="0.25">
      <c r="A174" s="6" t="s">
        <v>358</v>
      </c>
      <c r="B174" s="6">
        <v>40</v>
      </c>
      <c r="C174" s="6">
        <v>20</v>
      </c>
      <c r="D174" s="6" t="s">
        <v>357</v>
      </c>
      <c r="E174" s="6" t="s">
        <v>228</v>
      </c>
    </row>
    <row r="175" spans="1:5" x14ac:dyDescent="0.25">
      <c r="A175" s="6" t="s">
        <v>360</v>
      </c>
      <c r="B175" s="6">
        <v>0.02</v>
      </c>
      <c r="C175" s="6"/>
      <c r="D175" s="6" t="s">
        <v>196</v>
      </c>
      <c r="E175" s="6"/>
    </row>
    <row r="176" spans="1:5" x14ac:dyDescent="0.25">
      <c r="A176" s="6" t="s">
        <v>363</v>
      </c>
      <c r="B176" s="6">
        <v>10000</v>
      </c>
      <c r="C176" s="6"/>
      <c r="D176" s="6" t="s">
        <v>319</v>
      </c>
      <c r="E176" s="6"/>
    </row>
    <row r="177" spans="1:5" x14ac:dyDescent="0.25">
      <c r="A177" s="6" t="s">
        <v>371</v>
      </c>
      <c r="B177" s="6">
        <v>1</v>
      </c>
      <c r="C177" s="6">
        <v>1</v>
      </c>
      <c r="D177" s="6" t="s">
        <v>275</v>
      </c>
      <c r="E177" s="6" t="s">
        <v>372</v>
      </c>
    </row>
    <row r="178" spans="1:5" x14ac:dyDescent="0.25">
      <c r="A178" s="6" t="s">
        <v>374</v>
      </c>
      <c r="B178" s="6">
        <v>25</v>
      </c>
      <c r="C178" s="6"/>
      <c r="D178" s="6" t="s">
        <v>237</v>
      </c>
      <c r="E178" s="6" t="s">
        <v>241</v>
      </c>
    </row>
    <row r="179" spans="1:5" x14ac:dyDescent="0.25">
      <c r="A179" s="6" t="s">
        <v>380</v>
      </c>
      <c r="B179" s="6">
        <v>0.02</v>
      </c>
      <c r="C179" s="6"/>
      <c r="D179" s="6" t="s">
        <v>194</v>
      </c>
      <c r="E179" s="6" t="s">
        <v>262</v>
      </c>
    </row>
    <row r="180" spans="1:5" x14ac:dyDescent="0.25">
      <c r="A180" s="6" t="s">
        <v>381</v>
      </c>
      <c r="B180" s="6">
        <v>20</v>
      </c>
      <c r="C180" s="6">
        <v>30</v>
      </c>
      <c r="D180" s="6" t="s">
        <v>300</v>
      </c>
      <c r="E180" s="6" t="s">
        <v>382</v>
      </c>
    </row>
    <row r="181" spans="1:5" x14ac:dyDescent="0.25">
      <c r="A181" s="6" t="s">
        <v>384</v>
      </c>
      <c r="B181" s="6">
        <v>0.5</v>
      </c>
      <c r="C181" s="6"/>
      <c r="D181" s="6" t="s">
        <v>194</v>
      </c>
      <c r="E181" s="6"/>
    </row>
    <row r="182" spans="1:5" x14ac:dyDescent="0.25">
      <c r="A182" s="6" t="s">
        <v>385</v>
      </c>
      <c r="B182" s="6">
        <v>0.3</v>
      </c>
      <c r="C182" s="6"/>
      <c r="D182" s="6" t="s">
        <v>196</v>
      </c>
      <c r="E182" s="6"/>
    </row>
    <row r="183" spans="1:5" x14ac:dyDescent="0.25">
      <c r="A183" s="6" t="s">
        <v>386</v>
      </c>
      <c r="B183" s="6">
        <v>0.04</v>
      </c>
      <c r="C183" s="6"/>
      <c r="D183" s="6" t="s">
        <v>268</v>
      </c>
      <c r="E183" s="6"/>
    </row>
    <row r="184" spans="1:5" x14ac:dyDescent="0.25">
      <c r="A184" s="6" t="s">
        <v>389</v>
      </c>
      <c r="B184" s="6">
        <v>0.1</v>
      </c>
      <c r="C184" s="6">
        <v>1</v>
      </c>
      <c r="D184" s="6" t="s">
        <v>216</v>
      </c>
      <c r="E184" s="6" t="s">
        <v>390</v>
      </c>
    </row>
    <row r="185" spans="1:5" x14ac:dyDescent="0.25">
      <c r="A185" s="6" t="s">
        <v>392</v>
      </c>
      <c r="B185" s="6">
        <v>5</v>
      </c>
      <c r="C185" s="6">
        <v>15</v>
      </c>
      <c r="D185" s="6" t="s">
        <v>300</v>
      </c>
      <c r="E185" s="6"/>
    </row>
    <row r="186" spans="1:5" x14ac:dyDescent="0.25">
      <c r="A186" s="6" t="s">
        <v>393</v>
      </c>
      <c r="B186" s="6">
        <v>20</v>
      </c>
      <c r="C186" s="6">
        <v>16</v>
      </c>
      <c r="D186" s="6" t="s">
        <v>357</v>
      </c>
      <c r="E186" s="6" t="s">
        <v>228</v>
      </c>
    </row>
    <row r="187" spans="1:5" x14ac:dyDescent="0.25">
      <c r="A187" s="6" t="s">
        <v>396</v>
      </c>
      <c r="B187" s="6">
        <v>0.2</v>
      </c>
      <c r="C187" s="6">
        <v>0</v>
      </c>
      <c r="D187" s="6" t="s">
        <v>216</v>
      </c>
      <c r="E187" s="6"/>
    </row>
    <row r="188" spans="1:5" x14ac:dyDescent="0.25">
      <c r="A188" s="6" t="s">
        <v>397</v>
      </c>
      <c r="B188" s="6">
        <v>0.1</v>
      </c>
      <c r="C188" s="6">
        <v>0</v>
      </c>
      <c r="D188" s="6" t="s">
        <v>216</v>
      </c>
      <c r="E188" s="6"/>
    </row>
    <row r="189" spans="1:5" x14ac:dyDescent="0.25">
      <c r="A189" s="6" t="s">
        <v>398</v>
      </c>
      <c r="B189" s="6">
        <v>5</v>
      </c>
      <c r="C189" s="6">
        <v>0</v>
      </c>
      <c r="D189" s="6" t="s">
        <v>180</v>
      </c>
      <c r="E189" s="6"/>
    </row>
    <row r="190" spans="1:5" x14ac:dyDescent="0.25">
      <c r="A190" s="6" t="s">
        <v>108</v>
      </c>
      <c r="B190" s="6">
        <v>6000</v>
      </c>
      <c r="C190" s="6">
        <v>130</v>
      </c>
      <c r="D190" s="6" t="s">
        <v>251</v>
      </c>
      <c r="E190" s="6" t="s">
        <v>228</v>
      </c>
    </row>
    <row r="191" spans="1:5" x14ac:dyDescent="0.25">
      <c r="A191" s="6" t="s">
        <v>404</v>
      </c>
      <c r="B191" s="6">
        <v>30</v>
      </c>
      <c r="C191" s="6"/>
      <c r="D191" s="6" t="s">
        <v>237</v>
      </c>
      <c r="E191" s="6" t="s">
        <v>241</v>
      </c>
    </row>
    <row r="192" spans="1:5" x14ac:dyDescent="0.25">
      <c r="A192" s="6" t="s">
        <v>406</v>
      </c>
      <c r="B192" s="6">
        <v>0.1</v>
      </c>
      <c r="C192" s="6"/>
      <c r="D192" s="6" t="s">
        <v>194</v>
      </c>
      <c r="E192" s="6"/>
    </row>
    <row r="193" spans="1:5" x14ac:dyDescent="0.25">
      <c r="A193" s="6" t="s">
        <v>407</v>
      </c>
      <c r="B193" s="6">
        <v>0.06</v>
      </c>
      <c r="C193" s="6"/>
      <c r="D193" s="6" t="s">
        <v>196</v>
      </c>
      <c r="E193" s="6"/>
    </row>
    <row r="194" spans="1:5" x14ac:dyDescent="0.25">
      <c r="A194" s="6" t="s">
        <v>411</v>
      </c>
      <c r="B194" s="6">
        <v>50</v>
      </c>
      <c r="C194" s="6">
        <v>0.5</v>
      </c>
      <c r="D194" s="6" t="s">
        <v>410</v>
      </c>
      <c r="E194" s="6" t="s">
        <v>412</v>
      </c>
    </row>
    <row r="195" spans="1:5" x14ac:dyDescent="0.25">
      <c r="A195" s="6" t="s">
        <v>414</v>
      </c>
      <c r="B195" s="6">
        <v>0.5</v>
      </c>
      <c r="C195" s="6">
        <v>1</v>
      </c>
      <c r="D195" s="6" t="s">
        <v>199</v>
      </c>
      <c r="E195" s="6" t="s">
        <v>416</v>
      </c>
    </row>
    <row r="196" spans="1:5" x14ac:dyDescent="0.25">
      <c r="A196" s="6" t="s">
        <v>417</v>
      </c>
      <c r="B196" s="6">
        <v>1</v>
      </c>
      <c r="C196" s="6">
        <v>1</v>
      </c>
      <c r="D196" s="6" t="s">
        <v>199</v>
      </c>
      <c r="E196" s="6" t="s">
        <v>418</v>
      </c>
    </row>
    <row r="197" spans="1:5" x14ac:dyDescent="0.25">
      <c r="A197" s="6" t="s">
        <v>419</v>
      </c>
      <c r="B197" s="6">
        <v>0.5</v>
      </c>
      <c r="C197" s="6">
        <v>2</v>
      </c>
      <c r="D197" s="6" t="s">
        <v>216</v>
      </c>
      <c r="E197" s="6" t="s">
        <v>420</v>
      </c>
    </row>
    <row r="198" spans="1:5" x14ac:dyDescent="0.25">
      <c r="A198" s="6" t="s">
        <v>422</v>
      </c>
      <c r="B198" s="6">
        <v>10</v>
      </c>
      <c r="C198" s="6">
        <v>25</v>
      </c>
      <c r="D198" s="6" t="s">
        <v>300</v>
      </c>
      <c r="E198" s="6"/>
    </row>
    <row r="199" spans="1:5" x14ac:dyDescent="0.25">
      <c r="A199" s="6" t="s">
        <v>423</v>
      </c>
      <c r="B199" s="6">
        <v>75</v>
      </c>
      <c r="C199" s="6"/>
      <c r="D199" s="6" t="s">
        <v>237</v>
      </c>
      <c r="E199" s="6" t="s">
        <v>241</v>
      </c>
    </row>
    <row r="200" spans="1:5" x14ac:dyDescent="0.25">
      <c r="A200" s="6" t="s">
        <v>425</v>
      </c>
      <c r="B200" s="6">
        <v>120</v>
      </c>
      <c r="C200" s="6">
        <v>80</v>
      </c>
      <c r="D200" s="6" t="s">
        <v>251</v>
      </c>
      <c r="E200" s="6" t="s">
        <v>228</v>
      </c>
    </row>
    <row r="201" spans="1:5" x14ac:dyDescent="0.25">
      <c r="A201" s="6" t="s">
        <v>427</v>
      </c>
      <c r="B201" s="6"/>
      <c r="C201" s="6"/>
      <c r="D201" s="6" t="s">
        <v>426</v>
      </c>
      <c r="E201" s="6"/>
    </row>
    <row r="202" spans="1:5" x14ac:dyDescent="0.25">
      <c r="A202" s="6" t="s">
        <v>428</v>
      </c>
      <c r="B202" s="6">
        <v>0.01</v>
      </c>
      <c r="C202" s="6"/>
      <c r="D202" s="6" t="s">
        <v>194</v>
      </c>
      <c r="E202" s="6"/>
    </row>
    <row r="203" spans="1:5" x14ac:dyDescent="0.25">
      <c r="A203" s="6" t="s">
        <v>431</v>
      </c>
      <c r="B203" s="6">
        <v>50</v>
      </c>
      <c r="C203" s="6"/>
      <c r="D203" s="6" t="s">
        <v>319</v>
      </c>
      <c r="E203" s="6" t="s">
        <v>353</v>
      </c>
    </row>
    <row r="204" spans="1:5" x14ac:dyDescent="0.25">
      <c r="A204" s="6" t="s">
        <v>433</v>
      </c>
      <c r="B204" s="6">
        <v>0.01</v>
      </c>
      <c r="C204" s="6">
        <v>0.5</v>
      </c>
      <c r="D204" s="6" t="s">
        <v>199</v>
      </c>
      <c r="E204" s="6"/>
    </row>
    <row r="205" spans="1:5" x14ac:dyDescent="0.25">
      <c r="A205" s="6" t="s">
        <v>434</v>
      </c>
      <c r="B205" s="6">
        <v>4</v>
      </c>
      <c r="C205" s="6">
        <v>8</v>
      </c>
      <c r="D205" s="6" t="s">
        <v>199</v>
      </c>
      <c r="E205" s="6"/>
    </row>
    <row r="206" spans="1:5" x14ac:dyDescent="0.25">
      <c r="A206" s="6" t="s">
        <v>435</v>
      </c>
      <c r="B206" s="6">
        <v>10000</v>
      </c>
      <c r="C206" s="6"/>
      <c r="D206" s="6" t="s">
        <v>319</v>
      </c>
      <c r="E206" s="6"/>
    </row>
    <row r="207" spans="1:5" x14ac:dyDescent="0.25">
      <c r="A207" s="6" t="s">
        <v>437</v>
      </c>
      <c r="B207" s="6">
        <v>200</v>
      </c>
      <c r="C207" s="6">
        <v>90</v>
      </c>
      <c r="D207" s="6" t="s">
        <v>227</v>
      </c>
      <c r="E207" s="6" t="s">
        <v>228</v>
      </c>
    </row>
    <row r="208" spans="1:5" x14ac:dyDescent="0.25">
      <c r="A208" s="6" t="s">
        <v>439</v>
      </c>
      <c r="B208" s="6"/>
      <c r="C208" s="6">
        <v>1</v>
      </c>
      <c r="D208" s="6" t="s">
        <v>438</v>
      </c>
      <c r="E208" s="6"/>
    </row>
    <row r="209" spans="1:5" x14ac:dyDescent="0.25">
      <c r="A209" s="6" t="s">
        <v>442</v>
      </c>
      <c r="B209" s="6">
        <v>0.1</v>
      </c>
      <c r="C209" s="6"/>
      <c r="D209" s="6" t="s">
        <v>194</v>
      </c>
      <c r="E209" s="6" t="s">
        <v>262</v>
      </c>
    </row>
    <row r="210" spans="1:5" x14ac:dyDescent="0.25">
      <c r="A210" s="6" t="s">
        <v>445</v>
      </c>
      <c r="B210" s="6">
        <v>5</v>
      </c>
      <c r="C210" s="6">
        <v>0</v>
      </c>
      <c r="D210" s="6" t="s">
        <v>426</v>
      </c>
      <c r="E210" s="6"/>
    </row>
    <row r="211" spans="1:5" x14ac:dyDescent="0.25">
      <c r="A211" s="6" t="s">
        <v>446</v>
      </c>
      <c r="B211" s="6">
        <v>10</v>
      </c>
      <c r="C211" s="6">
        <v>5</v>
      </c>
      <c r="D211" s="6" t="s">
        <v>216</v>
      </c>
      <c r="E211" s="6" t="s">
        <v>332</v>
      </c>
    </row>
    <row r="212" spans="1:5" x14ac:dyDescent="0.25">
      <c r="A212" s="6" t="s">
        <v>448</v>
      </c>
      <c r="B212" s="6">
        <v>5</v>
      </c>
      <c r="C212" s="6">
        <v>0</v>
      </c>
      <c r="D212" s="6" t="s">
        <v>447</v>
      </c>
      <c r="E212" s="6"/>
    </row>
    <row r="213" spans="1:5" x14ac:dyDescent="0.25">
      <c r="A213" s="6" t="s">
        <v>449</v>
      </c>
      <c r="B213" s="6">
        <v>2</v>
      </c>
      <c r="C213" s="6"/>
      <c r="D213" s="6" t="s">
        <v>194</v>
      </c>
      <c r="E213" s="6" t="s">
        <v>450</v>
      </c>
    </row>
    <row r="214" spans="1:5" x14ac:dyDescent="0.25">
      <c r="A214" s="6" t="s">
        <v>451</v>
      </c>
      <c r="B214" s="6">
        <v>20</v>
      </c>
      <c r="C214" s="6">
        <v>300</v>
      </c>
      <c r="D214" s="6" t="s">
        <v>245</v>
      </c>
      <c r="E214" s="6"/>
    </row>
    <row r="215" spans="1:5" x14ac:dyDescent="0.25">
      <c r="A215" s="6" t="s">
        <v>453</v>
      </c>
      <c r="B215" s="6">
        <v>0.04</v>
      </c>
      <c r="C215" s="6">
        <v>1.5</v>
      </c>
      <c r="D215" s="6" t="s">
        <v>154</v>
      </c>
      <c r="E215" s="6"/>
    </row>
    <row r="216" spans="1:5" x14ac:dyDescent="0.25">
      <c r="A216" s="6" t="s">
        <v>455</v>
      </c>
      <c r="B216" s="6">
        <v>0.02</v>
      </c>
      <c r="C216" s="6">
        <v>0</v>
      </c>
      <c r="D216" s="6" t="s">
        <v>216</v>
      </c>
      <c r="E216" s="6"/>
    </row>
    <row r="217" spans="1:5" x14ac:dyDescent="0.25">
      <c r="A217" s="6" t="s">
        <v>456</v>
      </c>
      <c r="B217" s="6">
        <v>50</v>
      </c>
      <c r="C217" s="6">
        <v>3</v>
      </c>
      <c r="D217" s="6" t="s">
        <v>270</v>
      </c>
      <c r="E217" s="6" t="s">
        <v>457</v>
      </c>
    </row>
    <row r="218" spans="1:5" x14ac:dyDescent="0.25">
      <c r="A218" s="6" t="s">
        <v>107</v>
      </c>
      <c r="B218" s="6">
        <v>800</v>
      </c>
      <c r="C218" s="6">
        <v>120</v>
      </c>
      <c r="D218" s="6" t="s">
        <v>251</v>
      </c>
      <c r="E218" s="6" t="s">
        <v>228</v>
      </c>
    </row>
    <row r="219" spans="1:5" x14ac:dyDescent="0.25">
      <c r="A219" s="6" t="s">
        <v>463</v>
      </c>
      <c r="B219" s="6">
        <v>7.0000000000000007E-2</v>
      </c>
      <c r="C219" s="6"/>
      <c r="D219" s="6" t="s">
        <v>194</v>
      </c>
      <c r="E219" s="6"/>
    </row>
    <row r="220" spans="1:5" x14ac:dyDescent="0.25">
      <c r="A220" s="6" t="s">
        <v>464</v>
      </c>
      <c r="B220" s="6">
        <v>0.03</v>
      </c>
      <c r="C220" s="6"/>
      <c r="D220" s="6" t="s">
        <v>196</v>
      </c>
      <c r="E220" s="6"/>
    </row>
    <row r="221" spans="1:5" x14ac:dyDescent="0.25">
      <c r="A221" s="6" t="s">
        <v>465</v>
      </c>
      <c r="B221" s="6">
        <v>0.5</v>
      </c>
      <c r="C221" s="6">
        <v>0</v>
      </c>
      <c r="D221" s="6" t="s">
        <v>194</v>
      </c>
      <c r="E221" s="6"/>
    </row>
    <row r="222" spans="1:5" x14ac:dyDescent="0.25">
      <c r="A222" s="6" t="s">
        <v>467</v>
      </c>
      <c r="B222" s="6"/>
      <c r="C222" s="6">
        <v>4</v>
      </c>
      <c r="D222" s="6" t="s">
        <v>466</v>
      </c>
      <c r="E222" s="6"/>
    </row>
    <row r="223" spans="1:5" x14ac:dyDescent="0.25">
      <c r="A223" s="6" t="s">
        <v>468</v>
      </c>
      <c r="B223" s="6">
        <v>5</v>
      </c>
      <c r="C223" s="6">
        <v>0.5</v>
      </c>
      <c r="D223" s="6" t="s">
        <v>205</v>
      </c>
      <c r="E223" s="6"/>
    </row>
    <row r="224" spans="1:5" x14ac:dyDescent="0.25">
      <c r="A224" s="6" t="s">
        <v>469</v>
      </c>
      <c r="B224" s="6">
        <v>180</v>
      </c>
      <c r="C224" s="6">
        <v>26</v>
      </c>
      <c r="D224" s="6" t="s">
        <v>357</v>
      </c>
      <c r="E224" s="6" t="s">
        <v>228</v>
      </c>
    </row>
    <row r="225" spans="1:5" x14ac:dyDescent="0.25">
      <c r="A225" s="6" t="s">
        <v>473</v>
      </c>
      <c r="B225" s="6">
        <v>0.5</v>
      </c>
      <c r="C225" s="6">
        <v>1</v>
      </c>
      <c r="D225" s="6" t="s">
        <v>216</v>
      </c>
      <c r="E225" s="6" t="s">
        <v>474</v>
      </c>
    </row>
    <row r="226" spans="1:5" x14ac:dyDescent="0.25">
      <c r="A226" s="6" t="s">
        <v>476</v>
      </c>
      <c r="B226" s="6">
        <v>0.01</v>
      </c>
      <c r="C226" s="6">
        <v>1</v>
      </c>
      <c r="D226" s="6" t="s">
        <v>216</v>
      </c>
      <c r="E226" s="6" t="s">
        <v>477</v>
      </c>
    </row>
    <row r="227" spans="1:5" x14ac:dyDescent="0.25">
      <c r="A227" s="6" t="s">
        <v>480</v>
      </c>
      <c r="B227" s="6">
        <v>2</v>
      </c>
      <c r="C227" s="6">
        <v>20</v>
      </c>
      <c r="D227" s="6" t="s">
        <v>216</v>
      </c>
      <c r="E227" s="6" t="s">
        <v>481</v>
      </c>
    </row>
    <row r="228" spans="1:5" x14ac:dyDescent="0.25">
      <c r="A228" s="6" t="s">
        <v>482</v>
      </c>
      <c r="B228" s="6">
        <v>0.2</v>
      </c>
      <c r="C228" s="6"/>
      <c r="D228" s="6" t="s">
        <v>194</v>
      </c>
      <c r="E228" s="6" t="s">
        <v>450</v>
      </c>
    </row>
    <row r="229" spans="1:5" x14ac:dyDescent="0.25">
      <c r="A229" s="6" t="s">
        <v>483</v>
      </c>
      <c r="B229" s="6">
        <v>1</v>
      </c>
      <c r="C229" s="6">
        <v>0</v>
      </c>
      <c r="D229" s="6" t="s">
        <v>199</v>
      </c>
      <c r="E229" s="6"/>
    </row>
    <row r="230" spans="1:5" x14ac:dyDescent="0.25">
      <c r="A230" s="6" t="s">
        <v>486</v>
      </c>
      <c r="B230" s="6">
        <v>35</v>
      </c>
      <c r="C230" s="6">
        <v>400</v>
      </c>
      <c r="D230" s="6" t="s">
        <v>245</v>
      </c>
      <c r="E230" s="6"/>
    </row>
    <row r="231" spans="1:5" x14ac:dyDescent="0.25">
      <c r="A231" s="6" t="s">
        <v>488</v>
      </c>
      <c r="B231" s="6">
        <v>400</v>
      </c>
      <c r="C231" s="6"/>
      <c r="D231" s="6" t="s">
        <v>237</v>
      </c>
      <c r="E231" s="6" t="s">
        <v>241</v>
      </c>
    </row>
    <row r="232" spans="1:5" x14ac:dyDescent="0.25">
      <c r="A232" s="6" t="s">
        <v>489</v>
      </c>
      <c r="B232" s="6">
        <v>25000</v>
      </c>
      <c r="C232" s="6"/>
      <c r="D232" s="6" t="s">
        <v>319</v>
      </c>
      <c r="E232" s="6"/>
    </row>
    <row r="233" spans="1:5" x14ac:dyDescent="0.25">
      <c r="A233" s="6" t="s">
        <v>491</v>
      </c>
      <c r="B233" s="6">
        <v>0.2</v>
      </c>
      <c r="C233" s="6">
        <v>5</v>
      </c>
      <c r="D233" s="6" t="s">
        <v>199</v>
      </c>
      <c r="E233" s="6"/>
    </row>
    <row r="234" spans="1:5" x14ac:dyDescent="0.25">
      <c r="A234" s="6" t="s">
        <v>493</v>
      </c>
      <c r="B234" s="6">
        <v>2</v>
      </c>
      <c r="C234" s="6"/>
      <c r="D234" s="6" t="s">
        <v>194</v>
      </c>
      <c r="E234" s="6"/>
    </row>
    <row r="235" spans="1:5" x14ac:dyDescent="0.25">
      <c r="A235" s="6" t="s">
        <v>494</v>
      </c>
      <c r="B235" s="6">
        <v>0.8</v>
      </c>
      <c r="C235" s="6"/>
      <c r="D235" s="6" t="s">
        <v>196</v>
      </c>
      <c r="E235" s="6"/>
    </row>
  </sheetData>
  <autoFilter ref="A1:D235"/>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6"/>
  <dimension ref="A1"/>
  <sheetViews>
    <sheetView workbookViewId="0">
      <selection activeCell="C27" sqref="C27"/>
    </sheetView>
  </sheetViews>
  <sheetFormatPr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7"/>
  <dimension ref="A1"/>
  <sheetViews>
    <sheetView workbookViewId="0">
      <selection activeCell="P27" sqref="P27"/>
    </sheetView>
  </sheetViews>
  <sheetFormatPr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2"/>
  <dimension ref="A1:G210"/>
  <sheetViews>
    <sheetView topLeftCell="A196" workbookViewId="0">
      <selection activeCell="G11" sqref="G11"/>
    </sheetView>
  </sheetViews>
  <sheetFormatPr defaultRowHeight="15" x14ac:dyDescent="0.25"/>
  <cols>
    <col min="7" max="7" width="114.42578125" customWidth="1"/>
  </cols>
  <sheetData>
    <row r="1" spans="1:7" x14ac:dyDescent="0.25">
      <c r="A1" s="300" t="s">
        <v>174</v>
      </c>
      <c r="B1" s="300" t="s">
        <v>175</v>
      </c>
      <c r="C1" s="301" t="s">
        <v>90</v>
      </c>
      <c r="D1" s="301" t="s">
        <v>94</v>
      </c>
      <c r="E1" s="302" t="s">
        <v>176</v>
      </c>
      <c r="F1" s="302" t="s">
        <v>13</v>
      </c>
      <c r="G1" s="300" t="s">
        <v>177</v>
      </c>
    </row>
    <row r="2" spans="1:7" x14ac:dyDescent="0.25">
      <c r="A2" s="300" t="s">
        <v>178</v>
      </c>
      <c r="B2" s="303" t="s">
        <v>179</v>
      </c>
      <c r="C2" s="304">
        <v>2</v>
      </c>
      <c r="D2" s="301">
        <v>2</v>
      </c>
      <c r="E2" s="302"/>
      <c r="F2" s="302"/>
      <c r="G2" s="305"/>
    </row>
    <row r="3" spans="1:7" x14ac:dyDescent="0.25">
      <c r="A3" s="300" t="s">
        <v>180</v>
      </c>
      <c r="B3" s="306" t="s">
        <v>181</v>
      </c>
      <c r="C3" s="301">
        <v>25</v>
      </c>
      <c r="D3" s="301">
        <v>1</v>
      </c>
      <c r="E3" s="302"/>
      <c r="F3" s="302"/>
      <c r="G3" s="300" t="s">
        <v>182</v>
      </c>
    </row>
    <row r="4" spans="1:7" x14ac:dyDescent="0.25">
      <c r="A4" s="300" t="s">
        <v>180</v>
      </c>
      <c r="B4" s="306" t="s">
        <v>183</v>
      </c>
      <c r="C4" s="301">
        <v>50</v>
      </c>
      <c r="D4" s="301">
        <v>1</v>
      </c>
      <c r="E4" s="302"/>
      <c r="F4" s="302"/>
      <c r="G4" s="300" t="s">
        <v>184</v>
      </c>
    </row>
    <row r="5" spans="1:7" x14ac:dyDescent="0.25">
      <c r="A5" s="300" t="s">
        <v>185</v>
      </c>
      <c r="B5" s="305" t="s">
        <v>186</v>
      </c>
      <c r="C5" s="304">
        <v>50</v>
      </c>
      <c r="D5" s="304">
        <v>8</v>
      </c>
      <c r="E5" s="307"/>
      <c r="F5" s="307"/>
      <c r="G5" s="300" t="s">
        <v>187</v>
      </c>
    </row>
    <row r="6" spans="1:7" x14ac:dyDescent="0.25">
      <c r="A6" s="300" t="s">
        <v>188</v>
      </c>
      <c r="B6" s="306" t="s">
        <v>189</v>
      </c>
      <c r="C6" s="301">
        <v>5</v>
      </c>
      <c r="D6" s="304">
        <v>1</v>
      </c>
      <c r="E6" s="307"/>
      <c r="F6" s="307"/>
      <c r="G6" s="300" t="s">
        <v>190</v>
      </c>
    </row>
    <row r="7" spans="1:7" x14ac:dyDescent="0.25">
      <c r="A7" s="300" t="s">
        <v>191</v>
      </c>
      <c r="B7" s="306" t="s">
        <v>192</v>
      </c>
      <c r="C7" s="301">
        <v>50</v>
      </c>
      <c r="D7" s="304">
        <v>0</v>
      </c>
      <c r="E7" s="307"/>
      <c r="F7" s="307"/>
      <c r="G7" s="300" t="s">
        <v>193</v>
      </c>
    </row>
    <row r="8" spans="1:7" x14ac:dyDescent="0.25">
      <c r="A8" s="300" t="s">
        <v>194</v>
      </c>
      <c r="B8" s="300" t="s">
        <v>195</v>
      </c>
      <c r="C8" s="304">
        <v>4</v>
      </c>
      <c r="D8" s="304"/>
      <c r="E8" s="307"/>
      <c r="F8" s="307"/>
      <c r="G8" s="305"/>
    </row>
    <row r="9" spans="1:7" x14ac:dyDescent="0.25">
      <c r="A9" s="300" t="s">
        <v>196</v>
      </c>
      <c r="B9" s="300" t="s">
        <v>197</v>
      </c>
      <c r="C9" s="304">
        <v>2</v>
      </c>
      <c r="D9" s="304"/>
      <c r="E9" s="307"/>
      <c r="F9" s="307"/>
      <c r="G9" s="305"/>
    </row>
    <row r="10" spans="1:7" x14ac:dyDescent="0.25">
      <c r="A10" s="300" t="s">
        <v>154</v>
      </c>
      <c r="B10" s="306" t="s">
        <v>198</v>
      </c>
      <c r="C10" s="301">
        <v>1</v>
      </c>
      <c r="D10" s="301">
        <v>1</v>
      </c>
      <c r="E10" s="302"/>
      <c r="F10" s="302"/>
      <c r="G10" s="305"/>
    </row>
    <row r="11" spans="1:7" x14ac:dyDescent="0.25">
      <c r="A11" s="300" t="s">
        <v>199</v>
      </c>
      <c r="B11" s="306" t="s">
        <v>200</v>
      </c>
      <c r="C11" s="301">
        <v>2</v>
      </c>
      <c r="D11" s="304">
        <v>5</v>
      </c>
      <c r="E11" s="302" t="s">
        <v>201</v>
      </c>
      <c r="F11" s="302"/>
      <c r="G11" s="305"/>
    </row>
    <row r="12" spans="1:7" x14ac:dyDescent="0.25">
      <c r="A12" s="300" t="s">
        <v>202</v>
      </c>
      <c r="B12" s="305" t="s">
        <v>203</v>
      </c>
      <c r="C12" s="304">
        <v>30</v>
      </c>
      <c r="D12" s="304">
        <v>6</v>
      </c>
      <c r="E12" s="307"/>
      <c r="F12" s="307"/>
      <c r="G12" s="300" t="s">
        <v>204</v>
      </c>
    </row>
    <row r="13" spans="1:7" x14ac:dyDescent="0.25">
      <c r="A13" s="300" t="s">
        <v>205</v>
      </c>
      <c r="B13" s="303" t="s">
        <v>206</v>
      </c>
      <c r="C13" s="301">
        <v>1</v>
      </c>
      <c r="D13" s="304">
        <v>2</v>
      </c>
      <c r="E13" s="307"/>
      <c r="F13" s="307"/>
      <c r="G13" s="300" t="s">
        <v>207</v>
      </c>
    </row>
    <row r="14" spans="1:7" x14ac:dyDescent="0.25">
      <c r="A14" s="300" t="s">
        <v>196</v>
      </c>
      <c r="B14" s="300" t="s">
        <v>208</v>
      </c>
      <c r="C14" s="304">
        <v>10</v>
      </c>
      <c r="D14" s="304"/>
      <c r="E14" s="307"/>
      <c r="F14" s="307"/>
      <c r="G14" s="305"/>
    </row>
    <row r="15" spans="1:7" x14ac:dyDescent="0.25">
      <c r="A15" s="300" t="s">
        <v>199</v>
      </c>
      <c r="B15" s="306" t="s">
        <v>209</v>
      </c>
      <c r="C15" s="301">
        <v>2</v>
      </c>
      <c r="D15" s="304">
        <v>70</v>
      </c>
      <c r="E15" s="302" t="s">
        <v>210</v>
      </c>
      <c r="F15" s="302"/>
      <c r="G15" s="305"/>
    </row>
    <row r="16" spans="1:7" x14ac:dyDescent="0.25">
      <c r="A16" s="300" t="s">
        <v>211</v>
      </c>
      <c r="B16" s="303" t="s">
        <v>212</v>
      </c>
      <c r="C16" s="301">
        <v>100</v>
      </c>
      <c r="D16" s="304">
        <v>0</v>
      </c>
      <c r="E16" s="307"/>
      <c r="F16" s="307"/>
      <c r="G16" s="305" t="s">
        <v>213</v>
      </c>
    </row>
    <row r="17" spans="1:7" x14ac:dyDescent="0.25">
      <c r="A17" s="300" t="s">
        <v>199</v>
      </c>
      <c r="B17" s="306" t="s">
        <v>214</v>
      </c>
      <c r="C17" s="301">
        <v>0.4</v>
      </c>
      <c r="D17" s="304">
        <v>2</v>
      </c>
      <c r="E17" s="302" t="s">
        <v>215</v>
      </c>
      <c r="F17" s="302"/>
      <c r="G17" s="305"/>
    </row>
    <row r="18" spans="1:7" x14ac:dyDescent="0.25">
      <c r="A18" s="300" t="s">
        <v>216</v>
      </c>
      <c r="B18" s="306" t="s">
        <v>217</v>
      </c>
      <c r="C18" s="301">
        <v>1</v>
      </c>
      <c r="D18" s="304">
        <v>7</v>
      </c>
      <c r="E18" s="307"/>
      <c r="F18" s="307"/>
      <c r="G18" s="305"/>
    </row>
    <row r="19" spans="1:7" x14ac:dyDescent="0.25">
      <c r="A19" s="300" t="s">
        <v>205</v>
      </c>
      <c r="B19" s="306" t="s">
        <v>218</v>
      </c>
      <c r="C19" s="301">
        <v>1</v>
      </c>
      <c r="D19" s="304">
        <v>0</v>
      </c>
      <c r="E19" s="307"/>
      <c r="F19" s="307"/>
      <c r="G19" s="305"/>
    </row>
    <row r="20" spans="1:7" x14ac:dyDescent="0.25">
      <c r="A20" s="300" t="s">
        <v>219</v>
      </c>
      <c r="B20" s="300" t="s">
        <v>220</v>
      </c>
      <c r="C20" s="304">
        <v>2</v>
      </c>
      <c r="D20" s="304">
        <v>1</v>
      </c>
      <c r="E20" s="307"/>
      <c r="F20" s="307"/>
      <c r="G20" s="305"/>
    </row>
    <row r="21" spans="1:7" x14ac:dyDescent="0.25">
      <c r="A21" s="300" t="s">
        <v>216</v>
      </c>
      <c r="B21" s="306" t="s">
        <v>221</v>
      </c>
      <c r="C21" s="301">
        <v>0.5</v>
      </c>
      <c r="D21" s="304">
        <v>3</v>
      </c>
      <c r="E21" s="307"/>
      <c r="F21" s="307"/>
      <c r="G21" s="305"/>
    </row>
    <row r="22" spans="1:7" x14ac:dyDescent="0.25">
      <c r="A22" s="300" t="s">
        <v>205</v>
      </c>
      <c r="B22" s="303" t="s">
        <v>222</v>
      </c>
      <c r="C22" s="301">
        <v>1</v>
      </c>
      <c r="D22" s="304">
        <v>5</v>
      </c>
      <c r="E22" s="307"/>
      <c r="F22" s="307"/>
      <c r="G22" s="300" t="s">
        <v>223</v>
      </c>
    </row>
    <row r="23" spans="1:7" x14ac:dyDescent="0.25">
      <c r="A23" s="300" t="s">
        <v>154</v>
      </c>
      <c r="B23" s="306" t="s">
        <v>224</v>
      </c>
      <c r="C23" s="301">
        <v>1</v>
      </c>
      <c r="D23" s="301">
        <v>1</v>
      </c>
      <c r="E23" s="302"/>
      <c r="F23" s="302"/>
      <c r="G23" s="305"/>
    </row>
    <row r="24" spans="1:7" x14ac:dyDescent="0.25">
      <c r="A24" s="300" t="s">
        <v>205</v>
      </c>
      <c r="B24" s="303" t="s">
        <v>225</v>
      </c>
      <c r="C24" s="301">
        <v>25</v>
      </c>
      <c r="D24" s="304">
        <v>5</v>
      </c>
      <c r="E24" s="307"/>
      <c r="F24" s="307"/>
      <c r="G24" s="300" t="s">
        <v>226</v>
      </c>
    </row>
    <row r="25" spans="1:7" x14ac:dyDescent="0.25">
      <c r="A25" s="300" t="s">
        <v>227</v>
      </c>
      <c r="B25" s="300" t="s">
        <v>103</v>
      </c>
      <c r="C25" s="304">
        <v>1600</v>
      </c>
      <c r="D25" s="304">
        <v>40</v>
      </c>
      <c r="E25" s="307"/>
      <c r="F25" s="307"/>
      <c r="G25" s="300" t="s">
        <v>228</v>
      </c>
    </row>
    <row r="26" spans="1:7" x14ac:dyDescent="0.25">
      <c r="A26" s="300" t="s">
        <v>185</v>
      </c>
      <c r="B26" s="305" t="s">
        <v>229</v>
      </c>
      <c r="C26" s="304">
        <v>20</v>
      </c>
      <c r="D26" s="304">
        <v>9</v>
      </c>
      <c r="E26" s="307"/>
      <c r="F26" s="307"/>
      <c r="G26" s="300" t="s">
        <v>187</v>
      </c>
    </row>
    <row r="27" spans="1:7" x14ac:dyDescent="0.25">
      <c r="A27" s="300" t="s">
        <v>199</v>
      </c>
      <c r="B27" s="306" t="s">
        <v>230</v>
      </c>
      <c r="C27" s="301">
        <v>0.05</v>
      </c>
      <c r="D27" s="304">
        <v>2</v>
      </c>
      <c r="E27" s="302" t="s">
        <v>231</v>
      </c>
      <c r="F27" s="302"/>
      <c r="G27" s="305"/>
    </row>
    <row r="28" spans="1:7" x14ac:dyDescent="0.25">
      <c r="A28" s="300" t="s">
        <v>216</v>
      </c>
      <c r="B28" s="303" t="s">
        <v>232</v>
      </c>
      <c r="C28" s="301">
        <v>10</v>
      </c>
      <c r="D28" s="304">
        <v>2</v>
      </c>
      <c r="E28" s="307"/>
      <c r="F28" s="307"/>
      <c r="G28" s="305" t="s">
        <v>233</v>
      </c>
    </row>
    <row r="29" spans="1:7" x14ac:dyDescent="0.25">
      <c r="A29" s="300" t="s">
        <v>185</v>
      </c>
      <c r="B29" s="305" t="s">
        <v>234</v>
      </c>
      <c r="C29" s="304">
        <v>10</v>
      </c>
      <c r="D29" s="304">
        <v>5</v>
      </c>
      <c r="E29" s="307"/>
      <c r="F29" s="307"/>
      <c r="G29" s="300" t="s">
        <v>187</v>
      </c>
    </row>
    <row r="30" spans="1:7" x14ac:dyDescent="0.25">
      <c r="A30" s="300" t="s">
        <v>205</v>
      </c>
      <c r="B30" s="306" t="s">
        <v>235</v>
      </c>
      <c r="C30" s="301">
        <v>1</v>
      </c>
      <c r="D30" s="304">
        <v>2</v>
      </c>
      <c r="E30" s="307"/>
      <c r="F30" s="307"/>
      <c r="G30" s="300" t="s">
        <v>236</v>
      </c>
    </row>
    <row r="31" spans="1:7" x14ac:dyDescent="0.25">
      <c r="A31" s="300" t="s">
        <v>237</v>
      </c>
      <c r="B31" s="300" t="s">
        <v>238</v>
      </c>
      <c r="C31" s="304">
        <v>50</v>
      </c>
      <c r="D31" s="304"/>
      <c r="E31" s="302" t="s">
        <v>239</v>
      </c>
      <c r="F31" s="302" t="s">
        <v>240</v>
      </c>
      <c r="G31" s="300" t="s">
        <v>241</v>
      </c>
    </row>
    <row r="32" spans="1:7" x14ac:dyDescent="0.25">
      <c r="A32" s="300" t="s">
        <v>216</v>
      </c>
      <c r="B32" s="306" t="s">
        <v>242</v>
      </c>
      <c r="C32" s="301">
        <v>0.01</v>
      </c>
      <c r="D32" s="304">
        <v>0</v>
      </c>
      <c r="E32" s="307"/>
      <c r="F32" s="307"/>
      <c r="G32" s="300" t="s">
        <v>243</v>
      </c>
    </row>
    <row r="33" spans="1:7" x14ac:dyDescent="0.25">
      <c r="A33" s="300" t="s">
        <v>185</v>
      </c>
      <c r="B33" s="300" t="s">
        <v>244</v>
      </c>
      <c r="C33" s="304">
        <v>8</v>
      </c>
      <c r="D33" s="304">
        <v>6</v>
      </c>
      <c r="E33" s="307"/>
      <c r="F33" s="307"/>
      <c r="G33" s="300" t="s">
        <v>187</v>
      </c>
    </row>
    <row r="34" spans="1:7" x14ac:dyDescent="0.25">
      <c r="A34" s="300" t="s">
        <v>245</v>
      </c>
      <c r="B34" s="300" t="s">
        <v>246</v>
      </c>
      <c r="C34" s="304">
        <v>100</v>
      </c>
      <c r="D34" s="304">
        <v>600</v>
      </c>
      <c r="E34" s="307"/>
      <c r="F34" s="307"/>
      <c r="G34" s="305"/>
    </row>
    <row r="35" spans="1:7" x14ac:dyDescent="0.25">
      <c r="A35" s="300" t="s">
        <v>245</v>
      </c>
      <c r="B35" s="300" t="s">
        <v>247</v>
      </c>
      <c r="C35" s="304">
        <v>15</v>
      </c>
      <c r="D35" s="304">
        <v>200</v>
      </c>
      <c r="E35" s="307"/>
      <c r="F35" s="307"/>
      <c r="G35" s="305"/>
    </row>
    <row r="36" spans="1:7" x14ac:dyDescent="0.25">
      <c r="A36" s="300" t="s">
        <v>185</v>
      </c>
      <c r="B36" s="305" t="s">
        <v>248</v>
      </c>
      <c r="C36" s="304">
        <v>15</v>
      </c>
      <c r="D36" s="304">
        <v>6</v>
      </c>
      <c r="E36" s="307"/>
      <c r="F36" s="307"/>
      <c r="G36" s="300" t="s">
        <v>187</v>
      </c>
    </row>
    <row r="37" spans="1:7" x14ac:dyDescent="0.25">
      <c r="A37" s="300" t="s">
        <v>216</v>
      </c>
      <c r="B37" s="306" t="s">
        <v>249</v>
      </c>
      <c r="C37" s="301">
        <v>5</v>
      </c>
      <c r="D37" s="304">
        <v>10</v>
      </c>
      <c r="E37" s="307"/>
      <c r="F37" s="307"/>
      <c r="G37" s="305" t="s">
        <v>250</v>
      </c>
    </row>
    <row r="38" spans="1:7" x14ac:dyDescent="0.25">
      <c r="A38" s="300" t="s">
        <v>251</v>
      </c>
      <c r="B38" s="300" t="s">
        <v>252</v>
      </c>
      <c r="C38" s="304">
        <v>300</v>
      </c>
      <c r="D38" s="304">
        <v>110</v>
      </c>
      <c r="E38" s="307"/>
      <c r="F38" s="307"/>
      <c r="G38" s="300" t="s">
        <v>228</v>
      </c>
    </row>
    <row r="39" spans="1:7" x14ac:dyDescent="0.25">
      <c r="A39" s="300" t="s">
        <v>227</v>
      </c>
      <c r="B39" s="300" t="s">
        <v>253</v>
      </c>
      <c r="C39" s="304">
        <v>200</v>
      </c>
      <c r="D39" s="304">
        <v>40</v>
      </c>
      <c r="E39" s="307"/>
      <c r="F39" s="307"/>
      <c r="G39" s="300" t="s">
        <v>228</v>
      </c>
    </row>
    <row r="40" spans="1:7" x14ac:dyDescent="0.25">
      <c r="A40" s="300" t="s">
        <v>205</v>
      </c>
      <c r="B40" s="306" t="s">
        <v>254</v>
      </c>
      <c r="C40" s="301">
        <v>0.01</v>
      </c>
      <c r="D40" s="304">
        <v>0</v>
      </c>
      <c r="E40" s="307"/>
      <c r="F40" s="307"/>
      <c r="G40" s="305"/>
    </row>
    <row r="41" spans="1:7" x14ac:dyDescent="0.25">
      <c r="A41" s="300" t="s">
        <v>245</v>
      </c>
      <c r="B41" s="300" t="s">
        <v>255</v>
      </c>
      <c r="C41" s="304">
        <v>200</v>
      </c>
      <c r="D41" s="304">
        <v>100</v>
      </c>
      <c r="E41" s="307"/>
      <c r="F41" s="307"/>
      <c r="G41" s="305"/>
    </row>
    <row r="42" spans="1:7" x14ac:dyDescent="0.25">
      <c r="A42" s="300" t="s">
        <v>199</v>
      </c>
      <c r="B42" s="306" t="s">
        <v>256</v>
      </c>
      <c r="C42" s="301">
        <v>5</v>
      </c>
      <c r="D42" s="304">
        <v>25</v>
      </c>
      <c r="E42" s="302" t="s">
        <v>257</v>
      </c>
      <c r="F42" s="302"/>
      <c r="G42" s="305"/>
    </row>
    <row r="43" spans="1:7" x14ac:dyDescent="0.25">
      <c r="A43" s="300" t="s">
        <v>196</v>
      </c>
      <c r="B43" s="300" t="s">
        <v>258</v>
      </c>
      <c r="C43" s="304">
        <v>0.3</v>
      </c>
      <c r="D43" s="304"/>
      <c r="E43" s="307"/>
      <c r="F43" s="307"/>
      <c r="G43" s="305"/>
    </row>
    <row r="44" spans="1:7" x14ac:dyDescent="0.25">
      <c r="A44" s="300" t="s">
        <v>178</v>
      </c>
      <c r="B44" s="306" t="s">
        <v>259</v>
      </c>
      <c r="C44" s="301">
        <v>25</v>
      </c>
      <c r="D44" s="304">
        <v>12</v>
      </c>
      <c r="E44" s="307"/>
      <c r="F44" s="307"/>
      <c r="G44" s="305" t="s">
        <v>260</v>
      </c>
    </row>
    <row r="45" spans="1:7" x14ac:dyDescent="0.25">
      <c r="A45" s="300" t="s">
        <v>194</v>
      </c>
      <c r="B45" s="300" t="s">
        <v>261</v>
      </c>
      <c r="C45" s="304">
        <v>0.03</v>
      </c>
      <c r="D45" s="304"/>
      <c r="E45" s="307"/>
      <c r="F45" s="307"/>
      <c r="G45" s="300" t="s">
        <v>262</v>
      </c>
    </row>
    <row r="46" spans="1:7" x14ac:dyDescent="0.25">
      <c r="A46" s="300" t="s">
        <v>194</v>
      </c>
      <c r="B46" s="300" t="s">
        <v>263</v>
      </c>
      <c r="C46" s="304">
        <v>0.01</v>
      </c>
      <c r="D46" s="304"/>
      <c r="E46" s="307"/>
      <c r="F46" s="307"/>
      <c r="G46" s="305"/>
    </row>
    <row r="47" spans="1:7" x14ac:dyDescent="0.25">
      <c r="A47" s="300" t="s">
        <v>185</v>
      </c>
      <c r="B47" s="305" t="s">
        <v>264</v>
      </c>
      <c r="C47" s="304">
        <v>5</v>
      </c>
      <c r="D47" s="304">
        <v>5</v>
      </c>
      <c r="E47" s="307"/>
      <c r="F47" s="307"/>
      <c r="G47" s="300" t="s">
        <v>187</v>
      </c>
    </row>
    <row r="48" spans="1:7" x14ac:dyDescent="0.25">
      <c r="A48" s="300" t="s">
        <v>194</v>
      </c>
      <c r="B48" s="300" t="s">
        <v>265</v>
      </c>
      <c r="C48" s="304">
        <v>0.8</v>
      </c>
      <c r="D48" s="304"/>
      <c r="E48" s="307"/>
      <c r="F48" s="307"/>
      <c r="G48" s="305"/>
    </row>
    <row r="49" spans="1:7" x14ac:dyDescent="0.25">
      <c r="A49" s="300" t="s">
        <v>196</v>
      </c>
      <c r="B49" s="300" t="s">
        <v>266</v>
      </c>
      <c r="C49" s="304">
        <v>0.5</v>
      </c>
      <c r="D49" s="304"/>
      <c r="E49" s="307"/>
      <c r="F49" s="307"/>
      <c r="G49" s="305"/>
    </row>
    <row r="50" spans="1:7" x14ac:dyDescent="0.25">
      <c r="A50" s="300" t="s">
        <v>267</v>
      </c>
      <c r="B50" s="303" t="s">
        <v>43</v>
      </c>
      <c r="C50" s="301">
        <v>0.5</v>
      </c>
      <c r="D50" s="304">
        <v>3</v>
      </c>
      <c r="E50" s="307"/>
      <c r="F50" s="307"/>
      <c r="G50" s="305"/>
    </row>
    <row r="51" spans="1:7" x14ac:dyDescent="0.25">
      <c r="A51" s="300" t="s">
        <v>268</v>
      </c>
      <c r="B51" s="300" t="s">
        <v>269</v>
      </c>
      <c r="C51" s="304">
        <v>0.2</v>
      </c>
      <c r="D51" s="304"/>
      <c r="E51" s="307"/>
      <c r="F51" s="307"/>
      <c r="G51" s="305"/>
    </row>
    <row r="52" spans="1:7" x14ac:dyDescent="0.25">
      <c r="A52" s="300" t="s">
        <v>270</v>
      </c>
      <c r="B52" s="306" t="s">
        <v>271</v>
      </c>
      <c r="C52" s="301">
        <v>25</v>
      </c>
      <c r="D52" s="304">
        <v>2</v>
      </c>
      <c r="E52" s="307"/>
      <c r="F52" s="307"/>
      <c r="G52" s="305" t="s">
        <v>272</v>
      </c>
    </row>
    <row r="53" spans="1:7" x14ac:dyDescent="0.25">
      <c r="A53" s="300" t="s">
        <v>185</v>
      </c>
      <c r="B53" s="305" t="s">
        <v>273</v>
      </c>
      <c r="C53" s="304">
        <v>1</v>
      </c>
      <c r="D53" s="304">
        <v>8</v>
      </c>
      <c r="E53" s="307"/>
      <c r="F53" s="307"/>
      <c r="G53" s="300" t="s">
        <v>187</v>
      </c>
    </row>
    <row r="54" spans="1:7" x14ac:dyDescent="0.25">
      <c r="A54" s="300" t="s">
        <v>267</v>
      </c>
      <c r="B54" s="303" t="s">
        <v>274</v>
      </c>
      <c r="C54" s="301">
        <v>5</v>
      </c>
      <c r="D54" s="304">
        <v>4</v>
      </c>
      <c r="E54" s="307"/>
      <c r="F54" s="307"/>
      <c r="G54" s="305"/>
    </row>
    <row r="55" spans="1:7" x14ac:dyDescent="0.25">
      <c r="A55" s="300" t="s">
        <v>275</v>
      </c>
      <c r="B55" s="303" t="s">
        <v>276</v>
      </c>
      <c r="C55" s="301">
        <v>1</v>
      </c>
      <c r="D55" s="304">
        <v>1</v>
      </c>
      <c r="E55" s="307"/>
      <c r="F55" s="307"/>
      <c r="G55" s="300" t="s">
        <v>277</v>
      </c>
    </row>
    <row r="56" spans="1:7" x14ac:dyDescent="0.25">
      <c r="A56" s="300" t="s">
        <v>154</v>
      </c>
      <c r="B56" s="306" t="s">
        <v>278</v>
      </c>
      <c r="C56" s="301">
        <v>1</v>
      </c>
      <c r="D56" s="301">
        <v>1.5</v>
      </c>
      <c r="E56" s="302"/>
      <c r="F56" s="302"/>
      <c r="G56" s="305"/>
    </row>
    <row r="57" spans="1:7" x14ac:dyDescent="0.25">
      <c r="A57" s="300" t="s">
        <v>178</v>
      </c>
      <c r="B57" s="306" t="s">
        <v>279</v>
      </c>
      <c r="C57" s="301">
        <v>2</v>
      </c>
      <c r="D57" s="304">
        <v>5</v>
      </c>
      <c r="E57" s="307"/>
      <c r="F57" s="307"/>
      <c r="G57" s="305" t="s">
        <v>280</v>
      </c>
    </row>
    <row r="58" spans="1:7" x14ac:dyDescent="0.25">
      <c r="A58" s="300" t="s">
        <v>281</v>
      </c>
      <c r="B58" s="303" t="s">
        <v>282</v>
      </c>
      <c r="C58" s="301">
        <v>10</v>
      </c>
      <c r="D58" s="304">
        <v>1</v>
      </c>
      <c r="E58" s="307"/>
      <c r="F58" s="307"/>
      <c r="G58" s="300" t="s">
        <v>283</v>
      </c>
    </row>
    <row r="59" spans="1:7" x14ac:dyDescent="0.25">
      <c r="A59" s="300" t="s">
        <v>77</v>
      </c>
      <c r="B59" s="305" t="s">
        <v>284</v>
      </c>
      <c r="C59" s="304">
        <v>0.1</v>
      </c>
      <c r="D59" s="304">
        <v>0</v>
      </c>
      <c r="E59" s="307"/>
      <c r="F59" s="307"/>
      <c r="G59" s="300" t="s">
        <v>285</v>
      </c>
    </row>
    <row r="60" spans="1:7" x14ac:dyDescent="0.25">
      <c r="A60" s="300" t="s">
        <v>286</v>
      </c>
      <c r="B60" s="305" t="s">
        <v>287</v>
      </c>
      <c r="C60" s="304">
        <v>25</v>
      </c>
      <c r="D60" s="304">
        <v>3</v>
      </c>
      <c r="E60" s="307"/>
      <c r="F60" s="307"/>
      <c r="G60" s="305" t="s">
        <v>288</v>
      </c>
    </row>
    <row r="61" spans="1:7" x14ac:dyDescent="0.25">
      <c r="A61" s="300" t="s">
        <v>237</v>
      </c>
      <c r="B61" s="300" t="s">
        <v>289</v>
      </c>
      <c r="C61" s="304">
        <v>8</v>
      </c>
      <c r="D61" s="304"/>
      <c r="E61" s="302" t="s">
        <v>290</v>
      </c>
      <c r="F61" s="302" t="s">
        <v>291</v>
      </c>
      <c r="G61" s="300" t="s">
        <v>241</v>
      </c>
    </row>
    <row r="62" spans="1:7" x14ac:dyDescent="0.25">
      <c r="A62" s="300" t="s">
        <v>237</v>
      </c>
      <c r="B62" s="300" t="s">
        <v>292</v>
      </c>
      <c r="C62" s="304">
        <v>50</v>
      </c>
      <c r="D62" s="304"/>
      <c r="E62" s="302" t="s">
        <v>293</v>
      </c>
      <c r="F62" s="302" t="s">
        <v>291</v>
      </c>
      <c r="G62" s="300" t="s">
        <v>241</v>
      </c>
    </row>
    <row r="63" spans="1:7" x14ac:dyDescent="0.25">
      <c r="A63" s="300" t="s">
        <v>77</v>
      </c>
      <c r="B63" s="305" t="s">
        <v>294</v>
      </c>
      <c r="C63" s="304">
        <v>1</v>
      </c>
      <c r="D63" s="304">
        <v>0.5</v>
      </c>
      <c r="E63" s="307"/>
      <c r="F63" s="307"/>
      <c r="G63" s="300" t="s">
        <v>285</v>
      </c>
    </row>
    <row r="64" spans="1:7" x14ac:dyDescent="0.25">
      <c r="A64" s="300" t="s">
        <v>202</v>
      </c>
      <c r="B64" s="305" t="s">
        <v>295</v>
      </c>
      <c r="C64" s="304">
        <v>6</v>
      </c>
      <c r="D64" s="304">
        <v>3</v>
      </c>
      <c r="E64" s="307"/>
      <c r="F64" s="307"/>
      <c r="G64" s="300" t="s">
        <v>204</v>
      </c>
    </row>
    <row r="65" spans="1:7" x14ac:dyDescent="0.25">
      <c r="A65" s="300" t="s">
        <v>202</v>
      </c>
      <c r="B65" s="305" t="s">
        <v>296</v>
      </c>
      <c r="C65" s="304">
        <v>25</v>
      </c>
      <c r="D65" s="304">
        <v>10</v>
      </c>
      <c r="E65" s="307"/>
      <c r="F65" s="307"/>
      <c r="G65" s="300" t="s">
        <v>204</v>
      </c>
    </row>
    <row r="66" spans="1:7" x14ac:dyDescent="0.25">
      <c r="A66" s="300" t="s">
        <v>237</v>
      </c>
      <c r="B66" s="300" t="s">
        <v>297</v>
      </c>
      <c r="C66" s="304">
        <v>200</v>
      </c>
      <c r="D66" s="304"/>
      <c r="E66" s="302" t="s">
        <v>298</v>
      </c>
      <c r="F66" s="302" t="s">
        <v>291</v>
      </c>
      <c r="G66" s="300" t="s">
        <v>241</v>
      </c>
    </row>
    <row r="67" spans="1:7" x14ac:dyDescent="0.25">
      <c r="A67" s="300" t="s">
        <v>188</v>
      </c>
      <c r="B67" s="306" t="s">
        <v>299</v>
      </c>
      <c r="C67" s="301">
        <v>5</v>
      </c>
      <c r="D67" s="304">
        <v>0</v>
      </c>
      <c r="E67" s="307"/>
      <c r="F67" s="307"/>
      <c r="G67" s="300" t="s">
        <v>190</v>
      </c>
    </row>
    <row r="68" spans="1:7" x14ac:dyDescent="0.25">
      <c r="A68" s="300" t="s">
        <v>300</v>
      </c>
      <c r="B68" s="300" t="s">
        <v>301</v>
      </c>
      <c r="C68" s="304">
        <v>60</v>
      </c>
      <c r="D68" s="304">
        <v>40</v>
      </c>
      <c r="E68" s="307"/>
      <c r="F68" s="307"/>
      <c r="G68" s="300" t="s">
        <v>302</v>
      </c>
    </row>
    <row r="69" spans="1:7" x14ac:dyDescent="0.25">
      <c r="A69" s="300" t="s">
        <v>216</v>
      </c>
      <c r="B69" s="300" t="s">
        <v>303</v>
      </c>
      <c r="C69" s="304">
        <v>0.05</v>
      </c>
      <c r="D69" s="304">
        <v>10</v>
      </c>
      <c r="E69" s="307"/>
      <c r="F69" s="307"/>
      <c r="G69" s="305"/>
    </row>
    <row r="70" spans="1:7" x14ac:dyDescent="0.25">
      <c r="A70" s="300" t="s">
        <v>267</v>
      </c>
      <c r="B70" s="303" t="s">
        <v>304</v>
      </c>
      <c r="C70" s="301">
        <v>15</v>
      </c>
      <c r="D70" s="304">
        <v>6</v>
      </c>
      <c r="E70" s="307"/>
      <c r="F70" s="307"/>
      <c r="G70" s="305"/>
    </row>
    <row r="71" spans="1:7" x14ac:dyDescent="0.25">
      <c r="A71" s="300" t="s">
        <v>305</v>
      </c>
      <c r="B71" s="300" t="s">
        <v>306</v>
      </c>
      <c r="C71" s="304">
        <v>3</v>
      </c>
      <c r="D71" s="304">
        <v>0</v>
      </c>
      <c r="E71" s="307"/>
      <c r="F71" s="307"/>
      <c r="G71" s="305"/>
    </row>
    <row r="72" spans="1:7" x14ac:dyDescent="0.25">
      <c r="A72" s="300" t="s">
        <v>307</v>
      </c>
      <c r="B72" s="300" t="s">
        <v>308</v>
      </c>
      <c r="C72" s="304">
        <v>3</v>
      </c>
      <c r="D72" s="304">
        <v>0</v>
      </c>
      <c r="E72" s="307"/>
      <c r="F72" s="307"/>
      <c r="G72" s="305"/>
    </row>
    <row r="73" spans="1:7" x14ac:dyDescent="0.25">
      <c r="A73" s="300" t="s">
        <v>309</v>
      </c>
      <c r="B73" s="300" t="s">
        <v>310</v>
      </c>
      <c r="C73" s="304">
        <v>2</v>
      </c>
      <c r="D73" s="304">
        <v>0</v>
      </c>
      <c r="E73" s="307"/>
      <c r="F73" s="307"/>
      <c r="G73" s="305"/>
    </row>
    <row r="74" spans="1:7" x14ac:dyDescent="0.25">
      <c r="A74" s="300" t="s">
        <v>268</v>
      </c>
      <c r="B74" s="300" t="s">
        <v>311</v>
      </c>
      <c r="C74" s="304">
        <v>10</v>
      </c>
      <c r="D74" s="304"/>
      <c r="E74" s="307"/>
      <c r="F74" s="307"/>
      <c r="G74" s="305"/>
    </row>
    <row r="75" spans="1:7" x14ac:dyDescent="0.25">
      <c r="A75" s="300" t="s">
        <v>178</v>
      </c>
      <c r="B75" s="306" t="s">
        <v>312</v>
      </c>
      <c r="C75" s="301">
        <v>1</v>
      </c>
      <c r="D75" s="304">
        <v>4</v>
      </c>
      <c r="E75" s="307"/>
      <c r="F75" s="307"/>
      <c r="G75" s="305" t="s">
        <v>313</v>
      </c>
    </row>
    <row r="76" spans="1:7" x14ac:dyDescent="0.25">
      <c r="A76" s="300" t="s">
        <v>199</v>
      </c>
      <c r="B76" s="306" t="s">
        <v>314</v>
      </c>
      <c r="C76" s="301">
        <v>0.02</v>
      </c>
      <c r="D76" s="304">
        <v>1</v>
      </c>
      <c r="E76" s="302" t="s">
        <v>315</v>
      </c>
      <c r="F76" s="302"/>
      <c r="G76" s="305"/>
    </row>
    <row r="77" spans="1:7" x14ac:dyDescent="0.25">
      <c r="A77" s="300" t="s">
        <v>202</v>
      </c>
      <c r="B77" s="305" t="s">
        <v>316</v>
      </c>
      <c r="C77" s="304">
        <v>2</v>
      </c>
      <c r="D77" s="304">
        <v>1</v>
      </c>
      <c r="E77" s="307"/>
      <c r="F77" s="307"/>
      <c r="G77" s="300" t="s">
        <v>204</v>
      </c>
    </row>
    <row r="78" spans="1:7" x14ac:dyDescent="0.25">
      <c r="A78" s="300" t="s">
        <v>286</v>
      </c>
      <c r="B78" s="305" t="s">
        <v>317</v>
      </c>
      <c r="C78" s="304">
        <v>15</v>
      </c>
      <c r="D78" s="304">
        <v>5</v>
      </c>
      <c r="E78" s="307"/>
      <c r="F78" s="307"/>
      <c r="G78" s="305" t="s">
        <v>318</v>
      </c>
    </row>
    <row r="79" spans="1:7" x14ac:dyDescent="0.25">
      <c r="A79" s="300" t="s">
        <v>319</v>
      </c>
      <c r="B79" s="300" t="s">
        <v>320</v>
      </c>
      <c r="C79" s="304">
        <v>30000</v>
      </c>
      <c r="D79" s="304"/>
      <c r="E79" s="307"/>
      <c r="F79" s="301" t="s">
        <v>321</v>
      </c>
      <c r="G79" s="305"/>
    </row>
    <row r="80" spans="1:7" x14ac:dyDescent="0.25">
      <c r="A80" s="300" t="s">
        <v>268</v>
      </c>
      <c r="B80" s="300" t="s">
        <v>322</v>
      </c>
      <c r="C80" s="304">
        <v>0.2</v>
      </c>
      <c r="D80" s="304"/>
      <c r="E80" s="307"/>
      <c r="F80" s="307"/>
      <c r="G80" s="305"/>
    </row>
    <row r="81" spans="1:7" x14ac:dyDescent="0.25">
      <c r="A81" s="300" t="s">
        <v>199</v>
      </c>
      <c r="B81" s="303" t="s">
        <v>323</v>
      </c>
      <c r="C81" s="301">
        <v>2</v>
      </c>
      <c r="D81" s="304">
        <v>2</v>
      </c>
      <c r="E81" s="302" t="s">
        <v>324</v>
      </c>
      <c r="F81" s="302"/>
      <c r="G81" s="305"/>
    </row>
    <row r="82" spans="1:7" x14ac:dyDescent="0.25">
      <c r="A82" s="300" t="s">
        <v>185</v>
      </c>
      <c r="B82" s="305" t="s">
        <v>325</v>
      </c>
      <c r="C82" s="304">
        <v>30</v>
      </c>
      <c r="D82" s="304">
        <v>5</v>
      </c>
      <c r="E82" s="307"/>
      <c r="F82" s="307"/>
      <c r="G82" s="300" t="s">
        <v>187</v>
      </c>
    </row>
    <row r="83" spans="1:7" x14ac:dyDescent="0.25">
      <c r="A83" s="300" t="s">
        <v>178</v>
      </c>
      <c r="B83" s="306" t="s">
        <v>326</v>
      </c>
      <c r="C83" s="301">
        <v>2</v>
      </c>
      <c r="D83" s="304">
        <v>4</v>
      </c>
      <c r="E83" s="307"/>
      <c r="F83" s="307"/>
      <c r="G83" s="305"/>
    </row>
    <row r="84" spans="1:7" x14ac:dyDescent="0.25">
      <c r="A84" s="300" t="s">
        <v>227</v>
      </c>
      <c r="B84" s="300" t="s">
        <v>327</v>
      </c>
      <c r="C84" s="304">
        <v>3000</v>
      </c>
      <c r="D84" s="304">
        <v>80</v>
      </c>
      <c r="E84" s="307"/>
      <c r="F84" s="307"/>
      <c r="G84" s="300" t="s">
        <v>228</v>
      </c>
    </row>
    <row r="85" spans="1:7" x14ac:dyDescent="0.25">
      <c r="A85" s="300" t="s">
        <v>178</v>
      </c>
      <c r="B85" s="306" t="s">
        <v>328</v>
      </c>
      <c r="C85" s="301">
        <v>1</v>
      </c>
      <c r="D85" s="304">
        <v>3</v>
      </c>
      <c r="E85" s="307"/>
      <c r="F85" s="307"/>
      <c r="G85" s="305"/>
    </row>
    <row r="86" spans="1:7" x14ac:dyDescent="0.25">
      <c r="A86" s="300" t="s">
        <v>191</v>
      </c>
      <c r="B86" s="306" t="s">
        <v>329</v>
      </c>
      <c r="C86" s="301">
        <v>5</v>
      </c>
      <c r="D86" s="304">
        <v>3</v>
      </c>
      <c r="E86" s="307"/>
      <c r="F86" s="307"/>
      <c r="G86" s="305" t="s">
        <v>330</v>
      </c>
    </row>
    <row r="87" spans="1:7" x14ac:dyDescent="0.25">
      <c r="A87" s="300" t="s">
        <v>216</v>
      </c>
      <c r="B87" s="303" t="s">
        <v>331</v>
      </c>
      <c r="C87" s="301">
        <v>1</v>
      </c>
      <c r="D87" s="304">
        <v>10</v>
      </c>
      <c r="E87" s="307"/>
      <c r="F87" s="307"/>
      <c r="G87" s="300" t="s">
        <v>332</v>
      </c>
    </row>
    <row r="88" spans="1:7" x14ac:dyDescent="0.25">
      <c r="A88" s="300" t="s">
        <v>286</v>
      </c>
      <c r="B88" s="305" t="s">
        <v>333</v>
      </c>
      <c r="C88" s="304">
        <v>5</v>
      </c>
      <c r="D88" s="304">
        <v>3</v>
      </c>
      <c r="E88" s="307"/>
      <c r="F88" s="307"/>
      <c r="G88" s="305" t="s">
        <v>334</v>
      </c>
    </row>
    <row r="89" spans="1:7" x14ac:dyDescent="0.25">
      <c r="A89" s="300" t="s">
        <v>227</v>
      </c>
      <c r="B89" s="300" t="s">
        <v>100</v>
      </c>
      <c r="C89" s="304">
        <v>40</v>
      </c>
      <c r="D89" s="304">
        <v>24</v>
      </c>
      <c r="E89" s="307"/>
      <c r="F89" s="307"/>
      <c r="G89" s="300" t="s">
        <v>228</v>
      </c>
    </row>
    <row r="90" spans="1:7" x14ac:dyDescent="0.25">
      <c r="A90" s="300" t="s">
        <v>180</v>
      </c>
      <c r="B90" s="306" t="s">
        <v>335</v>
      </c>
      <c r="C90" s="301">
        <v>25</v>
      </c>
      <c r="D90" s="304">
        <v>1</v>
      </c>
      <c r="E90" s="307"/>
      <c r="F90" s="307"/>
      <c r="G90" s="305" t="s">
        <v>336</v>
      </c>
    </row>
    <row r="91" spans="1:7" x14ac:dyDescent="0.25">
      <c r="A91" s="300" t="s">
        <v>216</v>
      </c>
      <c r="B91" s="303" t="s">
        <v>337</v>
      </c>
      <c r="C91" s="301">
        <v>5</v>
      </c>
      <c r="D91" s="304">
        <v>2</v>
      </c>
      <c r="E91" s="307"/>
      <c r="F91" s="307"/>
      <c r="G91" s="305" t="s">
        <v>338</v>
      </c>
    </row>
    <row r="92" spans="1:7" x14ac:dyDescent="0.25">
      <c r="A92" s="300" t="s">
        <v>202</v>
      </c>
      <c r="B92" s="305" t="s">
        <v>339</v>
      </c>
      <c r="C92" s="304">
        <v>3</v>
      </c>
      <c r="D92" s="304">
        <v>2</v>
      </c>
      <c r="E92" s="307"/>
      <c r="F92" s="307"/>
      <c r="G92" s="300" t="s">
        <v>204</v>
      </c>
    </row>
    <row r="93" spans="1:7" x14ac:dyDescent="0.25">
      <c r="A93" s="300" t="s">
        <v>178</v>
      </c>
      <c r="B93" s="306" t="s">
        <v>340</v>
      </c>
      <c r="C93" s="301">
        <v>25</v>
      </c>
      <c r="D93" s="304">
        <v>1</v>
      </c>
      <c r="E93" s="307"/>
      <c r="F93" s="307"/>
      <c r="G93" s="305"/>
    </row>
    <row r="94" spans="1:7" x14ac:dyDescent="0.25">
      <c r="A94" s="300" t="s">
        <v>196</v>
      </c>
      <c r="B94" s="300" t="s">
        <v>341</v>
      </c>
      <c r="C94" s="304">
        <v>0.1</v>
      </c>
      <c r="D94" s="304"/>
      <c r="E94" s="307"/>
      <c r="F94" s="307"/>
      <c r="G94" s="305"/>
    </row>
    <row r="95" spans="1:7" x14ac:dyDescent="0.25">
      <c r="A95" s="300" t="s">
        <v>178</v>
      </c>
      <c r="B95" s="306" t="s">
        <v>342</v>
      </c>
      <c r="C95" s="301">
        <v>5</v>
      </c>
      <c r="D95" s="304">
        <v>25</v>
      </c>
      <c r="E95" s="307"/>
      <c r="F95" s="307"/>
      <c r="G95" s="305" t="s">
        <v>343</v>
      </c>
    </row>
    <row r="96" spans="1:7" x14ac:dyDescent="0.25">
      <c r="A96" s="300" t="s">
        <v>216</v>
      </c>
      <c r="B96" s="306" t="s">
        <v>344</v>
      </c>
      <c r="C96" s="301">
        <v>10</v>
      </c>
      <c r="D96" s="304">
        <v>0</v>
      </c>
      <c r="E96" s="307"/>
      <c r="F96" s="307"/>
      <c r="G96" s="305"/>
    </row>
    <row r="97" spans="1:7" x14ac:dyDescent="0.25">
      <c r="A97" s="300" t="s">
        <v>178</v>
      </c>
      <c r="B97" s="306" t="s">
        <v>345</v>
      </c>
      <c r="C97" s="301">
        <v>0.02</v>
      </c>
      <c r="D97" s="304">
        <v>0</v>
      </c>
      <c r="E97" s="307"/>
      <c r="F97" s="307"/>
      <c r="G97" s="305"/>
    </row>
    <row r="98" spans="1:7" x14ac:dyDescent="0.25">
      <c r="A98" s="300" t="s">
        <v>199</v>
      </c>
      <c r="B98" s="303" t="s">
        <v>346</v>
      </c>
      <c r="C98" s="301">
        <v>2</v>
      </c>
      <c r="D98" s="304">
        <v>10</v>
      </c>
      <c r="E98" s="302" t="s">
        <v>347</v>
      </c>
      <c r="F98" s="302"/>
      <c r="G98" s="305"/>
    </row>
    <row r="99" spans="1:7" x14ac:dyDescent="0.25">
      <c r="A99" s="300" t="s">
        <v>178</v>
      </c>
      <c r="B99" s="303" t="s">
        <v>348</v>
      </c>
      <c r="C99" s="301">
        <v>1</v>
      </c>
      <c r="D99" s="304">
        <v>5</v>
      </c>
      <c r="E99" s="307"/>
      <c r="F99" s="307"/>
      <c r="G99" s="305"/>
    </row>
    <row r="100" spans="1:7" x14ac:dyDescent="0.25">
      <c r="A100" s="300" t="s">
        <v>185</v>
      </c>
      <c r="B100" s="305" t="s">
        <v>349</v>
      </c>
      <c r="C100" s="304">
        <v>25</v>
      </c>
      <c r="D100" s="304">
        <v>2</v>
      </c>
      <c r="E100" s="307"/>
      <c r="F100" s="307"/>
      <c r="G100" s="300" t="s">
        <v>187</v>
      </c>
    </row>
    <row r="101" spans="1:7" x14ac:dyDescent="0.25">
      <c r="A101" s="300" t="s">
        <v>199</v>
      </c>
      <c r="B101" s="306" t="s">
        <v>350</v>
      </c>
      <c r="C101" s="301">
        <v>0.02</v>
      </c>
      <c r="D101" s="304">
        <v>4</v>
      </c>
      <c r="E101" s="302" t="s">
        <v>347</v>
      </c>
      <c r="F101" s="302"/>
      <c r="G101" s="305"/>
    </row>
    <row r="102" spans="1:7" x14ac:dyDescent="0.25">
      <c r="A102" s="300" t="s">
        <v>319</v>
      </c>
      <c r="B102" s="300" t="s">
        <v>351</v>
      </c>
      <c r="C102" s="304">
        <v>3000</v>
      </c>
      <c r="D102" s="304"/>
      <c r="E102" s="307"/>
      <c r="F102" s="301" t="s">
        <v>352</v>
      </c>
      <c r="G102" s="300" t="s">
        <v>353</v>
      </c>
    </row>
    <row r="103" spans="1:7" x14ac:dyDescent="0.25">
      <c r="A103" s="300" t="s">
        <v>178</v>
      </c>
      <c r="B103" s="306" t="s">
        <v>354</v>
      </c>
      <c r="C103" s="301">
        <v>0.1</v>
      </c>
      <c r="D103" s="304">
        <v>25</v>
      </c>
      <c r="E103" s="307"/>
      <c r="F103" s="307"/>
      <c r="G103" s="305"/>
    </row>
    <row r="104" spans="1:7" x14ac:dyDescent="0.25">
      <c r="A104" s="300" t="s">
        <v>216</v>
      </c>
      <c r="B104" s="306" t="s">
        <v>355</v>
      </c>
      <c r="C104" s="301">
        <v>0.5</v>
      </c>
      <c r="D104" s="304">
        <v>1</v>
      </c>
      <c r="E104" s="307"/>
      <c r="F104" s="307"/>
      <c r="G104" s="305" t="s">
        <v>356</v>
      </c>
    </row>
    <row r="105" spans="1:7" x14ac:dyDescent="0.25">
      <c r="A105" s="300" t="s">
        <v>357</v>
      </c>
      <c r="B105" s="300" t="s">
        <v>358</v>
      </c>
      <c r="C105" s="304">
        <v>40</v>
      </c>
      <c r="D105" s="304">
        <v>20</v>
      </c>
      <c r="E105" s="307"/>
      <c r="F105" s="307"/>
      <c r="G105" s="300" t="s">
        <v>228</v>
      </c>
    </row>
    <row r="106" spans="1:7" x14ac:dyDescent="0.25">
      <c r="A106" s="300" t="s">
        <v>185</v>
      </c>
      <c r="B106" s="305" t="s">
        <v>359</v>
      </c>
      <c r="C106" s="304">
        <v>5</v>
      </c>
      <c r="D106" s="304">
        <v>5</v>
      </c>
      <c r="E106" s="307"/>
      <c r="F106" s="307"/>
      <c r="G106" s="300" t="s">
        <v>187</v>
      </c>
    </row>
    <row r="107" spans="1:7" x14ac:dyDescent="0.25">
      <c r="A107" s="300" t="s">
        <v>196</v>
      </c>
      <c r="B107" s="300" t="s">
        <v>360</v>
      </c>
      <c r="C107" s="304">
        <v>0.02</v>
      </c>
      <c r="D107" s="304"/>
      <c r="E107" s="307"/>
      <c r="F107" s="307"/>
      <c r="G107" s="305"/>
    </row>
    <row r="108" spans="1:7" x14ac:dyDescent="0.25">
      <c r="A108" s="300" t="s">
        <v>178</v>
      </c>
      <c r="B108" s="306" t="s">
        <v>361</v>
      </c>
      <c r="C108" s="301">
        <v>10</v>
      </c>
      <c r="D108" s="304">
        <v>1</v>
      </c>
      <c r="E108" s="307"/>
      <c r="F108" s="307"/>
      <c r="G108" s="305" t="s">
        <v>362</v>
      </c>
    </row>
    <row r="109" spans="1:7" x14ac:dyDescent="0.25">
      <c r="A109" s="300" t="s">
        <v>319</v>
      </c>
      <c r="B109" s="300" t="s">
        <v>363</v>
      </c>
      <c r="C109" s="304">
        <v>10000</v>
      </c>
      <c r="D109" s="304"/>
      <c r="E109" s="307"/>
      <c r="F109" s="301" t="s">
        <v>364</v>
      </c>
      <c r="G109" s="305"/>
    </row>
    <row r="110" spans="1:7" x14ac:dyDescent="0.25">
      <c r="A110" s="300" t="s">
        <v>202</v>
      </c>
      <c r="B110" s="305" t="s">
        <v>365</v>
      </c>
      <c r="C110" s="304">
        <v>35</v>
      </c>
      <c r="D110" s="304">
        <v>2</v>
      </c>
      <c r="E110" s="307"/>
      <c r="F110" s="307"/>
      <c r="G110" s="300" t="s">
        <v>204</v>
      </c>
    </row>
    <row r="111" spans="1:7" x14ac:dyDescent="0.25">
      <c r="A111" s="300" t="s">
        <v>202</v>
      </c>
      <c r="B111" s="305" t="s">
        <v>366</v>
      </c>
      <c r="C111" s="304">
        <v>30</v>
      </c>
      <c r="D111" s="304">
        <v>2</v>
      </c>
      <c r="E111" s="307"/>
      <c r="F111" s="307"/>
      <c r="G111" s="300" t="s">
        <v>204</v>
      </c>
    </row>
    <row r="112" spans="1:7" x14ac:dyDescent="0.25">
      <c r="A112" s="300" t="s">
        <v>178</v>
      </c>
      <c r="B112" s="306" t="s">
        <v>367</v>
      </c>
      <c r="C112" s="301">
        <v>100</v>
      </c>
      <c r="D112" s="304">
        <v>0</v>
      </c>
      <c r="E112" s="307"/>
      <c r="F112" s="307"/>
      <c r="G112" s="305" t="s">
        <v>368</v>
      </c>
    </row>
    <row r="113" spans="1:7" x14ac:dyDescent="0.25">
      <c r="A113" s="300" t="s">
        <v>178</v>
      </c>
      <c r="B113" s="306" t="s">
        <v>369</v>
      </c>
      <c r="C113" s="301">
        <v>2</v>
      </c>
      <c r="D113" s="304">
        <v>6</v>
      </c>
      <c r="E113" s="307"/>
      <c r="F113" s="307"/>
      <c r="G113" s="305" t="s">
        <v>370</v>
      </c>
    </row>
    <row r="114" spans="1:7" x14ac:dyDescent="0.25">
      <c r="A114" s="300" t="s">
        <v>275</v>
      </c>
      <c r="B114" s="303" t="s">
        <v>371</v>
      </c>
      <c r="C114" s="301">
        <v>1</v>
      </c>
      <c r="D114" s="304">
        <v>1</v>
      </c>
      <c r="E114" s="307"/>
      <c r="F114" s="307"/>
      <c r="G114" s="300" t="s">
        <v>372</v>
      </c>
    </row>
    <row r="115" spans="1:7" x14ac:dyDescent="0.25">
      <c r="A115" s="300" t="s">
        <v>185</v>
      </c>
      <c r="B115" s="305" t="s">
        <v>373</v>
      </c>
      <c r="C115" s="304">
        <v>10</v>
      </c>
      <c r="D115" s="304">
        <v>8</v>
      </c>
      <c r="E115" s="307"/>
      <c r="F115" s="307"/>
      <c r="G115" s="300" t="s">
        <v>187</v>
      </c>
    </row>
    <row r="116" spans="1:7" x14ac:dyDescent="0.25">
      <c r="A116" s="300" t="s">
        <v>237</v>
      </c>
      <c r="B116" s="300" t="s">
        <v>374</v>
      </c>
      <c r="C116" s="304">
        <v>25</v>
      </c>
      <c r="D116" s="304"/>
      <c r="E116" s="302" t="s">
        <v>375</v>
      </c>
      <c r="F116" s="302" t="s">
        <v>291</v>
      </c>
      <c r="G116" s="300" t="s">
        <v>241</v>
      </c>
    </row>
    <row r="117" spans="1:7" x14ac:dyDescent="0.25">
      <c r="A117" s="300" t="s">
        <v>178</v>
      </c>
      <c r="B117" s="303" t="s">
        <v>376</v>
      </c>
      <c r="C117" s="301">
        <v>5</v>
      </c>
      <c r="D117" s="304">
        <v>3</v>
      </c>
      <c r="E117" s="307"/>
      <c r="F117" s="307"/>
      <c r="G117" s="305" t="s">
        <v>377</v>
      </c>
    </row>
    <row r="118" spans="1:7" x14ac:dyDescent="0.25">
      <c r="A118" s="300" t="s">
        <v>178</v>
      </c>
      <c r="B118" s="306" t="s">
        <v>378</v>
      </c>
      <c r="C118" s="301">
        <v>0.2</v>
      </c>
      <c r="D118" s="304">
        <v>1</v>
      </c>
      <c r="E118" s="307"/>
      <c r="F118" s="307"/>
      <c r="G118" s="305" t="s">
        <v>379</v>
      </c>
    </row>
    <row r="119" spans="1:7" x14ac:dyDescent="0.25">
      <c r="A119" s="300" t="s">
        <v>194</v>
      </c>
      <c r="B119" s="300" t="s">
        <v>380</v>
      </c>
      <c r="C119" s="304">
        <v>0.02</v>
      </c>
      <c r="D119" s="304"/>
      <c r="E119" s="307"/>
      <c r="F119" s="307"/>
      <c r="G119" s="300" t="s">
        <v>262</v>
      </c>
    </row>
    <row r="120" spans="1:7" x14ac:dyDescent="0.25">
      <c r="A120" s="300" t="s">
        <v>300</v>
      </c>
      <c r="B120" s="300" t="s">
        <v>381</v>
      </c>
      <c r="C120" s="304">
        <v>20</v>
      </c>
      <c r="D120" s="304">
        <v>30</v>
      </c>
      <c r="E120" s="307"/>
      <c r="F120" s="307"/>
      <c r="G120" s="300" t="s">
        <v>382</v>
      </c>
    </row>
    <row r="121" spans="1:7" x14ac:dyDescent="0.25">
      <c r="A121" s="300" t="s">
        <v>178</v>
      </c>
      <c r="B121" s="303" t="s">
        <v>383</v>
      </c>
      <c r="C121" s="301">
        <v>2</v>
      </c>
      <c r="D121" s="304">
        <v>10</v>
      </c>
      <c r="E121" s="307"/>
      <c r="F121" s="307"/>
      <c r="G121" s="305"/>
    </row>
    <row r="122" spans="1:7" x14ac:dyDescent="0.25">
      <c r="A122" s="300" t="s">
        <v>194</v>
      </c>
      <c r="B122" s="300" t="s">
        <v>384</v>
      </c>
      <c r="C122" s="304">
        <v>0.5</v>
      </c>
      <c r="D122" s="304"/>
      <c r="E122" s="307"/>
      <c r="F122" s="307"/>
      <c r="G122" s="305"/>
    </row>
    <row r="123" spans="1:7" x14ac:dyDescent="0.25">
      <c r="A123" s="300" t="s">
        <v>196</v>
      </c>
      <c r="B123" s="300" t="s">
        <v>385</v>
      </c>
      <c r="C123" s="304">
        <v>0.3</v>
      </c>
      <c r="D123" s="304"/>
      <c r="E123" s="307"/>
      <c r="F123" s="307"/>
      <c r="G123" s="305"/>
    </row>
    <row r="124" spans="1:7" x14ac:dyDescent="0.25">
      <c r="A124" s="300" t="s">
        <v>268</v>
      </c>
      <c r="B124" s="300" t="s">
        <v>386</v>
      </c>
      <c r="C124" s="304">
        <v>0.04</v>
      </c>
      <c r="D124" s="304"/>
      <c r="E124" s="307"/>
      <c r="F124" s="307"/>
      <c r="G124" s="305"/>
    </row>
    <row r="125" spans="1:7" x14ac:dyDescent="0.25">
      <c r="A125" s="300" t="s">
        <v>286</v>
      </c>
      <c r="B125" s="305" t="s">
        <v>387</v>
      </c>
      <c r="C125" s="304">
        <v>25</v>
      </c>
      <c r="D125" s="304">
        <v>2</v>
      </c>
      <c r="E125" s="307"/>
      <c r="F125" s="307"/>
      <c r="G125" s="300" t="s">
        <v>388</v>
      </c>
    </row>
    <row r="126" spans="1:7" x14ac:dyDescent="0.25">
      <c r="A126" s="300" t="s">
        <v>216</v>
      </c>
      <c r="B126" s="306" t="s">
        <v>389</v>
      </c>
      <c r="C126" s="301">
        <v>0.1</v>
      </c>
      <c r="D126" s="304">
        <v>1</v>
      </c>
      <c r="E126" s="307"/>
      <c r="F126" s="307"/>
      <c r="G126" s="305" t="s">
        <v>390</v>
      </c>
    </row>
    <row r="127" spans="1:7" x14ac:dyDescent="0.25">
      <c r="A127" s="300" t="s">
        <v>281</v>
      </c>
      <c r="B127" s="303" t="s">
        <v>391</v>
      </c>
      <c r="C127" s="301">
        <v>20</v>
      </c>
      <c r="D127" s="301">
        <v>3</v>
      </c>
      <c r="E127" s="302"/>
      <c r="F127" s="302"/>
      <c r="G127" s="300" t="s">
        <v>283</v>
      </c>
    </row>
    <row r="128" spans="1:7" x14ac:dyDescent="0.25">
      <c r="A128" s="300" t="s">
        <v>300</v>
      </c>
      <c r="B128" s="300" t="s">
        <v>392</v>
      </c>
      <c r="C128" s="304">
        <v>5</v>
      </c>
      <c r="D128" s="304">
        <v>15</v>
      </c>
      <c r="E128" s="307"/>
      <c r="F128" s="307"/>
      <c r="G128" s="305"/>
    </row>
    <row r="129" spans="1:7" x14ac:dyDescent="0.25">
      <c r="A129" s="300" t="s">
        <v>357</v>
      </c>
      <c r="B129" s="300" t="s">
        <v>393</v>
      </c>
      <c r="C129" s="304">
        <v>20</v>
      </c>
      <c r="D129" s="304">
        <v>16</v>
      </c>
      <c r="E129" s="307"/>
      <c r="F129" s="307"/>
      <c r="G129" s="300" t="s">
        <v>228</v>
      </c>
    </row>
    <row r="130" spans="1:7" x14ac:dyDescent="0.25">
      <c r="A130" s="300" t="s">
        <v>185</v>
      </c>
      <c r="B130" s="305" t="s">
        <v>394</v>
      </c>
      <c r="C130" s="304">
        <v>10</v>
      </c>
      <c r="D130" s="304">
        <v>5</v>
      </c>
      <c r="E130" s="307"/>
      <c r="F130" s="307"/>
      <c r="G130" s="300" t="s">
        <v>187</v>
      </c>
    </row>
    <row r="131" spans="1:7" x14ac:dyDescent="0.25">
      <c r="A131" s="300" t="s">
        <v>202</v>
      </c>
      <c r="B131" s="305" t="s">
        <v>395</v>
      </c>
      <c r="C131" s="304">
        <v>12</v>
      </c>
      <c r="D131" s="304">
        <v>2</v>
      </c>
      <c r="E131" s="307"/>
      <c r="F131" s="307"/>
      <c r="G131" s="300" t="s">
        <v>204</v>
      </c>
    </row>
    <row r="132" spans="1:7" x14ac:dyDescent="0.25">
      <c r="A132" s="300" t="s">
        <v>216</v>
      </c>
      <c r="B132" s="306" t="s">
        <v>396</v>
      </c>
      <c r="C132" s="301">
        <v>0.2</v>
      </c>
      <c r="D132" s="304">
        <v>0</v>
      </c>
      <c r="E132" s="307"/>
      <c r="F132" s="307"/>
      <c r="G132" s="305"/>
    </row>
    <row r="133" spans="1:7" x14ac:dyDescent="0.25">
      <c r="A133" s="300" t="s">
        <v>216</v>
      </c>
      <c r="B133" s="306" t="s">
        <v>397</v>
      </c>
      <c r="C133" s="301">
        <v>0.1</v>
      </c>
      <c r="D133" s="304">
        <v>0</v>
      </c>
      <c r="E133" s="307"/>
      <c r="F133" s="307"/>
      <c r="G133" s="305"/>
    </row>
    <row r="134" spans="1:7" x14ac:dyDescent="0.25">
      <c r="A134" s="300" t="s">
        <v>180</v>
      </c>
      <c r="B134" s="306" t="s">
        <v>398</v>
      </c>
      <c r="C134" s="301">
        <v>5</v>
      </c>
      <c r="D134" s="304">
        <v>0</v>
      </c>
      <c r="E134" s="307"/>
      <c r="F134" s="307"/>
      <c r="G134" s="305"/>
    </row>
    <row r="135" spans="1:7" x14ac:dyDescent="0.25">
      <c r="A135" s="300" t="s">
        <v>178</v>
      </c>
      <c r="B135" s="306" t="s">
        <v>399</v>
      </c>
      <c r="C135" s="301">
        <v>0.05</v>
      </c>
      <c r="D135" s="304">
        <v>0.25</v>
      </c>
      <c r="E135" s="307"/>
      <c r="F135" s="307"/>
      <c r="G135" s="305"/>
    </row>
    <row r="136" spans="1:7" x14ac:dyDescent="0.25">
      <c r="A136" s="300" t="s">
        <v>251</v>
      </c>
      <c r="B136" s="300" t="s">
        <v>108</v>
      </c>
      <c r="C136" s="304">
        <v>6000</v>
      </c>
      <c r="D136" s="304">
        <v>130</v>
      </c>
      <c r="E136" s="307"/>
      <c r="F136" s="307"/>
      <c r="G136" s="300" t="s">
        <v>228</v>
      </c>
    </row>
    <row r="137" spans="1:7" x14ac:dyDescent="0.25">
      <c r="A137" s="300" t="s">
        <v>77</v>
      </c>
      <c r="B137" s="305" t="s">
        <v>400</v>
      </c>
      <c r="C137" s="304">
        <v>0.5</v>
      </c>
      <c r="D137" s="304">
        <v>0</v>
      </c>
      <c r="E137" s="307"/>
      <c r="F137" s="307"/>
      <c r="G137" s="300" t="s">
        <v>285</v>
      </c>
    </row>
    <row r="138" spans="1:7" x14ac:dyDescent="0.25">
      <c r="A138" s="300" t="s">
        <v>286</v>
      </c>
      <c r="B138" s="305" t="s">
        <v>401</v>
      </c>
      <c r="C138" s="304">
        <v>50</v>
      </c>
      <c r="D138" s="304">
        <v>2</v>
      </c>
      <c r="E138" s="307"/>
      <c r="F138" s="307"/>
      <c r="G138" s="305" t="s">
        <v>402</v>
      </c>
    </row>
    <row r="139" spans="1:7" x14ac:dyDescent="0.25">
      <c r="A139" s="300" t="s">
        <v>178</v>
      </c>
      <c r="B139" s="306" t="s">
        <v>403</v>
      </c>
      <c r="C139" s="301">
        <v>0.05</v>
      </c>
      <c r="D139" s="304">
        <v>7</v>
      </c>
      <c r="E139" s="307"/>
      <c r="F139" s="307"/>
      <c r="G139" s="305"/>
    </row>
    <row r="140" spans="1:7" x14ac:dyDescent="0.25">
      <c r="A140" s="300" t="s">
        <v>237</v>
      </c>
      <c r="B140" s="300" t="s">
        <v>404</v>
      </c>
      <c r="C140" s="304">
        <v>30</v>
      </c>
      <c r="D140" s="304"/>
      <c r="E140" s="302" t="s">
        <v>405</v>
      </c>
      <c r="F140" s="302" t="s">
        <v>291</v>
      </c>
      <c r="G140" s="300" t="s">
        <v>241</v>
      </c>
    </row>
    <row r="141" spans="1:7" x14ac:dyDescent="0.25">
      <c r="A141" s="300" t="s">
        <v>194</v>
      </c>
      <c r="B141" s="300" t="s">
        <v>406</v>
      </c>
      <c r="C141" s="304">
        <v>0.1</v>
      </c>
      <c r="D141" s="304"/>
      <c r="E141" s="307"/>
      <c r="F141" s="307"/>
      <c r="G141" s="305"/>
    </row>
    <row r="142" spans="1:7" x14ac:dyDescent="0.25">
      <c r="A142" s="300" t="s">
        <v>196</v>
      </c>
      <c r="B142" s="300" t="s">
        <v>407</v>
      </c>
      <c r="C142" s="304">
        <v>0.06</v>
      </c>
      <c r="D142" s="304"/>
      <c r="E142" s="307"/>
      <c r="F142" s="307"/>
      <c r="G142" s="305"/>
    </row>
    <row r="143" spans="1:7" x14ac:dyDescent="0.25">
      <c r="A143" s="300" t="s">
        <v>178</v>
      </c>
      <c r="B143" s="303" t="s">
        <v>408</v>
      </c>
      <c r="C143" s="301">
        <v>4</v>
      </c>
      <c r="D143" s="304">
        <v>35</v>
      </c>
      <c r="E143" s="307"/>
      <c r="F143" s="307"/>
      <c r="G143" s="305" t="s">
        <v>409</v>
      </c>
    </row>
    <row r="144" spans="1:7" x14ac:dyDescent="0.25">
      <c r="A144" s="300" t="s">
        <v>410</v>
      </c>
      <c r="B144" s="306" t="s">
        <v>411</v>
      </c>
      <c r="C144" s="301">
        <v>50</v>
      </c>
      <c r="D144" s="304">
        <v>0.5</v>
      </c>
      <c r="E144" s="307"/>
      <c r="F144" s="307"/>
      <c r="G144" s="305" t="s">
        <v>412</v>
      </c>
    </row>
    <row r="145" spans="1:7" x14ac:dyDescent="0.25">
      <c r="A145" s="300" t="s">
        <v>185</v>
      </c>
      <c r="B145" s="305" t="s">
        <v>413</v>
      </c>
      <c r="C145" s="304">
        <v>10</v>
      </c>
      <c r="D145" s="304">
        <v>3</v>
      </c>
      <c r="E145" s="307"/>
      <c r="F145" s="307"/>
      <c r="G145" s="300" t="s">
        <v>187</v>
      </c>
    </row>
    <row r="146" spans="1:7" x14ac:dyDescent="0.25">
      <c r="A146" s="300" t="s">
        <v>199</v>
      </c>
      <c r="B146" s="306" t="s">
        <v>414</v>
      </c>
      <c r="C146" s="301">
        <v>0.5</v>
      </c>
      <c r="D146" s="304">
        <v>1</v>
      </c>
      <c r="E146" s="302" t="s">
        <v>415</v>
      </c>
      <c r="F146" s="302"/>
      <c r="G146" s="305" t="s">
        <v>416</v>
      </c>
    </row>
    <row r="147" spans="1:7" x14ac:dyDescent="0.25">
      <c r="A147" s="300" t="s">
        <v>199</v>
      </c>
      <c r="B147" s="306" t="s">
        <v>417</v>
      </c>
      <c r="C147" s="301">
        <v>1</v>
      </c>
      <c r="D147" s="304">
        <v>1</v>
      </c>
      <c r="E147" s="307"/>
      <c r="F147" s="307"/>
      <c r="G147" s="305" t="s">
        <v>418</v>
      </c>
    </row>
    <row r="148" spans="1:7" x14ac:dyDescent="0.25">
      <c r="A148" s="300" t="s">
        <v>216</v>
      </c>
      <c r="B148" s="306" t="s">
        <v>419</v>
      </c>
      <c r="C148" s="301">
        <v>0.5</v>
      </c>
      <c r="D148" s="304">
        <v>2</v>
      </c>
      <c r="E148" s="307"/>
      <c r="F148" s="307"/>
      <c r="G148" s="305" t="s">
        <v>420</v>
      </c>
    </row>
    <row r="149" spans="1:7" x14ac:dyDescent="0.25">
      <c r="A149" s="300" t="s">
        <v>188</v>
      </c>
      <c r="B149" s="306" t="s">
        <v>421</v>
      </c>
      <c r="C149" s="301">
        <v>5</v>
      </c>
      <c r="D149" s="304">
        <v>2</v>
      </c>
      <c r="E149" s="307"/>
      <c r="F149" s="307"/>
      <c r="G149" s="300" t="s">
        <v>190</v>
      </c>
    </row>
    <row r="150" spans="1:7" x14ac:dyDescent="0.25">
      <c r="A150" s="300" t="s">
        <v>300</v>
      </c>
      <c r="B150" s="300" t="s">
        <v>422</v>
      </c>
      <c r="C150" s="304">
        <v>10</v>
      </c>
      <c r="D150" s="304">
        <v>25</v>
      </c>
      <c r="E150" s="307"/>
      <c r="F150" s="307"/>
      <c r="G150" s="305"/>
    </row>
    <row r="151" spans="1:7" x14ac:dyDescent="0.25">
      <c r="A151" s="300" t="s">
        <v>237</v>
      </c>
      <c r="B151" s="300" t="s">
        <v>423</v>
      </c>
      <c r="C151" s="304">
        <v>75</v>
      </c>
      <c r="D151" s="304"/>
      <c r="E151" s="302" t="s">
        <v>239</v>
      </c>
      <c r="F151" s="302" t="s">
        <v>424</v>
      </c>
      <c r="G151" s="300" t="s">
        <v>241</v>
      </c>
    </row>
    <row r="152" spans="1:7" x14ac:dyDescent="0.25">
      <c r="A152" s="300" t="s">
        <v>251</v>
      </c>
      <c r="B152" s="300" t="s">
        <v>425</v>
      </c>
      <c r="C152" s="304">
        <v>120</v>
      </c>
      <c r="D152" s="304">
        <v>80</v>
      </c>
      <c r="E152" s="307"/>
      <c r="F152" s="307"/>
      <c r="G152" s="300" t="s">
        <v>228</v>
      </c>
    </row>
    <row r="153" spans="1:7" x14ac:dyDescent="0.25">
      <c r="A153" s="300" t="s">
        <v>426</v>
      </c>
      <c r="B153" s="300" t="s">
        <v>427</v>
      </c>
      <c r="C153" s="304"/>
      <c r="D153" s="304"/>
      <c r="E153" s="307"/>
      <c r="F153" s="307"/>
      <c r="G153" s="305"/>
    </row>
    <row r="154" spans="1:7" x14ac:dyDescent="0.25">
      <c r="A154" s="300" t="s">
        <v>194</v>
      </c>
      <c r="B154" s="300" t="s">
        <v>428</v>
      </c>
      <c r="C154" s="304">
        <v>0.01</v>
      </c>
      <c r="D154" s="304"/>
      <c r="E154" s="307"/>
      <c r="F154" s="307"/>
      <c r="G154" s="305"/>
    </row>
    <row r="155" spans="1:7" x14ac:dyDescent="0.25">
      <c r="A155" s="300" t="s">
        <v>267</v>
      </c>
      <c r="B155" s="306" t="s">
        <v>429</v>
      </c>
      <c r="C155" s="301">
        <v>1</v>
      </c>
      <c r="D155" s="304">
        <v>4</v>
      </c>
      <c r="E155" s="307"/>
      <c r="F155" s="307"/>
      <c r="G155" s="305"/>
    </row>
    <row r="156" spans="1:7" x14ac:dyDescent="0.25">
      <c r="A156" s="300" t="s">
        <v>281</v>
      </c>
      <c r="B156" s="303" t="s">
        <v>430</v>
      </c>
      <c r="C156" s="301">
        <v>10</v>
      </c>
      <c r="D156" s="301">
        <v>2</v>
      </c>
      <c r="E156" s="302"/>
      <c r="F156" s="302"/>
      <c r="G156" s="300" t="s">
        <v>283</v>
      </c>
    </row>
    <row r="157" spans="1:7" x14ac:dyDescent="0.25">
      <c r="A157" s="300" t="s">
        <v>319</v>
      </c>
      <c r="B157" s="300" t="s">
        <v>431</v>
      </c>
      <c r="C157" s="304">
        <v>50</v>
      </c>
      <c r="D157" s="304"/>
      <c r="E157" s="307"/>
      <c r="F157" s="301" t="s">
        <v>432</v>
      </c>
      <c r="G157" s="300" t="s">
        <v>353</v>
      </c>
    </row>
    <row r="158" spans="1:7" x14ac:dyDescent="0.25">
      <c r="A158" s="300" t="s">
        <v>199</v>
      </c>
      <c r="B158" s="306" t="s">
        <v>433</v>
      </c>
      <c r="C158" s="301">
        <v>0.01</v>
      </c>
      <c r="D158" s="304">
        <v>0.5</v>
      </c>
      <c r="E158" s="302" t="s">
        <v>201</v>
      </c>
      <c r="F158" s="302"/>
      <c r="G158" s="305"/>
    </row>
    <row r="159" spans="1:7" x14ac:dyDescent="0.25">
      <c r="A159" s="300" t="s">
        <v>199</v>
      </c>
      <c r="B159" s="300" t="s">
        <v>434</v>
      </c>
      <c r="C159" s="304">
        <v>4</v>
      </c>
      <c r="D159" s="304">
        <v>8</v>
      </c>
      <c r="E159" s="307"/>
      <c r="F159" s="307"/>
      <c r="G159" s="305"/>
    </row>
    <row r="160" spans="1:7" x14ac:dyDescent="0.25">
      <c r="A160" s="300" t="s">
        <v>319</v>
      </c>
      <c r="B160" s="300" t="s">
        <v>435</v>
      </c>
      <c r="C160" s="304">
        <v>10000</v>
      </c>
      <c r="D160" s="304"/>
      <c r="E160" s="307"/>
      <c r="F160" s="301" t="s">
        <v>436</v>
      </c>
      <c r="G160" s="305"/>
    </row>
    <row r="161" spans="1:7" x14ac:dyDescent="0.25">
      <c r="A161" s="300" t="s">
        <v>227</v>
      </c>
      <c r="B161" s="300" t="s">
        <v>437</v>
      </c>
      <c r="C161" s="304">
        <v>200</v>
      </c>
      <c r="D161" s="304">
        <v>90</v>
      </c>
      <c r="E161" s="307"/>
      <c r="F161" s="307"/>
      <c r="G161" s="300" t="s">
        <v>228</v>
      </c>
    </row>
    <row r="162" spans="1:7" x14ac:dyDescent="0.25">
      <c r="A162" s="300" t="s">
        <v>438</v>
      </c>
      <c r="B162" s="300" t="s">
        <v>439</v>
      </c>
      <c r="C162" s="304"/>
      <c r="D162" s="304">
        <v>1</v>
      </c>
      <c r="E162" s="307"/>
      <c r="F162" s="307"/>
      <c r="G162" s="305"/>
    </row>
    <row r="163" spans="1:7" x14ac:dyDescent="0.25">
      <c r="A163" s="300" t="s">
        <v>178</v>
      </c>
      <c r="B163" s="303" t="s">
        <v>440</v>
      </c>
      <c r="C163" s="304">
        <v>0.5</v>
      </c>
      <c r="D163" s="304">
        <v>0</v>
      </c>
      <c r="E163" s="307"/>
      <c r="F163" s="307"/>
      <c r="G163" s="305"/>
    </row>
    <row r="164" spans="1:7" x14ac:dyDescent="0.25">
      <c r="A164" s="300" t="s">
        <v>202</v>
      </c>
      <c r="B164" s="305" t="s">
        <v>441</v>
      </c>
      <c r="C164" s="304">
        <v>2</v>
      </c>
      <c r="D164" s="304">
        <v>1</v>
      </c>
      <c r="E164" s="307"/>
      <c r="F164" s="307"/>
      <c r="G164" s="300" t="s">
        <v>204</v>
      </c>
    </row>
    <row r="165" spans="1:7" x14ac:dyDescent="0.25">
      <c r="A165" s="300" t="s">
        <v>194</v>
      </c>
      <c r="B165" s="300" t="s">
        <v>442</v>
      </c>
      <c r="C165" s="304">
        <v>0.1</v>
      </c>
      <c r="D165" s="304"/>
      <c r="E165" s="307"/>
      <c r="F165" s="307"/>
      <c r="G165" s="300" t="s">
        <v>262</v>
      </c>
    </row>
    <row r="166" spans="1:7" x14ac:dyDescent="0.25">
      <c r="A166" s="300" t="s">
        <v>178</v>
      </c>
      <c r="B166" s="306" t="s">
        <v>443</v>
      </c>
      <c r="C166" s="301">
        <v>2</v>
      </c>
      <c r="D166" s="304">
        <v>5</v>
      </c>
      <c r="E166" s="307"/>
      <c r="F166" s="307"/>
      <c r="G166" s="305"/>
    </row>
    <row r="167" spans="1:7" x14ac:dyDescent="0.25">
      <c r="A167" s="300" t="s">
        <v>178</v>
      </c>
      <c r="B167" s="306" t="s">
        <v>444</v>
      </c>
      <c r="C167" s="301">
        <v>0.05</v>
      </c>
      <c r="D167" s="304">
        <v>0</v>
      </c>
      <c r="E167" s="307"/>
      <c r="F167" s="307"/>
      <c r="G167" s="305"/>
    </row>
    <row r="168" spans="1:7" x14ac:dyDescent="0.25">
      <c r="A168" s="300" t="s">
        <v>426</v>
      </c>
      <c r="B168" s="306" t="s">
        <v>445</v>
      </c>
      <c r="C168" s="301">
        <v>5</v>
      </c>
      <c r="D168" s="304">
        <v>0</v>
      </c>
      <c r="E168" s="307"/>
      <c r="F168" s="307"/>
      <c r="G168" s="305"/>
    </row>
    <row r="169" spans="1:7" x14ac:dyDescent="0.25">
      <c r="A169" s="300" t="s">
        <v>216</v>
      </c>
      <c r="B169" s="303" t="s">
        <v>446</v>
      </c>
      <c r="C169" s="301">
        <v>10</v>
      </c>
      <c r="D169" s="304">
        <v>5</v>
      </c>
      <c r="E169" s="307"/>
      <c r="F169" s="307"/>
      <c r="G169" s="300" t="s">
        <v>332</v>
      </c>
    </row>
    <row r="170" spans="1:7" x14ac:dyDescent="0.25">
      <c r="A170" s="300" t="s">
        <v>447</v>
      </c>
      <c r="B170" s="300" t="s">
        <v>448</v>
      </c>
      <c r="C170" s="304">
        <v>5</v>
      </c>
      <c r="D170" s="304">
        <v>0</v>
      </c>
      <c r="E170" s="307"/>
      <c r="F170" s="307"/>
      <c r="G170" s="305"/>
    </row>
    <row r="171" spans="1:7" x14ac:dyDescent="0.25">
      <c r="A171" s="300" t="s">
        <v>194</v>
      </c>
      <c r="B171" s="300" t="s">
        <v>449</v>
      </c>
      <c r="C171" s="304">
        <v>2</v>
      </c>
      <c r="D171" s="304"/>
      <c r="E171" s="307"/>
      <c r="F171" s="307"/>
      <c r="G171" s="300" t="s">
        <v>450</v>
      </c>
    </row>
    <row r="172" spans="1:7" x14ac:dyDescent="0.25">
      <c r="A172" s="300" t="s">
        <v>245</v>
      </c>
      <c r="B172" s="300" t="s">
        <v>451</v>
      </c>
      <c r="C172" s="304">
        <v>20</v>
      </c>
      <c r="D172" s="304">
        <v>300</v>
      </c>
      <c r="E172" s="307"/>
      <c r="F172" s="307"/>
      <c r="G172" s="305"/>
    </row>
    <row r="173" spans="1:7" x14ac:dyDescent="0.25">
      <c r="A173" s="300" t="s">
        <v>178</v>
      </c>
      <c r="B173" s="303" t="s">
        <v>452</v>
      </c>
      <c r="C173" s="301">
        <v>2</v>
      </c>
      <c r="D173" s="304">
        <v>10</v>
      </c>
      <c r="E173" s="307"/>
      <c r="F173" s="307"/>
      <c r="G173" s="305"/>
    </row>
    <row r="174" spans="1:7" x14ac:dyDescent="0.25">
      <c r="A174" s="300" t="s">
        <v>154</v>
      </c>
      <c r="B174" s="306" t="s">
        <v>453</v>
      </c>
      <c r="C174" s="301">
        <v>0.04</v>
      </c>
      <c r="D174" s="304">
        <v>1.5</v>
      </c>
      <c r="E174" s="307"/>
      <c r="F174" s="307"/>
      <c r="G174" s="305"/>
    </row>
    <row r="175" spans="1:7" x14ac:dyDescent="0.25">
      <c r="A175" s="300" t="s">
        <v>185</v>
      </c>
      <c r="B175" s="305" t="s">
        <v>454</v>
      </c>
      <c r="C175" s="304">
        <v>10</v>
      </c>
      <c r="D175" s="304">
        <v>8</v>
      </c>
      <c r="E175" s="307"/>
      <c r="F175" s="307"/>
      <c r="G175" s="300" t="s">
        <v>187</v>
      </c>
    </row>
    <row r="176" spans="1:7" x14ac:dyDescent="0.25">
      <c r="A176" s="300" t="s">
        <v>216</v>
      </c>
      <c r="B176" s="306" t="s">
        <v>455</v>
      </c>
      <c r="C176" s="301">
        <v>0.02</v>
      </c>
      <c r="D176" s="304">
        <v>0</v>
      </c>
      <c r="E176" s="307"/>
      <c r="F176" s="307"/>
      <c r="G176" s="305"/>
    </row>
    <row r="177" spans="1:7" x14ac:dyDescent="0.25">
      <c r="A177" s="300" t="s">
        <v>270</v>
      </c>
      <c r="B177" s="306" t="s">
        <v>456</v>
      </c>
      <c r="C177" s="301">
        <v>50</v>
      </c>
      <c r="D177" s="304">
        <v>3</v>
      </c>
      <c r="E177" s="307"/>
      <c r="F177" s="307"/>
      <c r="G177" s="305" t="s">
        <v>457</v>
      </c>
    </row>
    <row r="178" spans="1:7" x14ac:dyDescent="0.25">
      <c r="A178" s="300" t="s">
        <v>251</v>
      </c>
      <c r="B178" s="300" t="s">
        <v>107</v>
      </c>
      <c r="C178" s="304">
        <v>800</v>
      </c>
      <c r="D178" s="304">
        <v>120</v>
      </c>
      <c r="E178" s="307"/>
      <c r="F178" s="307"/>
      <c r="G178" s="300" t="s">
        <v>228</v>
      </c>
    </row>
    <row r="179" spans="1:7" x14ac:dyDescent="0.25">
      <c r="A179" s="300" t="s">
        <v>458</v>
      </c>
      <c r="B179" s="306" t="s">
        <v>459</v>
      </c>
      <c r="C179" s="301">
        <v>1</v>
      </c>
      <c r="D179" s="304">
        <v>0</v>
      </c>
      <c r="E179" s="307"/>
      <c r="F179" s="307"/>
      <c r="G179" s="300" t="s">
        <v>460</v>
      </c>
    </row>
    <row r="180" spans="1:7" x14ac:dyDescent="0.25">
      <c r="A180" s="300" t="s">
        <v>178</v>
      </c>
      <c r="B180" s="306" t="s">
        <v>461</v>
      </c>
      <c r="C180" s="301">
        <v>1000</v>
      </c>
      <c r="D180" s="304">
        <v>1</v>
      </c>
      <c r="E180" s="307"/>
      <c r="F180" s="307"/>
      <c r="G180" s="305" t="s">
        <v>462</v>
      </c>
    </row>
    <row r="181" spans="1:7" x14ac:dyDescent="0.25">
      <c r="A181" s="300" t="s">
        <v>194</v>
      </c>
      <c r="B181" s="300" t="s">
        <v>463</v>
      </c>
      <c r="C181" s="304">
        <v>7.0000000000000007E-2</v>
      </c>
      <c r="D181" s="304"/>
      <c r="E181" s="307"/>
      <c r="F181" s="307"/>
      <c r="G181" s="305"/>
    </row>
    <row r="182" spans="1:7" x14ac:dyDescent="0.25">
      <c r="A182" s="300" t="s">
        <v>196</v>
      </c>
      <c r="B182" s="300" t="s">
        <v>464</v>
      </c>
      <c r="C182" s="304">
        <v>0.03</v>
      </c>
      <c r="D182" s="304"/>
      <c r="E182" s="307"/>
      <c r="F182" s="307"/>
      <c r="G182" s="305"/>
    </row>
    <row r="183" spans="1:7" x14ac:dyDescent="0.25">
      <c r="A183" s="300" t="s">
        <v>194</v>
      </c>
      <c r="B183" s="300" t="s">
        <v>465</v>
      </c>
      <c r="C183" s="304">
        <v>0.5</v>
      </c>
      <c r="D183" s="304">
        <v>0</v>
      </c>
      <c r="E183" s="307"/>
      <c r="F183" s="307"/>
      <c r="G183" s="305"/>
    </row>
    <row r="184" spans="1:7" x14ac:dyDescent="0.25">
      <c r="A184" s="300" t="s">
        <v>281</v>
      </c>
      <c r="B184" s="303" t="s">
        <v>466</v>
      </c>
      <c r="C184" s="301">
        <v>5</v>
      </c>
      <c r="D184" s="301">
        <v>4</v>
      </c>
      <c r="E184" s="302"/>
      <c r="F184" s="302"/>
      <c r="G184" s="300" t="s">
        <v>283</v>
      </c>
    </row>
    <row r="185" spans="1:7" x14ac:dyDescent="0.25">
      <c r="A185" s="300" t="s">
        <v>466</v>
      </c>
      <c r="B185" s="300" t="s">
        <v>467</v>
      </c>
      <c r="C185" s="304"/>
      <c r="D185" s="304">
        <v>4</v>
      </c>
      <c r="E185" s="307"/>
      <c r="F185" s="307"/>
      <c r="G185" s="305"/>
    </row>
    <row r="186" spans="1:7" x14ac:dyDescent="0.25">
      <c r="A186" s="300" t="s">
        <v>205</v>
      </c>
      <c r="B186" s="303" t="s">
        <v>468</v>
      </c>
      <c r="C186" s="301">
        <v>5</v>
      </c>
      <c r="D186" s="304">
        <v>0.5</v>
      </c>
      <c r="E186" s="307"/>
      <c r="F186" s="307"/>
      <c r="G186" s="305"/>
    </row>
    <row r="187" spans="1:7" x14ac:dyDescent="0.25">
      <c r="A187" s="300" t="s">
        <v>357</v>
      </c>
      <c r="B187" s="300" t="s">
        <v>469</v>
      </c>
      <c r="C187" s="304">
        <v>180</v>
      </c>
      <c r="D187" s="304">
        <v>26</v>
      </c>
      <c r="E187" s="307"/>
      <c r="F187" s="307"/>
      <c r="G187" s="300" t="s">
        <v>228</v>
      </c>
    </row>
    <row r="188" spans="1:7" x14ac:dyDescent="0.25">
      <c r="A188" s="300" t="s">
        <v>286</v>
      </c>
      <c r="B188" s="305" t="s">
        <v>470</v>
      </c>
      <c r="C188" s="304">
        <v>25</v>
      </c>
      <c r="D188" s="304">
        <v>1</v>
      </c>
      <c r="E188" s="307"/>
      <c r="F188" s="307"/>
      <c r="G188" s="305" t="s">
        <v>471</v>
      </c>
    </row>
    <row r="189" spans="1:7" x14ac:dyDescent="0.25">
      <c r="A189" s="300" t="s">
        <v>77</v>
      </c>
      <c r="B189" s="305" t="s">
        <v>472</v>
      </c>
      <c r="C189" s="304">
        <v>1</v>
      </c>
      <c r="D189" s="304">
        <v>0</v>
      </c>
      <c r="E189" s="307"/>
      <c r="F189" s="307"/>
      <c r="G189" s="300" t="s">
        <v>285</v>
      </c>
    </row>
    <row r="190" spans="1:7" x14ac:dyDescent="0.25">
      <c r="A190" s="300" t="s">
        <v>216</v>
      </c>
      <c r="B190" s="306" t="s">
        <v>473</v>
      </c>
      <c r="C190" s="301">
        <v>0.5</v>
      </c>
      <c r="D190" s="304">
        <v>1</v>
      </c>
      <c r="E190" s="307"/>
      <c r="F190" s="307"/>
      <c r="G190" s="305" t="s">
        <v>474</v>
      </c>
    </row>
    <row r="191" spans="1:7" x14ac:dyDescent="0.25">
      <c r="A191" s="300" t="s">
        <v>185</v>
      </c>
      <c r="B191" s="305" t="s">
        <v>475</v>
      </c>
      <c r="C191" s="304">
        <v>50</v>
      </c>
      <c r="D191" s="304">
        <v>10</v>
      </c>
      <c r="E191" s="307"/>
      <c r="F191" s="307"/>
      <c r="G191" s="300" t="s">
        <v>187</v>
      </c>
    </row>
    <row r="192" spans="1:7" x14ac:dyDescent="0.25">
      <c r="A192" s="300" t="s">
        <v>216</v>
      </c>
      <c r="B192" s="306" t="s">
        <v>476</v>
      </c>
      <c r="C192" s="301">
        <v>0.01</v>
      </c>
      <c r="D192" s="304">
        <v>1</v>
      </c>
      <c r="E192" s="307"/>
      <c r="F192" s="307"/>
      <c r="G192" s="300" t="s">
        <v>477</v>
      </c>
    </row>
    <row r="193" spans="1:7" x14ac:dyDescent="0.25">
      <c r="A193" s="300" t="s">
        <v>458</v>
      </c>
      <c r="B193" s="306" t="s">
        <v>478</v>
      </c>
      <c r="C193" s="301">
        <v>1</v>
      </c>
      <c r="D193" s="304">
        <v>0</v>
      </c>
      <c r="E193" s="307"/>
      <c r="F193" s="307"/>
      <c r="G193" s="300" t="s">
        <v>460</v>
      </c>
    </row>
    <row r="194" spans="1:7" x14ac:dyDescent="0.25">
      <c r="A194" s="300" t="s">
        <v>267</v>
      </c>
      <c r="B194" s="303" t="s">
        <v>479</v>
      </c>
      <c r="C194" s="301">
        <v>2</v>
      </c>
      <c r="D194" s="304">
        <v>4</v>
      </c>
      <c r="E194" s="307"/>
      <c r="F194" s="307"/>
      <c r="G194" s="305"/>
    </row>
    <row r="195" spans="1:7" x14ac:dyDescent="0.25">
      <c r="A195" s="300" t="s">
        <v>216</v>
      </c>
      <c r="B195" s="303" t="s">
        <v>480</v>
      </c>
      <c r="C195" s="301">
        <v>2</v>
      </c>
      <c r="D195" s="304">
        <v>20</v>
      </c>
      <c r="E195" s="307"/>
      <c r="F195" s="307"/>
      <c r="G195" s="305" t="s">
        <v>481</v>
      </c>
    </row>
    <row r="196" spans="1:7" x14ac:dyDescent="0.25">
      <c r="A196" s="300" t="s">
        <v>194</v>
      </c>
      <c r="B196" s="300" t="s">
        <v>482</v>
      </c>
      <c r="C196" s="304">
        <v>0.2</v>
      </c>
      <c r="D196" s="304"/>
      <c r="E196" s="307"/>
      <c r="F196" s="307"/>
      <c r="G196" s="300" t="s">
        <v>450</v>
      </c>
    </row>
    <row r="197" spans="1:7" x14ac:dyDescent="0.25">
      <c r="A197" s="300" t="s">
        <v>199</v>
      </c>
      <c r="B197" s="306" t="s">
        <v>483</v>
      </c>
      <c r="C197" s="301">
        <v>1</v>
      </c>
      <c r="D197" s="304">
        <v>0</v>
      </c>
      <c r="E197" s="302" t="s">
        <v>484</v>
      </c>
      <c r="F197" s="302"/>
      <c r="G197" s="305"/>
    </row>
    <row r="198" spans="1:7" x14ac:dyDescent="0.25">
      <c r="A198" s="300" t="s">
        <v>202</v>
      </c>
      <c r="B198" s="305" t="s">
        <v>485</v>
      </c>
      <c r="C198" s="304">
        <v>30</v>
      </c>
      <c r="D198" s="304">
        <v>1</v>
      </c>
      <c r="E198" s="307"/>
      <c r="F198" s="307"/>
      <c r="G198" s="300" t="s">
        <v>204</v>
      </c>
    </row>
    <row r="199" spans="1:7" x14ac:dyDescent="0.25">
      <c r="A199" s="300" t="s">
        <v>245</v>
      </c>
      <c r="B199" s="300" t="s">
        <v>486</v>
      </c>
      <c r="C199" s="304">
        <v>35</v>
      </c>
      <c r="D199" s="304">
        <v>400</v>
      </c>
      <c r="E199" s="307"/>
      <c r="F199" s="307"/>
      <c r="G199" s="305"/>
    </row>
    <row r="200" spans="1:7" x14ac:dyDescent="0.25">
      <c r="A200" s="300" t="s">
        <v>281</v>
      </c>
      <c r="B200" s="303" t="s">
        <v>487</v>
      </c>
      <c r="C200" s="301">
        <v>10</v>
      </c>
      <c r="D200" s="301">
        <v>1</v>
      </c>
      <c r="E200" s="302"/>
      <c r="F200" s="302"/>
      <c r="G200" s="300" t="s">
        <v>283</v>
      </c>
    </row>
    <row r="201" spans="1:7" x14ac:dyDescent="0.25">
      <c r="A201" s="300" t="s">
        <v>237</v>
      </c>
      <c r="B201" s="300" t="s">
        <v>488</v>
      </c>
      <c r="C201" s="304">
        <v>400</v>
      </c>
      <c r="D201" s="304"/>
      <c r="E201" s="302" t="s">
        <v>293</v>
      </c>
      <c r="F201" s="302" t="s">
        <v>424</v>
      </c>
      <c r="G201" s="300" t="s">
        <v>241</v>
      </c>
    </row>
    <row r="202" spans="1:7" x14ac:dyDescent="0.25">
      <c r="A202" s="300" t="s">
        <v>319</v>
      </c>
      <c r="B202" s="300" t="s">
        <v>489</v>
      </c>
      <c r="C202" s="304">
        <v>25000</v>
      </c>
      <c r="D202" s="304"/>
      <c r="E202" s="307"/>
      <c r="F202" s="301" t="s">
        <v>490</v>
      </c>
      <c r="G202" s="305"/>
    </row>
    <row r="203" spans="1:7" x14ac:dyDescent="0.25">
      <c r="A203" s="300" t="s">
        <v>199</v>
      </c>
      <c r="B203" s="303" t="s">
        <v>491</v>
      </c>
      <c r="C203" s="301">
        <v>0.2</v>
      </c>
      <c r="D203" s="304">
        <v>5</v>
      </c>
      <c r="E203" s="302" t="s">
        <v>492</v>
      </c>
      <c r="F203" s="302"/>
      <c r="G203" s="305"/>
    </row>
    <row r="204" spans="1:7" x14ac:dyDescent="0.25">
      <c r="A204" s="300" t="s">
        <v>194</v>
      </c>
      <c r="B204" s="300" t="s">
        <v>493</v>
      </c>
      <c r="C204" s="304">
        <v>2</v>
      </c>
      <c r="D204" s="304"/>
      <c r="E204" s="307"/>
      <c r="F204" s="307"/>
      <c r="G204" s="305"/>
    </row>
    <row r="205" spans="1:7" x14ac:dyDescent="0.25">
      <c r="A205" s="300" t="s">
        <v>196</v>
      </c>
      <c r="B205" s="300" t="s">
        <v>494</v>
      </c>
      <c r="C205" s="304">
        <v>0.8</v>
      </c>
      <c r="D205" s="304"/>
      <c r="E205" s="307"/>
      <c r="F205" s="307"/>
      <c r="G205" s="305"/>
    </row>
    <row r="206" spans="1:7" x14ac:dyDescent="0.25">
      <c r="A206" s="300" t="s">
        <v>185</v>
      </c>
      <c r="B206" s="305" t="s">
        <v>495</v>
      </c>
      <c r="C206" s="304">
        <v>1</v>
      </c>
      <c r="D206" s="304">
        <v>5</v>
      </c>
      <c r="E206" s="307"/>
      <c r="F206" s="307"/>
      <c r="G206" s="300" t="s">
        <v>187</v>
      </c>
    </row>
    <row r="207" spans="1:7" x14ac:dyDescent="0.25">
      <c r="A207" s="300" t="s">
        <v>178</v>
      </c>
      <c r="B207" s="303" t="s">
        <v>496</v>
      </c>
      <c r="C207" s="301">
        <v>0.01</v>
      </c>
      <c r="D207" s="304">
        <v>1</v>
      </c>
      <c r="E207" s="307"/>
      <c r="F207" s="307"/>
      <c r="G207" s="305"/>
    </row>
    <row r="208" spans="1:7" x14ac:dyDescent="0.25">
      <c r="A208" s="300" t="s">
        <v>185</v>
      </c>
      <c r="B208" s="305" t="s">
        <v>497</v>
      </c>
      <c r="C208" s="304">
        <v>1</v>
      </c>
      <c r="D208" s="304">
        <v>5</v>
      </c>
      <c r="E208" s="307"/>
      <c r="F208" s="307"/>
      <c r="G208" s="300" t="s">
        <v>187</v>
      </c>
    </row>
    <row r="209" spans="1:7" x14ac:dyDescent="0.25">
      <c r="A209" s="300" t="s">
        <v>458</v>
      </c>
      <c r="B209" s="306" t="s">
        <v>498</v>
      </c>
      <c r="C209" s="301">
        <v>5</v>
      </c>
      <c r="D209" s="304">
        <v>4</v>
      </c>
      <c r="E209" s="307"/>
      <c r="F209" s="307"/>
      <c r="G209" s="300" t="s">
        <v>460</v>
      </c>
    </row>
    <row r="210" spans="1:7" x14ac:dyDescent="0.25">
      <c r="A210" s="300" t="s">
        <v>458</v>
      </c>
      <c r="B210" s="306" t="s">
        <v>499</v>
      </c>
      <c r="C210" s="301">
        <v>10</v>
      </c>
      <c r="D210" s="304">
        <v>1</v>
      </c>
      <c r="E210" s="307"/>
      <c r="F210" s="307"/>
      <c r="G210" s="300" t="s">
        <v>460</v>
      </c>
    </row>
  </sheetData>
  <autoFilter ref="A1:G210"/>
  <dataValidations count="1">
    <dataValidation type="list" allowBlank="1" showInputMessage="1" showErrorMessage="1" sqref="A2:A210">
      <formula1>Item_Group</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2"/>
  <dimension ref="A1:E107"/>
  <sheetViews>
    <sheetView workbookViewId="0">
      <selection activeCell="B18" sqref="B18"/>
    </sheetView>
  </sheetViews>
  <sheetFormatPr defaultRowHeight="11.25" x14ac:dyDescent="0.2"/>
  <cols>
    <col min="1" max="1" width="9.140625" style="13"/>
    <col min="2" max="2" width="52" style="13" customWidth="1"/>
    <col min="3" max="4" width="9.140625" style="13"/>
    <col min="5" max="5" width="9.140625" style="14"/>
    <col min="6" max="6" width="5.5703125" style="13" bestFit="1" customWidth="1"/>
    <col min="7" max="7" width="9.28515625" style="13" bestFit="1" customWidth="1"/>
    <col min="8" max="9" width="9.140625" style="13"/>
    <col min="10" max="10" width="12.7109375" style="13" customWidth="1"/>
    <col min="11" max="11" width="5.42578125" style="13" customWidth="1"/>
    <col min="12" max="16384" width="9.140625" style="13"/>
  </cols>
  <sheetData>
    <row r="1" spans="1:5" s="25" customFormat="1" x14ac:dyDescent="0.2">
      <c r="A1" s="18" t="s">
        <v>1128</v>
      </c>
      <c r="B1" s="24" t="str">
        <f ca="1">VLOOKUP(RANDBETWEEN(1,100),A2:B101,2)</f>
        <v>A fragment of a beautiful song, written as musical notes on two pieces of parchment</v>
      </c>
      <c r="E1" s="26"/>
    </row>
    <row r="2" spans="1:5" s="15" customFormat="1" ht="12" x14ac:dyDescent="0.2">
      <c r="A2" s="21">
        <v>1</v>
      </c>
      <c r="B2" s="27" t="s">
        <v>1129</v>
      </c>
      <c r="E2" s="28"/>
    </row>
    <row r="3" spans="1:5" s="15" customFormat="1" ht="12" x14ac:dyDescent="0.2">
      <c r="A3" s="21">
        <v>2</v>
      </c>
      <c r="B3" s="27" t="s">
        <v>1130</v>
      </c>
      <c r="E3" s="28"/>
    </row>
    <row r="4" spans="1:5" s="15" customFormat="1" ht="12" x14ac:dyDescent="0.2">
      <c r="A4" s="21">
        <v>3</v>
      </c>
      <c r="B4" s="27" t="s">
        <v>1131</v>
      </c>
      <c r="E4" s="28"/>
    </row>
    <row r="5" spans="1:5" s="15" customFormat="1" ht="12" x14ac:dyDescent="0.2">
      <c r="A5" s="21">
        <v>4</v>
      </c>
      <c r="B5" s="27" t="s">
        <v>1132</v>
      </c>
      <c r="E5" s="28"/>
    </row>
    <row r="6" spans="1:5" s="15" customFormat="1" ht="12" x14ac:dyDescent="0.2">
      <c r="A6" s="21">
        <v>5</v>
      </c>
      <c r="B6" s="27" t="s">
        <v>1133</v>
      </c>
      <c r="E6" s="28"/>
    </row>
    <row r="7" spans="1:5" s="15" customFormat="1" ht="12" x14ac:dyDescent="0.2">
      <c r="A7" s="21">
        <v>6</v>
      </c>
      <c r="B7" s="27" t="s">
        <v>1134</v>
      </c>
      <c r="E7" s="28"/>
    </row>
    <row r="8" spans="1:5" s="15" customFormat="1" ht="12" x14ac:dyDescent="0.2">
      <c r="A8" s="21">
        <v>7</v>
      </c>
      <c r="B8" s="27" t="s">
        <v>1135</v>
      </c>
      <c r="E8" s="28"/>
    </row>
    <row r="9" spans="1:5" s="15" customFormat="1" ht="12" x14ac:dyDescent="0.2">
      <c r="A9" s="21">
        <v>8</v>
      </c>
      <c r="B9" s="27" t="s">
        <v>1136</v>
      </c>
      <c r="E9" s="28"/>
    </row>
    <row r="10" spans="1:5" s="15" customFormat="1" ht="12" x14ac:dyDescent="0.2">
      <c r="A10" s="21">
        <v>9</v>
      </c>
      <c r="B10" s="27" t="s">
        <v>1137</v>
      </c>
      <c r="E10" s="28"/>
    </row>
    <row r="11" spans="1:5" s="15" customFormat="1" ht="12" x14ac:dyDescent="0.2">
      <c r="A11" s="21">
        <v>10</v>
      </c>
      <c r="B11" s="27" t="s">
        <v>1138</v>
      </c>
      <c r="E11" s="28"/>
    </row>
    <row r="12" spans="1:5" s="15" customFormat="1" ht="12" x14ac:dyDescent="0.2">
      <c r="A12" s="21">
        <v>11</v>
      </c>
      <c r="B12" s="27" t="s">
        <v>1139</v>
      </c>
      <c r="E12" s="28"/>
    </row>
    <row r="13" spans="1:5" s="15" customFormat="1" ht="12" x14ac:dyDescent="0.2">
      <c r="A13" s="21">
        <v>12</v>
      </c>
      <c r="B13" s="27" t="s">
        <v>1140</v>
      </c>
      <c r="E13" s="28"/>
    </row>
    <row r="14" spans="1:5" s="15" customFormat="1" ht="12" x14ac:dyDescent="0.2">
      <c r="A14" s="21">
        <v>13</v>
      </c>
      <c r="B14" s="27" t="s">
        <v>1141</v>
      </c>
      <c r="E14" s="28"/>
    </row>
    <row r="15" spans="1:5" s="15" customFormat="1" ht="12" x14ac:dyDescent="0.2">
      <c r="A15" s="21">
        <v>14</v>
      </c>
      <c r="B15" s="27" t="s">
        <v>1142</v>
      </c>
      <c r="E15" s="28"/>
    </row>
    <row r="16" spans="1:5" s="15" customFormat="1" ht="12" x14ac:dyDescent="0.2">
      <c r="A16" s="21">
        <v>15</v>
      </c>
      <c r="B16" s="27" t="s">
        <v>1143</v>
      </c>
      <c r="E16" s="28"/>
    </row>
    <row r="17" spans="1:5" s="15" customFormat="1" ht="12" x14ac:dyDescent="0.2">
      <c r="A17" s="21">
        <v>16</v>
      </c>
      <c r="B17" s="27" t="s">
        <v>1144</v>
      </c>
      <c r="E17" s="28"/>
    </row>
    <row r="18" spans="1:5" s="15" customFormat="1" ht="12" x14ac:dyDescent="0.2">
      <c r="A18" s="21">
        <v>17</v>
      </c>
      <c r="B18" s="27" t="s">
        <v>1145</v>
      </c>
      <c r="E18" s="28"/>
    </row>
    <row r="19" spans="1:5" s="15" customFormat="1" ht="12" x14ac:dyDescent="0.2">
      <c r="A19" s="21">
        <v>18</v>
      </c>
      <c r="B19" s="27" t="s">
        <v>1146</v>
      </c>
      <c r="E19" s="28"/>
    </row>
    <row r="20" spans="1:5" s="15" customFormat="1" ht="12" x14ac:dyDescent="0.2">
      <c r="A20" s="21">
        <v>19</v>
      </c>
      <c r="B20" s="27" t="s">
        <v>1147</v>
      </c>
      <c r="E20" s="28"/>
    </row>
    <row r="21" spans="1:5" s="15" customFormat="1" ht="12" x14ac:dyDescent="0.2">
      <c r="A21" s="21">
        <v>20</v>
      </c>
      <c r="B21" s="27" t="s">
        <v>1148</v>
      </c>
      <c r="E21" s="28"/>
    </row>
    <row r="22" spans="1:5" s="15" customFormat="1" ht="12" x14ac:dyDescent="0.2">
      <c r="A22" s="21">
        <v>21</v>
      </c>
      <c r="B22" s="27" t="s">
        <v>1149</v>
      </c>
      <c r="E22" s="28"/>
    </row>
    <row r="23" spans="1:5" s="15" customFormat="1" ht="12" x14ac:dyDescent="0.2">
      <c r="A23" s="21">
        <v>22</v>
      </c>
      <c r="B23" s="27" t="s">
        <v>1150</v>
      </c>
      <c r="E23" s="28"/>
    </row>
    <row r="24" spans="1:5" s="15" customFormat="1" ht="12" x14ac:dyDescent="0.2">
      <c r="A24" s="21">
        <v>23</v>
      </c>
      <c r="B24" s="27" t="s">
        <v>1151</v>
      </c>
      <c r="E24" s="28"/>
    </row>
    <row r="25" spans="1:5" s="15" customFormat="1" ht="12" x14ac:dyDescent="0.2">
      <c r="A25" s="21">
        <v>24</v>
      </c>
      <c r="B25" s="27" t="s">
        <v>1152</v>
      </c>
      <c r="E25" s="28"/>
    </row>
    <row r="26" spans="1:5" s="15" customFormat="1" ht="12" x14ac:dyDescent="0.2">
      <c r="A26" s="21">
        <v>25</v>
      </c>
      <c r="B26" s="27" t="s">
        <v>1153</v>
      </c>
      <c r="E26" s="28"/>
    </row>
    <row r="27" spans="1:5" s="15" customFormat="1" ht="12" x14ac:dyDescent="0.2">
      <c r="A27" s="21">
        <v>26</v>
      </c>
      <c r="B27" s="27" t="s">
        <v>1154</v>
      </c>
      <c r="E27" s="28"/>
    </row>
    <row r="28" spans="1:5" s="15" customFormat="1" ht="12" x14ac:dyDescent="0.2">
      <c r="A28" s="21">
        <v>27</v>
      </c>
      <c r="B28" s="27" t="s">
        <v>1155</v>
      </c>
      <c r="E28" s="28"/>
    </row>
    <row r="29" spans="1:5" s="15" customFormat="1" ht="12" x14ac:dyDescent="0.2">
      <c r="A29" s="21">
        <v>28</v>
      </c>
      <c r="B29" s="27" t="s">
        <v>1156</v>
      </c>
      <c r="E29" s="28"/>
    </row>
    <row r="30" spans="1:5" s="15" customFormat="1" ht="12" x14ac:dyDescent="0.2">
      <c r="A30" s="21">
        <v>29</v>
      </c>
      <c r="B30" s="27" t="s">
        <v>1157</v>
      </c>
      <c r="E30" s="28"/>
    </row>
    <row r="31" spans="1:5" s="15" customFormat="1" ht="12" x14ac:dyDescent="0.2">
      <c r="A31" s="21">
        <v>30</v>
      </c>
      <c r="B31" s="27" t="s">
        <v>1158</v>
      </c>
      <c r="E31" s="28"/>
    </row>
    <row r="32" spans="1:5" s="15" customFormat="1" ht="12" x14ac:dyDescent="0.2">
      <c r="A32" s="21">
        <v>31</v>
      </c>
      <c r="B32" s="27" t="s">
        <v>1159</v>
      </c>
      <c r="E32" s="28"/>
    </row>
    <row r="33" spans="1:5" s="15" customFormat="1" ht="12" x14ac:dyDescent="0.2">
      <c r="A33" s="21">
        <v>32</v>
      </c>
      <c r="B33" s="27" t="s">
        <v>1160</v>
      </c>
      <c r="E33" s="28"/>
    </row>
    <row r="34" spans="1:5" s="15" customFormat="1" ht="12" x14ac:dyDescent="0.2">
      <c r="A34" s="21">
        <v>33</v>
      </c>
      <c r="B34" s="27" t="s">
        <v>1161</v>
      </c>
      <c r="E34" s="28"/>
    </row>
    <row r="35" spans="1:5" s="15" customFormat="1" ht="12" x14ac:dyDescent="0.2">
      <c r="A35" s="21">
        <v>34</v>
      </c>
      <c r="B35" s="27" t="s">
        <v>1162</v>
      </c>
      <c r="E35" s="28"/>
    </row>
    <row r="36" spans="1:5" s="15" customFormat="1" ht="12" x14ac:dyDescent="0.2">
      <c r="A36" s="21">
        <v>35</v>
      </c>
      <c r="B36" s="27" t="s">
        <v>1163</v>
      </c>
      <c r="E36" s="28"/>
    </row>
    <row r="37" spans="1:5" s="15" customFormat="1" ht="12" x14ac:dyDescent="0.2">
      <c r="A37" s="21">
        <v>36</v>
      </c>
      <c r="B37" s="27" t="s">
        <v>1164</v>
      </c>
      <c r="E37" s="28"/>
    </row>
    <row r="38" spans="1:5" s="15" customFormat="1" ht="12" x14ac:dyDescent="0.2">
      <c r="A38" s="21">
        <v>37</v>
      </c>
      <c r="B38" s="27" t="s">
        <v>1165</v>
      </c>
      <c r="E38" s="28"/>
    </row>
    <row r="39" spans="1:5" s="15" customFormat="1" ht="12" x14ac:dyDescent="0.2">
      <c r="A39" s="21">
        <v>38</v>
      </c>
      <c r="B39" s="27" t="s">
        <v>1166</v>
      </c>
      <c r="E39" s="28"/>
    </row>
    <row r="40" spans="1:5" s="15" customFormat="1" ht="12" x14ac:dyDescent="0.2">
      <c r="A40" s="21">
        <v>39</v>
      </c>
      <c r="B40" s="27" t="s">
        <v>1167</v>
      </c>
      <c r="E40" s="28"/>
    </row>
    <row r="41" spans="1:5" s="15" customFormat="1" ht="12" x14ac:dyDescent="0.2">
      <c r="A41" s="21">
        <v>40</v>
      </c>
      <c r="B41" s="27" t="s">
        <v>1168</v>
      </c>
      <c r="E41" s="28"/>
    </row>
    <row r="42" spans="1:5" s="15" customFormat="1" ht="12" x14ac:dyDescent="0.2">
      <c r="A42" s="21">
        <v>41</v>
      </c>
      <c r="B42" s="27" t="s">
        <v>1169</v>
      </c>
      <c r="E42" s="28"/>
    </row>
    <row r="43" spans="1:5" s="15" customFormat="1" ht="12" x14ac:dyDescent="0.2">
      <c r="A43" s="21">
        <v>42</v>
      </c>
      <c r="B43" s="27" t="s">
        <v>1170</v>
      </c>
      <c r="E43" s="28"/>
    </row>
    <row r="44" spans="1:5" s="15" customFormat="1" ht="12" x14ac:dyDescent="0.2">
      <c r="A44" s="21">
        <v>43</v>
      </c>
      <c r="B44" s="27" t="s">
        <v>1171</v>
      </c>
      <c r="E44" s="28"/>
    </row>
    <row r="45" spans="1:5" s="15" customFormat="1" ht="12" x14ac:dyDescent="0.2">
      <c r="A45" s="21">
        <v>44</v>
      </c>
      <c r="B45" s="27" t="s">
        <v>1172</v>
      </c>
      <c r="E45" s="28"/>
    </row>
    <row r="46" spans="1:5" s="15" customFormat="1" ht="12" x14ac:dyDescent="0.2">
      <c r="A46" s="21">
        <v>45</v>
      </c>
      <c r="B46" s="27" t="s">
        <v>1173</v>
      </c>
      <c r="E46" s="28"/>
    </row>
    <row r="47" spans="1:5" s="15" customFormat="1" ht="12" x14ac:dyDescent="0.2">
      <c r="A47" s="21">
        <v>46</v>
      </c>
      <c r="B47" s="27" t="s">
        <v>1174</v>
      </c>
      <c r="E47" s="28"/>
    </row>
    <row r="48" spans="1:5" s="15" customFormat="1" ht="12" x14ac:dyDescent="0.2">
      <c r="A48" s="21">
        <v>47</v>
      </c>
      <c r="B48" s="27" t="s">
        <v>1175</v>
      </c>
      <c r="E48" s="28"/>
    </row>
    <row r="49" spans="1:5" s="15" customFormat="1" ht="12" x14ac:dyDescent="0.2">
      <c r="A49" s="21">
        <v>48</v>
      </c>
      <c r="B49" s="27" t="s">
        <v>1176</v>
      </c>
      <c r="E49" s="28"/>
    </row>
    <row r="50" spans="1:5" s="15" customFormat="1" ht="12" x14ac:dyDescent="0.2">
      <c r="A50" s="21">
        <v>49</v>
      </c>
      <c r="B50" s="27" t="s">
        <v>1177</v>
      </c>
      <c r="E50" s="28"/>
    </row>
    <row r="51" spans="1:5" s="15" customFormat="1" ht="12" x14ac:dyDescent="0.2">
      <c r="A51" s="21">
        <v>50</v>
      </c>
      <c r="B51" s="27" t="s">
        <v>1178</v>
      </c>
      <c r="E51" s="28"/>
    </row>
    <row r="52" spans="1:5" s="15" customFormat="1" ht="12" x14ac:dyDescent="0.2">
      <c r="A52" s="21">
        <v>51</v>
      </c>
      <c r="B52" s="27" t="s">
        <v>1179</v>
      </c>
      <c r="E52" s="28"/>
    </row>
    <row r="53" spans="1:5" s="15" customFormat="1" ht="12" x14ac:dyDescent="0.2">
      <c r="A53" s="21">
        <v>52</v>
      </c>
      <c r="B53" s="27" t="s">
        <v>1180</v>
      </c>
      <c r="E53" s="28"/>
    </row>
    <row r="54" spans="1:5" s="15" customFormat="1" ht="12" x14ac:dyDescent="0.2">
      <c r="A54" s="21">
        <v>53</v>
      </c>
      <c r="B54" s="27" t="s">
        <v>1181</v>
      </c>
      <c r="E54" s="28"/>
    </row>
    <row r="55" spans="1:5" s="15" customFormat="1" ht="12" x14ac:dyDescent="0.2">
      <c r="A55" s="21">
        <v>54</v>
      </c>
      <c r="B55" s="27" t="s">
        <v>1182</v>
      </c>
      <c r="E55" s="28"/>
    </row>
    <row r="56" spans="1:5" s="15" customFormat="1" ht="12" x14ac:dyDescent="0.2">
      <c r="A56" s="21">
        <v>55</v>
      </c>
      <c r="B56" s="27" t="s">
        <v>1183</v>
      </c>
      <c r="E56" s="28"/>
    </row>
    <row r="57" spans="1:5" s="15" customFormat="1" ht="12" x14ac:dyDescent="0.2">
      <c r="A57" s="21">
        <v>56</v>
      </c>
      <c r="B57" s="27" t="s">
        <v>1184</v>
      </c>
      <c r="E57" s="28"/>
    </row>
    <row r="58" spans="1:5" s="15" customFormat="1" ht="12" x14ac:dyDescent="0.2">
      <c r="A58" s="21">
        <v>57</v>
      </c>
      <c r="B58" s="27" t="s">
        <v>1185</v>
      </c>
      <c r="E58" s="28"/>
    </row>
    <row r="59" spans="1:5" s="15" customFormat="1" ht="12" x14ac:dyDescent="0.2">
      <c r="A59" s="21">
        <v>58</v>
      </c>
      <c r="B59" s="27" t="s">
        <v>1186</v>
      </c>
      <c r="E59" s="28"/>
    </row>
    <row r="60" spans="1:5" s="15" customFormat="1" ht="12" x14ac:dyDescent="0.2">
      <c r="A60" s="21">
        <v>59</v>
      </c>
      <c r="B60" s="27" t="s">
        <v>1187</v>
      </c>
      <c r="E60" s="28"/>
    </row>
    <row r="61" spans="1:5" s="15" customFormat="1" ht="12" x14ac:dyDescent="0.2">
      <c r="A61" s="21">
        <v>60</v>
      </c>
      <c r="B61" s="27" t="s">
        <v>1188</v>
      </c>
      <c r="E61" s="28"/>
    </row>
    <row r="62" spans="1:5" s="15" customFormat="1" ht="12" x14ac:dyDescent="0.2">
      <c r="A62" s="21">
        <v>61</v>
      </c>
      <c r="B62" s="27" t="s">
        <v>1189</v>
      </c>
      <c r="E62" s="28"/>
    </row>
    <row r="63" spans="1:5" s="15" customFormat="1" ht="12" x14ac:dyDescent="0.2">
      <c r="A63" s="21">
        <v>62</v>
      </c>
      <c r="B63" s="27" t="s">
        <v>1190</v>
      </c>
      <c r="E63" s="28"/>
    </row>
    <row r="64" spans="1:5" s="15" customFormat="1" ht="12" x14ac:dyDescent="0.2">
      <c r="A64" s="21">
        <v>63</v>
      </c>
      <c r="B64" s="27" t="s">
        <v>1191</v>
      </c>
      <c r="E64" s="28"/>
    </row>
    <row r="65" spans="1:5" s="15" customFormat="1" ht="12" x14ac:dyDescent="0.2">
      <c r="A65" s="21">
        <v>64</v>
      </c>
      <c r="B65" s="27" t="s">
        <v>1192</v>
      </c>
      <c r="E65" s="28"/>
    </row>
    <row r="66" spans="1:5" s="15" customFormat="1" ht="12" x14ac:dyDescent="0.2">
      <c r="A66" s="21">
        <v>65</v>
      </c>
      <c r="B66" s="27" t="s">
        <v>1193</v>
      </c>
      <c r="E66" s="28"/>
    </row>
    <row r="67" spans="1:5" s="15" customFormat="1" ht="12" x14ac:dyDescent="0.2">
      <c r="A67" s="21">
        <v>66</v>
      </c>
      <c r="B67" s="27" t="s">
        <v>1194</v>
      </c>
      <c r="E67" s="28"/>
    </row>
    <row r="68" spans="1:5" s="15" customFormat="1" ht="12" x14ac:dyDescent="0.2">
      <c r="A68" s="21">
        <v>67</v>
      </c>
      <c r="B68" s="27" t="s">
        <v>1195</v>
      </c>
      <c r="E68" s="28"/>
    </row>
    <row r="69" spans="1:5" s="15" customFormat="1" ht="12" x14ac:dyDescent="0.2">
      <c r="A69" s="21">
        <v>68</v>
      </c>
      <c r="B69" s="27" t="s">
        <v>1196</v>
      </c>
      <c r="E69" s="28"/>
    </row>
    <row r="70" spans="1:5" s="15" customFormat="1" ht="12" x14ac:dyDescent="0.2">
      <c r="A70" s="21">
        <v>69</v>
      </c>
      <c r="B70" s="27" t="s">
        <v>1197</v>
      </c>
      <c r="E70" s="28"/>
    </row>
    <row r="71" spans="1:5" s="15" customFormat="1" ht="12" x14ac:dyDescent="0.2">
      <c r="A71" s="21">
        <v>70</v>
      </c>
      <c r="B71" s="27" t="s">
        <v>1198</v>
      </c>
      <c r="E71" s="28"/>
    </row>
    <row r="72" spans="1:5" s="15" customFormat="1" ht="12" x14ac:dyDescent="0.2">
      <c r="A72" s="21">
        <v>71</v>
      </c>
      <c r="B72" s="27" t="s">
        <v>1199</v>
      </c>
      <c r="E72" s="28"/>
    </row>
    <row r="73" spans="1:5" s="15" customFormat="1" ht="12" x14ac:dyDescent="0.2">
      <c r="A73" s="21">
        <v>72</v>
      </c>
      <c r="B73" s="27" t="s">
        <v>1200</v>
      </c>
      <c r="E73" s="28"/>
    </row>
    <row r="74" spans="1:5" s="15" customFormat="1" ht="12" x14ac:dyDescent="0.2">
      <c r="A74" s="21">
        <v>73</v>
      </c>
      <c r="B74" s="27" t="s">
        <v>1201</v>
      </c>
      <c r="E74" s="28"/>
    </row>
    <row r="75" spans="1:5" s="15" customFormat="1" ht="12" x14ac:dyDescent="0.2">
      <c r="A75" s="21">
        <v>74</v>
      </c>
      <c r="B75" s="27" t="s">
        <v>1202</v>
      </c>
      <c r="E75" s="28"/>
    </row>
    <row r="76" spans="1:5" s="15" customFormat="1" ht="12" x14ac:dyDescent="0.2">
      <c r="A76" s="21">
        <v>75</v>
      </c>
      <c r="B76" s="27" t="s">
        <v>1203</v>
      </c>
      <c r="E76" s="28"/>
    </row>
    <row r="77" spans="1:5" s="15" customFormat="1" ht="12" x14ac:dyDescent="0.2">
      <c r="A77" s="21">
        <v>76</v>
      </c>
      <c r="B77" s="27" t="s">
        <v>1204</v>
      </c>
      <c r="E77" s="28"/>
    </row>
    <row r="78" spans="1:5" s="15" customFormat="1" ht="12" x14ac:dyDescent="0.2">
      <c r="A78" s="21">
        <v>77</v>
      </c>
      <c r="B78" s="27" t="s">
        <v>1205</v>
      </c>
      <c r="E78" s="28"/>
    </row>
    <row r="79" spans="1:5" s="15" customFormat="1" ht="12" x14ac:dyDescent="0.2">
      <c r="A79" s="21">
        <v>78</v>
      </c>
      <c r="B79" s="27" t="s">
        <v>1206</v>
      </c>
      <c r="E79" s="28"/>
    </row>
    <row r="80" spans="1:5" s="15" customFormat="1" ht="12" x14ac:dyDescent="0.2">
      <c r="A80" s="21">
        <v>79</v>
      </c>
      <c r="B80" s="27" t="s">
        <v>1207</v>
      </c>
      <c r="E80" s="28"/>
    </row>
    <row r="81" spans="1:5" s="15" customFormat="1" ht="12" x14ac:dyDescent="0.2">
      <c r="A81" s="21">
        <v>80</v>
      </c>
      <c r="B81" s="27" t="s">
        <v>1208</v>
      </c>
      <c r="E81" s="28"/>
    </row>
    <row r="82" spans="1:5" s="15" customFormat="1" ht="12" x14ac:dyDescent="0.2">
      <c r="A82" s="21">
        <v>81</v>
      </c>
      <c r="B82" s="27" t="s">
        <v>1209</v>
      </c>
      <c r="E82" s="28"/>
    </row>
    <row r="83" spans="1:5" s="15" customFormat="1" ht="12" x14ac:dyDescent="0.2">
      <c r="A83" s="21">
        <v>82</v>
      </c>
      <c r="B83" s="27" t="s">
        <v>1210</v>
      </c>
      <c r="E83" s="28"/>
    </row>
    <row r="84" spans="1:5" s="15" customFormat="1" ht="12" x14ac:dyDescent="0.2">
      <c r="A84" s="21">
        <v>83</v>
      </c>
      <c r="B84" s="27" t="s">
        <v>1211</v>
      </c>
      <c r="E84" s="28"/>
    </row>
    <row r="85" spans="1:5" s="15" customFormat="1" ht="12" x14ac:dyDescent="0.2">
      <c r="A85" s="21">
        <v>84</v>
      </c>
      <c r="B85" s="27" t="s">
        <v>1212</v>
      </c>
      <c r="E85" s="28"/>
    </row>
    <row r="86" spans="1:5" s="15" customFormat="1" ht="12" x14ac:dyDescent="0.2">
      <c r="A86" s="21">
        <v>85</v>
      </c>
      <c r="B86" s="27" t="s">
        <v>1213</v>
      </c>
      <c r="E86" s="28"/>
    </row>
    <row r="87" spans="1:5" s="15" customFormat="1" ht="12" x14ac:dyDescent="0.2">
      <c r="A87" s="21">
        <v>86</v>
      </c>
      <c r="B87" s="27" t="s">
        <v>1214</v>
      </c>
      <c r="E87" s="28"/>
    </row>
    <row r="88" spans="1:5" s="15" customFormat="1" ht="12" x14ac:dyDescent="0.2">
      <c r="A88" s="21">
        <v>87</v>
      </c>
      <c r="B88" s="27" t="s">
        <v>1215</v>
      </c>
      <c r="E88" s="28"/>
    </row>
    <row r="89" spans="1:5" s="15" customFormat="1" ht="12" x14ac:dyDescent="0.2">
      <c r="A89" s="21">
        <v>88</v>
      </c>
      <c r="B89" s="27" t="s">
        <v>1216</v>
      </c>
      <c r="E89" s="28"/>
    </row>
    <row r="90" spans="1:5" s="15" customFormat="1" ht="12" x14ac:dyDescent="0.2">
      <c r="A90" s="21">
        <v>89</v>
      </c>
      <c r="B90" s="27" t="s">
        <v>1217</v>
      </c>
      <c r="E90" s="28"/>
    </row>
    <row r="91" spans="1:5" s="15" customFormat="1" ht="12" x14ac:dyDescent="0.2">
      <c r="A91" s="21">
        <v>90</v>
      </c>
      <c r="B91" s="27" t="s">
        <v>1218</v>
      </c>
      <c r="E91" s="28"/>
    </row>
    <row r="92" spans="1:5" s="15" customFormat="1" ht="12" x14ac:dyDescent="0.2">
      <c r="A92" s="21">
        <v>91</v>
      </c>
      <c r="B92" s="27" t="s">
        <v>1219</v>
      </c>
      <c r="E92" s="28"/>
    </row>
    <row r="93" spans="1:5" s="15" customFormat="1" ht="12" x14ac:dyDescent="0.2">
      <c r="A93" s="21">
        <v>92</v>
      </c>
      <c r="B93" s="27" t="s">
        <v>1220</v>
      </c>
      <c r="E93" s="28"/>
    </row>
    <row r="94" spans="1:5" s="15" customFormat="1" ht="12" x14ac:dyDescent="0.2">
      <c r="A94" s="21">
        <v>93</v>
      </c>
      <c r="B94" s="27" t="s">
        <v>1221</v>
      </c>
      <c r="E94" s="28"/>
    </row>
    <row r="95" spans="1:5" s="15" customFormat="1" ht="12" x14ac:dyDescent="0.2">
      <c r="A95" s="21">
        <v>94</v>
      </c>
      <c r="B95" s="27" t="s">
        <v>1222</v>
      </c>
      <c r="E95" s="28"/>
    </row>
    <row r="96" spans="1:5" s="15" customFormat="1" ht="12" x14ac:dyDescent="0.2">
      <c r="A96" s="21">
        <v>95</v>
      </c>
      <c r="B96" s="27" t="s">
        <v>1223</v>
      </c>
      <c r="E96" s="28"/>
    </row>
    <row r="97" spans="1:5" s="15" customFormat="1" ht="12" x14ac:dyDescent="0.2">
      <c r="A97" s="21">
        <v>96</v>
      </c>
      <c r="B97" s="27" t="s">
        <v>1224</v>
      </c>
      <c r="E97" s="28"/>
    </row>
    <row r="98" spans="1:5" s="15" customFormat="1" ht="12" x14ac:dyDescent="0.2">
      <c r="A98" s="21">
        <v>97</v>
      </c>
      <c r="B98" s="27" t="s">
        <v>1225</v>
      </c>
      <c r="E98" s="28"/>
    </row>
    <row r="99" spans="1:5" s="15" customFormat="1" ht="12" x14ac:dyDescent="0.2">
      <c r="A99" s="21">
        <v>98</v>
      </c>
      <c r="B99" s="27" t="s">
        <v>1226</v>
      </c>
      <c r="E99" s="28"/>
    </row>
    <row r="100" spans="1:5" s="15" customFormat="1" ht="12" x14ac:dyDescent="0.2">
      <c r="A100" s="21">
        <v>99</v>
      </c>
      <c r="B100" s="27" t="s">
        <v>1227</v>
      </c>
      <c r="E100" s="28"/>
    </row>
    <row r="101" spans="1:5" s="16" customFormat="1" ht="12.75" thickBot="1" x14ac:dyDescent="0.25">
      <c r="A101" s="23">
        <v>100</v>
      </c>
      <c r="B101" s="29" t="s">
        <v>1228</v>
      </c>
      <c r="E101" s="30"/>
    </row>
    <row r="102" spans="1:5" s="17" customFormat="1" ht="12" x14ac:dyDescent="0.2">
      <c r="B102" s="31"/>
      <c r="E102" s="32"/>
    </row>
    <row r="103" spans="1:5" ht="12" x14ac:dyDescent="0.2">
      <c r="B103" s="31"/>
    </row>
    <row r="104" spans="1:5" ht="12" x14ac:dyDescent="0.2">
      <c r="B104" s="31"/>
    </row>
    <row r="105" spans="1:5" ht="12" x14ac:dyDescent="0.2">
      <c r="B105" s="31"/>
    </row>
    <row r="106" spans="1:5" ht="12" x14ac:dyDescent="0.2">
      <c r="B106" s="31"/>
    </row>
    <row r="107" spans="1:5" ht="12" x14ac:dyDescent="0.2">
      <c r="B107" s="33"/>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3"/>
  <dimension ref="A1:BL146"/>
  <sheetViews>
    <sheetView topLeftCell="AO4" zoomScale="145" zoomScaleNormal="145" workbookViewId="0">
      <selection activeCell="W9" sqref="W9"/>
    </sheetView>
  </sheetViews>
  <sheetFormatPr defaultRowHeight="11.25" x14ac:dyDescent="0.2"/>
  <cols>
    <col min="1" max="1" width="12.28515625" style="34" customWidth="1"/>
    <col min="2" max="2" width="6.28515625" style="101" bestFit="1" customWidth="1"/>
    <col min="3" max="3" width="6.7109375" style="101" bestFit="1" customWidth="1"/>
    <col min="4" max="4" width="9.42578125" style="101" bestFit="1" customWidth="1"/>
    <col min="5" max="5" width="6.85546875" style="101" bestFit="1" customWidth="1"/>
    <col min="6" max="6" width="8.42578125" style="101" bestFit="1" customWidth="1"/>
    <col min="7" max="7" width="6.5703125" style="101" customWidth="1"/>
    <col min="8" max="9" width="6.85546875" style="101" bestFit="1" customWidth="1"/>
    <col min="10" max="10" width="8.28515625" style="101" bestFit="1" customWidth="1"/>
    <col min="11" max="11" width="7.7109375" style="101" bestFit="1" customWidth="1"/>
    <col min="12" max="13" width="6.42578125" style="101" bestFit="1" customWidth="1"/>
    <col min="14" max="14" width="5.42578125" style="101" customWidth="1"/>
    <col min="15" max="15" width="6" style="101" bestFit="1" customWidth="1"/>
    <col min="16" max="16" width="7.28515625" style="101" customWidth="1"/>
    <col min="17" max="17" width="6" style="101" customWidth="1"/>
    <col min="18" max="18" width="5.85546875" style="101" bestFit="1" customWidth="1"/>
    <col min="19" max="19" width="6.42578125" style="101" bestFit="1" customWidth="1"/>
    <col min="20" max="20" width="6.28515625" style="101" customWidth="1"/>
    <col min="21" max="21" width="6" style="101" customWidth="1"/>
    <col min="22" max="22" width="6.7109375" style="101" customWidth="1"/>
    <col min="23" max="23" width="5.7109375" style="101" customWidth="1"/>
    <col min="24" max="24" width="5.42578125" style="101" customWidth="1"/>
    <col min="25" max="26" width="6.140625" style="101" customWidth="1"/>
    <col min="27" max="27" width="5.85546875" style="101" customWidth="1"/>
    <col min="28" max="28" width="5.7109375" style="101" customWidth="1"/>
    <col min="29" max="29" width="5.28515625" style="101" customWidth="1"/>
    <col min="30" max="30" width="4.28515625" style="101" bestFit="1" customWidth="1"/>
    <col min="31" max="31" width="4.85546875" style="101" bestFit="1" customWidth="1"/>
    <col min="32" max="32" width="5" style="101" customWidth="1"/>
    <col min="33" max="33" width="4.140625" style="101" customWidth="1"/>
    <col min="34" max="34" width="5.28515625" style="101" customWidth="1"/>
    <col min="35" max="35" width="6.28515625" style="101" bestFit="1" customWidth="1"/>
    <col min="36" max="36" width="5.5703125" style="101" bestFit="1" customWidth="1"/>
    <col min="37" max="37" width="6.42578125" style="101" customWidth="1"/>
    <col min="38" max="38" width="9.140625" style="101"/>
    <col min="39" max="39" width="5.85546875" style="15" customWidth="1"/>
    <col min="40" max="40" width="4.85546875" style="15" customWidth="1"/>
    <col min="41" max="41" width="7.42578125" style="15" customWidth="1"/>
    <col min="42" max="42" width="5.42578125" style="101" customWidth="1"/>
    <col min="43" max="43" width="6.42578125" style="101" customWidth="1"/>
    <col min="44" max="16384" width="9.140625" style="101"/>
  </cols>
  <sheetData>
    <row r="1" spans="1:64" s="34" customFormat="1" x14ac:dyDescent="0.2">
      <c r="A1" s="34" t="s">
        <v>1229</v>
      </c>
      <c r="B1" s="34">
        <v>2</v>
      </c>
      <c r="C1" s="34">
        <v>3</v>
      </c>
      <c r="D1" s="34">
        <v>4</v>
      </c>
      <c r="E1" s="34">
        <v>5</v>
      </c>
      <c r="F1" s="34">
        <v>6</v>
      </c>
      <c r="G1" s="34">
        <v>7</v>
      </c>
      <c r="H1" s="34">
        <v>8</v>
      </c>
      <c r="I1" s="34">
        <v>9</v>
      </c>
      <c r="J1" s="34">
        <v>10</v>
      </c>
      <c r="K1" s="34">
        <v>11</v>
      </c>
      <c r="L1" s="34">
        <v>12</v>
      </c>
      <c r="M1" s="34">
        <v>13</v>
      </c>
      <c r="N1" s="34">
        <v>14</v>
      </c>
      <c r="O1" s="34">
        <v>15</v>
      </c>
      <c r="P1" s="34">
        <v>16</v>
      </c>
      <c r="Q1" s="34">
        <v>17</v>
      </c>
      <c r="R1" s="34">
        <v>18</v>
      </c>
      <c r="S1" s="34">
        <v>19</v>
      </c>
      <c r="T1" s="34">
        <v>20</v>
      </c>
      <c r="U1" s="34">
        <v>21</v>
      </c>
      <c r="V1" s="34">
        <v>22</v>
      </c>
      <c r="W1" s="34">
        <v>23</v>
      </c>
      <c r="X1" s="34">
        <v>24</v>
      </c>
      <c r="Y1" s="34">
        <v>25</v>
      </c>
      <c r="Z1" s="34">
        <v>26</v>
      </c>
      <c r="AA1" s="34">
        <v>27</v>
      </c>
      <c r="AB1" s="34">
        <v>28</v>
      </c>
      <c r="AC1" s="34">
        <v>29</v>
      </c>
      <c r="AD1" s="34">
        <v>30</v>
      </c>
      <c r="AE1" s="34">
        <v>31</v>
      </c>
      <c r="AF1" s="34">
        <v>32</v>
      </c>
      <c r="AG1" s="34">
        <v>33</v>
      </c>
      <c r="AH1" s="34">
        <v>34</v>
      </c>
      <c r="AI1" s="34">
        <v>35</v>
      </c>
      <c r="AJ1" s="34">
        <v>36</v>
      </c>
      <c r="AK1" s="34">
        <v>37</v>
      </c>
      <c r="AL1" s="35">
        <v>38</v>
      </c>
      <c r="AM1" s="28">
        <v>39</v>
      </c>
      <c r="AN1" s="28">
        <v>40</v>
      </c>
      <c r="AO1" s="28">
        <v>41</v>
      </c>
      <c r="AP1" s="36">
        <v>42</v>
      </c>
      <c r="AQ1" s="37">
        <v>43</v>
      </c>
      <c r="AR1" s="37">
        <v>44</v>
      </c>
      <c r="AS1" s="28">
        <v>45</v>
      </c>
      <c r="AT1" s="28">
        <v>46</v>
      </c>
      <c r="AU1" s="28">
        <v>47</v>
      </c>
      <c r="AV1" s="38">
        <v>48</v>
      </c>
      <c r="AW1" s="28">
        <v>49</v>
      </c>
      <c r="AX1" s="28">
        <v>50</v>
      </c>
      <c r="AY1" s="28">
        <v>51</v>
      </c>
      <c r="AZ1" s="28">
        <v>52</v>
      </c>
      <c r="BA1" s="28">
        <v>53</v>
      </c>
      <c r="BB1" s="28">
        <v>54</v>
      </c>
      <c r="BC1" s="28">
        <v>55</v>
      </c>
      <c r="BD1" s="28">
        <v>56</v>
      </c>
      <c r="BE1" s="28">
        <v>57</v>
      </c>
      <c r="BF1" s="28">
        <v>58</v>
      </c>
      <c r="BG1" s="28">
        <v>59</v>
      </c>
      <c r="BH1" s="28">
        <v>60</v>
      </c>
      <c r="BI1" s="28">
        <v>61</v>
      </c>
      <c r="BJ1" s="28"/>
      <c r="BK1" s="28"/>
      <c r="BL1" s="28"/>
    </row>
    <row r="2" spans="1:64" s="39" customFormat="1" ht="12" thickBot="1" x14ac:dyDescent="0.25">
      <c r="A2" s="39" t="s">
        <v>1230</v>
      </c>
      <c r="B2" s="40" t="s">
        <v>1788</v>
      </c>
      <c r="C2" s="40" t="s">
        <v>3857</v>
      </c>
      <c r="D2" s="41" t="str">
        <f ca="1">VLOOKUP(RANDBETWEEN(1,D5),A6:AT100,4)</f>
        <v>Holderhek</v>
      </c>
      <c r="E2" s="40" t="s">
        <v>3858</v>
      </c>
      <c r="F2" s="40" t="s">
        <v>3857</v>
      </c>
      <c r="G2" s="41" t="str">
        <f ca="1">VLOOKUP(RANDBETWEEN(1,G5),A6:AT100,7)</f>
        <v>Liadon(Silverfrond)</v>
      </c>
      <c r="H2" s="40" t="s">
        <v>1407</v>
      </c>
      <c r="I2" s="40" t="s">
        <v>3857</v>
      </c>
      <c r="J2" s="41" t="str">
        <f ca="1">VLOOKUP(RANDBETWEEN(1,J5),A6:AT100,10)</f>
        <v>Greenbottle</v>
      </c>
      <c r="K2" s="40" t="s">
        <v>1505</v>
      </c>
      <c r="L2" s="40" t="s">
        <v>3857</v>
      </c>
      <c r="M2" s="41" t="str">
        <f ca="1">VLOOKUP(RANDBETWEEN(1,M5),A6:AT100,13)</f>
        <v>Pashar</v>
      </c>
      <c r="N2" s="40" t="s">
        <v>1317</v>
      </c>
      <c r="O2" s="40" t="s">
        <v>3857</v>
      </c>
      <c r="P2" s="41" t="str">
        <f ca="1">VLOOKUP(RANDBETWEEN(1,P5),A6:AT100,16)</f>
        <v>Evenwood</v>
      </c>
      <c r="Q2" s="40" t="s">
        <v>1698</v>
      </c>
      <c r="R2" s="40" t="s">
        <v>3857</v>
      </c>
      <c r="S2" s="41" t="str">
        <f ca="1">VLOOKUP(RANDBETWEEN(1,S5),A6:AT100,19)</f>
        <v>Kulenov</v>
      </c>
      <c r="T2" s="40" t="s">
        <v>1699</v>
      </c>
      <c r="U2" s="40" t="s">
        <v>3857</v>
      </c>
      <c r="V2" s="41" t="str">
        <f ca="1">VLOOKUP(RANDBETWEEN(1,V5),A6:AT100,22)</f>
        <v>Windriver</v>
      </c>
      <c r="W2" s="40" t="s">
        <v>1517</v>
      </c>
      <c r="X2" s="40" t="s">
        <v>3857</v>
      </c>
      <c r="Y2" s="41" t="str">
        <f ca="1">VLOOKUP(RANDBETWEEN(1,Y5),A6:AT100,25)</f>
        <v>Ankhalab</v>
      </c>
      <c r="Z2" s="40" t="s">
        <v>1329</v>
      </c>
      <c r="AA2" s="40" t="s">
        <v>3857</v>
      </c>
      <c r="AB2" s="41" t="str">
        <f ca="1">VLOOKUP(RANDBETWEEN(1,AB5),A6:AT100,28)</f>
        <v>Dyernina</v>
      </c>
      <c r="AC2" s="40" t="s">
        <v>1675</v>
      </c>
      <c r="AD2" s="40" t="s">
        <v>3857</v>
      </c>
      <c r="AE2" s="41" t="str">
        <f ca="1">VLOOKUP(RANDBETWEEN(1,AE5),A6:AT100,31)</f>
        <v>Ping</v>
      </c>
      <c r="AF2" s="40" t="s">
        <v>1508</v>
      </c>
      <c r="AG2" s="40" t="s">
        <v>3857</v>
      </c>
      <c r="AH2" s="41" t="str">
        <f ca="1">VLOOKUP(RANDBETWEEN(1,AH5),A6:AT100,34)</f>
        <v>Greycastle</v>
      </c>
      <c r="AI2" s="40" t="s">
        <v>1612</v>
      </c>
      <c r="AJ2" s="40" t="s">
        <v>3857</v>
      </c>
      <c r="AK2" s="41" t="str">
        <f ca="1">VLOOKUP(RANDBETWEEN(1,AK5),A6:AT100,37)</f>
        <v>Pisacar</v>
      </c>
      <c r="AL2" s="42"/>
      <c r="AM2" s="43" t="s">
        <v>1338</v>
      </c>
      <c r="AN2" s="43" t="s">
        <v>3857</v>
      </c>
      <c r="AO2" s="43" t="str">
        <f ca="1">VLOOKUP(RANDBETWEEN(1,AK5),A6:AT100,41)</f>
        <v>Abbylan</v>
      </c>
      <c r="AP2" s="44" t="s">
        <v>1293</v>
      </c>
      <c r="AQ2" s="45" t="s">
        <v>3857</v>
      </c>
      <c r="AR2" s="45" t="str">
        <f ca="1">VLOOKUP(RANDBETWEEN(1,AK5),A6:AT100,44)</f>
        <v>Clethinthiallor</v>
      </c>
      <c r="AS2" s="46" t="s">
        <v>1440</v>
      </c>
      <c r="AT2" s="47" t="s">
        <v>3857</v>
      </c>
      <c r="AU2" s="48" t="str">
        <f ca="1">VLOOKUP(RANDBETWEEN(1,AU5),A6:AZ100,47)</f>
        <v>Timbers</v>
      </c>
      <c r="AV2" s="40" t="str">
        <f ca="1">"'"&amp;VLOOKUP(RANDBETWEEN(1,AU5),A6:AZ100,48)&amp;"'"</f>
        <v>'Ku'</v>
      </c>
      <c r="AW2" s="44" t="s">
        <v>1300</v>
      </c>
      <c r="AX2" s="45" t="s">
        <v>3857</v>
      </c>
      <c r="AY2" s="49" t="s">
        <v>1689</v>
      </c>
      <c r="AZ2" s="49" t="s">
        <v>3857</v>
      </c>
      <c r="BA2" s="49" t="str">
        <f ca="1">VLOOKUP(RANDBETWEEN(1,BA5),A6:BF100,53)</f>
        <v>Random</v>
      </c>
      <c r="BB2" s="49"/>
      <c r="BC2" s="49"/>
      <c r="BD2" s="49"/>
      <c r="BE2" s="49"/>
      <c r="BF2" s="49"/>
      <c r="BG2" s="49"/>
      <c r="BH2" s="49"/>
      <c r="BI2" s="49"/>
      <c r="BJ2" s="49"/>
      <c r="BK2" s="49"/>
      <c r="BL2" s="49"/>
    </row>
    <row r="3" spans="1:64" s="64" customFormat="1" x14ac:dyDescent="0.2">
      <c r="A3" s="50" t="s">
        <v>1231</v>
      </c>
      <c r="B3" s="51" t="s">
        <v>33</v>
      </c>
      <c r="C3" s="51" t="s">
        <v>33</v>
      </c>
      <c r="D3" s="51" t="s">
        <v>33</v>
      </c>
      <c r="E3" s="52" t="s">
        <v>47</v>
      </c>
      <c r="F3" s="52" t="s">
        <v>47</v>
      </c>
      <c r="G3" s="52" t="s">
        <v>47</v>
      </c>
      <c r="H3" s="51" t="s">
        <v>56</v>
      </c>
      <c r="I3" s="53" t="s">
        <v>56</v>
      </c>
      <c r="J3" s="54" t="s">
        <v>56</v>
      </c>
      <c r="K3" s="52" t="s">
        <v>1232</v>
      </c>
      <c r="L3" s="52"/>
      <c r="M3" s="52"/>
      <c r="N3" s="51" t="s">
        <v>1233</v>
      </c>
      <c r="O3" s="51"/>
      <c r="P3" s="51"/>
      <c r="Q3" s="52" t="s">
        <v>1234</v>
      </c>
      <c r="R3" s="52"/>
      <c r="S3" s="52"/>
      <c r="T3" s="51" t="s">
        <v>1235</v>
      </c>
      <c r="U3" s="51"/>
      <c r="V3" s="51"/>
      <c r="W3" s="52" t="s">
        <v>1236</v>
      </c>
      <c r="X3" s="52"/>
      <c r="Y3" s="52"/>
      <c r="Z3" s="51" t="s">
        <v>1237</v>
      </c>
      <c r="AA3" s="51"/>
      <c r="AB3" s="51"/>
      <c r="AC3" s="52" t="s">
        <v>1238</v>
      </c>
      <c r="AD3" s="52"/>
      <c r="AE3" s="52"/>
      <c r="AF3" s="51" t="s">
        <v>1239</v>
      </c>
      <c r="AG3" s="51"/>
      <c r="AH3" s="51"/>
      <c r="AI3" s="52" t="s">
        <v>1240</v>
      </c>
      <c r="AJ3" s="52"/>
      <c r="AK3" s="55"/>
      <c r="AL3" s="53"/>
      <c r="AM3" s="56" t="s">
        <v>582</v>
      </c>
      <c r="AN3" s="51"/>
      <c r="AO3" s="51"/>
      <c r="AP3" s="57" t="s">
        <v>1241</v>
      </c>
      <c r="AQ3" s="58"/>
      <c r="AR3" s="59"/>
      <c r="AS3" s="60" t="s">
        <v>1242</v>
      </c>
      <c r="AT3" s="61"/>
      <c r="AU3" s="62"/>
      <c r="AV3" s="61"/>
      <c r="AW3" s="63" t="s">
        <v>1243</v>
      </c>
      <c r="AX3" s="51"/>
      <c r="AY3" s="56" t="s">
        <v>584</v>
      </c>
      <c r="AZ3" s="51"/>
      <c r="BA3" s="51"/>
      <c r="BB3" s="56" t="s">
        <v>1244</v>
      </c>
      <c r="BE3" s="51"/>
      <c r="BF3" s="51"/>
      <c r="BG3" s="51"/>
      <c r="BH3" s="51"/>
      <c r="BI3" s="51"/>
      <c r="BJ3" s="51"/>
      <c r="BK3" s="51"/>
      <c r="BL3" s="51"/>
    </row>
    <row r="4" spans="1:64" s="74" customFormat="1" x14ac:dyDescent="0.2">
      <c r="A4" s="65"/>
      <c r="B4" s="65" t="s">
        <v>1245</v>
      </c>
      <c r="C4" s="65" t="s">
        <v>1246</v>
      </c>
      <c r="D4" s="65" t="s">
        <v>1247</v>
      </c>
      <c r="E4" s="66" t="s">
        <v>1245</v>
      </c>
      <c r="F4" s="66" t="s">
        <v>1246</v>
      </c>
      <c r="G4" s="66" t="s">
        <v>1247</v>
      </c>
      <c r="H4" s="65" t="s">
        <v>1245</v>
      </c>
      <c r="I4" s="67" t="s">
        <v>1246</v>
      </c>
      <c r="J4" s="68" t="s">
        <v>1247</v>
      </c>
      <c r="K4" s="66" t="s">
        <v>1248</v>
      </c>
      <c r="L4" s="66" t="s">
        <v>1249</v>
      </c>
      <c r="M4" s="66" t="s">
        <v>1250</v>
      </c>
      <c r="N4" s="65" t="s">
        <v>1248</v>
      </c>
      <c r="O4" s="65" t="s">
        <v>1249</v>
      </c>
      <c r="P4" s="65" t="s">
        <v>1250</v>
      </c>
      <c r="Q4" s="66" t="s">
        <v>1248</v>
      </c>
      <c r="R4" s="66" t="s">
        <v>1249</v>
      </c>
      <c r="S4" s="66" t="s">
        <v>1250</v>
      </c>
      <c r="T4" s="65" t="s">
        <v>1248</v>
      </c>
      <c r="U4" s="65" t="s">
        <v>1249</v>
      </c>
      <c r="V4" s="65" t="s">
        <v>1250</v>
      </c>
      <c r="W4" s="66" t="s">
        <v>1251</v>
      </c>
      <c r="X4" s="66" t="s">
        <v>1249</v>
      </c>
      <c r="Y4" s="66" t="s">
        <v>1250</v>
      </c>
      <c r="Z4" s="65" t="s">
        <v>1248</v>
      </c>
      <c r="AA4" s="65" t="s">
        <v>1249</v>
      </c>
      <c r="AB4" s="65" t="s">
        <v>1250</v>
      </c>
      <c r="AC4" s="66" t="s">
        <v>1248</v>
      </c>
      <c r="AD4" s="66" t="s">
        <v>1249</v>
      </c>
      <c r="AE4" s="66" t="s">
        <v>1250</v>
      </c>
      <c r="AF4" s="65" t="s">
        <v>1248</v>
      </c>
      <c r="AG4" s="65" t="s">
        <v>1249</v>
      </c>
      <c r="AH4" s="65" t="s">
        <v>1250</v>
      </c>
      <c r="AI4" s="66" t="s">
        <v>1248</v>
      </c>
      <c r="AJ4" s="66" t="s">
        <v>1249</v>
      </c>
      <c r="AK4" s="69" t="s">
        <v>1252</v>
      </c>
      <c r="AL4" s="67"/>
      <c r="AM4" s="65" t="s">
        <v>1245</v>
      </c>
      <c r="AN4" s="65" t="s">
        <v>1246</v>
      </c>
      <c r="AO4" s="65" t="s">
        <v>1253</v>
      </c>
      <c r="AP4" s="70" t="s">
        <v>1245</v>
      </c>
      <c r="AQ4" s="65" t="s">
        <v>1246</v>
      </c>
      <c r="AR4" s="71" t="s">
        <v>1254</v>
      </c>
      <c r="AS4" s="72" t="s">
        <v>1245</v>
      </c>
      <c r="AT4" s="65" t="s">
        <v>1246</v>
      </c>
      <c r="AU4" s="67" t="s">
        <v>1254</v>
      </c>
      <c r="AV4" s="65" t="s">
        <v>1255</v>
      </c>
      <c r="AW4" s="70" t="s">
        <v>1245</v>
      </c>
      <c r="AX4" s="65" t="s">
        <v>1246</v>
      </c>
      <c r="AY4" s="73" t="s">
        <v>1245</v>
      </c>
      <c r="AZ4" s="65" t="s">
        <v>1246</v>
      </c>
      <c r="BA4" s="71" t="s">
        <v>1254</v>
      </c>
      <c r="BB4" s="73" t="s">
        <v>1256</v>
      </c>
      <c r="BE4" s="65"/>
      <c r="BF4" s="65"/>
      <c r="BG4" s="65"/>
      <c r="BH4" s="65"/>
      <c r="BI4" s="65"/>
      <c r="BJ4" s="65"/>
      <c r="BK4" s="65"/>
      <c r="BL4" s="65"/>
    </row>
    <row r="5" spans="1:64" s="81" customFormat="1" x14ac:dyDescent="0.2">
      <c r="A5" s="75" t="s">
        <v>1257</v>
      </c>
      <c r="B5" s="75">
        <v>30</v>
      </c>
      <c r="C5" s="75">
        <v>23</v>
      </c>
      <c r="D5" s="75">
        <v>15</v>
      </c>
      <c r="E5" s="75">
        <v>29</v>
      </c>
      <c r="F5" s="75">
        <v>30</v>
      </c>
      <c r="G5" s="75">
        <v>10</v>
      </c>
      <c r="H5" s="75">
        <v>17</v>
      </c>
      <c r="I5" s="76">
        <v>18</v>
      </c>
      <c r="J5" s="77">
        <v>10</v>
      </c>
      <c r="K5" s="75">
        <v>7</v>
      </c>
      <c r="L5" s="75">
        <v>8</v>
      </c>
      <c r="M5" s="75">
        <v>7</v>
      </c>
      <c r="N5" s="75">
        <v>10</v>
      </c>
      <c r="O5" s="75">
        <v>9</v>
      </c>
      <c r="P5" s="75">
        <v>6</v>
      </c>
      <c r="Q5" s="75">
        <v>11</v>
      </c>
      <c r="R5" s="75">
        <v>8</v>
      </c>
      <c r="S5" s="75">
        <v>8</v>
      </c>
      <c r="T5" s="75">
        <v>11</v>
      </c>
      <c r="U5" s="75">
        <v>8</v>
      </c>
      <c r="V5" s="75">
        <v>6</v>
      </c>
      <c r="W5" s="75">
        <v>9</v>
      </c>
      <c r="X5" s="75">
        <v>9</v>
      </c>
      <c r="Y5" s="75">
        <v>7</v>
      </c>
      <c r="Z5" s="75">
        <v>8</v>
      </c>
      <c r="AA5" s="75">
        <v>8</v>
      </c>
      <c r="AB5" s="75">
        <v>6</v>
      </c>
      <c r="AC5" s="75">
        <v>13</v>
      </c>
      <c r="AD5" s="75">
        <v>8</v>
      </c>
      <c r="AE5" s="75">
        <v>12</v>
      </c>
      <c r="AF5" s="75">
        <v>10</v>
      </c>
      <c r="AG5" s="75">
        <v>9</v>
      </c>
      <c r="AH5" s="75">
        <v>6</v>
      </c>
      <c r="AI5" s="75">
        <v>8</v>
      </c>
      <c r="AJ5" s="75">
        <v>9</v>
      </c>
      <c r="AK5" s="76">
        <v>8</v>
      </c>
      <c r="AL5" s="76" t="s">
        <v>1257</v>
      </c>
      <c r="AM5" s="75"/>
      <c r="AN5" s="75"/>
      <c r="AO5" s="75"/>
      <c r="AP5" s="78">
        <v>11</v>
      </c>
      <c r="AQ5" s="75">
        <v>17</v>
      </c>
      <c r="AR5" s="79">
        <v>18</v>
      </c>
      <c r="AS5" s="78">
        <v>23</v>
      </c>
      <c r="AT5" s="75">
        <v>22</v>
      </c>
      <c r="AU5" s="76">
        <v>11</v>
      </c>
      <c r="AV5" s="75"/>
      <c r="AW5" s="78">
        <v>12</v>
      </c>
      <c r="AX5" s="75">
        <v>12</v>
      </c>
      <c r="AY5" s="75">
        <v>14</v>
      </c>
      <c r="AZ5" s="75">
        <v>13</v>
      </c>
      <c r="BA5" s="75">
        <v>21</v>
      </c>
      <c r="BB5" s="80"/>
      <c r="BC5" s="75"/>
      <c r="BD5" s="75"/>
      <c r="BE5" s="75"/>
      <c r="BF5" s="75"/>
      <c r="BG5" s="75"/>
      <c r="BH5" s="75"/>
      <c r="BI5" s="75"/>
      <c r="BJ5" s="75"/>
      <c r="BK5" s="75"/>
      <c r="BL5" s="75"/>
    </row>
    <row r="6" spans="1:64" x14ac:dyDescent="0.2">
      <c r="A6" s="28">
        <v>1</v>
      </c>
      <c r="B6" s="82" t="s">
        <v>1258</v>
      </c>
      <c r="C6" s="82" t="s">
        <v>1259</v>
      </c>
      <c r="D6" s="82" t="s">
        <v>1260</v>
      </c>
      <c r="E6" s="83" t="s">
        <v>1261</v>
      </c>
      <c r="F6" s="84" t="s">
        <v>1262</v>
      </c>
      <c r="G6" s="85" t="s">
        <v>1263</v>
      </c>
      <c r="H6" s="86" t="s">
        <v>1264</v>
      </c>
      <c r="I6" s="87" t="s">
        <v>1265</v>
      </c>
      <c r="J6" s="88" t="s">
        <v>1266</v>
      </c>
      <c r="K6" s="89" t="s">
        <v>1267</v>
      </c>
      <c r="L6" s="89" t="s">
        <v>1268</v>
      </c>
      <c r="M6" s="89" t="s">
        <v>1269</v>
      </c>
      <c r="N6" s="15" t="s">
        <v>1270</v>
      </c>
      <c r="O6" s="15" t="s">
        <v>1271</v>
      </c>
      <c r="P6" s="15" t="s">
        <v>1272</v>
      </c>
      <c r="Q6" s="89" t="s">
        <v>1273</v>
      </c>
      <c r="R6" s="89" t="s">
        <v>1274</v>
      </c>
      <c r="S6" s="89" t="s">
        <v>1275</v>
      </c>
      <c r="T6" s="15" t="s">
        <v>1276</v>
      </c>
      <c r="U6" s="15" t="s">
        <v>1277</v>
      </c>
      <c r="V6" s="15" t="s">
        <v>1278</v>
      </c>
      <c r="W6" s="89" t="s">
        <v>1279</v>
      </c>
      <c r="X6" s="89" t="s">
        <v>1280</v>
      </c>
      <c r="Y6" s="89" t="s">
        <v>1281</v>
      </c>
      <c r="Z6" s="15" t="s">
        <v>1282</v>
      </c>
      <c r="AA6" s="15" t="s">
        <v>1283</v>
      </c>
      <c r="AB6" s="15" t="s">
        <v>1284</v>
      </c>
      <c r="AC6" s="89" t="s">
        <v>1285</v>
      </c>
      <c r="AD6" s="89" t="s">
        <v>1286</v>
      </c>
      <c r="AE6" s="89" t="s">
        <v>1287</v>
      </c>
      <c r="AF6" s="15" t="s">
        <v>1270</v>
      </c>
      <c r="AG6" s="15" t="s">
        <v>1271</v>
      </c>
      <c r="AH6" s="15" t="s">
        <v>1272</v>
      </c>
      <c r="AI6" s="89" t="s">
        <v>1288</v>
      </c>
      <c r="AJ6" s="89" t="s">
        <v>1289</v>
      </c>
      <c r="AK6" s="90" t="s">
        <v>1290</v>
      </c>
      <c r="AL6" s="35">
        <v>1</v>
      </c>
      <c r="AM6" s="91" t="s">
        <v>1264</v>
      </c>
      <c r="AN6" s="91" t="s">
        <v>1291</v>
      </c>
      <c r="AO6" s="91" t="s">
        <v>1292</v>
      </c>
      <c r="AP6" s="92" t="s">
        <v>1293</v>
      </c>
      <c r="AQ6" s="93" t="s">
        <v>1294</v>
      </c>
      <c r="AR6" s="94" t="s">
        <v>1295</v>
      </c>
      <c r="AS6" s="95" t="s">
        <v>1296</v>
      </c>
      <c r="AT6" s="96" t="s">
        <v>1297</v>
      </c>
      <c r="AU6" s="22" t="s">
        <v>1298</v>
      </c>
      <c r="AV6" s="96" t="s">
        <v>1299</v>
      </c>
      <c r="AW6" s="97" t="s">
        <v>1300</v>
      </c>
      <c r="AX6" s="98" t="s">
        <v>1301</v>
      </c>
      <c r="AY6" s="99" t="s">
        <v>1302</v>
      </c>
      <c r="AZ6" s="99" t="s">
        <v>1303</v>
      </c>
      <c r="BA6" s="99" t="s">
        <v>1304</v>
      </c>
      <c r="BB6" s="100"/>
      <c r="BC6" s="15"/>
      <c r="BD6" s="15"/>
      <c r="BE6" s="15"/>
      <c r="BF6" s="15"/>
      <c r="BG6" s="15"/>
      <c r="BH6" s="15"/>
      <c r="BI6" s="15"/>
      <c r="BJ6" s="15"/>
      <c r="BK6" s="15"/>
      <c r="BL6" s="15"/>
    </row>
    <row r="7" spans="1:64" x14ac:dyDescent="0.2">
      <c r="A7" s="28">
        <v>2</v>
      </c>
      <c r="B7" s="82" t="s">
        <v>1305</v>
      </c>
      <c r="C7" s="82" t="s">
        <v>1306</v>
      </c>
      <c r="D7" s="82" t="s">
        <v>1307</v>
      </c>
      <c r="E7" s="83" t="s">
        <v>1308</v>
      </c>
      <c r="F7" s="83" t="s">
        <v>1309</v>
      </c>
      <c r="G7" s="102" t="s">
        <v>1310</v>
      </c>
      <c r="H7" s="86" t="s">
        <v>1311</v>
      </c>
      <c r="I7" s="103" t="s">
        <v>1312</v>
      </c>
      <c r="J7" s="88" t="s">
        <v>1313</v>
      </c>
      <c r="K7" s="89" t="s">
        <v>1314</v>
      </c>
      <c r="L7" s="89" t="s">
        <v>1315</v>
      </c>
      <c r="M7" s="89" t="s">
        <v>1316</v>
      </c>
      <c r="N7" s="15" t="s">
        <v>1317</v>
      </c>
      <c r="O7" s="15" t="s">
        <v>1318</v>
      </c>
      <c r="P7" s="15" t="s">
        <v>1319</v>
      </c>
      <c r="Q7" s="89" t="s">
        <v>1320</v>
      </c>
      <c r="R7" s="89" t="s">
        <v>1321</v>
      </c>
      <c r="S7" s="89" t="s">
        <v>1322</v>
      </c>
      <c r="T7" s="15" t="s">
        <v>1323</v>
      </c>
      <c r="U7" s="15" t="s">
        <v>1324</v>
      </c>
      <c r="V7" s="15" t="s">
        <v>1325</v>
      </c>
      <c r="W7" s="89" t="s">
        <v>1326</v>
      </c>
      <c r="X7" s="89" t="s">
        <v>1327</v>
      </c>
      <c r="Y7" s="89" t="s">
        <v>1328</v>
      </c>
      <c r="Z7" s="15" t="s">
        <v>1329</v>
      </c>
      <c r="AA7" s="15" t="s">
        <v>1330</v>
      </c>
      <c r="AB7" s="15" t="s">
        <v>1331</v>
      </c>
      <c r="AC7" s="89" t="s">
        <v>1332</v>
      </c>
      <c r="AD7" s="89" t="s">
        <v>1333</v>
      </c>
      <c r="AE7" s="89" t="s">
        <v>1334</v>
      </c>
      <c r="AF7" s="15" t="s">
        <v>1317</v>
      </c>
      <c r="AG7" s="15" t="s">
        <v>1318</v>
      </c>
      <c r="AH7" s="15" t="s">
        <v>1319</v>
      </c>
      <c r="AI7" s="89" t="s">
        <v>1335</v>
      </c>
      <c r="AJ7" s="89" t="s">
        <v>1336</v>
      </c>
      <c r="AK7" s="90" t="s">
        <v>1337</v>
      </c>
      <c r="AL7" s="35">
        <v>2</v>
      </c>
      <c r="AM7" s="91" t="s">
        <v>1338</v>
      </c>
      <c r="AN7" s="91" t="s">
        <v>1339</v>
      </c>
      <c r="AO7" s="91" t="s">
        <v>1340</v>
      </c>
      <c r="AP7" s="92" t="s">
        <v>1341</v>
      </c>
      <c r="AQ7" s="93" t="s">
        <v>1342</v>
      </c>
      <c r="AR7" s="94" t="s">
        <v>1343</v>
      </c>
      <c r="AS7" s="95" t="s">
        <v>1344</v>
      </c>
      <c r="AT7" s="96" t="s">
        <v>1345</v>
      </c>
      <c r="AU7" s="22" t="s">
        <v>1346</v>
      </c>
      <c r="AV7" s="96" t="s">
        <v>1347</v>
      </c>
      <c r="AW7" s="97" t="s">
        <v>1348</v>
      </c>
      <c r="AX7" s="98" t="s">
        <v>1349</v>
      </c>
      <c r="AY7" s="99" t="s">
        <v>1350</v>
      </c>
      <c r="AZ7" s="99" t="s">
        <v>1351</v>
      </c>
      <c r="BA7" s="99" t="s">
        <v>1352</v>
      </c>
      <c r="BB7" s="100"/>
      <c r="BC7" s="15"/>
      <c r="BD7" s="15"/>
      <c r="BE7" s="15"/>
      <c r="BF7" s="15"/>
      <c r="BG7" s="15"/>
      <c r="BH7" s="15"/>
      <c r="BI7" s="15"/>
      <c r="BJ7" s="15"/>
      <c r="BK7" s="15"/>
      <c r="BL7" s="15"/>
    </row>
    <row r="8" spans="1:64" x14ac:dyDescent="0.2">
      <c r="A8" s="28">
        <v>3</v>
      </c>
      <c r="B8" s="104" t="s">
        <v>1353</v>
      </c>
      <c r="C8" s="105" t="s">
        <v>1354</v>
      </c>
      <c r="D8" s="104" t="s">
        <v>1355</v>
      </c>
      <c r="E8" s="83" t="s">
        <v>1356</v>
      </c>
      <c r="F8" s="83" t="s">
        <v>1357</v>
      </c>
      <c r="G8" s="85" t="s">
        <v>1358</v>
      </c>
      <c r="H8" s="86" t="s">
        <v>1359</v>
      </c>
      <c r="I8" s="87" t="s">
        <v>1360</v>
      </c>
      <c r="J8" s="88" t="s">
        <v>1361</v>
      </c>
      <c r="K8" s="89" t="s">
        <v>1362</v>
      </c>
      <c r="L8" s="89" t="s">
        <v>1363</v>
      </c>
      <c r="M8" s="89" t="s">
        <v>1364</v>
      </c>
      <c r="N8" s="15" t="s">
        <v>1365</v>
      </c>
      <c r="O8" s="15" t="s">
        <v>1366</v>
      </c>
      <c r="P8" s="15" t="s">
        <v>1367</v>
      </c>
      <c r="Q8" s="89" t="s">
        <v>1368</v>
      </c>
      <c r="R8" s="89" t="s">
        <v>1369</v>
      </c>
      <c r="S8" s="89" t="s">
        <v>1370</v>
      </c>
      <c r="T8" s="15" t="s">
        <v>1371</v>
      </c>
      <c r="U8" s="15" t="s">
        <v>1372</v>
      </c>
      <c r="V8" s="15" t="s">
        <v>1373</v>
      </c>
      <c r="W8" s="89" t="s">
        <v>1374</v>
      </c>
      <c r="X8" s="89" t="s">
        <v>1375</v>
      </c>
      <c r="Y8" s="89" t="s">
        <v>1376</v>
      </c>
      <c r="Z8" s="15" t="s">
        <v>1377</v>
      </c>
      <c r="AA8" s="15" t="s">
        <v>1378</v>
      </c>
      <c r="AB8" s="15" t="s">
        <v>1379</v>
      </c>
      <c r="AC8" s="89" t="s">
        <v>1380</v>
      </c>
      <c r="AD8" s="89" t="s">
        <v>1381</v>
      </c>
      <c r="AE8" s="89" t="s">
        <v>1382</v>
      </c>
      <c r="AF8" s="15" t="s">
        <v>1365</v>
      </c>
      <c r="AG8" s="15" t="s">
        <v>1366</v>
      </c>
      <c r="AH8" s="15" t="s">
        <v>1367</v>
      </c>
      <c r="AI8" s="89" t="s">
        <v>1383</v>
      </c>
      <c r="AJ8" s="89" t="s">
        <v>1384</v>
      </c>
      <c r="AK8" s="90" t="s">
        <v>1385</v>
      </c>
      <c r="AL8" s="35">
        <v>3</v>
      </c>
      <c r="AM8" s="91" t="s">
        <v>1386</v>
      </c>
      <c r="AN8" s="91" t="s">
        <v>1387</v>
      </c>
      <c r="AO8" s="91" t="s">
        <v>1388</v>
      </c>
      <c r="AP8" s="92" t="s">
        <v>1389</v>
      </c>
      <c r="AQ8" s="93" t="s">
        <v>1390</v>
      </c>
      <c r="AR8" s="94" t="s">
        <v>1391</v>
      </c>
      <c r="AS8" s="95" t="s">
        <v>1392</v>
      </c>
      <c r="AT8" s="96" t="s">
        <v>1393</v>
      </c>
      <c r="AU8" s="22" t="s">
        <v>1394</v>
      </c>
      <c r="AV8" s="96" t="s">
        <v>1395</v>
      </c>
      <c r="AW8" s="97" t="s">
        <v>1396</v>
      </c>
      <c r="AX8" s="98" t="s">
        <v>1397</v>
      </c>
      <c r="AY8" s="99" t="s">
        <v>1398</v>
      </c>
      <c r="AZ8" s="99" t="s">
        <v>1399</v>
      </c>
      <c r="BA8" s="99" t="s">
        <v>1400</v>
      </c>
      <c r="BB8" s="100"/>
      <c r="BC8" s="15"/>
      <c r="BD8" s="15"/>
      <c r="BE8" s="15"/>
      <c r="BF8" s="15"/>
      <c r="BG8" s="15"/>
      <c r="BH8" s="15"/>
      <c r="BI8" s="15"/>
      <c r="BJ8" s="15"/>
      <c r="BK8" s="15"/>
      <c r="BL8" s="15"/>
    </row>
    <row r="9" spans="1:64" x14ac:dyDescent="0.2">
      <c r="A9" s="28">
        <v>4</v>
      </c>
      <c r="B9" s="82" t="s">
        <v>1401</v>
      </c>
      <c r="C9" s="82" t="s">
        <v>1402</v>
      </c>
      <c r="D9" s="82" t="s">
        <v>1403</v>
      </c>
      <c r="E9" s="83" t="s">
        <v>1404</v>
      </c>
      <c r="F9" s="83" t="s">
        <v>1405</v>
      </c>
      <c r="G9" s="106" t="s">
        <v>1406</v>
      </c>
      <c r="H9" s="86" t="s">
        <v>1407</v>
      </c>
      <c r="I9" s="87" t="s">
        <v>1408</v>
      </c>
      <c r="J9" s="107" t="s">
        <v>1409</v>
      </c>
      <c r="K9" s="89" t="s">
        <v>1410</v>
      </c>
      <c r="L9" s="89" t="s">
        <v>1411</v>
      </c>
      <c r="M9" s="89" t="s">
        <v>1412</v>
      </c>
      <c r="N9" s="15" t="s">
        <v>1413</v>
      </c>
      <c r="O9" s="15" t="s">
        <v>1414</v>
      </c>
      <c r="P9" s="15" t="s">
        <v>1415</v>
      </c>
      <c r="Q9" s="89" t="s">
        <v>1416</v>
      </c>
      <c r="R9" s="89" t="s">
        <v>1417</v>
      </c>
      <c r="S9" s="89" t="s">
        <v>1418</v>
      </c>
      <c r="T9" s="15" t="s">
        <v>1419</v>
      </c>
      <c r="U9" s="15" t="s">
        <v>1420</v>
      </c>
      <c r="V9" s="15" t="s">
        <v>1421</v>
      </c>
      <c r="W9" s="89" t="s">
        <v>1422</v>
      </c>
      <c r="X9" s="89" t="s">
        <v>1423</v>
      </c>
      <c r="Y9" s="89" t="s">
        <v>1424</v>
      </c>
      <c r="Z9" s="15" t="s">
        <v>1425</v>
      </c>
      <c r="AA9" s="15" t="s">
        <v>1426</v>
      </c>
      <c r="AB9" s="15" t="s">
        <v>1427</v>
      </c>
      <c r="AC9" s="89" t="s">
        <v>1428</v>
      </c>
      <c r="AD9" s="89" t="s">
        <v>1429</v>
      </c>
      <c r="AE9" s="89" t="s">
        <v>1430</v>
      </c>
      <c r="AF9" s="15" t="s">
        <v>1413</v>
      </c>
      <c r="AG9" s="15" t="s">
        <v>1414</v>
      </c>
      <c r="AH9" s="15" t="s">
        <v>1415</v>
      </c>
      <c r="AI9" s="89" t="s">
        <v>1431</v>
      </c>
      <c r="AJ9" s="89" t="s">
        <v>1432</v>
      </c>
      <c r="AK9" s="90" t="s">
        <v>1433</v>
      </c>
      <c r="AL9" s="35">
        <v>4</v>
      </c>
      <c r="AM9" s="91" t="s">
        <v>1434</v>
      </c>
      <c r="AN9" s="91" t="s">
        <v>1435</v>
      </c>
      <c r="AO9" s="91" t="s">
        <v>1436</v>
      </c>
      <c r="AP9" s="92" t="s">
        <v>1437</v>
      </c>
      <c r="AQ9" s="93" t="s">
        <v>1438</v>
      </c>
      <c r="AR9" s="94" t="s">
        <v>1439</v>
      </c>
      <c r="AS9" s="95" t="s">
        <v>1440</v>
      </c>
      <c r="AT9" s="96" t="s">
        <v>1441</v>
      </c>
      <c r="AU9" s="22" t="s">
        <v>1442</v>
      </c>
      <c r="AV9" s="96" t="s">
        <v>1443</v>
      </c>
      <c r="AW9" s="97" t="s">
        <v>1444</v>
      </c>
      <c r="AX9" s="98" t="s">
        <v>1445</v>
      </c>
      <c r="AY9" s="99" t="s">
        <v>1446</v>
      </c>
      <c r="AZ9" s="99" t="s">
        <v>1447</v>
      </c>
      <c r="BA9" s="99" t="s">
        <v>1448</v>
      </c>
      <c r="BB9" s="100"/>
      <c r="BC9" s="15"/>
      <c r="BD9" s="15"/>
      <c r="BE9" s="15"/>
      <c r="BF9" s="15"/>
      <c r="BG9" s="15"/>
      <c r="BH9" s="15"/>
      <c r="BI9" s="15"/>
      <c r="BJ9" s="15"/>
      <c r="BK9" s="15"/>
      <c r="BL9" s="15"/>
    </row>
    <row r="10" spans="1:64" x14ac:dyDescent="0.2">
      <c r="A10" s="28">
        <v>5</v>
      </c>
      <c r="B10" s="82" t="s">
        <v>1449</v>
      </c>
      <c r="C10" s="82" t="s">
        <v>1450</v>
      </c>
      <c r="D10" s="104" t="s">
        <v>1451</v>
      </c>
      <c r="E10" s="83" t="s">
        <v>1452</v>
      </c>
      <c r="F10" s="83" t="s">
        <v>1453</v>
      </c>
      <c r="G10" s="85" t="s">
        <v>1454</v>
      </c>
      <c r="H10" s="108" t="s">
        <v>1455</v>
      </c>
      <c r="I10" s="87" t="s">
        <v>1456</v>
      </c>
      <c r="J10" s="107" t="s">
        <v>1457</v>
      </c>
      <c r="K10" s="89" t="s">
        <v>1458</v>
      </c>
      <c r="L10" s="89" t="s">
        <v>1459</v>
      </c>
      <c r="M10" s="89" t="s">
        <v>1460</v>
      </c>
      <c r="N10" s="15" t="s">
        <v>1461</v>
      </c>
      <c r="O10" s="15" t="s">
        <v>1462</v>
      </c>
      <c r="P10" s="15" t="s">
        <v>1463</v>
      </c>
      <c r="Q10" s="89" t="s">
        <v>1464</v>
      </c>
      <c r="R10" s="89" t="s">
        <v>1465</v>
      </c>
      <c r="S10" s="89" t="s">
        <v>1466</v>
      </c>
      <c r="T10" s="15" t="s">
        <v>1467</v>
      </c>
      <c r="U10" s="15" t="s">
        <v>1417</v>
      </c>
      <c r="V10" s="15" t="s">
        <v>1468</v>
      </c>
      <c r="W10" s="89" t="s">
        <v>1469</v>
      </c>
      <c r="X10" s="89" t="s">
        <v>1470</v>
      </c>
      <c r="Y10" s="89" t="s">
        <v>1471</v>
      </c>
      <c r="Z10" s="15" t="s">
        <v>1472</v>
      </c>
      <c r="AA10" s="15" t="s">
        <v>1473</v>
      </c>
      <c r="AB10" s="15" t="s">
        <v>1474</v>
      </c>
      <c r="AC10" s="89" t="s">
        <v>1475</v>
      </c>
      <c r="AD10" s="89" t="s">
        <v>1476</v>
      </c>
      <c r="AE10" s="89" t="s">
        <v>1477</v>
      </c>
      <c r="AF10" s="15" t="s">
        <v>1461</v>
      </c>
      <c r="AG10" s="15" t="s">
        <v>1462</v>
      </c>
      <c r="AH10" s="15" t="s">
        <v>1463</v>
      </c>
      <c r="AI10" s="89" t="s">
        <v>1478</v>
      </c>
      <c r="AJ10" s="89" t="s">
        <v>1479</v>
      </c>
      <c r="AK10" s="90" t="s">
        <v>1480</v>
      </c>
      <c r="AL10" s="35">
        <v>5</v>
      </c>
      <c r="AM10" s="91" t="s">
        <v>1481</v>
      </c>
      <c r="AN10" s="91" t="s">
        <v>1482</v>
      </c>
      <c r="AO10" s="91" t="s">
        <v>1483</v>
      </c>
      <c r="AP10" s="92" t="s">
        <v>1484</v>
      </c>
      <c r="AQ10" s="93" t="s">
        <v>1485</v>
      </c>
      <c r="AR10" s="94" t="s">
        <v>1486</v>
      </c>
      <c r="AS10" s="95" t="s">
        <v>1487</v>
      </c>
      <c r="AT10" s="96" t="s">
        <v>1488</v>
      </c>
      <c r="AU10" s="22" t="s">
        <v>1489</v>
      </c>
      <c r="AV10" s="96" t="s">
        <v>1490</v>
      </c>
      <c r="AW10" s="97" t="s">
        <v>1491</v>
      </c>
      <c r="AX10" s="98" t="s">
        <v>1492</v>
      </c>
      <c r="AY10" s="99" t="s">
        <v>1493</v>
      </c>
      <c r="AZ10" s="99" t="s">
        <v>1494</v>
      </c>
      <c r="BA10" s="99" t="s">
        <v>1495</v>
      </c>
      <c r="BB10" s="100"/>
      <c r="BC10" s="15"/>
      <c r="BD10" s="15"/>
      <c r="BE10" s="15"/>
      <c r="BF10" s="15"/>
      <c r="BG10" s="15"/>
      <c r="BH10" s="15"/>
      <c r="BI10" s="15"/>
      <c r="BJ10" s="15"/>
      <c r="BK10" s="15"/>
      <c r="BL10" s="15"/>
    </row>
    <row r="11" spans="1:64" x14ac:dyDescent="0.2">
      <c r="A11" s="28">
        <v>6</v>
      </c>
      <c r="B11" s="82" t="s">
        <v>1496</v>
      </c>
      <c r="C11" s="104" t="s">
        <v>1497</v>
      </c>
      <c r="D11" s="82" t="s">
        <v>1498</v>
      </c>
      <c r="E11" s="109" t="s">
        <v>1499</v>
      </c>
      <c r="F11" s="109" t="s">
        <v>1500</v>
      </c>
      <c r="G11" s="106" t="s">
        <v>1501</v>
      </c>
      <c r="H11" s="108" t="s">
        <v>1502</v>
      </c>
      <c r="I11" s="103" t="s">
        <v>1503</v>
      </c>
      <c r="J11" s="107" t="s">
        <v>1504</v>
      </c>
      <c r="K11" s="89" t="s">
        <v>1505</v>
      </c>
      <c r="L11" s="89" t="s">
        <v>1506</v>
      </c>
      <c r="M11" s="89" t="s">
        <v>1507</v>
      </c>
      <c r="N11" s="15" t="s">
        <v>1508</v>
      </c>
      <c r="O11" s="15" t="s">
        <v>1509</v>
      </c>
      <c r="P11" s="15" t="s">
        <v>1510</v>
      </c>
      <c r="Q11" s="89" t="s">
        <v>1511</v>
      </c>
      <c r="R11" s="89" t="s">
        <v>1512</v>
      </c>
      <c r="S11" s="89" t="s">
        <v>1513</v>
      </c>
      <c r="T11" s="15" t="s">
        <v>1514</v>
      </c>
      <c r="U11" s="15" t="s">
        <v>1515</v>
      </c>
      <c r="V11" s="15" t="s">
        <v>1516</v>
      </c>
      <c r="W11" s="89" t="s">
        <v>1517</v>
      </c>
      <c r="X11" s="89" t="s">
        <v>1518</v>
      </c>
      <c r="Y11" s="89" t="s">
        <v>1519</v>
      </c>
      <c r="Z11" s="15" t="s">
        <v>1520</v>
      </c>
      <c r="AA11" s="15" t="s">
        <v>1521</v>
      </c>
      <c r="AB11" s="15" t="s">
        <v>1522</v>
      </c>
      <c r="AC11" s="89" t="s">
        <v>1523</v>
      </c>
      <c r="AD11" s="89" t="s">
        <v>1524</v>
      </c>
      <c r="AE11" s="89" t="s">
        <v>1525</v>
      </c>
      <c r="AF11" s="15" t="s">
        <v>1508</v>
      </c>
      <c r="AG11" s="15" t="s">
        <v>1509</v>
      </c>
      <c r="AH11" s="15" t="s">
        <v>1510</v>
      </c>
      <c r="AI11" s="89" t="s">
        <v>1526</v>
      </c>
      <c r="AJ11" s="89" t="s">
        <v>1527</v>
      </c>
      <c r="AK11" s="90" t="s">
        <v>1528</v>
      </c>
      <c r="AL11" s="35">
        <v>6</v>
      </c>
      <c r="AM11" s="91" t="s">
        <v>1529</v>
      </c>
      <c r="AN11" s="91" t="s">
        <v>1530</v>
      </c>
      <c r="AO11" s="91" t="s">
        <v>1531</v>
      </c>
      <c r="AP11" s="92" t="s">
        <v>1532</v>
      </c>
      <c r="AQ11" s="93" t="s">
        <v>1533</v>
      </c>
      <c r="AR11" s="94" t="s">
        <v>1534</v>
      </c>
      <c r="AS11" s="95" t="s">
        <v>1535</v>
      </c>
      <c r="AT11" s="96" t="s">
        <v>1536</v>
      </c>
      <c r="AU11" s="22" t="s">
        <v>1537</v>
      </c>
      <c r="AV11" s="96" t="s">
        <v>1538</v>
      </c>
      <c r="AW11" s="97" t="s">
        <v>1539</v>
      </c>
      <c r="AX11" s="98" t="s">
        <v>1540</v>
      </c>
      <c r="AY11" s="99" t="s">
        <v>1541</v>
      </c>
      <c r="AZ11" s="99" t="s">
        <v>1542</v>
      </c>
      <c r="BA11" s="99" t="s">
        <v>1543</v>
      </c>
      <c r="BB11" s="100"/>
      <c r="BC11" s="15"/>
      <c r="BD11" s="15"/>
      <c r="BE11" s="15"/>
      <c r="BF11" s="15"/>
      <c r="BG11" s="15"/>
      <c r="BH11" s="15"/>
      <c r="BI11" s="15"/>
      <c r="BJ11" s="15"/>
      <c r="BK11" s="15"/>
      <c r="BL11" s="15"/>
    </row>
    <row r="12" spans="1:64" s="117" customFormat="1" x14ac:dyDescent="0.2">
      <c r="A12" s="110">
        <v>7</v>
      </c>
      <c r="B12" s="111" t="s">
        <v>1544</v>
      </c>
      <c r="C12" s="112" t="s">
        <v>1545</v>
      </c>
      <c r="D12" s="112" t="s">
        <v>1546</v>
      </c>
      <c r="E12" s="109" t="s">
        <v>1547</v>
      </c>
      <c r="F12" s="83" t="s">
        <v>1548</v>
      </c>
      <c r="G12" s="85" t="s">
        <v>1549</v>
      </c>
      <c r="H12" s="113" t="s">
        <v>1550</v>
      </c>
      <c r="I12" s="114" t="s">
        <v>1551</v>
      </c>
      <c r="J12" s="115" t="s">
        <v>1552</v>
      </c>
      <c r="K12" s="89" t="s">
        <v>1553</v>
      </c>
      <c r="L12" s="89" t="s">
        <v>1554</v>
      </c>
      <c r="M12" s="89" t="s">
        <v>1555</v>
      </c>
      <c r="N12" s="89" t="s">
        <v>1556</v>
      </c>
      <c r="O12" s="89" t="s">
        <v>1557</v>
      </c>
      <c r="P12" s="89"/>
      <c r="Q12" s="89" t="s">
        <v>1558</v>
      </c>
      <c r="R12" s="89" t="s">
        <v>1559</v>
      </c>
      <c r="S12" s="89" t="s">
        <v>1560</v>
      </c>
      <c r="T12" s="89" t="s">
        <v>1561</v>
      </c>
      <c r="U12" s="89" t="s">
        <v>1562</v>
      </c>
      <c r="V12" s="89"/>
      <c r="W12" s="89" t="s">
        <v>1563</v>
      </c>
      <c r="X12" s="89" t="s">
        <v>1564</v>
      </c>
      <c r="Y12" s="89" t="s">
        <v>1565</v>
      </c>
      <c r="Z12" s="89" t="s">
        <v>1566</v>
      </c>
      <c r="AA12" s="89" t="s">
        <v>1567</v>
      </c>
      <c r="AB12" s="89"/>
      <c r="AC12" s="89" t="s">
        <v>1568</v>
      </c>
      <c r="AD12" s="89" t="s">
        <v>1569</v>
      </c>
      <c r="AE12" s="89" t="s">
        <v>1476</v>
      </c>
      <c r="AF12" s="89" t="s">
        <v>1556</v>
      </c>
      <c r="AG12" s="89" t="s">
        <v>1557</v>
      </c>
      <c r="AH12" s="89"/>
      <c r="AI12" s="89" t="s">
        <v>1570</v>
      </c>
      <c r="AJ12" s="89" t="s">
        <v>1571</v>
      </c>
      <c r="AK12" s="90" t="s">
        <v>1572</v>
      </c>
      <c r="AL12" s="116">
        <v>7</v>
      </c>
      <c r="AM12" s="91" t="s">
        <v>1573</v>
      </c>
      <c r="AN12" s="91" t="s">
        <v>1574</v>
      </c>
      <c r="AO12" s="91" t="s">
        <v>1575</v>
      </c>
      <c r="AP12" s="92" t="s">
        <v>1576</v>
      </c>
      <c r="AQ12" s="93" t="s">
        <v>1577</v>
      </c>
      <c r="AR12" s="94" t="s">
        <v>1578</v>
      </c>
      <c r="AS12" s="95" t="s">
        <v>1579</v>
      </c>
      <c r="AT12" s="96" t="s">
        <v>1580</v>
      </c>
      <c r="AU12" s="22" t="s">
        <v>1581</v>
      </c>
      <c r="AV12" s="96" t="s">
        <v>1582</v>
      </c>
      <c r="AW12" s="97" t="s">
        <v>1583</v>
      </c>
      <c r="AX12" s="98" t="s">
        <v>1584</v>
      </c>
      <c r="AY12" s="99" t="s">
        <v>1585</v>
      </c>
      <c r="AZ12" s="99" t="s">
        <v>1586</v>
      </c>
      <c r="BA12" s="99" t="s">
        <v>1587</v>
      </c>
      <c r="BB12" s="100"/>
      <c r="BC12" s="89"/>
      <c r="BD12" s="89"/>
      <c r="BE12" s="89"/>
      <c r="BF12" s="89"/>
      <c r="BG12" s="89"/>
      <c r="BH12" s="89"/>
      <c r="BI12" s="89"/>
      <c r="BJ12" s="89"/>
      <c r="BK12" s="89"/>
      <c r="BL12" s="89"/>
    </row>
    <row r="13" spans="1:64" x14ac:dyDescent="0.2">
      <c r="A13" s="28">
        <v>8</v>
      </c>
      <c r="B13" s="82" t="s">
        <v>1588</v>
      </c>
      <c r="C13" s="82" t="s">
        <v>1589</v>
      </c>
      <c r="D13" s="104" t="s">
        <v>1590</v>
      </c>
      <c r="E13" s="83" t="s">
        <v>1591</v>
      </c>
      <c r="F13" s="83" t="s">
        <v>1592</v>
      </c>
      <c r="G13" s="102" t="s">
        <v>1593</v>
      </c>
      <c r="H13" s="86" t="s">
        <v>1594</v>
      </c>
      <c r="I13" s="103" t="s">
        <v>1595</v>
      </c>
      <c r="J13" s="107" t="s">
        <v>1596</v>
      </c>
      <c r="K13" s="89"/>
      <c r="L13" s="89" t="s">
        <v>1597</v>
      </c>
      <c r="M13" s="89"/>
      <c r="N13" s="15" t="s">
        <v>1598</v>
      </c>
      <c r="O13" s="15" t="s">
        <v>1599</v>
      </c>
      <c r="P13" s="15"/>
      <c r="Q13" s="89" t="s">
        <v>1600</v>
      </c>
      <c r="R13" s="89" t="s">
        <v>1601</v>
      </c>
      <c r="S13" s="89" t="s">
        <v>1602</v>
      </c>
      <c r="T13" s="15" t="s">
        <v>1603</v>
      </c>
      <c r="U13" s="15" t="s">
        <v>1604</v>
      </c>
      <c r="V13" s="15"/>
      <c r="W13" s="89" t="s">
        <v>1605</v>
      </c>
      <c r="X13" s="89" t="s">
        <v>1606</v>
      </c>
      <c r="Y13" s="89"/>
      <c r="Z13" s="15" t="s">
        <v>1607</v>
      </c>
      <c r="AA13" s="15" t="s">
        <v>1608</v>
      </c>
      <c r="AB13" s="15"/>
      <c r="AC13" s="89" t="s">
        <v>1609</v>
      </c>
      <c r="AD13" s="89" t="s">
        <v>1610</v>
      </c>
      <c r="AE13" s="89" t="s">
        <v>1611</v>
      </c>
      <c r="AF13" s="15" t="s">
        <v>1598</v>
      </c>
      <c r="AG13" s="15" t="s">
        <v>1599</v>
      </c>
      <c r="AH13" s="15"/>
      <c r="AI13" s="89" t="s">
        <v>1612</v>
      </c>
      <c r="AJ13" s="89" t="s">
        <v>1613</v>
      </c>
      <c r="AK13" s="90" t="s">
        <v>1614</v>
      </c>
      <c r="AL13" s="35">
        <v>8</v>
      </c>
      <c r="AM13" s="91" t="s">
        <v>1615</v>
      </c>
      <c r="AN13" s="91" t="s">
        <v>1616</v>
      </c>
      <c r="AO13" s="91" t="s">
        <v>1617</v>
      </c>
      <c r="AP13" s="92" t="s">
        <v>1618</v>
      </c>
      <c r="AQ13" s="93" t="s">
        <v>1619</v>
      </c>
      <c r="AR13" s="94" t="s">
        <v>1620</v>
      </c>
      <c r="AS13" s="95" t="s">
        <v>1621</v>
      </c>
      <c r="AT13" s="96" t="s">
        <v>1622</v>
      </c>
      <c r="AU13" s="22" t="s">
        <v>1623</v>
      </c>
      <c r="AV13" s="96" t="s">
        <v>1624</v>
      </c>
      <c r="AW13" s="97" t="s">
        <v>1625</v>
      </c>
      <c r="AX13" s="98" t="s">
        <v>1626</v>
      </c>
      <c r="AY13" s="99" t="s">
        <v>1627</v>
      </c>
      <c r="AZ13" s="99" t="s">
        <v>1628</v>
      </c>
      <c r="BA13" s="99" t="s">
        <v>1629</v>
      </c>
      <c r="BB13" s="15"/>
      <c r="BC13" s="15"/>
      <c r="BD13" s="15"/>
      <c r="BE13" s="15"/>
      <c r="BF13" s="15"/>
      <c r="BG13" s="15"/>
      <c r="BH13" s="15"/>
      <c r="BI13" s="15"/>
      <c r="BJ13" s="15"/>
      <c r="BK13" s="15"/>
      <c r="BL13" s="15"/>
    </row>
    <row r="14" spans="1:64" x14ac:dyDescent="0.2">
      <c r="A14" s="28">
        <v>9</v>
      </c>
      <c r="B14" s="82" t="s">
        <v>1630</v>
      </c>
      <c r="C14" s="104" t="s">
        <v>1631</v>
      </c>
      <c r="D14" s="82" t="s">
        <v>1632</v>
      </c>
      <c r="E14" s="83" t="s">
        <v>1633</v>
      </c>
      <c r="F14" s="83" t="s">
        <v>1634</v>
      </c>
      <c r="G14" s="102" t="s">
        <v>1635</v>
      </c>
      <c r="H14" s="86" t="s">
        <v>1636</v>
      </c>
      <c r="I14" s="87" t="s">
        <v>1637</v>
      </c>
      <c r="J14" s="107" t="s">
        <v>1638</v>
      </c>
      <c r="K14" s="89"/>
      <c r="L14" s="89"/>
      <c r="M14" s="89"/>
      <c r="N14" s="15" t="s">
        <v>1639</v>
      </c>
      <c r="O14" s="15" t="s">
        <v>1640</v>
      </c>
      <c r="P14" s="15"/>
      <c r="Q14" s="89" t="s">
        <v>1641</v>
      </c>
      <c r="R14" s="89"/>
      <c r="S14" s="89"/>
      <c r="T14" s="15" t="s">
        <v>1642</v>
      </c>
      <c r="U14" s="15"/>
      <c r="V14" s="15"/>
      <c r="W14" s="89" t="s">
        <v>1643</v>
      </c>
      <c r="X14" s="89" t="s">
        <v>1644</v>
      </c>
      <c r="Y14" s="89"/>
      <c r="Z14" s="15"/>
      <c r="AA14" s="15"/>
      <c r="AB14" s="15"/>
      <c r="AC14" s="89" t="s">
        <v>1645</v>
      </c>
      <c r="AD14" s="89"/>
      <c r="AE14" s="89" t="s">
        <v>1646</v>
      </c>
      <c r="AF14" s="15" t="s">
        <v>1639</v>
      </c>
      <c r="AG14" s="15" t="s">
        <v>1640</v>
      </c>
      <c r="AH14" s="15"/>
      <c r="AI14" s="89"/>
      <c r="AJ14" s="89" t="s">
        <v>1647</v>
      </c>
      <c r="AK14" s="90"/>
      <c r="AL14" s="35">
        <v>9</v>
      </c>
      <c r="AM14" s="91" t="s">
        <v>1648</v>
      </c>
      <c r="AN14" s="91" t="s">
        <v>1649</v>
      </c>
      <c r="AO14" s="91" t="s">
        <v>1650</v>
      </c>
      <c r="AP14" s="92" t="s">
        <v>1651</v>
      </c>
      <c r="AQ14" s="93" t="s">
        <v>1652</v>
      </c>
      <c r="AR14" s="94" t="s">
        <v>1653</v>
      </c>
      <c r="AS14" s="95" t="s">
        <v>1654</v>
      </c>
      <c r="AT14" s="96" t="s">
        <v>1655</v>
      </c>
      <c r="AU14" s="22" t="s">
        <v>1656</v>
      </c>
      <c r="AV14" s="96" t="s">
        <v>1657</v>
      </c>
      <c r="AW14" s="97" t="s">
        <v>1658</v>
      </c>
      <c r="AX14" s="98" t="s">
        <v>1659</v>
      </c>
      <c r="AY14" s="99" t="s">
        <v>1660</v>
      </c>
      <c r="AZ14" s="99" t="s">
        <v>1661</v>
      </c>
      <c r="BA14" s="99" t="s">
        <v>1662</v>
      </c>
      <c r="BB14" s="15"/>
      <c r="BC14" s="15"/>
      <c r="BD14" s="15"/>
      <c r="BE14" s="15"/>
      <c r="BF14" s="15"/>
      <c r="BG14" s="15"/>
      <c r="BH14" s="15"/>
      <c r="BI14" s="15"/>
      <c r="BJ14" s="15"/>
      <c r="BK14" s="15"/>
      <c r="BL14" s="15"/>
    </row>
    <row r="15" spans="1:64" s="117" customFormat="1" ht="12" thickBot="1" x14ac:dyDescent="0.25">
      <c r="A15" s="110">
        <v>10</v>
      </c>
      <c r="B15" s="111" t="s">
        <v>1663</v>
      </c>
      <c r="C15" s="112" t="s">
        <v>1664</v>
      </c>
      <c r="D15" s="111" t="s">
        <v>1665</v>
      </c>
      <c r="E15" s="83" t="s">
        <v>1666</v>
      </c>
      <c r="F15" s="83" t="s">
        <v>1667</v>
      </c>
      <c r="G15" s="85" t="s">
        <v>1668</v>
      </c>
      <c r="H15" s="113" t="s">
        <v>1669</v>
      </c>
      <c r="I15" s="114" t="s">
        <v>1670</v>
      </c>
      <c r="J15" s="118" t="s">
        <v>1671</v>
      </c>
      <c r="K15" s="89"/>
      <c r="L15" s="89"/>
      <c r="M15" s="89"/>
      <c r="N15" s="89" t="s">
        <v>1672</v>
      </c>
      <c r="O15" s="89"/>
      <c r="P15" s="89"/>
      <c r="Q15" s="89" t="s">
        <v>1673</v>
      </c>
      <c r="R15" s="89"/>
      <c r="S15" s="89"/>
      <c r="T15" s="89" t="s">
        <v>1674</v>
      </c>
      <c r="U15" s="89"/>
      <c r="V15" s="89"/>
      <c r="W15" s="89"/>
      <c r="X15" s="89"/>
      <c r="Y15" s="89"/>
      <c r="Z15" s="89"/>
      <c r="AA15" s="89"/>
      <c r="AB15" s="89"/>
      <c r="AC15" s="89" t="s">
        <v>1675</v>
      </c>
      <c r="AD15" s="89"/>
      <c r="AE15" s="89" t="s">
        <v>1676</v>
      </c>
      <c r="AF15" s="89" t="s">
        <v>1672</v>
      </c>
      <c r="AG15" s="89"/>
      <c r="AH15" s="89"/>
      <c r="AI15" s="89"/>
      <c r="AJ15" s="89"/>
      <c r="AK15" s="90"/>
      <c r="AL15" s="116">
        <v>10</v>
      </c>
      <c r="AM15" s="91" t="s">
        <v>1677</v>
      </c>
      <c r="AN15" s="91" t="s">
        <v>1678</v>
      </c>
      <c r="AO15" s="91" t="s">
        <v>1679</v>
      </c>
      <c r="AP15" s="92" t="s">
        <v>1680</v>
      </c>
      <c r="AQ15" s="93" t="s">
        <v>1681</v>
      </c>
      <c r="AR15" s="94" t="s">
        <v>1682</v>
      </c>
      <c r="AS15" s="95" t="s">
        <v>1683</v>
      </c>
      <c r="AT15" s="96" t="s">
        <v>1684</v>
      </c>
      <c r="AU15" s="22" t="s">
        <v>1685</v>
      </c>
      <c r="AV15" s="96" t="s">
        <v>1686</v>
      </c>
      <c r="AW15" s="97" t="s">
        <v>1687</v>
      </c>
      <c r="AX15" s="98" t="s">
        <v>1688</v>
      </c>
      <c r="AY15" s="99" t="s">
        <v>1689</v>
      </c>
      <c r="AZ15" s="99" t="s">
        <v>1690</v>
      </c>
      <c r="BA15" s="99" t="s">
        <v>579</v>
      </c>
      <c r="BB15" s="89"/>
      <c r="BC15" s="89"/>
      <c r="BD15" s="89"/>
      <c r="BE15" s="89"/>
      <c r="BF15" s="89"/>
      <c r="BG15" s="89"/>
      <c r="BH15" s="89"/>
      <c r="BI15" s="89"/>
      <c r="BJ15" s="89"/>
      <c r="BK15" s="89"/>
      <c r="BL15" s="89"/>
    </row>
    <row r="16" spans="1:64" x14ac:dyDescent="0.2">
      <c r="A16" s="28">
        <v>11</v>
      </c>
      <c r="B16" s="104" t="s">
        <v>1691</v>
      </c>
      <c r="C16" s="82" t="s">
        <v>1692</v>
      </c>
      <c r="D16" s="104" t="s">
        <v>1693</v>
      </c>
      <c r="E16" s="83" t="s">
        <v>1694</v>
      </c>
      <c r="F16" s="83" t="s">
        <v>1695</v>
      </c>
      <c r="G16" s="89"/>
      <c r="H16" s="86" t="s">
        <v>1696</v>
      </c>
      <c r="I16" s="119" t="s">
        <v>1697</v>
      </c>
      <c r="J16" s="120"/>
      <c r="K16" s="89"/>
      <c r="L16" s="89"/>
      <c r="M16" s="89"/>
      <c r="N16" s="15"/>
      <c r="O16" s="15"/>
      <c r="P16" s="15"/>
      <c r="Q16" s="89" t="s">
        <v>1698</v>
      </c>
      <c r="R16" s="89"/>
      <c r="S16" s="89"/>
      <c r="T16" s="15" t="s">
        <v>1699</v>
      </c>
      <c r="U16" s="15"/>
      <c r="V16" s="15"/>
      <c r="W16" s="89"/>
      <c r="X16" s="89"/>
      <c r="Y16" s="89"/>
      <c r="Z16" s="15"/>
      <c r="AA16" s="15"/>
      <c r="AB16" s="15"/>
      <c r="AC16" s="89" t="s">
        <v>1700</v>
      </c>
      <c r="AD16" s="89"/>
      <c r="AE16" s="89" t="s">
        <v>1701</v>
      </c>
      <c r="AF16" s="15"/>
      <c r="AG16" s="15"/>
      <c r="AH16" s="15"/>
      <c r="AI16" s="89"/>
      <c r="AJ16" s="89"/>
      <c r="AK16" s="90"/>
      <c r="AL16" s="35">
        <v>11</v>
      </c>
      <c r="AM16" s="91" t="s">
        <v>1702</v>
      </c>
      <c r="AN16" s="91" t="s">
        <v>1703</v>
      </c>
      <c r="AO16" s="91" t="s">
        <v>1704</v>
      </c>
      <c r="AP16" s="92" t="s">
        <v>1705</v>
      </c>
      <c r="AQ16" s="93" t="s">
        <v>1706</v>
      </c>
      <c r="AR16" s="94" t="s">
        <v>1707</v>
      </c>
      <c r="AS16" s="95" t="s">
        <v>1708</v>
      </c>
      <c r="AT16" s="96" t="s">
        <v>1709</v>
      </c>
      <c r="AU16" s="22" t="s">
        <v>1710</v>
      </c>
      <c r="AV16" s="96" t="s">
        <v>1711</v>
      </c>
      <c r="AW16" s="97" t="s">
        <v>1712</v>
      </c>
      <c r="AX16" s="98" t="s">
        <v>1713</v>
      </c>
      <c r="AY16" s="99" t="s">
        <v>1714</v>
      </c>
      <c r="AZ16" s="99" t="s">
        <v>1715</v>
      </c>
      <c r="BA16" s="99" t="s">
        <v>1716</v>
      </c>
      <c r="BB16" s="15"/>
      <c r="BC16" s="15"/>
      <c r="BD16" s="15"/>
      <c r="BE16" s="15"/>
      <c r="BF16" s="15"/>
      <c r="BG16" s="15"/>
      <c r="BH16" s="15"/>
      <c r="BI16" s="15"/>
      <c r="BJ16" s="15"/>
      <c r="BK16" s="15"/>
      <c r="BL16" s="15"/>
    </row>
    <row r="17" spans="1:64" x14ac:dyDescent="0.2">
      <c r="A17" s="28">
        <v>12</v>
      </c>
      <c r="B17" s="104" t="s">
        <v>1717</v>
      </c>
      <c r="C17" s="104" t="s">
        <v>1718</v>
      </c>
      <c r="D17" s="82" t="s">
        <v>1719</v>
      </c>
      <c r="E17" s="83" t="s">
        <v>1720</v>
      </c>
      <c r="F17" s="109" t="s">
        <v>1721</v>
      </c>
      <c r="G17" s="89"/>
      <c r="H17" s="86" t="s">
        <v>1722</v>
      </c>
      <c r="I17" s="108" t="s">
        <v>1723</v>
      </c>
      <c r="J17" s="20"/>
      <c r="K17" s="89"/>
      <c r="L17" s="89"/>
      <c r="M17" s="89"/>
      <c r="N17" s="15"/>
      <c r="O17" s="15"/>
      <c r="P17" s="15"/>
      <c r="Q17" s="89"/>
      <c r="R17" s="89"/>
      <c r="S17" s="89"/>
      <c r="T17" s="15"/>
      <c r="U17" s="15"/>
      <c r="V17" s="15"/>
      <c r="W17" s="89"/>
      <c r="X17" s="89"/>
      <c r="Y17" s="89"/>
      <c r="Z17" s="15"/>
      <c r="AA17" s="15"/>
      <c r="AB17" s="15"/>
      <c r="AC17" s="89" t="s">
        <v>1569</v>
      </c>
      <c r="AD17" s="89"/>
      <c r="AE17" s="89" t="s">
        <v>1724</v>
      </c>
      <c r="AF17" s="15"/>
      <c r="AG17" s="15"/>
      <c r="AH17" s="15"/>
      <c r="AI17" s="89"/>
      <c r="AJ17" s="89"/>
      <c r="AK17" s="90"/>
      <c r="AL17" s="35">
        <v>12</v>
      </c>
      <c r="AM17" s="91" t="s">
        <v>1725</v>
      </c>
      <c r="AN17" s="91" t="s">
        <v>1726</v>
      </c>
      <c r="AO17" s="91" t="s">
        <v>1727</v>
      </c>
      <c r="AP17" s="92"/>
      <c r="AQ17" s="93" t="s">
        <v>1728</v>
      </c>
      <c r="AR17" s="94" t="s">
        <v>1729</v>
      </c>
      <c r="AS17" s="95" t="s">
        <v>1730</v>
      </c>
      <c r="AT17" s="96" t="s">
        <v>1731</v>
      </c>
      <c r="AU17" s="22"/>
      <c r="AV17" s="96" t="s">
        <v>1732</v>
      </c>
      <c r="AW17" s="97" t="s">
        <v>1733</v>
      </c>
      <c r="AX17" s="98" t="s">
        <v>1734</v>
      </c>
      <c r="AY17" s="99" t="s">
        <v>1735</v>
      </c>
      <c r="AZ17" s="99" t="s">
        <v>1736</v>
      </c>
      <c r="BA17" s="99" t="s">
        <v>1737</v>
      </c>
      <c r="BB17" s="15"/>
      <c r="BC17" s="15"/>
      <c r="BD17" s="15"/>
      <c r="BE17" s="15"/>
      <c r="BF17" s="15"/>
      <c r="BG17" s="15"/>
      <c r="BH17" s="15"/>
      <c r="BI17" s="15"/>
      <c r="BJ17" s="15"/>
      <c r="BK17" s="15"/>
      <c r="BL17" s="15"/>
    </row>
    <row r="18" spans="1:64" x14ac:dyDescent="0.2">
      <c r="A18" s="28">
        <v>13</v>
      </c>
      <c r="B18" s="82" t="s">
        <v>1738</v>
      </c>
      <c r="C18" s="104" t="s">
        <v>1739</v>
      </c>
      <c r="D18" s="82" t="s">
        <v>1740</v>
      </c>
      <c r="E18" s="109" t="s">
        <v>1741</v>
      </c>
      <c r="F18" s="109" t="s">
        <v>1742</v>
      </c>
      <c r="G18" s="89"/>
      <c r="H18" s="86" t="s">
        <v>1743</v>
      </c>
      <c r="I18" s="108" t="s">
        <v>1744</v>
      </c>
      <c r="J18" s="20"/>
      <c r="K18" s="89"/>
      <c r="L18" s="89"/>
      <c r="M18" s="89"/>
      <c r="N18" s="15"/>
      <c r="O18" s="15"/>
      <c r="P18" s="15"/>
      <c r="Q18" s="89"/>
      <c r="R18" s="89"/>
      <c r="S18" s="89"/>
      <c r="T18" s="15"/>
      <c r="U18" s="15"/>
      <c r="V18" s="15"/>
      <c r="W18" s="89"/>
      <c r="X18" s="89"/>
      <c r="Y18" s="89"/>
      <c r="Z18" s="15"/>
      <c r="AA18" s="15"/>
      <c r="AB18" s="15"/>
      <c r="AC18" s="89" t="s">
        <v>1745</v>
      </c>
      <c r="AD18" s="89"/>
      <c r="AE18" s="89"/>
      <c r="AF18" s="15"/>
      <c r="AG18" s="15"/>
      <c r="AH18" s="15"/>
      <c r="AI18" s="89"/>
      <c r="AJ18" s="89"/>
      <c r="AK18" s="90"/>
      <c r="AL18" s="35">
        <v>13</v>
      </c>
      <c r="AM18" s="91" t="s">
        <v>1746</v>
      </c>
      <c r="AN18" s="91" t="s">
        <v>1747</v>
      </c>
      <c r="AO18" s="91" t="s">
        <v>1748</v>
      </c>
      <c r="AP18" s="92"/>
      <c r="AQ18" s="93" t="s">
        <v>1749</v>
      </c>
      <c r="AR18" s="94" t="s">
        <v>1750</v>
      </c>
      <c r="AS18" s="95" t="s">
        <v>1751</v>
      </c>
      <c r="AT18" s="96" t="s">
        <v>1752</v>
      </c>
      <c r="AU18" s="22"/>
      <c r="AV18" s="96" t="s">
        <v>1753</v>
      </c>
      <c r="AW18" s="97"/>
      <c r="AX18" s="98"/>
      <c r="AY18" s="99" t="s">
        <v>1754</v>
      </c>
      <c r="AZ18" s="99" t="s">
        <v>1755</v>
      </c>
      <c r="BA18" s="99" t="s">
        <v>1756</v>
      </c>
      <c r="BB18" s="15"/>
      <c r="BC18" s="15"/>
      <c r="BD18" s="15"/>
      <c r="BE18" s="15"/>
      <c r="BF18" s="15"/>
      <c r="BG18" s="15"/>
      <c r="BH18" s="15"/>
      <c r="BI18" s="15"/>
      <c r="BJ18" s="15"/>
      <c r="BK18" s="15"/>
      <c r="BL18" s="15"/>
    </row>
    <row r="19" spans="1:64" x14ac:dyDescent="0.2">
      <c r="A19" s="28">
        <v>14</v>
      </c>
      <c r="B19" s="82" t="s">
        <v>1757</v>
      </c>
      <c r="C19" s="82" t="s">
        <v>1758</v>
      </c>
      <c r="D19" s="104" t="s">
        <v>1759</v>
      </c>
      <c r="E19" s="109" t="s">
        <v>1760</v>
      </c>
      <c r="F19" s="83" t="s">
        <v>1761</v>
      </c>
      <c r="G19" s="89"/>
      <c r="H19" s="108" t="s">
        <v>1762</v>
      </c>
      <c r="I19" s="86" t="s">
        <v>1763</v>
      </c>
      <c r="J19" s="20"/>
      <c r="K19" s="89"/>
      <c r="L19" s="89"/>
      <c r="M19" s="89"/>
      <c r="N19" s="15"/>
      <c r="O19" s="15"/>
      <c r="P19" s="15"/>
      <c r="Q19" s="89"/>
      <c r="R19" s="89"/>
      <c r="S19" s="89"/>
      <c r="T19" s="15"/>
      <c r="U19" s="15"/>
      <c r="V19" s="15"/>
      <c r="W19" s="89"/>
      <c r="X19" s="89"/>
      <c r="Y19" s="89"/>
      <c r="Z19" s="15"/>
      <c r="AA19" s="15"/>
      <c r="AB19" s="15"/>
      <c r="AC19" s="89"/>
      <c r="AD19" s="89"/>
      <c r="AE19" s="89"/>
      <c r="AF19" s="15"/>
      <c r="AG19" s="15"/>
      <c r="AH19" s="15"/>
      <c r="AI19" s="89"/>
      <c r="AJ19" s="89"/>
      <c r="AK19" s="90"/>
      <c r="AL19" s="35">
        <v>14</v>
      </c>
      <c r="AM19" s="91" t="s">
        <v>1764</v>
      </c>
      <c r="AN19" s="91" t="s">
        <v>1765</v>
      </c>
      <c r="AO19" s="91" t="s">
        <v>1766</v>
      </c>
      <c r="AP19" s="92"/>
      <c r="AQ19" s="93" t="s">
        <v>1767</v>
      </c>
      <c r="AR19" s="94" t="s">
        <v>1768</v>
      </c>
      <c r="AS19" s="95" t="s">
        <v>1769</v>
      </c>
      <c r="AT19" s="96" t="s">
        <v>1770</v>
      </c>
      <c r="AU19" s="96"/>
      <c r="AV19" s="121"/>
      <c r="AW19" s="15"/>
      <c r="AX19" s="15"/>
      <c r="AY19" s="99" t="s">
        <v>1771</v>
      </c>
      <c r="AZ19" s="99"/>
      <c r="BA19" s="99" t="s">
        <v>1772</v>
      </c>
      <c r="BB19" s="15"/>
      <c r="BC19" s="15"/>
      <c r="BD19" s="15"/>
      <c r="BE19" s="15"/>
      <c r="BF19" s="15"/>
      <c r="BG19" s="15"/>
      <c r="BH19" s="15"/>
      <c r="BI19" s="15"/>
      <c r="BJ19" s="15"/>
      <c r="BK19" s="15"/>
      <c r="BL19" s="15"/>
    </row>
    <row r="20" spans="1:64" s="117" customFormat="1" x14ac:dyDescent="0.2">
      <c r="A20" s="110">
        <v>15</v>
      </c>
      <c r="B20" s="111" t="s">
        <v>1773</v>
      </c>
      <c r="C20" s="112" t="s">
        <v>1774</v>
      </c>
      <c r="D20" s="112" t="s">
        <v>1775</v>
      </c>
      <c r="E20" s="109" t="s">
        <v>1776</v>
      </c>
      <c r="F20" s="109" t="s">
        <v>1777</v>
      </c>
      <c r="G20" s="89"/>
      <c r="H20" s="113" t="s">
        <v>1778</v>
      </c>
      <c r="I20" s="122" t="s">
        <v>1779</v>
      </c>
      <c r="J20" s="90"/>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90"/>
      <c r="AL20" s="116">
        <v>15</v>
      </c>
      <c r="AM20" s="91" t="s">
        <v>1780</v>
      </c>
      <c r="AN20" s="91" t="s">
        <v>1781</v>
      </c>
      <c r="AO20" s="91" t="s">
        <v>1782</v>
      </c>
      <c r="AP20" s="92"/>
      <c r="AQ20" s="93" t="s">
        <v>1783</v>
      </c>
      <c r="AR20" s="94" t="s">
        <v>1784</v>
      </c>
      <c r="AS20" s="95" t="s">
        <v>1785</v>
      </c>
      <c r="AT20" s="96" t="s">
        <v>1786</v>
      </c>
      <c r="AU20" s="96"/>
      <c r="AV20" s="96"/>
      <c r="AW20" s="89"/>
      <c r="AX20" s="89"/>
      <c r="AY20" s="99"/>
      <c r="AZ20" s="99"/>
      <c r="BA20" s="99" t="s">
        <v>1787</v>
      </c>
      <c r="BB20" s="89"/>
      <c r="BC20" s="89"/>
      <c r="BD20" s="89"/>
      <c r="BE20" s="89"/>
      <c r="BF20" s="89"/>
      <c r="BG20" s="89"/>
      <c r="BH20" s="89"/>
      <c r="BI20" s="89"/>
      <c r="BJ20" s="89"/>
      <c r="BK20" s="89"/>
      <c r="BL20" s="89"/>
    </row>
    <row r="21" spans="1:64" x14ac:dyDescent="0.2">
      <c r="A21" s="28">
        <v>16</v>
      </c>
      <c r="B21" s="82" t="s">
        <v>1788</v>
      </c>
      <c r="C21" s="82" t="s">
        <v>1789</v>
      </c>
      <c r="D21" s="104"/>
      <c r="E21" s="109" t="s">
        <v>1790</v>
      </c>
      <c r="F21" s="83" t="s">
        <v>1791</v>
      </c>
      <c r="G21" s="89"/>
      <c r="H21" s="86" t="s">
        <v>1792</v>
      </c>
      <c r="I21" s="86" t="s">
        <v>1793</v>
      </c>
      <c r="J21" s="20"/>
      <c r="K21" s="89"/>
      <c r="L21" s="89"/>
      <c r="M21" s="89"/>
      <c r="N21" s="15"/>
      <c r="O21" s="15"/>
      <c r="P21" s="15"/>
      <c r="Q21" s="89"/>
      <c r="R21" s="89"/>
      <c r="S21" s="89"/>
      <c r="T21" s="15"/>
      <c r="U21" s="15"/>
      <c r="V21" s="15"/>
      <c r="W21" s="89"/>
      <c r="X21" s="89"/>
      <c r="Y21" s="89"/>
      <c r="Z21" s="15"/>
      <c r="AA21" s="15"/>
      <c r="AB21" s="15"/>
      <c r="AC21" s="89"/>
      <c r="AD21" s="89"/>
      <c r="AE21" s="89"/>
      <c r="AF21" s="15"/>
      <c r="AG21" s="15"/>
      <c r="AH21" s="15"/>
      <c r="AI21" s="89"/>
      <c r="AJ21" s="89"/>
      <c r="AK21" s="90"/>
      <c r="AL21" s="35">
        <v>16</v>
      </c>
      <c r="AM21" s="91" t="s">
        <v>1794</v>
      </c>
      <c r="AN21" s="91" t="s">
        <v>1795</v>
      </c>
      <c r="AO21" s="91" t="s">
        <v>1796</v>
      </c>
      <c r="AP21" s="92"/>
      <c r="AQ21" s="93" t="s">
        <v>1797</v>
      </c>
      <c r="AR21" s="94" t="s">
        <v>1798</v>
      </c>
      <c r="AS21" s="95" t="s">
        <v>1799</v>
      </c>
      <c r="AT21" s="96" t="s">
        <v>1800</v>
      </c>
      <c r="AU21" s="96"/>
      <c r="AV21" s="96"/>
      <c r="AW21" s="15"/>
      <c r="AX21" s="15"/>
      <c r="AY21" s="99"/>
      <c r="AZ21" s="99"/>
      <c r="BA21" s="99" t="s">
        <v>1801</v>
      </c>
      <c r="BB21" s="15"/>
      <c r="BC21" s="15"/>
      <c r="BD21" s="15"/>
      <c r="BE21" s="15"/>
      <c r="BF21" s="15"/>
      <c r="BG21" s="15"/>
      <c r="BH21" s="15"/>
      <c r="BI21" s="15"/>
      <c r="BJ21" s="15"/>
      <c r="BK21" s="15"/>
      <c r="BL21" s="15"/>
    </row>
    <row r="22" spans="1:64" x14ac:dyDescent="0.2">
      <c r="A22" s="28">
        <v>17</v>
      </c>
      <c r="B22" s="82" t="s">
        <v>1802</v>
      </c>
      <c r="C22" s="82" t="s">
        <v>1803</v>
      </c>
      <c r="D22" s="82"/>
      <c r="E22" s="83" t="s">
        <v>1804</v>
      </c>
      <c r="F22" s="83" t="s">
        <v>1805</v>
      </c>
      <c r="G22" s="89"/>
      <c r="H22" s="86" t="s">
        <v>1806</v>
      </c>
      <c r="I22" s="86" t="s">
        <v>1807</v>
      </c>
      <c r="J22" s="20"/>
      <c r="K22" s="89"/>
      <c r="L22" s="89"/>
      <c r="M22" s="89"/>
      <c r="N22" s="15"/>
      <c r="O22" s="15"/>
      <c r="P22" s="15"/>
      <c r="Q22" s="89"/>
      <c r="R22" s="89"/>
      <c r="S22" s="89"/>
      <c r="T22" s="15"/>
      <c r="U22" s="15"/>
      <c r="V22" s="15"/>
      <c r="W22" s="89"/>
      <c r="X22" s="89"/>
      <c r="Y22" s="89"/>
      <c r="Z22" s="15"/>
      <c r="AA22" s="15"/>
      <c r="AB22" s="15"/>
      <c r="AC22" s="89"/>
      <c r="AD22" s="89"/>
      <c r="AE22" s="89"/>
      <c r="AF22" s="15"/>
      <c r="AG22" s="15"/>
      <c r="AH22" s="15"/>
      <c r="AI22" s="15"/>
      <c r="AJ22" s="15"/>
      <c r="AK22" s="20"/>
      <c r="AL22" s="35">
        <v>17</v>
      </c>
      <c r="AM22" s="91" t="s">
        <v>1808</v>
      </c>
      <c r="AN22" s="91" t="s">
        <v>1809</v>
      </c>
      <c r="AO22" s="91" t="s">
        <v>1810</v>
      </c>
      <c r="AP22" s="92"/>
      <c r="AQ22" s="93" t="s">
        <v>1811</v>
      </c>
      <c r="AR22" s="94" t="s">
        <v>1812</v>
      </c>
      <c r="AS22" s="95" t="s">
        <v>1813</v>
      </c>
      <c r="AT22" s="96" t="s">
        <v>1814</v>
      </c>
      <c r="AU22" s="96"/>
      <c r="AV22" s="96"/>
      <c r="AW22" s="15"/>
      <c r="AX22" s="15"/>
      <c r="AY22" s="99"/>
      <c r="AZ22" s="99"/>
      <c r="BA22" s="99" t="s">
        <v>1815</v>
      </c>
      <c r="BB22" s="15"/>
      <c r="BC22" s="15"/>
      <c r="BD22" s="15"/>
      <c r="BE22" s="15"/>
      <c r="BF22" s="15"/>
      <c r="BG22" s="15"/>
      <c r="BH22" s="15"/>
      <c r="BI22" s="15"/>
      <c r="BJ22" s="15"/>
      <c r="BK22" s="15"/>
      <c r="BL22" s="15"/>
    </row>
    <row r="23" spans="1:64" ht="12" thickBot="1" x14ac:dyDescent="0.25">
      <c r="A23" s="28">
        <v>18</v>
      </c>
      <c r="B23" s="82" t="s">
        <v>1816</v>
      </c>
      <c r="C23" s="82" t="s">
        <v>1817</v>
      </c>
      <c r="D23" s="82"/>
      <c r="E23" s="109" t="s">
        <v>1818</v>
      </c>
      <c r="F23" s="83" t="s">
        <v>1819</v>
      </c>
      <c r="G23" s="89"/>
      <c r="H23" s="15"/>
      <c r="I23" s="86" t="s">
        <v>1820</v>
      </c>
      <c r="J23" s="15"/>
      <c r="AL23" s="35">
        <v>18</v>
      </c>
      <c r="AM23" s="91" t="s">
        <v>1821</v>
      </c>
      <c r="AN23" s="91" t="s">
        <v>1822</v>
      </c>
      <c r="AO23" s="91" t="s">
        <v>1823</v>
      </c>
      <c r="AP23" s="123"/>
      <c r="AQ23" s="124"/>
      <c r="AR23" s="125" t="s">
        <v>1824</v>
      </c>
      <c r="AS23" s="95" t="s">
        <v>1825</v>
      </c>
      <c r="AT23" s="96" t="s">
        <v>1826</v>
      </c>
      <c r="AU23" s="96"/>
      <c r="AV23" s="96"/>
      <c r="AW23" s="15"/>
      <c r="AX23" s="15"/>
      <c r="AY23" s="99"/>
      <c r="AZ23" s="99"/>
      <c r="BA23" s="99" t="s">
        <v>1827</v>
      </c>
      <c r="BB23" s="15"/>
      <c r="BC23" s="15"/>
      <c r="BD23" s="15"/>
      <c r="BE23" s="15"/>
      <c r="BF23" s="15"/>
      <c r="BG23" s="15"/>
      <c r="BH23" s="15"/>
      <c r="BI23" s="15"/>
      <c r="BJ23" s="15"/>
      <c r="BK23" s="15"/>
      <c r="BL23" s="15"/>
    </row>
    <row r="24" spans="1:64" x14ac:dyDescent="0.2">
      <c r="A24" s="28">
        <v>19</v>
      </c>
      <c r="B24" s="82" t="s">
        <v>1828</v>
      </c>
      <c r="C24" s="104" t="s">
        <v>1829</v>
      </c>
      <c r="D24" s="104"/>
      <c r="E24" s="83" t="s">
        <v>1830</v>
      </c>
      <c r="F24" s="84" t="s">
        <v>1831</v>
      </c>
      <c r="G24" s="89"/>
      <c r="H24" s="15"/>
      <c r="I24" s="15"/>
      <c r="J24" s="15"/>
      <c r="AL24" s="35">
        <v>19</v>
      </c>
      <c r="AM24" s="91" t="s">
        <v>1832</v>
      </c>
      <c r="AN24" s="91" t="s">
        <v>1833</v>
      </c>
      <c r="AO24" s="91" t="s">
        <v>1834</v>
      </c>
      <c r="AP24" s="126"/>
      <c r="AQ24" s="127"/>
      <c r="AR24" s="127"/>
      <c r="AS24" s="96" t="s">
        <v>1835</v>
      </c>
      <c r="AT24" s="96" t="s">
        <v>1836</v>
      </c>
      <c r="AU24" s="96"/>
      <c r="AV24" s="96"/>
      <c r="AW24" s="15"/>
      <c r="AX24" s="15"/>
      <c r="AY24" s="99"/>
      <c r="AZ24" s="99"/>
      <c r="BA24" s="99" t="s">
        <v>1837</v>
      </c>
      <c r="BB24" s="15"/>
      <c r="BC24" s="15"/>
      <c r="BD24" s="15"/>
      <c r="BE24" s="15"/>
      <c r="BF24" s="15"/>
      <c r="BG24" s="15"/>
      <c r="BH24" s="15"/>
      <c r="BI24" s="15"/>
      <c r="BJ24" s="15"/>
      <c r="BK24" s="15"/>
      <c r="BL24" s="15"/>
    </row>
    <row r="25" spans="1:64" x14ac:dyDescent="0.2">
      <c r="A25" s="28">
        <v>20</v>
      </c>
      <c r="B25" s="82" t="s">
        <v>1838</v>
      </c>
      <c r="C25" s="82" t="s">
        <v>1839</v>
      </c>
      <c r="D25" s="82"/>
      <c r="E25" s="109" t="s">
        <v>1840</v>
      </c>
      <c r="F25" s="83" t="s">
        <v>1841</v>
      </c>
      <c r="G25" s="89"/>
      <c r="H25" s="15"/>
      <c r="I25" s="15"/>
      <c r="J25" s="15"/>
      <c r="AL25" s="35">
        <v>20</v>
      </c>
      <c r="AM25" s="91" t="s">
        <v>1842</v>
      </c>
      <c r="AN25" s="91" t="s">
        <v>1843</v>
      </c>
      <c r="AO25" s="91" t="s">
        <v>1844</v>
      </c>
      <c r="AP25" s="19"/>
      <c r="AQ25" s="15"/>
      <c r="AR25" s="15"/>
      <c r="AS25" s="96" t="s">
        <v>1845</v>
      </c>
      <c r="AT25" s="96" t="s">
        <v>1846</v>
      </c>
      <c r="AU25" s="96"/>
      <c r="AV25" s="96"/>
      <c r="AW25" s="15"/>
      <c r="AX25" s="15"/>
      <c r="AY25" s="99"/>
      <c r="AZ25" s="99"/>
      <c r="BA25" s="99" t="s">
        <v>1847</v>
      </c>
      <c r="BB25" s="15"/>
      <c r="BC25" s="15"/>
      <c r="BD25" s="15"/>
      <c r="BE25" s="15"/>
      <c r="BF25" s="15"/>
      <c r="BG25" s="15"/>
      <c r="BH25" s="15"/>
      <c r="BI25" s="15"/>
      <c r="BJ25" s="15"/>
      <c r="BK25" s="15"/>
      <c r="BL25" s="15"/>
    </row>
    <row r="26" spans="1:64" x14ac:dyDescent="0.2">
      <c r="A26" s="28">
        <v>21</v>
      </c>
      <c r="B26" s="104" t="s">
        <v>1848</v>
      </c>
      <c r="C26" s="104" t="s">
        <v>1849</v>
      </c>
      <c r="D26" s="104"/>
      <c r="E26" s="109" t="s">
        <v>1850</v>
      </c>
      <c r="F26" s="85" t="s">
        <v>1851</v>
      </c>
      <c r="G26" s="89"/>
      <c r="H26" s="15"/>
      <c r="I26" s="15"/>
      <c r="J26" s="15"/>
      <c r="AL26" s="128">
        <v>21</v>
      </c>
      <c r="AM26" s="91" t="s">
        <v>1852</v>
      </c>
      <c r="AN26" s="91" t="s">
        <v>1853</v>
      </c>
      <c r="AO26" s="91" t="s">
        <v>1854</v>
      </c>
      <c r="AP26" s="95"/>
      <c r="AQ26" s="96"/>
      <c r="AR26" s="96"/>
      <c r="AS26" s="96" t="s">
        <v>1855</v>
      </c>
      <c r="AT26" s="96" t="s">
        <v>1856</v>
      </c>
      <c r="AU26" s="96"/>
      <c r="AV26" s="96"/>
      <c r="AW26" s="96"/>
      <c r="AX26" s="96"/>
      <c r="AY26" s="96"/>
      <c r="AZ26" s="96"/>
      <c r="BA26" s="96" t="s">
        <v>1857</v>
      </c>
      <c r="BB26" s="15"/>
      <c r="BC26" s="15"/>
      <c r="BD26" s="15"/>
      <c r="BE26" s="15"/>
      <c r="BF26" s="15"/>
      <c r="BG26" s="15"/>
      <c r="BH26" s="15"/>
      <c r="BI26" s="15"/>
      <c r="BJ26" s="15"/>
      <c r="BK26" s="15"/>
      <c r="BL26" s="15"/>
    </row>
    <row r="27" spans="1:64" x14ac:dyDescent="0.2">
      <c r="A27" s="28">
        <v>22</v>
      </c>
      <c r="B27" s="82" t="s">
        <v>1858</v>
      </c>
      <c r="C27" s="104" t="s">
        <v>1859</v>
      </c>
      <c r="D27" s="104"/>
      <c r="E27" s="83" t="s">
        <v>1860</v>
      </c>
      <c r="F27" s="102" t="s">
        <v>1861</v>
      </c>
      <c r="G27" s="89"/>
      <c r="H27" s="15"/>
      <c r="I27" s="15"/>
      <c r="J27" s="15"/>
      <c r="AL27" s="35">
        <v>22</v>
      </c>
      <c r="AM27" s="91" t="s">
        <v>1862</v>
      </c>
      <c r="AN27" s="91" t="s">
        <v>1863</v>
      </c>
      <c r="AO27" s="91" t="s">
        <v>1864</v>
      </c>
      <c r="AP27" s="19"/>
      <c r="AQ27" s="15"/>
      <c r="AR27" s="15"/>
      <c r="AS27" s="96" t="s">
        <v>1865</v>
      </c>
      <c r="AT27" s="96" t="s">
        <v>1866</v>
      </c>
      <c r="AU27" s="96"/>
      <c r="AV27" s="96"/>
      <c r="AW27" s="15"/>
      <c r="AX27" s="15"/>
      <c r="AY27" s="99"/>
      <c r="AZ27" s="99"/>
      <c r="BA27" s="99"/>
      <c r="BB27" s="15"/>
      <c r="BC27" s="15"/>
      <c r="BD27" s="15"/>
      <c r="BE27" s="15"/>
      <c r="BF27" s="15"/>
      <c r="BG27" s="15"/>
      <c r="BH27" s="15"/>
      <c r="BI27" s="15"/>
      <c r="BJ27" s="15"/>
      <c r="BK27" s="15"/>
      <c r="BL27" s="15"/>
    </row>
    <row r="28" spans="1:64" x14ac:dyDescent="0.2">
      <c r="A28" s="28">
        <v>23</v>
      </c>
      <c r="B28" s="104" t="s">
        <v>1867</v>
      </c>
      <c r="C28" s="82" t="s">
        <v>1868</v>
      </c>
      <c r="D28" s="82"/>
      <c r="E28" s="83" t="s">
        <v>1869</v>
      </c>
      <c r="F28" s="102" t="s">
        <v>1870</v>
      </c>
      <c r="G28" s="89"/>
      <c r="H28" s="15"/>
      <c r="I28" s="15"/>
      <c r="J28" s="15"/>
      <c r="M28" s="101" t="s">
        <v>1125</v>
      </c>
      <c r="N28" s="101" t="s">
        <v>1125</v>
      </c>
      <c r="O28" s="101" t="s">
        <v>1125</v>
      </c>
      <c r="AL28" s="35">
        <v>23</v>
      </c>
      <c r="AM28" s="91" t="s">
        <v>1871</v>
      </c>
      <c r="AN28" s="91" t="s">
        <v>1872</v>
      </c>
      <c r="AO28" s="91" t="s">
        <v>1864</v>
      </c>
      <c r="AP28" s="19"/>
      <c r="AQ28" s="15"/>
      <c r="AR28" s="15"/>
      <c r="AS28" s="96" t="s">
        <v>1873</v>
      </c>
      <c r="AT28" s="96"/>
      <c r="AU28" s="96"/>
      <c r="AV28" s="96"/>
      <c r="AW28" s="15"/>
      <c r="AX28" s="15"/>
      <c r="AY28" s="99"/>
      <c r="AZ28" s="99"/>
      <c r="BA28" s="99"/>
      <c r="BB28" s="15"/>
      <c r="BC28" s="15"/>
      <c r="BD28" s="15"/>
      <c r="BE28" s="15"/>
      <c r="BF28" s="15"/>
      <c r="BG28" s="15"/>
      <c r="BH28" s="15"/>
      <c r="BI28" s="15"/>
      <c r="BJ28" s="15"/>
      <c r="BK28" s="15"/>
      <c r="BL28" s="15"/>
    </row>
    <row r="29" spans="1:64" x14ac:dyDescent="0.2">
      <c r="A29" s="28">
        <v>24</v>
      </c>
      <c r="B29" s="82" t="s">
        <v>1874</v>
      </c>
      <c r="C29" s="15"/>
      <c r="D29" s="15"/>
      <c r="E29" s="109" t="s">
        <v>1875</v>
      </c>
      <c r="F29" s="102" t="s">
        <v>1876</v>
      </c>
      <c r="G29" s="89"/>
      <c r="H29" s="15"/>
      <c r="I29" s="15"/>
      <c r="J29" s="15"/>
      <c r="AL29" s="35">
        <v>24</v>
      </c>
      <c r="AM29" s="91" t="s">
        <v>1877</v>
      </c>
      <c r="AN29" s="91" t="s">
        <v>1878</v>
      </c>
      <c r="AO29" s="91" t="s">
        <v>1879</v>
      </c>
      <c r="AP29" s="19"/>
      <c r="AQ29" s="15"/>
      <c r="AR29" s="15"/>
      <c r="AS29" s="15"/>
      <c r="AT29" s="15"/>
      <c r="AU29" s="15"/>
      <c r="AV29" s="15"/>
      <c r="AW29" s="15"/>
      <c r="AX29" s="15"/>
      <c r="AY29" s="99"/>
      <c r="AZ29" s="99"/>
      <c r="BA29" s="99"/>
      <c r="BB29" s="15"/>
      <c r="BC29" s="15"/>
      <c r="BD29" s="15"/>
      <c r="BE29" s="15"/>
      <c r="BF29" s="15"/>
      <c r="BG29" s="15"/>
      <c r="BH29" s="15"/>
      <c r="BI29" s="15"/>
      <c r="BJ29" s="15"/>
      <c r="BK29" s="15"/>
      <c r="BL29" s="15"/>
    </row>
    <row r="30" spans="1:64" x14ac:dyDescent="0.2">
      <c r="A30" s="28">
        <v>25</v>
      </c>
      <c r="B30" s="104" t="s">
        <v>1880</v>
      </c>
      <c r="C30" s="15"/>
      <c r="D30" s="15"/>
      <c r="E30" s="83" t="s">
        <v>1881</v>
      </c>
      <c r="F30" s="85" t="s">
        <v>1882</v>
      </c>
      <c r="G30" s="89"/>
      <c r="H30" s="15"/>
      <c r="I30" s="15"/>
      <c r="J30" s="15"/>
      <c r="AL30" s="35">
        <v>25</v>
      </c>
      <c r="AM30" s="91" t="s">
        <v>1883</v>
      </c>
      <c r="AN30" s="91" t="s">
        <v>1884</v>
      </c>
      <c r="AO30" s="91" t="s">
        <v>1885</v>
      </c>
      <c r="AP30" s="19"/>
      <c r="AQ30" s="15"/>
      <c r="AR30" s="15"/>
      <c r="AS30" s="15"/>
      <c r="AT30" s="15"/>
      <c r="AU30" s="15"/>
      <c r="AV30" s="15"/>
      <c r="AW30" s="15"/>
      <c r="AX30" s="15"/>
      <c r="AY30" s="15"/>
      <c r="AZ30" s="15"/>
      <c r="BA30" s="15"/>
      <c r="BB30" s="15"/>
      <c r="BC30" s="15"/>
      <c r="BD30" s="15"/>
      <c r="BE30" s="15"/>
      <c r="BF30" s="15"/>
      <c r="BG30" s="15"/>
      <c r="BH30" s="15"/>
      <c r="BI30" s="15"/>
      <c r="BJ30" s="15"/>
      <c r="BK30" s="15"/>
      <c r="BL30" s="15"/>
    </row>
    <row r="31" spans="1:64" x14ac:dyDescent="0.2">
      <c r="A31" s="28">
        <v>26</v>
      </c>
      <c r="B31" s="104" t="s">
        <v>1886</v>
      </c>
      <c r="C31" s="15"/>
      <c r="D31" s="15"/>
      <c r="E31" s="109" t="s">
        <v>1887</v>
      </c>
      <c r="F31" s="106" t="s">
        <v>1888</v>
      </c>
      <c r="G31" s="89"/>
      <c r="H31" s="15"/>
      <c r="I31" s="15"/>
      <c r="J31" s="15"/>
      <c r="AL31" s="35">
        <v>26</v>
      </c>
      <c r="AM31" s="91" t="s">
        <v>1889</v>
      </c>
      <c r="AN31" s="91" t="s">
        <v>1890</v>
      </c>
      <c r="AO31" s="91" t="s">
        <v>1891</v>
      </c>
      <c r="AP31" s="19"/>
      <c r="AQ31" s="15"/>
      <c r="AR31" s="15"/>
      <c r="AS31" s="15"/>
      <c r="AT31" s="15"/>
      <c r="AU31" s="15"/>
      <c r="AV31" s="15"/>
      <c r="AW31" s="15"/>
      <c r="AX31" s="15"/>
      <c r="AY31" s="15"/>
      <c r="AZ31" s="15"/>
      <c r="BA31" s="15"/>
      <c r="BB31" s="15"/>
      <c r="BC31" s="15"/>
      <c r="BD31" s="15"/>
      <c r="BE31" s="15"/>
      <c r="BF31" s="15"/>
      <c r="BG31" s="15"/>
      <c r="BH31" s="15"/>
      <c r="BI31" s="15"/>
      <c r="BJ31" s="15"/>
      <c r="BK31" s="15"/>
      <c r="BL31" s="15"/>
    </row>
    <row r="32" spans="1:64" x14ac:dyDescent="0.2">
      <c r="A32" s="28">
        <v>27</v>
      </c>
      <c r="B32" s="104" t="s">
        <v>1892</v>
      </c>
      <c r="C32" s="15"/>
      <c r="D32" s="15"/>
      <c r="E32" s="109" t="s">
        <v>1893</v>
      </c>
      <c r="F32" s="85" t="s">
        <v>1894</v>
      </c>
      <c r="G32" s="89"/>
      <c r="H32" s="15"/>
      <c r="I32" s="15"/>
      <c r="J32" s="15"/>
      <c r="AL32" s="35">
        <v>27</v>
      </c>
      <c r="AM32" s="91" t="s">
        <v>1895</v>
      </c>
      <c r="AN32" s="91" t="s">
        <v>1896</v>
      </c>
      <c r="AO32" s="91" t="s">
        <v>1897</v>
      </c>
      <c r="AP32" s="19"/>
      <c r="AQ32" s="15"/>
      <c r="AR32" s="15"/>
      <c r="AS32" s="15"/>
      <c r="AT32" s="15"/>
      <c r="AU32" s="15"/>
      <c r="AV32" s="15"/>
      <c r="AW32" s="15"/>
      <c r="AX32" s="15"/>
      <c r="AY32" s="15"/>
      <c r="AZ32" s="15"/>
      <c r="BA32" s="15"/>
      <c r="BB32" s="15"/>
      <c r="BC32" s="15"/>
      <c r="BD32" s="15"/>
      <c r="BE32" s="15"/>
      <c r="BF32" s="15"/>
      <c r="BG32" s="15"/>
      <c r="BH32" s="15"/>
      <c r="BI32" s="15"/>
      <c r="BJ32" s="15"/>
      <c r="BK32" s="15"/>
      <c r="BL32" s="15"/>
    </row>
    <row r="33" spans="1:64" x14ac:dyDescent="0.2">
      <c r="A33" s="28">
        <v>28</v>
      </c>
      <c r="B33" s="82" t="s">
        <v>1898</v>
      </c>
      <c r="C33" s="15"/>
      <c r="D33" s="15"/>
      <c r="E33" s="83" t="s">
        <v>1899</v>
      </c>
      <c r="F33" s="85" t="s">
        <v>1900</v>
      </c>
      <c r="G33" s="89"/>
      <c r="H33" s="15"/>
      <c r="I33" s="15"/>
      <c r="J33" s="15"/>
      <c r="AL33" s="35">
        <v>28</v>
      </c>
      <c r="AM33" s="91" t="s">
        <v>1901</v>
      </c>
      <c r="AN33" s="91" t="s">
        <v>1902</v>
      </c>
      <c r="AO33" s="91" t="s">
        <v>1903</v>
      </c>
      <c r="AP33" s="19"/>
      <c r="AQ33" s="15"/>
      <c r="AR33" s="15"/>
      <c r="AS33" s="15"/>
      <c r="AT33" s="15"/>
      <c r="AU33" s="15"/>
      <c r="AV33" s="15"/>
      <c r="AW33" s="15"/>
      <c r="AX33" s="15"/>
      <c r="AY33" s="15"/>
      <c r="AZ33" s="15"/>
      <c r="BA33" s="15"/>
      <c r="BB33" s="15"/>
      <c r="BC33" s="15"/>
      <c r="BD33" s="15"/>
      <c r="BE33" s="15"/>
      <c r="BF33" s="15"/>
      <c r="BG33" s="15"/>
      <c r="BH33" s="15"/>
      <c r="BI33" s="15"/>
      <c r="BJ33" s="15"/>
      <c r="BK33" s="15"/>
      <c r="BL33" s="15"/>
    </row>
    <row r="34" spans="1:64" x14ac:dyDescent="0.2">
      <c r="A34" s="28">
        <v>29</v>
      </c>
      <c r="B34" s="82" t="s">
        <v>1904</v>
      </c>
      <c r="C34" s="15"/>
      <c r="D34" s="15"/>
      <c r="E34" s="83" t="s">
        <v>1905</v>
      </c>
      <c r="F34" s="102" t="s">
        <v>1906</v>
      </c>
      <c r="G34" s="89"/>
      <c r="H34" s="15"/>
      <c r="I34" s="15"/>
      <c r="J34" s="15"/>
      <c r="AL34" s="35">
        <v>29</v>
      </c>
      <c r="AM34" s="91" t="s">
        <v>1907</v>
      </c>
      <c r="AN34" s="91" t="s">
        <v>1908</v>
      </c>
      <c r="AO34" s="91" t="s">
        <v>1909</v>
      </c>
      <c r="AP34" s="19"/>
      <c r="AQ34" s="15"/>
      <c r="AR34" s="15"/>
      <c r="AS34" s="15"/>
      <c r="AT34" s="15"/>
      <c r="AU34" s="15"/>
      <c r="AV34" s="15"/>
      <c r="AW34" s="15"/>
      <c r="AX34" s="15"/>
      <c r="AY34" s="15"/>
      <c r="AZ34" s="15"/>
      <c r="BA34" s="15"/>
      <c r="BB34" s="15"/>
      <c r="BC34" s="15"/>
      <c r="BD34" s="15"/>
      <c r="BE34" s="15"/>
      <c r="BF34" s="15"/>
      <c r="BG34" s="15"/>
      <c r="BH34" s="15"/>
      <c r="BI34" s="15"/>
      <c r="BJ34" s="15"/>
      <c r="BK34" s="15"/>
      <c r="BL34" s="15"/>
    </row>
    <row r="35" spans="1:64" x14ac:dyDescent="0.2">
      <c r="A35" s="28">
        <v>30</v>
      </c>
      <c r="B35" s="82" t="s">
        <v>1910</v>
      </c>
      <c r="C35" s="15"/>
      <c r="D35" s="15"/>
      <c r="E35" s="89"/>
      <c r="F35" s="85" t="s">
        <v>1911</v>
      </c>
      <c r="G35" s="89"/>
      <c r="H35" s="15"/>
      <c r="I35" s="15"/>
      <c r="J35" s="15"/>
      <c r="AL35" s="35">
        <v>30</v>
      </c>
      <c r="AM35" s="91" t="s">
        <v>1907</v>
      </c>
      <c r="AN35" s="91" t="s">
        <v>1912</v>
      </c>
      <c r="AO35" s="91" t="s">
        <v>1913</v>
      </c>
      <c r="AP35" s="19"/>
      <c r="AQ35" s="15"/>
      <c r="AR35" s="15"/>
      <c r="AS35" s="15"/>
      <c r="AT35" s="15"/>
      <c r="AU35" s="15"/>
      <c r="AV35" s="15"/>
      <c r="AW35" s="15"/>
      <c r="AX35" s="15"/>
      <c r="AY35" s="15"/>
      <c r="AZ35" s="15"/>
      <c r="BA35" s="15"/>
      <c r="BB35" s="15"/>
      <c r="BC35" s="15"/>
      <c r="BD35" s="15"/>
      <c r="BE35" s="15"/>
      <c r="BF35" s="15"/>
      <c r="BG35" s="15"/>
      <c r="BH35" s="15"/>
      <c r="BI35" s="15"/>
      <c r="BJ35" s="15"/>
      <c r="BK35" s="15"/>
      <c r="BL35" s="15"/>
    </row>
    <row r="36" spans="1:64" x14ac:dyDescent="0.2">
      <c r="A36" s="28">
        <v>31</v>
      </c>
      <c r="B36" s="15"/>
      <c r="C36" s="15"/>
      <c r="D36" s="15"/>
      <c r="E36" s="89"/>
      <c r="F36" s="89"/>
      <c r="G36" s="89"/>
      <c r="H36" s="15"/>
      <c r="I36" s="15"/>
      <c r="J36" s="15"/>
      <c r="AL36" s="20"/>
      <c r="AM36" s="91" t="s">
        <v>1914</v>
      </c>
      <c r="AN36" s="91" t="s">
        <v>1915</v>
      </c>
      <c r="AO36" s="91" t="s">
        <v>1916</v>
      </c>
      <c r="AP36" s="19"/>
      <c r="AQ36" s="15"/>
      <c r="AR36" s="15"/>
      <c r="AS36" s="15"/>
      <c r="AT36" s="15"/>
      <c r="AU36" s="15"/>
      <c r="AV36" s="15"/>
      <c r="AW36" s="15"/>
      <c r="AX36" s="15"/>
      <c r="AY36" s="15"/>
      <c r="AZ36" s="15"/>
      <c r="BA36" s="15"/>
      <c r="BB36" s="15"/>
      <c r="BC36" s="15"/>
      <c r="BD36" s="15"/>
      <c r="BE36" s="15"/>
      <c r="BF36" s="15"/>
      <c r="BG36" s="15"/>
      <c r="BH36" s="15"/>
      <c r="BI36" s="15"/>
      <c r="BJ36" s="15"/>
      <c r="BK36" s="15"/>
      <c r="BL36" s="15"/>
    </row>
    <row r="37" spans="1:64" x14ac:dyDescent="0.2">
      <c r="A37" s="28">
        <v>32</v>
      </c>
      <c r="B37" s="15"/>
      <c r="C37" s="15"/>
      <c r="D37" s="15"/>
      <c r="E37" s="89"/>
      <c r="F37" s="89"/>
      <c r="G37" s="89"/>
      <c r="H37" s="15"/>
      <c r="I37" s="15"/>
      <c r="J37" s="15"/>
      <c r="AL37" s="20"/>
      <c r="AM37" s="91" t="s">
        <v>1917</v>
      </c>
      <c r="AN37" s="91" t="s">
        <v>1918</v>
      </c>
      <c r="AO37" s="91" t="s">
        <v>1919</v>
      </c>
      <c r="AP37" s="19"/>
      <c r="AQ37" s="15"/>
      <c r="AR37" s="15"/>
      <c r="AS37" s="15"/>
      <c r="AT37" s="15"/>
      <c r="AU37" s="15"/>
      <c r="AV37" s="15"/>
      <c r="AW37" s="15"/>
      <c r="AX37" s="15"/>
      <c r="AY37" s="15"/>
      <c r="AZ37" s="15"/>
      <c r="BA37" s="15"/>
      <c r="BB37" s="15"/>
      <c r="BC37" s="15"/>
      <c r="BD37" s="15"/>
      <c r="BE37" s="15"/>
      <c r="BF37" s="15"/>
      <c r="BG37" s="15"/>
      <c r="BH37" s="15"/>
      <c r="BI37" s="15"/>
      <c r="BJ37" s="15"/>
      <c r="BK37" s="15"/>
      <c r="BL37" s="15"/>
    </row>
    <row r="38" spans="1:64" x14ac:dyDescent="0.2">
      <c r="A38" s="28">
        <v>33</v>
      </c>
      <c r="B38" s="15"/>
      <c r="C38" s="15"/>
      <c r="D38" s="15"/>
      <c r="E38" s="89"/>
      <c r="F38" s="89"/>
      <c r="G38" s="89"/>
      <c r="H38" s="15"/>
      <c r="I38" s="15"/>
      <c r="J38" s="15"/>
      <c r="AL38" s="20"/>
      <c r="AM38" s="91" t="s">
        <v>1920</v>
      </c>
      <c r="AN38" s="91" t="s">
        <v>1921</v>
      </c>
      <c r="AO38" s="91" t="s">
        <v>1922</v>
      </c>
      <c r="AP38" s="19"/>
      <c r="AQ38" s="15"/>
      <c r="AR38" s="15"/>
      <c r="AS38" s="15"/>
      <c r="AT38" s="15"/>
      <c r="AU38" s="15"/>
      <c r="AV38" s="15"/>
      <c r="AW38" s="15"/>
      <c r="AX38" s="15"/>
      <c r="AY38" s="15"/>
      <c r="AZ38" s="15"/>
      <c r="BA38" s="15"/>
      <c r="BB38" s="15"/>
      <c r="BC38" s="15"/>
      <c r="BD38" s="15"/>
      <c r="BE38" s="15"/>
      <c r="BF38" s="15"/>
      <c r="BG38" s="15"/>
      <c r="BH38" s="15"/>
      <c r="BI38" s="15"/>
      <c r="BJ38" s="15"/>
      <c r="BK38" s="15"/>
      <c r="BL38" s="15"/>
    </row>
    <row r="39" spans="1:64" x14ac:dyDescent="0.2">
      <c r="A39" s="28">
        <v>34</v>
      </c>
      <c r="B39" s="15"/>
      <c r="C39" s="15"/>
      <c r="D39" s="15"/>
      <c r="E39" s="89"/>
      <c r="F39" s="89"/>
      <c r="G39" s="89"/>
      <c r="H39" s="15"/>
      <c r="I39" s="15"/>
      <c r="J39" s="15"/>
      <c r="AL39" s="20"/>
      <c r="AM39" s="91" t="s">
        <v>1923</v>
      </c>
      <c r="AN39" s="91" t="s">
        <v>1924</v>
      </c>
      <c r="AO39" s="91" t="s">
        <v>1925</v>
      </c>
      <c r="AP39" s="19"/>
      <c r="AQ39" s="15"/>
      <c r="AR39" s="15"/>
      <c r="AS39" s="15"/>
      <c r="AT39" s="15"/>
      <c r="AU39" s="15"/>
      <c r="AV39" s="15"/>
      <c r="AW39" s="15"/>
      <c r="AX39" s="15"/>
      <c r="AY39" s="15"/>
      <c r="AZ39" s="15"/>
      <c r="BA39" s="15"/>
      <c r="BB39" s="15"/>
      <c r="BC39" s="15"/>
      <c r="BD39" s="15"/>
      <c r="BE39" s="15"/>
      <c r="BF39" s="15"/>
      <c r="BG39" s="15"/>
      <c r="BH39" s="15"/>
      <c r="BI39" s="15"/>
      <c r="BJ39" s="15"/>
      <c r="BK39" s="15"/>
      <c r="BL39" s="15"/>
    </row>
    <row r="40" spans="1:64" x14ac:dyDescent="0.2">
      <c r="A40" s="28">
        <v>35</v>
      </c>
      <c r="B40" s="15"/>
      <c r="C40" s="15"/>
      <c r="D40" s="15"/>
      <c r="E40" s="89"/>
      <c r="F40" s="89"/>
      <c r="G40" s="89"/>
      <c r="H40" s="15"/>
      <c r="I40" s="15"/>
      <c r="J40" s="15"/>
      <c r="AL40" s="20"/>
      <c r="AM40" s="91" t="s">
        <v>1926</v>
      </c>
      <c r="AN40" s="91" t="s">
        <v>1927</v>
      </c>
      <c r="AO40" s="91" t="s">
        <v>1928</v>
      </c>
      <c r="AP40" s="19"/>
      <c r="AQ40" s="15"/>
      <c r="AR40" s="15"/>
      <c r="AS40" s="15"/>
      <c r="AT40" s="15"/>
      <c r="AU40" s="15"/>
      <c r="AV40" s="15"/>
      <c r="AW40" s="15"/>
      <c r="AX40" s="15"/>
      <c r="AY40" s="15"/>
      <c r="AZ40" s="15"/>
      <c r="BA40" s="15"/>
      <c r="BB40" s="15"/>
      <c r="BC40" s="15"/>
      <c r="BD40" s="15"/>
      <c r="BE40" s="15"/>
      <c r="BF40" s="15"/>
      <c r="BG40" s="15"/>
      <c r="BH40" s="15"/>
      <c r="BI40" s="15"/>
      <c r="BJ40" s="15"/>
      <c r="BK40" s="15"/>
      <c r="BL40" s="15"/>
    </row>
    <row r="41" spans="1:64" x14ac:dyDescent="0.2">
      <c r="A41" s="28">
        <v>36</v>
      </c>
      <c r="B41" s="15"/>
      <c r="C41" s="15"/>
      <c r="D41" s="15"/>
      <c r="E41" s="89"/>
      <c r="F41" s="89"/>
      <c r="G41" s="89"/>
      <c r="H41" s="15"/>
      <c r="I41" s="15"/>
      <c r="J41" s="15"/>
      <c r="AL41" s="20"/>
      <c r="AM41" s="91" t="s">
        <v>1929</v>
      </c>
      <c r="AN41" s="91" t="s">
        <v>1930</v>
      </c>
      <c r="AO41" s="91" t="s">
        <v>1931</v>
      </c>
      <c r="AP41" s="19"/>
      <c r="AQ41" s="15"/>
      <c r="AR41" s="15"/>
      <c r="AS41" s="15"/>
      <c r="AT41" s="15"/>
      <c r="AU41" s="15"/>
      <c r="AV41" s="15"/>
      <c r="AW41" s="15"/>
      <c r="AX41" s="15"/>
      <c r="AY41" s="15"/>
      <c r="AZ41" s="15"/>
      <c r="BA41" s="15"/>
      <c r="BB41" s="15"/>
      <c r="BC41" s="15"/>
      <c r="BD41" s="15"/>
      <c r="BE41" s="15"/>
      <c r="BF41" s="15"/>
      <c r="BG41" s="15"/>
      <c r="BH41" s="15"/>
      <c r="BI41" s="15"/>
      <c r="BJ41" s="15"/>
      <c r="BK41" s="15"/>
      <c r="BL41" s="15"/>
    </row>
    <row r="42" spans="1:64" x14ac:dyDescent="0.2">
      <c r="A42" s="28">
        <v>37</v>
      </c>
      <c r="B42" s="15"/>
      <c r="C42" s="15"/>
      <c r="D42" s="15"/>
      <c r="E42" s="89"/>
      <c r="F42" s="89"/>
      <c r="G42" s="89"/>
      <c r="H42" s="15"/>
      <c r="I42" s="15"/>
      <c r="J42" s="15"/>
      <c r="AL42" s="20"/>
      <c r="AM42" s="91" t="s">
        <v>1932</v>
      </c>
      <c r="AN42" s="91" t="s">
        <v>1933</v>
      </c>
      <c r="AO42" s="91" t="s">
        <v>1934</v>
      </c>
      <c r="AP42" s="19"/>
      <c r="AQ42" s="15"/>
      <c r="AR42" s="15"/>
      <c r="AS42" s="15"/>
      <c r="AT42" s="15"/>
      <c r="AU42" s="15"/>
      <c r="AV42" s="15"/>
      <c r="AW42" s="15"/>
      <c r="AX42" s="15"/>
      <c r="AY42" s="15"/>
      <c r="AZ42" s="15"/>
      <c r="BA42" s="15"/>
      <c r="BB42" s="15"/>
      <c r="BC42" s="15"/>
      <c r="BD42" s="15"/>
      <c r="BE42" s="15"/>
      <c r="BF42" s="15"/>
      <c r="BG42" s="15"/>
      <c r="BH42" s="15"/>
      <c r="BI42" s="15"/>
      <c r="BJ42" s="15"/>
      <c r="BK42" s="15"/>
      <c r="BL42" s="15"/>
    </row>
    <row r="43" spans="1:64" x14ac:dyDescent="0.2">
      <c r="A43" s="28">
        <v>38</v>
      </c>
      <c r="B43" s="15"/>
      <c r="C43" s="15"/>
      <c r="D43" s="15"/>
      <c r="E43" s="89"/>
      <c r="F43" s="89"/>
      <c r="G43" s="89"/>
      <c r="H43" s="15"/>
      <c r="I43" s="15"/>
      <c r="J43" s="15"/>
      <c r="AL43" s="20"/>
      <c r="AM43" s="91" t="s">
        <v>1935</v>
      </c>
      <c r="AN43" s="91" t="s">
        <v>1936</v>
      </c>
      <c r="AO43" s="91" t="s">
        <v>1937</v>
      </c>
      <c r="AP43" s="19"/>
      <c r="AQ43" s="15"/>
      <c r="AR43" s="15"/>
      <c r="AS43" s="15"/>
      <c r="AT43" s="15"/>
      <c r="AU43" s="15"/>
      <c r="AV43" s="15"/>
      <c r="AW43" s="15"/>
      <c r="AX43" s="15"/>
      <c r="AY43" s="15"/>
      <c r="AZ43" s="15"/>
      <c r="BA43" s="15"/>
      <c r="BB43" s="15"/>
      <c r="BC43" s="15"/>
      <c r="BD43" s="15"/>
      <c r="BE43" s="15"/>
      <c r="BF43" s="15"/>
      <c r="BG43" s="15"/>
      <c r="BH43" s="15"/>
      <c r="BI43" s="15"/>
      <c r="BJ43" s="15"/>
      <c r="BK43" s="15"/>
      <c r="BL43" s="15"/>
    </row>
    <row r="44" spans="1:64" x14ac:dyDescent="0.2">
      <c r="A44" s="28">
        <v>39</v>
      </c>
      <c r="B44" s="15"/>
      <c r="C44" s="15"/>
      <c r="D44" s="15"/>
      <c r="E44" s="89"/>
      <c r="F44" s="89"/>
      <c r="G44" s="89"/>
      <c r="H44" s="15"/>
      <c r="I44" s="15"/>
      <c r="J44" s="15"/>
      <c r="AL44" s="20"/>
      <c r="AM44" s="91" t="s">
        <v>1938</v>
      </c>
      <c r="AN44" s="91" t="s">
        <v>1939</v>
      </c>
      <c r="AO44" s="91" t="s">
        <v>1940</v>
      </c>
      <c r="AP44" s="19"/>
      <c r="AQ44" s="15"/>
      <c r="AR44" s="15"/>
      <c r="AS44" s="15"/>
      <c r="AT44" s="15"/>
      <c r="AU44" s="15"/>
      <c r="AV44" s="15"/>
      <c r="AW44" s="15"/>
      <c r="AX44" s="15"/>
      <c r="AY44" s="15"/>
      <c r="AZ44" s="15"/>
      <c r="BA44" s="15"/>
      <c r="BB44" s="15"/>
      <c r="BC44" s="15"/>
      <c r="BD44" s="15"/>
      <c r="BE44" s="15"/>
      <c r="BF44" s="15"/>
      <c r="BG44" s="15"/>
      <c r="BH44" s="15"/>
      <c r="BI44" s="15"/>
      <c r="BJ44" s="15"/>
      <c r="BK44" s="15"/>
      <c r="BL44" s="15"/>
    </row>
    <row r="45" spans="1:64" x14ac:dyDescent="0.2">
      <c r="A45" s="28">
        <v>40</v>
      </c>
      <c r="B45" s="15"/>
      <c r="C45" s="15"/>
      <c r="D45" s="15"/>
      <c r="E45" s="89"/>
      <c r="F45" s="89"/>
      <c r="G45" s="89"/>
      <c r="H45" s="15"/>
      <c r="I45" s="15"/>
      <c r="J45" s="15"/>
      <c r="AL45" s="20"/>
      <c r="AM45" s="91" t="s">
        <v>1941</v>
      </c>
      <c r="AN45" s="91" t="s">
        <v>1942</v>
      </c>
      <c r="AO45" s="91" t="s">
        <v>1943</v>
      </c>
      <c r="AP45" s="19"/>
      <c r="AQ45" s="15"/>
      <c r="AR45" s="15"/>
      <c r="AS45" s="15"/>
      <c r="AT45" s="15"/>
      <c r="AU45" s="15"/>
      <c r="AV45" s="15"/>
      <c r="AW45" s="15"/>
      <c r="AX45" s="15"/>
      <c r="AY45" s="15"/>
      <c r="AZ45" s="15"/>
      <c r="BA45" s="15"/>
      <c r="BB45" s="15"/>
      <c r="BC45" s="15"/>
      <c r="BD45" s="15"/>
      <c r="BE45" s="15"/>
      <c r="BF45" s="15"/>
      <c r="BG45" s="15"/>
      <c r="BH45" s="15"/>
      <c r="BI45" s="15"/>
      <c r="BJ45" s="15"/>
      <c r="BK45" s="15"/>
      <c r="BL45" s="15"/>
    </row>
    <row r="46" spans="1:64" x14ac:dyDescent="0.2">
      <c r="A46" s="28">
        <v>41</v>
      </c>
      <c r="B46" s="15"/>
      <c r="C46" s="15"/>
      <c r="D46" s="15"/>
      <c r="E46" s="89"/>
      <c r="F46" s="89"/>
      <c r="G46" s="89"/>
      <c r="H46" s="15"/>
      <c r="I46" s="15"/>
      <c r="J46" s="15"/>
      <c r="AL46" s="20"/>
      <c r="AM46" s="91" t="s">
        <v>1944</v>
      </c>
      <c r="AN46" s="91" t="s">
        <v>1945</v>
      </c>
      <c r="AO46" s="91" t="s">
        <v>1943</v>
      </c>
      <c r="AP46" s="19"/>
      <c r="AQ46" s="15"/>
      <c r="AR46" s="15"/>
      <c r="AS46" s="15"/>
      <c r="AT46" s="15"/>
      <c r="AU46" s="15"/>
      <c r="AV46" s="15"/>
      <c r="AW46" s="15"/>
      <c r="AX46" s="15"/>
      <c r="AY46" s="15"/>
      <c r="AZ46" s="15"/>
      <c r="BA46" s="15"/>
      <c r="BB46" s="15"/>
      <c r="BC46" s="15"/>
      <c r="BD46" s="15"/>
      <c r="BE46" s="15"/>
      <c r="BF46" s="15"/>
      <c r="BG46" s="15"/>
      <c r="BH46" s="15"/>
      <c r="BI46" s="15"/>
      <c r="BJ46" s="15"/>
      <c r="BK46" s="15"/>
      <c r="BL46" s="15"/>
    </row>
    <row r="47" spans="1:64" x14ac:dyDescent="0.2">
      <c r="A47" s="28">
        <v>42</v>
      </c>
      <c r="B47" s="15"/>
      <c r="C47" s="15"/>
      <c r="D47" s="15"/>
      <c r="E47" s="89"/>
      <c r="F47" s="89"/>
      <c r="G47" s="89"/>
      <c r="H47" s="15"/>
      <c r="I47" s="15"/>
      <c r="J47" s="15"/>
      <c r="AL47" s="20"/>
      <c r="AM47" s="91" t="s">
        <v>1946</v>
      </c>
      <c r="AN47" s="91" t="s">
        <v>1945</v>
      </c>
      <c r="AO47" s="91" t="s">
        <v>1947</v>
      </c>
      <c r="AP47" s="19"/>
      <c r="AQ47" s="15"/>
      <c r="AR47" s="15"/>
      <c r="AS47" s="15"/>
      <c r="AT47" s="15"/>
      <c r="AU47" s="15"/>
      <c r="AV47" s="15"/>
      <c r="AW47" s="15"/>
      <c r="AX47" s="15"/>
      <c r="AY47" s="15"/>
      <c r="AZ47" s="15"/>
      <c r="BA47" s="15"/>
      <c r="BB47" s="15"/>
      <c r="BC47" s="15"/>
      <c r="BD47" s="15"/>
      <c r="BE47" s="15"/>
      <c r="BF47" s="15"/>
      <c r="BG47" s="15"/>
      <c r="BH47" s="15"/>
      <c r="BI47" s="15"/>
      <c r="BJ47" s="15"/>
      <c r="BK47" s="15"/>
      <c r="BL47" s="15"/>
    </row>
    <row r="48" spans="1:64" x14ac:dyDescent="0.2">
      <c r="A48" s="28">
        <v>43</v>
      </c>
      <c r="B48" s="15"/>
      <c r="C48" s="15"/>
      <c r="D48" s="15"/>
      <c r="E48" s="89"/>
      <c r="F48" s="89"/>
      <c r="G48" s="89"/>
      <c r="H48" s="15"/>
      <c r="I48" s="15"/>
      <c r="J48" s="15"/>
      <c r="AL48" s="20"/>
      <c r="AM48" s="91" t="s">
        <v>1948</v>
      </c>
      <c r="AN48" s="91" t="s">
        <v>1949</v>
      </c>
      <c r="AO48" s="91" t="s">
        <v>1950</v>
      </c>
      <c r="AP48" s="19"/>
      <c r="AQ48" s="15"/>
      <c r="AR48" s="15"/>
      <c r="AS48" s="15"/>
      <c r="AT48" s="15"/>
      <c r="AU48" s="15"/>
      <c r="AV48" s="15"/>
      <c r="AW48" s="15"/>
      <c r="AX48" s="15"/>
      <c r="AY48" s="15"/>
      <c r="AZ48" s="15"/>
      <c r="BA48" s="15"/>
      <c r="BB48" s="15"/>
      <c r="BC48" s="15"/>
      <c r="BD48" s="15"/>
      <c r="BE48" s="15"/>
      <c r="BF48" s="15"/>
      <c r="BG48" s="15"/>
      <c r="BH48" s="15"/>
      <c r="BI48" s="15"/>
      <c r="BJ48" s="15"/>
      <c r="BK48" s="15"/>
      <c r="BL48" s="15"/>
    </row>
    <row r="49" spans="1:64" x14ac:dyDescent="0.2">
      <c r="A49" s="28">
        <v>44</v>
      </c>
      <c r="B49" s="15"/>
      <c r="C49" s="15"/>
      <c r="D49" s="15"/>
      <c r="E49" s="89"/>
      <c r="F49" s="89"/>
      <c r="G49" s="89"/>
      <c r="H49" s="15"/>
      <c r="I49" s="15"/>
      <c r="J49" s="15"/>
      <c r="AL49" s="20"/>
      <c r="AM49" s="91" t="s">
        <v>1951</v>
      </c>
      <c r="AN49" s="91" t="s">
        <v>1952</v>
      </c>
      <c r="AO49" s="91" t="s">
        <v>1953</v>
      </c>
      <c r="AP49" s="19"/>
      <c r="AQ49" s="15"/>
      <c r="AR49" s="15"/>
      <c r="AS49" s="15"/>
      <c r="AT49" s="15"/>
      <c r="AU49" s="15"/>
      <c r="AV49" s="15"/>
      <c r="AW49" s="15"/>
      <c r="AX49" s="15"/>
      <c r="AY49" s="15"/>
      <c r="AZ49" s="15"/>
      <c r="BA49" s="15"/>
      <c r="BB49" s="15"/>
      <c r="BC49" s="15"/>
      <c r="BD49" s="15"/>
      <c r="BE49" s="15"/>
      <c r="BF49" s="15"/>
      <c r="BG49" s="15"/>
      <c r="BH49" s="15"/>
      <c r="BI49" s="15"/>
      <c r="BJ49" s="15"/>
      <c r="BK49" s="15"/>
      <c r="BL49" s="15"/>
    </row>
    <row r="50" spans="1:64" x14ac:dyDescent="0.2">
      <c r="A50" s="28">
        <v>45</v>
      </c>
      <c r="B50" s="15"/>
      <c r="C50" s="15"/>
      <c r="D50" s="15"/>
      <c r="E50" s="89"/>
      <c r="F50" s="89"/>
      <c r="G50" s="89"/>
      <c r="H50" s="15"/>
      <c r="I50" s="15"/>
      <c r="J50" s="15"/>
      <c r="AL50" s="20"/>
      <c r="AM50" s="91" t="s">
        <v>1954</v>
      </c>
      <c r="AN50" s="91" t="s">
        <v>1955</v>
      </c>
      <c r="AO50" s="91" t="s">
        <v>1956</v>
      </c>
      <c r="AP50" s="19"/>
      <c r="AQ50" s="15"/>
      <c r="AR50" s="15"/>
      <c r="AS50" s="15"/>
      <c r="AT50" s="15"/>
      <c r="AU50" s="15"/>
      <c r="AV50" s="15"/>
      <c r="AW50" s="15"/>
      <c r="AX50" s="15"/>
      <c r="AY50" s="15"/>
      <c r="AZ50" s="15"/>
      <c r="BA50" s="15"/>
      <c r="BB50" s="15"/>
      <c r="BC50" s="15"/>
      <c r="BD50" s="15"/>
      <c r="BE50" s="15"/>
      <c r="BF50" s="15"/>
      <c r="BG50" s="15"/>
      <c r="BH50" s="15"/>
      <c r="BI50" s="15"/>
      <c r="BJ50" s="15"/>
      <c r="BK50" s="15"/>
      <c r="BL50" s="15"/>
    </row>
    <row r="51" spans="1:64" x14ac:dyDescent="0.2">
      <c r="A51" s="28">
        <v>46</v>
      </c>
      <c r="B51" s="15"/>
      <c r="C51" s="15"/>
      <c r="D51" s="15"/>
      <c r="E51" s="89"/>
      <c r="F51" s="89"/>
      <c r="G51" s="89"/>
      <c r="H51" s="15"/>
      <c r="I51" s="15"/>
      <c r="J51" s="15"/>
      <c r="AL51" s="20"/>
      <c r="AM51" s="91" t="s">
        <v>1957</v>
      </c>
      <c r="AN51" s="91" t="s">
        <v>1958</v>
      </c>
      <c r="AO51" s="91" t="s">
        <v>1959</v>
      </c>
      <c r="AP51" s="19"/>
      <c r="AQ51" s="15"/>
      <c r="AR51" s="15"/>
      <c r="AS51" s="15"/>
      <c r="AT51" s="15"/>
      <c r="AU51" s="15"/>
      <c r="AV51" s="15"/>
      <c r="AW51" s="15"/>
      <c r="AX51" s="15"/>
      <c r="AY51" s="15"/>
      <c r="AZ51" s="15"/>
      <c r="BA51" s="15"/>
      <c r="BB51" s="15"/>
      <c r="BC51" s="15"/>
      <c r="BD51" s="15"/>
      <c r="BE51" s="15"/>
      <c r="BF51" s="15"/>
      <c r="BG51" s="15"/>
      <c r="BH51" s="15"/>
      <c r="BI51" s="15"/>
      <c r="BJ51" s="15"/>
      <c r="BK51" s="15"/>
      <c r="BL51" s="15"/>
    </row>
    <row r="52" spans="1:64" x14ac:dyDescent="0.2">
      <c r="A52" s="28">
        <v>47</v>
      </c>
      <c r="B52" s="15"/>
      <c r="C52" s="15"/>
      <c r="D52" s="15"/>
      <c r="E52" s="89"/>
      <c r="F52" s="89"/>
      <c r="G52" s="89"/>
      <c r="H52" s="15"/>
      <c r="I52" s="15"/>
      <c r="J52" s="15"/>
      <c r="AL52" s="20"/>
      <c r="AM52" s="91" t="s">
        <v>1960</v>
      </c>
      <c r="AN52" s="91" t="s">
        <v>1961</v>
      </c>
      <c r="AO52" s="91" t="s">
        <v>1962</v>
      </c>
      <c r="AP52" s="19"/>
      <c r="AQ52" s="15"/>
      <c r="AR52" s="15"/>
      <c r="AS52" s="15"/>
      <c r="AT52" s="15"/>
      <c r="AU52" s="15"/>
      <c r="AV52" s="15"/>
      <c r="AW52" s="15"/>
      <c r="AX52" s="15"/>
      <c r="AY52" s="15"/>
      <c r="AZ52" s="15"/>
      <c r="BA52" s="15"/>
      <c r="BB52" s="15"/>
      <c r="BC52" s="15"/>
      <c r="BD52" s="15"/>
      <c r="BE52" s="15"/>
      <c r="BF52" s="15"/>
      <c r="BG52" s="15"/>
      <c r="BH52" s="15"/>
      <c r="BI52" s="15"/>
      <c r="BJ52" s="15"/>
      <c r="BK52" s="15"/>
      <c r="BL52" s="15"/>
    </row>
    <row r="53" spans="1:64" x14ac:dyDescent="0.2">
      <c r="A53" s="28">
        <v>48</v>
      </c>
      <c r="B53" s="15"/>
      <c r="C53" s="15"/>
      <c r="D53" s="15"/>
      <c r="E53" s="89"/>
      <c r="F53" s="89"/>
      <c r="G53" s="89"/>
      <c r="H53" s="15"/>
      <c r="I53" s="15"/>
      <c r="J53" s="15"/>
      <c r="AL53" s="20"/>
      <c r="AM53" s="91" t="s">
        <v>1963</v>
      </c>
      <c r="AN53" s="91" t="s">
        <v>1964</v>
      </c>
      <c r="AO53" s="91" t="s">
        <v>1965</v>
      </c>
      <c r="AP53" s="19"/>
      <c r="AQ53" s="15"/>
      <c r="AR53" s="15"/>
      <c r="AS53" s="15"/>
      <c r="AT53" s="15"/>
      <c r="AU53" s="15"/>
      <c r="AV53" s="15"/>
      <c r="AW53" s="15"/>
      <c r="AX53" s="15"/>
      <c r="AY53" s="15"/>
      <c r="AZ53" s="15"/>
      <c r="BA53" s="15"/>
      <c r="BB53" s="15"/>
      <c r="BC53" s="15"/>
      <c r="BD53" s="15"/>
      <c r="BE53" s="15"/>
      <c r="BF53" s="15"/>
      <c r="BG53" s="15"/>
      <c r="BH53" s="15"/>
      <c r="BI53" s="15"/>
      <c r="BJ53" s="15"/>
      <c r="BK53" s="15"/>
      <c r="BL53" s="15"/>
    </row>
    <row r="54" spans="1:64" x14ac:dyDescent="0.2">
      <c r="A54" s="28">
        <v>49</v>
      </c>
      <c r="B54" s="15"/>
      <c r="C54" s="15"/>
      <c r="D54" s="15"/>
      <c r="E54" s="89"/>
      <c r="F54" s="89"/>
      <c r="G54" s="89"/>
      <c r="H54" s="15"/>
      <c r="I54" s="15"/>
      <c r="J54" s="15"/>
      <c r="AL54" s="20"/>
      <c r="AM54" s="91" t="s">
        <v>1966</v>
      </c>
      <c r="AN54" s="91" t="s">
        <v>1967</v>
      </c>
      <c r="AO54" s="91" t="s">
        <v>1968</v>
      </c>
      <c r="AP54" s="19"/>
      <c r="AQ54" s="15"/>
      <c r="AR54" s="15"/>
      <c r="AS54" s="15"/>
      <c r="AT54" s="15"/>
      <c r="AU54" s="15"/>
      <c r="AV54" s="15"/>
      <c r="AW54" s="15"/>
      <c r="AX54" s="15"/>
      <c r="AY54" s="15"/>
      <c r="AZ54" s="15"/>
      <c r="BA54" s="15"/>
      <c r="BB54" s="15"/>
      <c r="BC54" s="15"/>
      <c r="BD54" s="15"/>
      <c r="BE54" s="15"/>
      <c r="BF54" s="15"/>
      <c r="BG54" s="15"/>
      <c r="BH54" s="15"/>
      <c r="BI54" s="15"/>
      <c r="BJ54" s="15"/>
      <c r="BK54" s="15"/>
      <c r="BL54" s="15"/>
    </row>
    <row r="55" spans="1:64" x14ac:dyDescent="0.2">
      <c r="A55" s="28">
        <v>50</v>
      </c>
      <c r="B55" s="15"/>
      <c r="C55" s="15"/>
      <c r="D55" s="15"/>
      <c r="E55" s="89"/>
      <c r="F55" s="89"/>
      <c r="G55" s="89"/>
      <c r="H55" s="15"/>
      <c r="I55" s="15"/>
      <c r="J55" s="15"/>
      <c r="AL55" s="20"/>
      <c r="AM55" s="91" t="s">
        <v>1969</v>
      </c>
      <c r="AN55" s="91" t="s">
        <v>1970</v>
      </c>
      <c r="AO55" s="91" t="s">
        <v>1971</v>
      </c>
      <c r="AP55" s="19"/>
      <c r="AQ55" s="15"/>
      <c r="AR55" s="15"/>
      <c r="AS55" s="15"/>
      <c r="AT55" s="15"/>
      <c r="AU55" s="15"/>
      <c r="AV55" s="15"/>
      <c r="AW55" s="15"/>
      <c r="AX55" s="15"/>
      <c r="AY55" s="15"/>
      <c r="AZ55" s="15"/>
      <c r="BA55" s="15"/>
      <c r="BB55" s="15"/>
      <c r="BC55" s="15"/>
      <c r="BD55" s="15"/>
      <c r="BE55" s="15"/>
      <c r="BF55" s="15"/>
      <c r="BG55" s="15"/>
      <c r="BH55" s="15"/>
      <c r="BI55" s="15"/>
      <c r="BJ55" s="15"/>
      <c r="BK55" s="15"/>
      <c r="BL55" s="15"/>
    </row>
    <row r="56" spans="1:64" x14ac:dyDescent="0.2">
      <c r="A56" s="129">
        <v>51</v>
      </c>
      <c r="AL56" s="20"/>
      <c r="AM56" s="91" t="s">
        <v>1972</v>
      </c>
      <c r="AN56" s="91" t="s">
        <v>1973</v>
      </c>
      <c r="AO56" s="91" t="s">
        <v>1974</v>
      </c>
      <c r="AP56" s="19"/>
      <c r="AQ56" s="15"/>
      <c r="AR56" s="15"/>
      <c r="AS56" s="15"/>
      <c r="AT56" s="15"/>
      <c r="AU56" s="15"/>
      <c r="AV56" s="15"/>
      <c r="AW56" s="15"/>
      <c r="AX56" s="15"/>
      <c r="AY56" s="15"/>
      <c r="AZ56" s="15"/>
      <c r="BA56" s="15"/>
      <c r="BB56" s="15"/>
      <c r="BC56" s="15"/>
      <c r="BD56" s="15"/>
      <c r="BE56" s="15"/>
      <c r="BF56" s="15"/>
      <c r="BG56" s="15"/>
      <c r="BH56" s="15"/>
      <c r="BI56" s="15"/>
      <c r="BJ56" s="15"/>
      <c r="BK56" s="15"/>
      <c r="BL56" s="15"/>
    </row>
    <row r="57" spans="1:64" x14ac:dyDescent="0.2">
      <c r="A57" s="28">
        <v>52</v>
      </c>
      <c r="AL57" s="20"/>
      <c r="AM57" s="91" t="s">
        <v>1975</v>
      </c>
      <c r="AN57" s="91" t="s">
        <v>1976</v>
      </c>
      <c r="AO57" s="91" t="s">
        <v>1977</v>
      </c>
      <c r="AP57" s="19"/>
      <c r="AQ57" s="15"/>
      <c r="AR57" s="15"/>
      <c r="AS57" s="15"/>
      <c r="AT57" s="15"/>
      <c r="AU57" s="15"/>
      <c r="AV57" s="15"/>
      <c r="AW57" s="15"/>
      <c r="AX57" s="15"/>
      <c r="AY57" s="15"/>
      <c r="AZ57" s="15"/>
      <c r="BA57" s="15"/>
      <c r="BB57" s="15"/>
      <c r="BC57" s="15"/>
      <c r="BD57" s="15"/>
      <c r="BE57" s="15"/>
      <c r="BF57" s="15"/>
      <c r="BG57" s="15"/>
      <c r="BH57" s="15"/>
      <c r="BI57" s="15"/>
      <c r="BJ57" s="15"/>
      <c r="BK57" s="15"/>
      <c r="BL57" s="15"/>
    </row>
    <row r="58" spans="1:64" x14ac:dyDescent="0.2">
      <c r="A58" s="28">
        <v>53</v>
      </c>
      <c r="AL58" s="20"/>
      <c r="AM58" s="91" t="s">
        <v>1978</v>
      </c>
      <c r="AN58" s="91" t="s">
        <v>1979</v>
      </c>
      <c r="AO58" s="91" t="s">
        <v>1980</v>
      </c>
      <c r="AP58" s="19"/>
      <c r="AQ58" s="15"/>
      <c r="AR58" s="15"/>
      <c r="AS58" s="15"/>
      <c r="AT58" s="15"/>
      <c r="AU58" s="15"/>
      <c r="AV58" s="15"/>
      <c r="AW58" s="15"/>
      <c r="AX58" s="15"/>
      <c r="AY58" s="15"/>
      <c r="AZ58" s="15"/>
      <c r="BA58" s="15"/>
      <c r="BB58" s="15"/>
      <c r="BC58" s="15"/>
      <c r="BD58" s="15"/>
      <c r="BE58" s="15"/>
      <c r="BF58" s="15"/>
      <c r="BG58" s="15"/>
      <c r="BH58" s="15"/>
      <c r="BI58" s="15"/>
      <c r="BJ58" s="15"/>
      <c r="BK58" s="15"/>
      <c r="BL58" s="15"/>
    </row>
    <row r="59" spans="1:64" x14ac:dyDescent="0.2">
      <c r="A59" s="28">
        <v>54</v>
      </c>
      <c r="AL59" s="20"/>
      <c r="AM59" s="91" t="s">
        <v>1981</v>
      </c>
      <c r="AN59" s="91" t="s">
        <v>1982</v>
      </c>
      <c r="AO59" s="91" t="s">
        <v>1983</v>
      </c>
      <c r="AP59" s="19"/>
      <c r="AQ59" s="15"/>
      <c r="AR59" s="15"/>
      <c r="AS59" s="15"/>
      <c r="AT59" s="15"/>
      <c r="AU59" s="15"/>
      <c r="AV59" s="15"/>
      <c r="AW59" s="15"/>
      <c r="AX59" s="15"/>
      <c r="AY59" s="15"/>
      <c r="AZ59" s="15"/>
      <c r="BA59" s="15"/>
      <c r="BB59" s="15"/>
      <c r="BC59" s="15"/>
      <c r="BD59" s="15"/>
      <c r="BE59" s="15"/>
      <c r="BF59" s="15"/>
      <c r="BG59" s="15"/>
      <c r="BH59" s="15"/>
      <c r="BI59" s="15"/>
      <c r="BJ59" s="15"/>
      <c r="BK59" s="15"/>
      <c r="BL59" s="15"/>
    </row>
    <row r="60" spans="1:64" x14ac:dyDescent="0.2">
      <c r="A60" s="28">
        <v>55</v>
      </c>
      <c r="AL60" s="20"/>
      <c r="AM60" s="91" t="s">
        <v>1984</v>
      </c>
      <c r="AN60" s="91" t="s">
        <v>1985</v>
      </c>
      <c r="AO60" s="91" t="s">
        <v>1986</v>
      </c>
      <c r="AP60" s="19"/>
      <c r="AQ60" s="15"/>
      <c r="AR60" s="15"/>
      <c r="AS60" s="15"/>
      <c r="AT60" s="15"/>
      <c r="AU60" s="15"/>
      <c r="AV60" s="15"/>
      <c r="AW60" s="15"/>
      <c r="AX60" s="15"/>
      <c r="AY60" s="15"/>
      <c r="AZ60" s="15"/>
      <c r="BA60" s="15"/>
      <c r="BB60" s="15"/>
      <c r="BC60" s="15"/>
      <c r="BD60" s="15"/>
      <c r="BE60" s="15"/>
      <c r="BF60" s="15"/>
      <c r="BG60" s="15"/>
      <c r="BH60" s="15"/>
      <c r="BI60" s="15"/>
      <c r="BJ60" s="15"/>
      <c r="BK60" s="15"/>
      <c r="BL60" s="15"/>
    </row>
    <row r="61" spans="1:64" x14ac:dyDescent="0.2">
      <c r="A61" s="28">
        <v>56</v>
      </c>
      <c r="AL61" s="20"/>
      <c r="AM61" s="91" t="s">
        <v>1987</v>
      </c>
      <c r="AN61" s="91" t="s">
        <v>1988</v>
      </c>
      <c r="AO61" s="91" t="s">
        <v>1989</v>
      </c>
      <c r="AP61" s="19"/>
      <c r="AQ61" s="15"/>
      <c r="AR61" s="15"/>
      <c r="AS61" s="15"/>
      <c r="AT61" s="15"/>
      <c r="AU61" s="15"/>
      <c r="AV61" s="15"/>
      <c r="AW61" s="15"/>
      <c r="AX61" s="15"/>
      <c r="AY61" s="15"/>
      <c r="AZ61" s="15"/>
      <c r="BA61" s="15"/>
      <c r="BB61" s="15"/>
      <c r="BC61" s="15"/>
      <c r="BD61" s="15"/>
      <c r="BE61" s="15"/>
      <c r="BF61" s="15"/>
      <c r="BG61" s="15"/>
      <c r="BH61" s="15"/>
      <c r="BI61" s="15"/>
      <c r="BJ61" s="15"/>
      <c r="BK61" s="15"/>
      <c r="BL61" s="15"/>
    </row>
    <row r="62" spans="1:64" x14ac:dyDescent="0.2">
      <c r="A62" s="28">
        <v>57</v>
      </c>
      <c r="AL62" s="20"/>
      <c r="AM62" s="91" t="s">
        <v>1990</v>
      </c>
      <c r="AN62" s="91" t="s">
        <v>1991</v>
      </c>
      <c r="AO62" s="91" t="s">
        <v>1992</v>
      </c>
      <c r="AP62" s="19"/>
      <c r="AQ62" s="15"/>
      <c r="AR62" s="15"/>
      <c r="AS62" s="15"/>
      <c r="AT62" s="15"/>
      <c r="AU62" s="15"/>
      <c r="AV62" s="15"/>
      <c r="AW62" s="15"/>
      <c r="AX62" s="15"/>
      <c r="AY62" s="15"/>
      <c r="AZ62" s="15"/>
      <c r="BA62" s="15"/>
      <c r="BB62" s="15"/>
      <c r="BC62" s="15"/>
      <c r="BD62" s="15"/>
      <c r="BE62" s="15"/>
      <c r="BF62" s="15"/>
      <c r="BG62" s="15"/>
      <c r="BH62" s="15"/>
      <c r="BI62" s="15"/>
      <c r="BJ62" s="15"/>
      <c r="BK62" s="15"/>
      <c r="BL62" s="15"/>
    </row>
    <row r="63" spans="1:64" x14ac:dyDescent="0.2">
      <c r="A63" s="28">
        <v>58</v>
      </c>
      <c r="AL63" s="20"/>
      <c r="AM63" s="91" t="s">
        <v>1993</v>
      </c>
      <c r="AN63" s="91" t="s">
        <v>1994</v>
      </c>
      <c r="AO63" s="91" t="s">
        <v>1995</v>
      </c>
      <c r="AP63" s="19"/>
      <c r="AQ63" s="15"/>
      <c r="AR63" s="15"/>
      <c r="AS63" s="15"/>
      <c r="AT63" s="15"/>
      <c r="AU63" s="15"/>
      <c r="AV63" s="15"/>
      <c r="AW63" s="15"/>
      <c r="AX63" s="15"/>
      <c r="AY63" s="15"/>
      <c r="AZ63" s="15"/>
      <c r="BA63" s="15"/>
      <c r="BB63" s="15"/>
      <c r="BC63" s="15"/>
      <c r="BD63" s="15"/>
      <c r="BE63" s="15"/>
      <c r="BF63" s="15"/>
      <c r="BG63" s="15"/>
      <c r="BH63" s="15"/>
      <c r="BI63" s="15"/>
      <c r="BJ63" s="15"/>
      <c r="BK63" s="15"/>
      <c r="BL63" s="15"/>
    </row>
    <row r="64" spans="1:64" x14ac:dyDescent="0.2">
      <c r="A64" s="28">
        <v>59</v>
      </c>
      <c r="AL64" s="20"/>
      <c r="AM64" s="91" t="s">
        <v>1996</v>
      </c>
      <c r="AN64" s="91" t="s">
        <v>1997</v>
      </c>
      <c r="AO64" s="91" t="s">
        <v>1998</v>
      </c>
      <c r="AP64" s="19"/>
      <c r="AQ64" s="15"/>
      <c r="AR64" s="15"/>
      <c r="AS64" s="15"/>
      <c r="AT64" s="15"/>
      <c r="AU64" s="15"/>
      <c r="AV64" s="15"/>
      <c r="AW64" s="15"/>
      <c r="AX64" s="15"/>
      <c r="AY64" s="15"/>
      <c r="AZ64" s="15"/>
      <c r="BA64" s="15"/>
      <c r="BB64" s="15"/>
      <c r="BC64" s="15"/>
      <c r="BD64" s="15"/>
      <c r="BE64" s="15"/>
      <c r="BF64" s="15"/>
      <c r="BG64" s="15"/>
      <c r="BH64" s="15"/>
      <c r="BI64" s="15"/>
      <c r="BJ64" s="15"/>
      <c r="BK64" s="15"/>
      <c r="BL64" s="15"/>
    </row>
    <row r="65" spans="1:41" x14ac:dyDescent="0.2">
      <c r="A65" s="28">
        <v>60</v>
      </c>
      <c r="AM65" s="91" t="s">
        <v>1999</v>
      </c>
      <c r="AN65" s="91" t="s">
        <v>2000</v>
      </c>
      <c r="AO65" s="91" t="s">
        <v>2001</v>
      </c>
    </row>
    <row r="66" spans="1:41" x14ac:dyDescent="0.2">
      <c r="AM66" s="91" t="s">
        <v>2002</v>
      </c>
      <c r="AN66" s="91" t="s">
        <v>2003</v>
      </c>
      <c r="AO66" s="91" t="s">
        <v>2004</v>
      </c>
    </row>
    <row r="67" spans="1:41" x14ac:dyDescent="0.2">
      <c r="AM67" s="91" t="s">
        <v>2005</v>
      </c>
      <c r="AN67" s="91" t="s">
        <v>2006</v>
      </c>
      <c r="AO67" s="91" t="s">
        <v>2007</v>
      </c>
    </row>
    <row r="68" spans="1:41" x14ac:dyDescent="0.2">
      <c r="AM68" s="91" t="s">
        <v>2008</v>
      </c>
      <c r="AN68" s="91" t="s">
        <v>2009</v>
      </c>
      <c r="AO68" s="91" t="s">
        <v>2010</v>
      </c>
    </row>
    <row r="69" spans="1:41" x14ac:dyDescent="0.2">
      <c r="AM69" s="91" t="s">
        <v>2011</v>
      </c>
      <c r="AN69" s="91" t="s">
        <v>2012</v>
      </c>
      <c r="AO69" s="91" t="s">
        <v>2013</v>
      </c>
    </row>
    <row r="70" spans="1:41" x14ac:dyDescent="0.2">
      <c r="AM70" s="91" t="s">
        <v>2014</v>
      </c>
      <c r="AN70" s="91" t="s">
        <v>2015</v>
      </c>
      <c r="AO70" s="91" t="s">
        <v>2016</v>
      </c>
    </row>
    <row r="71" spans="1:41" x14ac:dyDescent="0.2">
      <c r="AM71" s="91" t="s">
        <v>2017</v>
      </c>
      <c r="AN71" s="91" t="s">
        <v>2015</v>
      </c>
      <c r="AO71" s="91" t="s">
        <v>2018</v>
      </c>
    </row>
    <row r="72" spans="1:41" x14ac:dyDescent="0.2">
      <c r="AM72" s="91" t="s">
        <v>2019</v>
      </c>
      <c r="AN72" s="91" t="s">
        <v>2020</v>
      </c>
      <c r="AO72" s="91" t="s">
        <v>2021</v>
      </c>
    </row>
    <row r="73" spans="1:41" x14ac:dyDescent="0.2">
      <c r="AM73" s="91" t="s">
        <v>2022</v>
      </c>
      <c r="AN73" s="91" t="s">
        <v>2023</v>
      </c>
      <c r="AO73" s="91" t="s">
        <v>2024</v>
      </c>
    </row>
    <row r="74" spans="1:41" x14ac:dyDescent="0.2">
      <c r="AM74" s="91" t="s">
        <v>2025</v>
      </c>
      <c r="AN74" s="91" t="s">
        <v>2026</v>
      </c>
      <c r="AO74" s="91" t="s">
        <v>2027</v>
      </c>
    </row>
    <row r="75" spans="1:41" x14ac:dyDescent="0.2">
      <c r="AM75" s="91" t="s">
        <v>2028</v>
      </c>
      <c r="AN75" s="91" t="s">
        <v>2029</v>
      </c>
      <c r="AO75" s="91" t="s">
        <v>2030</v>
      </c>
    </row>
    <row r="76" spans="1:41" x14ac:dyDescent="0.2">
      <c r="AM76" s="91" t="s">
        <v>2031</v>
      </c>
      <c r="AN76" s="91" t="s">
        <v>2032</v>
      </c>
      <c r="AO76" s="91" t="s">
        <v>2033</v>
      </c>
    </row>
    <row r="77" spans="1:41" x14ac:dyDescent="0.2">
      <c r="AM77" s="91" t="s">
        <v>2034</v>
      </c>
      <c r="AN77" s="91" t="s">
        <v>2035</v>
      </c>
      <c r="AO77" s="91" t="s">
        <v>2036</v>
      </c>
    </row>
    <row r="78" spans="1:41" x14ac:dyDescent="0.2">
      <c r="AM78" s="91" t="s">
        <v>2037</v>
      </c>
      <c r="AN78" s="91" t="s">
        <v>2038</v>
      </c>
      <c r="AO78" s="91" t="s">
        <v>2039</v>
      </c>
    </row>
    <row r="79" spans="1:41" x14ac:dyDescent="0.2">
      <c r="AM79" s="91" t="s">
        <v>2040</v>
      </c>
      <c r="AN79" s="91" t="s">
        <v>2041</v>
      </c>
      <c r="AO79" s="91" t="s">
        <v>2042</v>
      </c>
    </row>
    <row r="80" spans="1:41" x14ac:dyDescent="0.2">
      <c r="AM80" s="91" t="s">
        <v>2043</v>
      </c>
      <c r="AN80" s="91" t="s">
        <v>2044</v>
      </c>
    </row>
    <row r="81" spans="39:40" x14ac:dyDescent="0.2">
      <c r="AM81" s="91" t="s">
        <v>2045</v>
      </c>
      <c r="AN81" s="91" t="s">
        <v>2046</v>
      </c>
    </row>
    <row r="82" spans="39:40" x14ac:dyDescent="0.2">
      <c r="AM82" s="91" t="s">
        <v>2047</v>
      </c>
      <c r="AN82" s="91" t="s">
        <v>2011</v>
      </c>
    </row>
    <row r="83" spans="39:40" x14ac:dyDescent="0.2">
      <c r="AM83" s="91" t="s">
        <v>2048</v>
      </c>
      <c r="AN83" s="91" t="s">
        <v>2049</v>
      </c>
    </row>
    <row r="84" spans="39:40" x14ac:dyDescent="0.2">
      <c r="AM84" s="91" t="s">
        <v>2050</v>
      </c>
      <c r="AN84" s="91" t="s">
        <v>1956</v>
      </c>
    </row>
    <row r="85" spans="39:40" x14ac:dyDescent="0.2">
      <c r="AM85" s="91" t="s">
        <v>2051</v>
      </c>
      <c r="AN85" s="91" t="s">
        <v>2052</v>
      </c>
    </row>
    <row r="86" spans="39:40" x14ac:dyDescent="0.2">
      <c r="AM86" s="91" t="s">
        <v>2053</v>
      </c>
      <c r="AN86" s="91" t="s">
        <v>2054</v>
      </c>
    </row>
    <row r="87" spans="39:40" x14ac:dyDescent="0.2">
      <c r="AM87" s="91" t="s">
        <v>2055</v>
      </c>
      <c r="AN87" s="91" t="s">
        <v>2056</v>
      </c>
    </row>
    <row r="88" spans="39:40" x14ac:dyDescent="0.2">
      <c r="AM88" s="91" t="s">
        <v>2057</v>
      </c>
      <c r="AN88" s="91" t="s">
        <v>2058</v>
      </c>
    </row>
    <row r="89" spans="39:40" x14ac:dyDescent="0.2">
      <c r="AM89" s="91" t="s">
        <v>2059</v>
      </c>
      <c r="AN89" s="91" t="s">
        <v>2060</v>
      </c>
    </row>
    <row r="90" spans="39:40" x14ac:dyDescent="0.2">
      <c r="AM90" s="91" t="s">
        <v>2061</v>
      </c>
      <c r="AN90" s="91" t="s">
        <v>2062</v>
      </c>
    </row>
    <row r="91" spans="39:40" x14ac:dyDescent="0.2">
      <c r="AM91" s="91" t="s">
        <v>2063</v>
      </c>
      <c r="AN91" s="91" t="s">
        <v>2064</v>
      </c>
    </row>
    <row r="92" spans="39:40" x14ac:dyDescent="0.2">
      <c r="AM92" s="91" t="s">
        <v>2065</v>
      </c>
      <c r="AN92" s="91" t="s">
        <v>2066</v>
      </c>
    </row>
    <row r="93" spans="39:40" x14ac:dyDescent="0.2">
      <c r="AM93" s="91" t="s">
        <v>2067</v>
      </c>
      <c r="AN93" s="91" t="s">
        <v>2068</v>
      </c>
    </row>
    <row r="94" spans="39:40" x14ac:dyDescent="0.2">
      <c r="AM94" s="91" t="s">
        <v>2069</v>
      </c>
      <c r="AN94" s="91" t="s">
        <v>2070</v>
      </c>
    </row>
    <row r="95" spans="39:40" x14ac:dyDescent="0.2">
      <c r="AM95" s="91" t="s">
        <v>2071</v>
      </c>
      <c r="AN95" s="91" t="s">
        <v>2072</v>
      </c>
    </row>
    <row r="96" spans="39:40" x14ac:dyDescent="0.2">
      <c r="AM96" s="91" t="s">
        <v>2073</v>
      </c>
      <c r="AN96" s="91" t="s">
        <v>2074</v>
      </c>
    </row>
    <row r="97" spans="39:40" x14ac:dyDescent="0.2">
      <c r="AM97" s="91" t="s">
        <v>2075</v>
      </c>
      <c r="AN97" s="91" t="s">
        <v>2076</v>
      </c>
    </row>
    <row r="98" spans="39:40" x14ac:dyDescent="0.2">
      <c r="AM98" s="91" t="s">
        <v>2077</v>
      </c>
      <c r="AN98" s="91" t="s">
        <v>2078</v>
      </c>
    </row>
    <row r="99" spans="39:40" x14ac:dyDescent="0.2">
      <c r="AM99" s="91" t="s">
        <v>2079</v>
      </c>
      <c r="AN99" s="91" t="s">
        <v>2080</v>
      </c>
    </row>
    <row r="100" spans="39:40" x14ac:dyDescent="0.2">
      <c r="AM100" s="91" t="s">
        <v>2081</v>
      </c>
      <c r="AN100" s="91" t="s">
        <v>2082</v>
      </c>
    </row>
    <row r="101" spans="39:40" x14ac:dyDescent="0.2">
      <c r="AM101" s="91" t="s">
        <v>2083</v>
      </c>
      <c r="AN101" s="91" t="s">
        <v>2084</v>
      </c>
    </row>
    <row r="102" spans="39:40" x14ac:dyDescent="0.2">
      <c r="AM102" s="91" t="s">
        <v>2083</v>
      </c>
      <c r="AN102" s="91" t="s">
        <v>2085</v>
      </c>
    </row>
    <row r="103" spans="39:40" x14ac:dyDescent="0.2">
      <c r="AM103" s="91" t="s">
        <v>2086</v>
      </c>
      <c r="AN103" s="91" t="s">
        <v>2087</v>
      </c>
    </row>
    <row r="104" spans="39:40" x14ac:dyDescent="0.2">
      <c r="AM104" s="91" t="s">
        <v>2088</v>
      </c>
      <c r="AN104" s="91" t="s">
        <v>2089</v>
      </c>
    </row>
    <row r="105" spans="39:40" x14ac:dyDescent="0.2">
      <c r="AM105" s="91" t="s">
        <v>2090</v>
      </c>
      <c r="AN105" s="91" t="s">
        <v>2091</v>
      </c>
    </row>
    <row r="106" spans="39:40" x14ac:dyDescent="0.2">
      <c r="AM106" s="91" t="s">
        <v>2092</v>
      </c>
      <c r="AN106" s="91" t="s">
        <v>2093</v>
      </c>
    </row>
    <row r="107" spans="39:40" x14ac:dyDescent="0.2">
      <c r="AM107" s="91" t="s">
        <v>2094</v>
      </c>
      <c r="AN107" s="91" t="s">
        <v>2095</v>
      </c>
    </row>
    <row r="108" spans="39:40" x14ac:dyDescent="0.2">
      <c r="AM108" s="91" t="s">
        <v>2094</v>
      </c>
      <c r="AN108" s="91" t="s">
        <v>2095</v>
      </c>
    </row>
    <row r="109" spans="39:40" x14ac:dyDescent="0.2">
      <c r="AM109" s="91" t="s">
        <v>2096</v>
      </c>
      <c r="AN109" s="91" t="s">
        <v>2097</v>
      </c>
    </row>
    <row r="110" spans="39:40" x14ac:dyDescent="0.2">
      <c r="AM110" s="91" t="s">
        <v>2098</v>
      </c>
      <c r="AN110" s="91" t="s">
        <v>2099</v>
      </c>
    </row>
    <row r="111" spans="39:40" x14ac:dyDescent="0.2">
      <c r="AM111" s="91" t="s">
        <v>2100</v>
      </c>
      <c r="AN111" s="91" t="s">
        <v>2101</v>
      </c>
    </row>
    <row r="112" spans="39:40" x14ac:dyDescent="0.2">
      <c r="AM112" s="91" t="s">
        <v>2102</v>
      </c>
      <c r="AN112" s="91" t="s">
        <v>2103</v>
      </c>
    </row>
    <row r="113" spans="39:40" x14ac:dyDescent="0.2">
      <c r="AM113" s="91" t="s">
        <v>2104</v>
      </c>
      <c r="AN113" s="91" t="s">
        <v>2105</v>
      </c>
    </row>
    <row r="114" spans="39:40" x14ac:dyDescent="0.2">
      <c r="AM114" s="91" t="s">
        <v>2106</v>
      </c>
      <c r="AN114" s="91" t="s">
        <v>2107</v>
      </c>
    </row>
    <row r="115" spans="39:40" x14ac:dyDescent="0.2">
      <c r="AM115" s="91" t="s">
        <v>2108</v>
      </c>
      <c r="AN115" s="91" t="s">
        <v>2109</v>
      </c>
    </row>
    <row r="116" spans="39:40" x14ac:dyDescent="0.2">
      <c r="AM116" s="91" t="s">
        <v>2110</v>
      </c>
      <c r="AN116" s="91" t="s">
        <v>2111</v>
      </c>
    </row>
    <row r="117" spans="39:40" x14ac:dyDescent="0.2">
      <c r="AM117" s="91" t="s">
        <v>2112</v>
      </c>
      <c r="AN117" s="91" t="s">
        <v>2113</v>
      </c>
    </row>
    <row r="118" spans="39:40" x14ac:dyDescent="0.2">
      <c r="AM118" s="91" t="s">
        <v>2114</v>
      </c>
      <c r="AN118" s="91" t="s">
        <v>2115</v>
      </c>
    </row>
    <row r="119" spans="39:40" x14ac:dyDescent="0.2">
      <c r="AM119" s="91" t="s">
        <v>2116</v>
      </c>
      <c r="AN119" s="91" t="s">
        <v>2117</v>
      </c>
    </row>
    <row r="120" spans="39:40" x14ac:dyDescent="0.2">
      <c r="AM120" s="91" t="s">
        <v>2118</v>
      </c>
      <c r="AN120" s="91" t="s">
        <v>2119</v>
      </c>
    </row>
    <row r="121" spans="39:40" x14ac:dyDescent="0.2">
      <c r="AM121" s="91" t="s">
        <v>2120</v>
      </c>
      <c r="AN121" s="91" t="s">
        <v>2121</v>
      </c>
    </row>
    <row r="122" spans="39:40" x14ac:dyDescent="0.2">
      <c r="AM122" s="91" t="s">
        <v>2122</v>
      </c>
      <c r="AN122" s="91" t="s">
        <v>2123</v>
      </c>
    </row>
    <row r="123" spans="39:40" x14ac:dyDescent="0.2">
      <c r="AM123" s="91" t="s">
        <v>2124</v>
      </c>
      <c r="AN123" s="91" t="s">
        <v>2125</v>
      </c>
    </row>
    <row r="124" spans="39:40" x14ac:dyDescent="0.2">
      <c r="AM124" s="91" t="s">
        <v>2126</v>
      </c>
      <c r="AN124" s="91" t="s">
        <v>2127</v>
      </c>
    </row>
    <row r="125" spans="39:40" x14ac:dyDescent="0.2">
      <c r="AM125" s="91" t="s">
        <v>2128</v>
      </c>
      <c r="AN125" s="91" t="s">
        <v>2129</v>
      </c>
    </row>
    <row r="126" spans="39:40" x14ac:dyDescent="0.2">
      <c r="AM126" s="91" t="s">
        <v>2130</v>
      </c>
      <c r="AN126" s="91" t="s">
        <v>2114</v>
      </c>
    </row>
    <row r="127" spans="39:40" x14ac:dyDescent="0.2">
      <c r="AM127" s="91" t="s">
        <v>2131</v>
      </c>
      <c r="AN127" s="91" t="s">
        <v>2132</v>
      </c>
    </row>
    <row r="128" spans="39:40" x14ac:dyDescent="0.2">
      <c r="AM128" s="91" t="s">
        <v>2133</v>
      </c>
      <c r="AN128" s="91" t="s">
        <v>2134</v>
      </c>
    </row>
    <row r="129" spans="39:40" x14ac:dyDescent="0.2">
      <c r="AM129" s="91" t="s">
        <v>2135</v>
      </c>
      <c r="AN129" s="91" t="s">
        <v>2136</v>
      </c>
    </row>
    <row r="130" spans="39:40" x14ac:dyDescent="0.2">
      <c r="AM130" s="91" t="s">
        <v>2137</v>
      </c>
      <c r="AN130" s="91" t="s">
        <v>2138</v>
      </c>
    </row>
    <row r="131" spans="39:40" x14ac:dyDescent="0.2">
      <c r="AM131" s="91" t="s">
        <v>2139</v>
      </c>
      <c r="AN131" s="91" t="s">
        <v>2140</v>
      </c>
    </row>
    <row r="132" spans="39:40" x14ac:dyDescent="0.2">
      <c r="AM132" s="91" t="s">
        <v>2141</v>
      </c>
      <c r="AN132" s="91" t="s">
        <v>2142</v>
      </c>
    </row>
    <row r="133" spans="39:40" x14ac:dyDescent="0.2">
      <c r="AM133" s="91" t="s">
        <v>2143</v>
      </c>
      <c r="AN133" s="91" t="s">
        <v>2144</v>
      </c>
    </row>
    <row r="134" spans="39:40" x14ac:dyDescent="0.2">
      <c r="AM134" s="91" t="s">
        <v>2145</v>
      </c>
      <c r="AN134" s="91" t="s">
        <v>2146</v>
      </c>
    </row>
    <row r="135" spans="39:40" x14ac:dyDescent="0.2">
      <c r="AM135" s="91" t="s">
        <v>2147</v>
      </c>
      <c r="AN135" s="91" t="s">
        <v>2148</v>
      </c>
    </row>
    <row r="136" spans="39:40" x14ac:dyDescent="0.2">
      <c r="AN136" s="91" t="s">
        <v>2149</v>
      </c>
    </row>
    <row r="137" spans="39:40" x14ac:dyDescent="0.2">
      <c r="AN137" s="91" t="s">
        <v>2150</v>
      </c>
    </row>
    <row r="138" spans="39:40" x14ac:dyDescent="0.2">
      <c r="AN138" s="91" t="s">
        <v>2151</v>
      </c>
    </row>
    <row r="139" spans="39:40" x14ac:dyDescent="0.2">
      <c r="AN139" s="91" t="s">
        <v>2152</v>
      </c>
    </row>
    <row r="140" spans="39:40" x14ac:dyDescent="0.2">
      <c r="AN140" s="91" t="s">
        <v>2153</v>
      </c>
    </row>
    <row r="141" spans="39:40" x14ac:dyDescent="0.2">
      <c r="AN141" s="91" t="s">
        <v>2154</v>
      </c>
    </row>
    <row r="142" spans="39:40" x14ac:dyDescent="0.2">
      <c r="AN142" s="91" t="s">
        <v>2145</v>
      </c>
    </row>
    <row r="143" spans="39:40" x14ac:dyDescent="0.2">
      <c r="AN143" s="91" t="s">
        <v>2155</v>
      </c>
    </row>
    <row r="144" spans="39:40" x14ac:dyDescent="0.2">
      <c r="AN144" s="91" t="s">
        <v>2156</v>
      </c>
    </row>
    <row r="145" spans="40:40" x14ac:dyDescent="0.2">
      <c r="AN145" s="91" t="s">
        <v>2157</v>
      </c>
    </row>
    <row r="146" spans="40:40" x14ac:dyDescent="0.2">
      <c r="AN146" s="91" t="s">
        <v>2158</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8"/>
  <dimension ref="B1:Y500"/>
  <sheetViews>
    <sheetView workbookViewId="0">
      <selection activeCell="K11" sqref="K11"/>
    </sheetView>
  </sheetViews>
  <sheetFormatPr defaultRowHeight="15" x14ac:dyDescent="0.25"/>
  <cols>
    <col min="1" max="1" width="8.85546875"/>
    <col min="2" max="2" width="18.140625" customWidth="1"/>
    <col min="3" max="5" width="8.85546875" customWidth="1"/>
    <col min="6" max="6" width="11" customWidth="1"/>
    <col min="7" max="7" width="8.7109375" customWidth="1"/>
    <col min="8" max="8" width="9.85546875" style="147" customWidth="1"/>
    <col min="9" max="9" width="8.85546875" customWidth="1"/>
    <col min="10" max="10" width="11.28515625" style="141" customWidth="1"/>
    <col min="11" max="11" width="8.85546875" style="142" customWidth="1"/>
    <col min="12" max="12" width="11.42578125" style="143" customWidth="1"/>
    <col min="13" max="13" width="8.85546875" style="144" customWidth="1"/>
    <col min="14" max="14" width="11" style="141" customWidth="1"/>
    <col min="15" max="15" width="8.85546875" style="142" customWidth="1"/>
    <col min="16" max="16" width="12.85546875" style="143" customWidth="1"/>
    <col min="17" max="17" width="8.85546875" style="144" customWidth="1"/>
    <col min="18" max="18" width="12.42578125" style="141" customWidth="1"/>
    <col min="19" max="19" width="8.85546875" style="142" customWidth="1"/>
    <col min="20" max="20" width="13.85546875" style="143" customWidth="1"/>
    <col min="21" max="21" width="8.85546875" style="144" customWidth="1"/>
    <col min="22" max="22" width="13.7109375" style="141" customWidth="1"/>
    <col min="23" max="23" width="8.85546875" style="142" customWidth="1"/>
    <col min="24" max="24" width="12.42578125" style="143" customWidth="1"/>
    <col min="25" max="25" width="8.85546875" style="144" customWidth="1"/>
  </cols>
  <sheetData>
    <row r="1" spans="2:25" x14ac:dyDescent="0.25">
      <c r="B1" s="139" t="s">
        <v>2352</v>
      </c>
      <c r="C1" s="139" t="s">
        <v>2353</v>
      </c>
      <c r="D1" s="139" t="s">
        <v>2354</v>
      </c>
      <c r="E1" s="139" t="s">
        <v>166</v>
      </c>
      <c r="F1" s="139" t="s">
        <v>2355</v>
      </c>
      <c r="G1" s="139" t="s">
        <v>2356</v>
      </c>
      <c r="H1" s="140" t="s">
        <v>177</v>
      </c>
      <c r="I1" s="139" t="s">
        <v>2351</v>
      </c>
      <c r="J1" s="141" t="s">
        <v>2357</v>
      </c>
      <c r="K1" s="142" t="s">
        <v>2358</v>
      </c>
      <c r="L1" s="143" t="s">
        <v>2359</v>
      </c>
      <c r="M1" s="144" t="s">
        <v>2358</v>
      </c>
      <c r="N1" s="141" t="s">
        <v>2360</v>
      </c>
      <c r="O1" s="142" t="s">
        <v>2358</v>
      </c>
      <c r="P1" s="143" t="s">
        <v>2361</v>
      </c>
      <c r="Q1" s="144" t="s">
        <v>2358</v>
      </c>
      <c r="R1" s="141" t="s">
        <v>2362</v>
      </c>
      <c r="S1" s="142" t="s">
        <v>2358</v>
      </c>
      <c r="T1" s="143" t="s">
        <v>2363</v>
      </c>
      <c r="U1" s="144" t="s">
        <v>2358</v>
      </c>
      <c r="V1" s="141" t="s">
        <v>2364</v>
      </c>
      <c r="W1" s="142" t="s">
        <v>2358</v>
      </c>
      <c r="X1" s="143" t="s">
        <v>2365</v>
      </c>
      <c r="Y1" s="144" t="s">
        <v>2358</v>
      </c>
    </row>
    <row r="2" spans="2:25" x14ac:dyDescent="0.25">
      <c r="B2" t="s">
        <v>2366</v>
      </c>
      <c r="C2" t="s">
        <v>2367</v>
      </c>
      <c r="D2" t="s">
        <v>2368</v>
      </c>
      <c r="E2" t="s">
        <v>2369</v>
      </c>
      <c r="F2" t="s">
        <v>2370</v>
      </c>
      <c r="G2" t="s">
        <v>2371</v>
      </c>
      <c r="H2" s="145" t="s">
        <v>2372</v>
      </c>
      <c r="I2" t="s">
        <v>2351</v>
      </c>
      <c r="J2" s="141" t="s">
        <v>2373</v>
      </c>
      <c r="K2" s="142" t="s">
        <v>2374</v>
      </c>
      <c r="L2" s="143" t="s">
        <v>2373</v>
      </c>
      <c r="M2" s="144" t="s">
        <v>2375</v>
      </c>
      <c r="N2" s="141" t="s">
        <v>2373</v>
      </c>
      <c r="O2" s="142" t="s">
        <v>2376</v>
      </c>
      <c r="T2" s="143" t="s">
        <v>2373</v>
      </c>
      <c r="U2" s="144" t="s">
        <v>2377</v>
      </c>
      <c r="V2" s="141" t="s">
        <v>2373</v>
      </c>
      <c r="W2" s="142" t="s">
        <v>2378</v>
      </c>
      <c r="X2" s="143" t="s">
        <v>2373</v>
      </c>
      <c r="Y2" s="144" t="s">
        <v>2377</v>
      </c>
    </row>
    <row r="3" spans="2:25" x14ac:dyDescent="0.25">
      <c r="B3" t="s">
        <v>2379</v>
      </c>
      <c r="C3" t="s">
        <v>2380</v>
      </c>
      <c r="D3" t="s">
        <v>2368</v>
      </c>
      <c r="E3" t="s">
        <v>2381</v>
      </c>
      <c r="F3" t="s">
        <v>2382</v>
      </c>
      <c r="G3" t="s">
        <v>2383</v>
      </c>
      <c r="H3" s="145" t="s">
        <v>2384</v>
      </c>
      <c r="I3" t="s">
        <v>2351</v>
      </c>
      <c r="J3" s="141" t="s">
        <v>2385</v>
      </c>
      <c r="K3" s="142" t="s">
        <v>2386</v>
      </c>
      <c r="L3" s="143" t="s">
        <v>2385</v>
      </c>
      <c r="M3" s="144" t="s">
        <v>2387</v>
      </c>
      <c r="N3" s="141" t="s">
        <v>2385</v>
      </c>
      <c r="O3" s="142" t="s">
        <v>2388</v>
      </c>
      <c r="P3" s="143" t="s">
        <v>2385</v>
      </c>
      <c r="Q3" s="144" t="s">
        <v>2389</v>
      </c>
      <c r="R3" s="141" t="s">
        <v>2385</v>
      </c>
      <c r="S3" s="142" t="s">
        <v>2390</v>
      </c>
      <c r="T3" s="143" t="s">
        <v>2385</v>
      </c>
      <c r="U3" s="144" t="s">
        <v>2391</v>
      </c>
      <c r="V3" s="141" t="s">
        <v>2385</v>
      </c>
      <c r="W3" s="142" t="s">
        <v>2392</v>
      </c>
      <c r="X3" s="143" t="s">
        <v>2385</v>
      </c>
      <c r="Y3" s="144" t="s">
        <v>2393</v>
      </c>
    </row>
    <row r="4" spans="2:25" x14ac:dyDescent="0.25">
      <c r="B4" t="s">
        <v>2394</v>
      </c>
      <c r="C4" t="s">
        <v>2395</v>
      </c>
      <c r="D4" t="s">
        <v>2396</v>
      </c>
      <c r="E4" t="s">
        <v>2381</v>
      </c>
      <c r="F4" t="s">
        <v>2397</v>
      </c>
      <c r="G4" t="s">
        <v>2383</v>
      </c>
      <c r="H4" s="145" t="s">
        <v>2398</v>
      </c>
      <c r="I4" t="s">
        <v>2351</v>
      </c>
      <c r="J4" s="141" t="s">
        <v>2399</v>
      </c>
      <c r="K4" s="142" t="s">
        <v>2400</v>
      </c>
      <c r="L4" s="143" t="s">
        <v>2399</v>
      </c>
      <c r="M4" s="144" t="s">
        <v>2401</v>
      </c>
      <c r="N4" s="141" t="s">
        <v>2399</v>
      </c>
      <c r="O4" s="142" t="s">
        <v>2402</v>
      </c>
      <c r="P4" s="143" t="s">
        <v>2399</v>
      </c>
      <c r="Q4" s="144" t="s">
        <v>2403</v>
      </c>
      <c r="R4" s="141" t="s">
        <v>2399</v>
      </c>
      <c r="S4" s="142" t="s">
        <v>2404</v>
      </c>
      <c r="T4" s="143" t="s">
        <v>2399</v>
      </c>
      <c r="U4" s="144" t="s">
        <v>2405</v>
      </c>
      <c r="V4" s="141" t="s">
        <v>2399</v>
      </c>
      <c r="W4" s="142" t="s">
        <v>2406</v>
      </c>
      <c r="X4" s="143" t="s">
        <v>2399</v>
      </c>
      <c r="Y4" s="144" t="s">
        <v>2407</v>
      </c>
    </row>
    <row r="5" spans="2:25" x14ac:dyDescent="0.25">
      <c r="B5" t="s">
        <v>2408</v>
      </c>
      <c r="C5" t="s">
        <v>2409</v>
      </c>
      <c r="D5" t="s">
        <v>2368</v>
      </c>
      <c r="E5" t="s">
        <v>2410</v>
      </c>
      <c r="F5" t="s">
        <v>2370</v>
      </c>
      <c r="G5" t="s">
        <v>2411</v>
      </c>
      <c r="H5" s="145" t="s">
        <v>2412</v>
      </c>
      <c r="I5" t="s">
        <v>2351</v>
      </c>
      <c r="J5" s="141" t="s">
        <v>2413</v>
      </c>
      <c r="K5" s="142" t="s">
        <v>2414</v>
      </c>
      <c r="L5" s="143" t="s">
        <v>2413</v>
      </c>
      <c r="M5" s="144" t="s">
        <v>2415</v>
      </c>
      <c r="N5" s="141" t="s">
        <v>2413</v>
      </c>
      <c r="O5" s="142" t="s">
        <v>2416</v>
      </c>
      <c r="P5" s="143" t="s">
        <v>2413</v>
      </c>
      <c r="Q5" s="144" t="s">
        <v>2417</v>
      </c>
      <c r="R5" s="141" t="s">
        <v>2413</v>
      </c>
      <c r="S5" s="142" t="s">
        <v>2418</v>
      </c>
      <c r="T5" s="143" t="s">
        <v>2413</v>
      </c>
      <c r="U5" s="144" t="s">
        <v>2419</v>
      </c>
      <c r="V5" s="141" t="s">
        <v>2413</v>
      </c>
      <c r="W5" s="142" t="s">
        <v>2420</v>
      </c>
      <c r="X5" s="143" t="s">
        <v>2413</v>
      </c>
      <c r="Y5" s="144" t="s">
        <v>2421</v>
      </c>
    </row>
    <row r="6" spans="2:25" x14ac:dyDescent="0.25">
      <c r="B6" t="s">
        <v>2422</v>
      </c>
      <c r="C6" t="s">
        <v>2423</v>
      </c>
      <c r="D6" t="s">
        <v>2368</v>
      </c>
      <c r="E6" t="s">
        <v>2381</v>
      </c>
      <c r="F6" t="s">
        <v>2424</v>
      </c>
      <c r="G6" t="s">
        <v>2425</v>
      </c>
      <c r="H6" s="145" t="s">
        <v>2426</v>
      </c>
      <c r="I6" t="s">
        <v>2351</v>
      </c>
      <c r="J6" s="141" t="s">
        <v>2427</v>
      </c>
      <c r="K6" s="142" t="s">
        <v>2428</v>
      </c>
      <c r="L6" s="143" t="s">
        <v>2427</v>
      </c>
      <c r="M6" s="144" t="s">
        <v>2429</v>
      </c>
      <c r="N6" s="141" t="s">
        <v>2427</v>
      </c>
      <c r="O6" s="142" t="s">
        <v>2430</v>
      </c>
      <c r="P6" s="143" t="s">
        <v>2427</v>
      </c>
      <c r="Q6" s="144" t="s">
        <v>2431</v>
      </c>
      <c r="R6" s="141" t="s">
        <v>2427</v>
      </c>
      <c r="S6" s="142" t="s">
        <v>2432</v>
      </c>
      <c r="T6" s="143" t="s">
        <v>2427</v>
      </c>
      <c r="U6" s="144" t="s">
        <v>2433</v>
      </c>
      <c r="V6" s="141" t="s">
        <v>2427</v>
      </c>
      <c r="W6" s="142" t="s">
        <v>2434</v>
      </c>
      <c r="X6" s="143" t="s">
        <v>2427</v>
      </c>
      <c r="Y6" s="144" t="s">
        <v>2435</v>
      </c>
    </row>
    <row r="7" spans="2:25" x14ac:dyDescent="0.25">
      <c r="B7" t="s">
        <v>2436</v>
      </c>
      <c r="C7" t="s">
        <v>2437</v>
      </c>
      <c r="D7" t="s">
        <v>2368</v>
      </c>
      <c r="E7" t="s">
        <v>2381</v>
      </c>
      <c r="F7" t="s">
        <v>2424</v>
      </c>
      <c r="G7" t="s">
        <v>2425</v>
      </c>
      <c r="H7" s="145" t="s">
        <v>2438</v>
      </c>
      <c r="I7" t="s">
        <v>2351</v>
      </c>
      <c r="J7" s="141" t="s">
        <v>2439</v>
      </c>
      <c r="K7" s="142" t="s">
        <v>2440</v>
      </c>
      <c r="L7" s="143" t="s">
        <v>2439</v>
      </c>
      <c r="M7" s="144" t="s">
        <v>2441</v>
      </c>
      <c r="N7" s="141" t="s">
        <v>2439</v>
      </c>
      <c r="O7" s="142" t="s">
        <v>2442</v>
      </c>
      <c r="P7" s="143" t="s">
        <v>2439</v>
      </c>
      <c r="Q7" s="144" t="s">
        <v>2443</v>
      </c>
      <c r="R7" s="141" t="s">
        <v>2439</v>
      </c>
      <c r="S7" s="142" t="s">
        <v>2444</v>
      </c>
      <c r="T7" s="143" t="s">
        <v>2439</v>
      </c>
      <c r="U7" s="144" t="s">
        <v>2445</v>
      </c>
      <c r="V7" s="141" t="s">
        <v>2439</v>
      </c>
      <c r="W7" s="142" t="s">
        <v>2446</v>
      </c>
      <c r="X7" s="143" t="s">
        <v>2439</v>
      </c>
      <c r="Y7" s="144" t="s">
        <v>2447</v>
      </c>
    </row>
    <row r="8" spans="2:25" x14ac:dyDescent="0.25">
      <c r="B8" t="s">
        <v>2448</v>
      </c>
      <c r="C8" t="s">
        <v>2449</v>
      </c>
      <c r="D8" t="s">
        <v>2368</v>
      </c>
      <c r="E8" t="s">
        <v>2381</v>
      </c>
      <c r="F8" t="s">
        <v>2370</v>
      </c>
      <c r="G8" t="s">
        <v>2450</v>
      </c>
      <c r="H8" s="145" t="s">
        <v>2451</v>
      </c>
      <c r="I8" t="s">
        <v>2351</v>
      </c>
      <c r="J8" s="141" t="s">
        <v>2452</v>
      </c>
      <c r="K8" s="142" t="s">
        <v>2453</v>
      </c>
      <c r="L8" s="143" t="s">
        <v>2452</v>
      </c>
      <c r="M8" s="144" t="s">
        <v>2454</v>
      </c>
      <c r="N8" s="141" t="s">
        <v>2452</v>
      </c>
      <c r="O8" s="142" t="s">
        <v>2455</v>
      </c>
      <c r="T8" s="143" t="s">
        <v>2452</v>
      </c>
      <c r="U8" s="144" t="s">
        <v>2456</v>
      </c>
      <c r="V8" s="141" t="s">
        <v>2452</v>
      </c>
      <c r="W8" s="142" t="s">
        <v>2457</v>
      </c>
      <c r="X8" s="143" t="s">
        <v>2452</v>
      </c>
      <c r="Y8" s="144" t="s">
        <v>2458</v>
      </c>
    </row>
    <row r="9" spans="2:25" x14ac:dyDescent="0.25">
      <c r="B9" t="s">
        <v>2459</v>
      </c>
      <c r="C9" t="s">
        <v>2460</v>
      </c>
      <c r="D9" s="146" t="s">
        <v>2396</v>
      </c>
      <c r="E9" s="146" t="s">
        <v>2461</v>
      </c>
      <c r="F9" s="146" t="s">
        <v>2462</v>
      </c>
      <c r="G9" t="s">
        <v>2371</v>
      </c>
      <c r="H9" s="145" t="s">
        <v>2463</v>
      </c>
      <c r="I9" t="s">
        <v>2351</v>
      </c>
      <c r="J9" s="141" t="s">
        <v>2464</v>
      </c>
      <c r="K9" s="142" t="s">
        <v>2465</v>
      </c>
      <c r="L9" s="143" t="s">
        <v>2464</v>
      </c>
      <c r="M9" s="144" t="s">
        <v>2466</v>
      </c>
      <c r="N9" s="141" t="s">
        <v>2464</v>
      </c>
      <c r="O9" s="142" t="s">
        <v>2467</v>
      </c>
      <c r="T9" s="143" t="s">
        <v>2464</v>
      </c>
      <c r="U9" s="144" t="s">
        <v>2468</v>
      </c>
      <c r="V9" s="141" t="s">
        <v>2464</v>
      </c>
      <c r="W9" s="142" t="s">
        <v>2469</v>
      </c>
      <c r="X9" s="143" t="s">
        <v>2464</v>
      </c>
      <c r="Y9" s="144" t="s">
        <v>2470</v>
      </c>
    </row>
    <row r="10" spans="2:25" x14ac:dyDescent="0.25">
      <c r="B10" t="s">
        <v>2471</v>
      </c>
      <c r="C10" t="s">
        <v>2472</v>
      </c>
      <c r="D10" t="s">
        <v>2368</v>
      </c>
      <c r="E10" s="146" t="s">
        <v>2473</v>
      </c>
      <c r="F10" t="s">
        <v>2370</v>
      </c>
      <c r="G10" t="s">
        <v>2474</v>
      </c>
      <c r="H10" s="145" t="s">
        <v>2475</v>
      </c>
      <c r="I10" t="s">
        <v>2351</v>
      </c>
      <c r="J10" s="141" t="s">
        <v>2476</v>
      </c>
      <c r="K10" s="142" t="s">
        <v>2477</v>
      </c>
      <c r="L10" s="143" t="s">
        <v>2476</v>
      </c>
      <c r="M10" s="144" t="s">
        <v>2478</v>
      </c>
      <c r="N10" s="141" t="s">
        <v>2476</v>
      </c>
      <c r="O10" s="142" t="s">
        <v>2479</v>
      </c>
      <c r="T10" s="143" t="s">
        <v>2476</v>
      </c>
      <c r="U10" s="144" t="s">
        <v>2480</v>
      </c>
      <c r="V10" s="141" t="s">
        <v>2476</v>
      </c>
      <c r="W10" s="142" t="s">
        <v>2481</v>
      </c>
      <c r="X10" s="143" t="s">
        <v>2476</v>
      </c>
      <c r="Y10" s="144" t="s">
        <v>2482</v>
      </c>
    </row>
    <row r="11" spans="2:25" x14ac:dyDescent="0.25">
      <c r="B11" t="s">
        <v>2483</v>
      </c>
      <c r="C11" t="s">
        <v>2484</v>
      </c>
      <c r="D11" t="s">
        <v>2368</v>
      </c>
      <c r="E11" t="s">
        <v>2485</v>
      </c>
      <c r="F11" t="s">
        <v>2370</v>
      </c>
      <c r="G11" t="s">
        <v>2411</v>
      </c>
      <c r="H11" s="145" t="s">
        <v>2486</v>
      </c>
      <c r="I11" t="s">
        <v>2351</v>
      </c>
      <c r="J11" s="141" t="s">
        <v>2487</v>
      </c>
      <c r="K11" s="142" t="s">
        <v>2488</v>
      </c>
      <c r="L11" s="143" t="s">
        <v>2487</v>
      </c>
      <c r="M11" s="144" t="s">
        <v>2489</v>
      </c>
      <c r="N11" s="141" t="s">
        <v>2487</v>
      </c>
      <c r="O11" s="142" t="s">
        <v>2490</v>
      </c>
      <c r="T11" s="143" t="s">
        <v>2487</v>
      </c>
      <c r="U11" s="144" t="s">
        <v>2491</v>
      </c>
      <c r="V11" s="141" t="s">
        <v>2487</v>
      </c>
      <c r="W11" s="142" t="s">
        <v>2492</v>
      </c>
      <c r="X11" s="143" t="s">
        <v>2487</v>
      </c>
      <c r="Y11" s="144" t="s">
        <v>2493</v>
      </c>
    </row>
    <row r="12" spans="2:25" x14ac:dyDescent="0.25">
      <c r="B12" t="s">
        <v>2494</v>
      </c>
      <c r="C12" t="s">
        <v>2495</v>
      </c>
      <c r="D12" t="s">
        <v>2368</v>
      </c>
      <c r="E12" t="s">
        <v>2485</v>
      </c>
      <c r="F12" t="s">
        <v>2496</v>
      </c>
      <c r="G12" t="s">
        <v>2411</v>
      </c>
      <c r="H12" s="145" t="s">
        <v>2497</v>
      </c>
      <c r="I12" t="s">
        <v>2351</v>
      </c>
    </row>
    <row r="13" spans="2:25" x14ac:dyDescent="0.25">
      <c r="B13" t="s">
        <v>2498</v>
      </c>
      <c r="C13" t="s">
        <v>2499</v>
      </c>
      <c r="D13" t="s">
        <v>2500</v>
      </c>
      <c r="E13" t="s">
        <v>2369</v>
      </c>
      <c r="F13" t="s">
        <v>2501</v>
      </c>
      <c r="G13" t="s">
        <v>2502</v>
      </c>
      <c r="H13" s="145" t="s">
        <v>2503</v>
      </c>
      <c r="I13" t="s">
        <v>2351</v>
      </c>
    </row>
    <row r="14" spans="2:25" x14ac:dyDescent="0.25">
      <c r="B14" t="s">
        <v>2504</v>
      </c>
      <c r="C14" t="s">
        <v>2505</v>
      </c>
      <c r="D14" t="s">
        <v>2368</v>
      </c>
      <c r="E14" t="s">
        <v>2381</v>
      </c>
      <c r="F14" t="s">
        <v>2506</v>
      </c>
      <c r="G14" t="s">
        <v>2411</v>
      </c>
      <c r="H14" s="145" t="s">
        <v>2507</v>
      </c>
      <c r="I14" t="s">
        <v>2351</v>
      </c>
    </row>
    <row r="15" spans="2:25" x14ac:dyDescent="0.25">
      <c r="B15" t="s">
        <v>2508</v>
      </c>
      <c r="C15" t="s">
        <v>2509</v>
      </c>
      <c r="D15" t="s">
        <v>2368</v>
      </c>
      <c r="E15" t="s">
        <v>2510</v>
      </c>
      <c r="F15" t="s">
        <v>2370</v>
      </c>
      <c r="G15" t="s">
        <v>2511</v>
      </c>
      <c r="H15" s="145" t="s">
        <v>2512</v>
      </c>
      <c r="I15" t="s">
        <v>2351</v>
      </c>
    </row>
    <row r="16" spans="2:25" x14ac:dyDescent="0.25">
      <c r="B16" t="s">
        <v>2513</v>
      </c>
      <c r="C16" t="s">
        <v>2380</v>
      </c>
      <c r="D16" t="s">
        <v>2368</v>
      </c>
      <c r="E16" t="s">
        <v>2514</v>
      </c>
      <c r="F16" t="s">
        <v>2515</v>
      </c>
      <c r="G16" t="s">
        <v>2516</v>
      </c>
      <c r="H16" s="145" t="s">
        <v>2517</v>
      </c>
      <c r="I16" t="s">
        <v>2351</v>
      </c>
    </row>
    <row r="17" spans="2:9" x14ac:dyDescent="0.25">
      <c r="B17" t="s">
        <v>2518</v>
      </c>
      <c r="C17" t="s">
        <v>2519</v>
      </c>
      <c r="D17" t="s">
        <v>2368</v>
      </c>
      <c r="E17" t="s">
        <v>2410</v>
      </c>
      <c r="F17" t="s">
        <v>2520</v>
      </c>
      <c r="G17" t="s">
        <v>2500</v>
      </c>
      <c r="H17" s="145" t="s">
        <v>2521</v>
      </c>
      <c r="I17" t="s">
        <v>2351</v>
      </c>
    </row>
    <row r="18" spans="2:9" x14ac:dyDescent="0.25">
      <c r="B18" t="s">
        <v>2522</v>
      </c>
      <c r="C18" t="s">
        <v>2523</v>
      </c>
      <c r="D18" t="s">
        <v>2368</v>
      </c>
      <c r="E18" t="s">
        <v>2485</v>
      </c>
      <c r="F18" t="s">
        <v>2370</v>
      </c>
      <c r="G18" t="s">
        <v>2371</v>
      </c>
      <c r="H18" s="145" t="s">
        <v>2524</v>
      </c>
      <c r="I18" t="s">
        <v>2351</v>
      </c>
    </row>
    <row r="19" spans="2:9" x14ac:dyDescent="0.25">
      <c r="B19" t="s">
        <v>2525</v>
      </c>
      <c r="C19" t="s">
        <v>2526</v>
      </c>
      <c r="D19" t="s">
        <v>2500</v>
      </c>
      <c r="E19" t="s">
        <v>2461</v>
      </c>
      <c r="F19" t="s">
        <v>2527</v>
      </c>
      <c r="G19" t="s">
        <v>168</v>
      </c>
      <c r="H19" s="145" t="s">
        <v>2528</v>
      </c>
      <c r="I19" t="s">
        <v>2351</v>
      </c>
    </row>
    <row r="20" spans="2:9" x14ac:dyDescent="0.25">
      <c r="B20" t="s">
        <v>2529</v>
      </c>
      <c r="C20" t="s">
        <v>2530</v>
      </c>
      <c r="E20" s="146" t="s">
        <v>2396</v>
      </c>
      <c r="F20" t="s">
        <v>2531</v>
      </c>
      <c r="G20" t="s">
        <v>2371</v>
      </c>
      <c r="H20" s="145" t="s">
        <v>2532</v>
      </c>
      <c r="I20" t="s">
        <v>2351</v>
      </c>
    </row>
    <row r="21" spans="2:9" x14ac:dyDescent="0.25">
      <c r="B21" t="s">
        <v>2533</v>
      </c>
      <c r="C21" t="s">
        <v>2534</v>
      </c>
      <c r="D21" t="s">
        <v>2368</v>
      </c>
      <c r="E21" t="s">
        <v>2535</v>
      </c>
      <c r="F21" t="s">
        <v>2536</v>
      </c>
      <c r="G21" t="s">
        <v>2511</v>
      </c>
      <c r="H21" s="145" t="s">
        <v>2537</v>
      </c>
      <c r="I21" t="s">
        <v>2351</v>
      </c>
    </row>
    <row r="22" spans="2:9" x14ac:dyDescent="0.25">
      <c r="B22" t="s">
        <v>2538</v>
      </c>
      <c r="C22" t="s">
        <v>2534</v>
      </c>
      <c r="D22" t="s">
        <v>2368</v>
      </c>
      <c r="E22" t="s">
        <v>2535</v>
      </c>
      <c r="F22" t="s">
        <v>2536</v>
      </c>
      <c r="G22" t="s">
        <v>2511</v>
      </c>
      <c r="H22" s="145" t="s">
        <v>2539</v>
      </c>
      <c r="I22" t="s">
        <v>2351</v>
      </c>
    </row>
    <row r="23" spans="2:9" x14ac:dyDescent="0.25">
      <c r="B23" t="s">
        <v>2540</v>
      </c>
      <c r="C23" t="s">
        <v>2541</v>
      </c>
      <c r="D23" t="s">
        <v>2368</v>
      </c>
      <c r="E23" t="s">
        <v>2535</v>
      </c>
      <c r="F23" t="s">
        <v>2536</v>
      </c>
      <c r="G23" t="s">
        <v>2474</v>
      </c>
      <c r="H23" s="145" t="s">
        <v>2542</v>
      </c>
      <c r="I23" t="s">
        <v>2351</v>
      </c>
    </row>
    <row r="24" spans="2:9" x14ac:dyDescent="0.25">
      <c r="B24" t="s">
        <v>2543</v>
      </c>
      <c r="C24" t="s">
        <v>2472</v>
      </c>
      <c r="D24" t="s">
        <v>2383</v>
      </c>
      <c r="E24" t="s">
        <v>2514</v>
      </c>
      <c r="F24" t="s">
        <v>2544</v>
      </c>
      <c r="G24" t="s">
        <v>2371</v>
      </c>
      <c r="H24" s="145" t="s">
        <v>2545</v>
      </c>
      <c r="I24" t="s">
        <v>2351</v>
      </c>
    </row>
    <row r="25" spans="2:9" x14ac:dyDescent="0.25">
      <c r="B25" t="s">
        <v>2546</v>
      </c>
      <c r="C25" t="s">
        <v>2423</v>
      </c>
      <c r="D25" t="s">
        <v>2368</v>
      </c>
      <c r="E25" t="s">
        <v>2381</v>
      </c>
      <c r="F25" t="s">
        <v>2547</v>
      </c>
      <c r="G25" t="s">
        <v>2474</v>
      </c>
      <c r="H25" s="145" t="s">
        <v>2548</v>
      </c>
      <c r="I25" t="s">
        <v>2351</v>
      </c>
    </row>
    <row r="26" spans="2:9" x14ac:dyDescent="0.25">
      <c r="B26" t="s">
        <v>2549</v>
      </c>
      <c r="C26" t="s">
        <v>2484</v>
      </c>
      <c r="D26" t="s">
        <v>2550</v>
      </c>
      <c r="E26" t="s">
        <v>2410</v>
      </c>
      <c r="F26" t="s">
        <v>2536</v>
      </c>
      <c r="G26" t="s">
        <v>2474</v>
      </c>
      <c r="H26" s="145" t="s">
        <v>2551</v>
      </c>
      <c r="I26" t="s">
        <v>2351</v>
      </c>
    </row>
    <row r="27" spans="2:9" x14ac:dyDescent="0.25">
      <c r="B27" t="s">
        <v>2552</v>
      </c>
      <c r="C27" t="s">
        <v>2534</v>
      </c>
      <c r="D27" t="s">
        <v>2368</v>
      </c>
      <c r="E27" t="s">
        <v>2369</v>
      </c>
      <c r="F27" t="s">
        <v>2553</v>
      </c>
      <c r="G27" t="s">
        <v>2474</v>
      </c>
      <c r="H27" s="145" t="s">
        <v>2554</v>
      </c>
      <c r="I27" t="s">
        <v>2351</v>
      </c>
    </row>
    <row r="28" spans="2:9" x14ac:dyDescent="0.25">
      <c r="B28" t="s">
        <v>2555</v>
      </c>
      <c r="C28" t="s">
        <v>2409</v>
      </c>
      <c r="D28" t="s">
        <v>2368</v>
      </c>
      <c r="E28" t="s">
        <v>2514</v>
      </c>
      <c r="F28" t="s">
        <v>2556</v>
      </c>
      <c r="G28" t="s">
        <v>2411</v>
      </c>
      <c r="H28" s="145" t="s">
        <v>2557</v>
      </c>
      <c r="I28" t="s">
        <v>2351</v>
      </c>
    </row>
    <row r="29" spans="2:9" x14ac:dyDescent="0.25">
      <c r="B29" t="s">
        <v>2558</v>
      </c>
      <c r="C29" t="s">
        <v>2559</v>
      </c>
      <c r="D29" t="s">
        <v>2368</v>
      </c>
      <c r="E29" t="s">
        <v>2381</v>
      </c>
      <c r="F29" t="s">
        <v>2370</v>
      </c>
      <c r="G29" t="s">
        <v>2474</v>
      </c>
      <c r="H29" s="145" t="s">
        <v>2560</v>
      </c>
      <c r="I29" t="s">
        <v>2351</v>
      </c>
    </row>
    <row r="30" spans="2:9" x14ac:dyDescent="0.25">
      <c r="B30" t="s">
        <v>2561</v>
      </c>
      <c r="C30" t="s">
        <v>2530</v>
      </c>
      <c r="D30" t="s">
        <v>2368</v>
      </c>
      <c r="E30" t="s">
        <v>2514</v>
      </c>
      <c r="F30" t="s">
        <v>2562</v>
      </c>
      <c r="G30" t="s">
        <v>2411</v>
      </c>
      <c r="H30" s="145" t="s">
        <v>2563</v>
      </c>
      <c r="I30" t="s">
        <v>2351</v>
      </c>
    </row>
    <row r="31" spans="2:9" x14ac:dyDescent="0.25">
      <c r="B31" t="s">
        <v>2564</v>
      </c>
      <c r="C31" t="s">
        <v>2460</v>
      </c>
      <c r="D31" t="s">
        <v>2368</v>
      </c>
      <c r="E31" t="s">
        <v>2514</v>
      </c>
      <c r="F31" t="s">
        <v>2370</v>
      </c>
      <c r="G31" t="s">
        <v>2474</v>
      </c>
      <c r="H31" s="145" t="s">
        <v>2565</v>
      </c>
      <c r="I31" t="s">
        <v>2351</v>
      </c>
    </row>
    <row r="32" spans="2:9" x14ac:dyDescent="0.25">
      <c r="B32" t="s">
        <v>2566</v>
      </c>
      <c r="C32" t="s">
        <v>2567</v>
      </c>
      <c r="D32" t="s">
        <v>2368</v>
      </c>
      <c r="E32" t="s">
        <v>2473</v>
      </c>
      <c r="F32" t="s">
        <v>2568</v>
      </c>
      <c r="G32" t="s">
        <v>2474</v>
      </c>
      <c r="H32" s="145" t="s">
        <v>2569</v>
      </c>
      <c r="I32" t="s">
        <v>2351</v>
      </c>
    </row>
    <row r="33" spans="2:9" x14ac:dyDescent="0.25">
      <c r="B33" t="s">
        <v>2570</v>
      </c>
      <c r="C33" t="s">
        <v>2571</v>
      </c>
      <c r="D33" t="s">
        <v>2368</v>
      </c>
      <c r="E33" t="s">
        <v>2572</v>
      </c>
      <c r="F33" t="s">
        <v>2370</v>
      </c>
      <c r="G33" t="s">
        <v>2511</v>
      </c>
      <c r="H33" s="145" t="s">
        <v>2573</v>
      </c>
      <c r="I33" t="s">
        <v>2351</v>
      </c>
    </row>
    <row r="34" spans="2:9" x14ac:dyDescent="0.25">
      <c r="B34" t="s">
        <v>2574</v>
      </c>
      <c r="C34" t="s">
        <v>2575</v>
      </c>
      <c r="D34" t="s">
        <v>2368</v>
      </c>
      <c r="E34" t="s">
        <v>2410</v>
      </c>
      <c r="F34" t="s">
        <v>2370</v>
      </c>
      <c r="G34" t="s">
        <v>2576</v>
      </c>
      <c r="H34" s="147" t="s">
        <v>2577</v>
      </c>
      <c r="I34" t="s">
        <v>2351</v>
      </c>
    </row>
    <row r="35" spans="2:9" x14ac:dyDescent="0.25">
      <c r="B35" t="s">
        <v>2578</v>
      </c>
      <c r="C35" t="s">
        <v>2423</v>
      </c>
      <c r="D35" t="s">
        <v>2368</v>
      </c>
      <c r="E35" t="s">
        <v>2381</v>
      </c>
      <c r="F35" t="s">
        <v>2579</v>
      </c>
      <c r="G35" t="s">
        <v>2474</v>
      </c>
      <c r="H35" s="145" t="s">
        <v>2580</v>
      </c>
      <c r="I35" t="s">
        <v>2351</v>
      </c>
    </row>
    <row r="36" spans="2:9" x14ac:dyDescent="0.25">
      <c r="B36" t="s">
        <v>2581</v>
      </c>
      <c r="C36" t="s">
        <v>2582</v>
      </c>
      <c r="D36" t="s">
        <v>2368</v>
      </c>
      <c r="E36" t="s">
        <v>2381</v>
      </c>
      <c r="F36" t="s">
        <v>2370</v>
      </c>
      <c r="G36" t="s">
        <v>2371</v>
      </c>
      <c r="H36" s="145" t="s">
        <v>2583</v>
      </c>
      <c r="I36" t="s">
        <v>2351</v>
      </c>
    </row>
    <row r="37" spans="2:9" x14ac:dyDescent="0.25">
      <c r="B37" t="s">
        <v>2584</v>
      </c>
      <c r="C37" t="s">
        <v>2541</v>
      </c>
      <c r="D37" t="s">
        <v>2550</v>
      </c>
      <c r="E37" t="s">
        <v>2410</v>
      </c>
      <c r="F37" t="s">
        <v>2536</v>
      </c>
      <c r="G37" t="s">
        <v>2474</v>
      </c>
      <c r="H37" s="145" t="s">
        <v>2585</v>
      </c>
      <c r="I37" t="s">
        <v>2351</v>
      </c>
    </row>
    <row r="38" spans="2:9" x14ac:dyDescent="0.25">
      <c r="B38" t="s">
        <v>2586</v>
      </c>
      <c r="C38" t="s">
        <v>2587</v>
      </c>
      <c r="D38" t="s">
        <v>2368</v>
      </c>
      <c r="E38" t="s">
        <v>2381</v>
      </c>
      <c r="F38" t="s">
        <v>2536</v>
      </c>
      <c r="G38" t="s">
        <v>2396</v>
      </c>
      <c r="H38" s="145" t="s">
        <v>2588</v>
      </c>
      <c r="I38" t="s">
        <v>2351</v>
      </c>
    </row>
    <row r="39" spans="2:9" x14ac:dyDescent="0.25">
      <c r="B39" t="s">
        <v>2589</v>
      </c>
      <c r="C39" t="s">
        <v>2590</v>
      </c>
      <c r="D39" t="s">
        <v>2368</v>
      </c>
      <c r="E39" t="s">
        <v>2410</v>
      </c>
      <c r="F39" t="s">
        <v>2370</v>
      </c>
      <c r="G39" t="s">
        <v>2396</v>
      </c>
      <c r="H39" s="145" t="s">
        <v>2591</v>
      </c>
      <c r="I39" t="s">
        <v>2351</v>
      </c>
    </row>
    <row r="40" spans="2:9" x14ac:dyDescent="0.25">
      <c r="B40" t="s">
        <v>2592</v>
      </c>
      <c r="C40" t="s">
        <v>2593</v>
      </c>
      <c r="D40" t="s">
        <v>2368</v>
      </c>
      <c r="E40" t="s">
        <v>2410</v>
      </c>
      <c r="F40" t="s">
        <v>2536</v>
      </c>
      <c r="G40" t="s">
        <v>2474</v>
      </c>
      <c r="H40" s="147" t="s">
        <v>2594</v>
      </c>
      <c r="I40" t="s">
        <v>2351</v>
      </c>
    </row>
    <row r="41" spans="2:9" x14ac:dyDescent="0.25">
      <c r="B41" t="s">
        <v>2595</v>
      </c>
      <c r="C41" t="s">
        <v>2596</v>
      </c>
      <c r="D41" t="s">
        <v>2550</v>
      </c>
      <c r="E41" t="s">
        <v>2410</v>
      </c>
      <c r="F41" t="s">
        <v>2536</v>
      </c>
      <c r="G41" t="s">
        <v>2474</v>
      </c>
      <c r="H41" s="145" t="s">
        <v>2597</v>
      </c>
      <c r="I41" t="s">
        <v>2351</v>
      </c>
    </row>
    <row r="42" spans="2:9" x14ac:dyDescent="0.25">
      <c r="B42" t="s">
        <v>2598</v>
      </c>
      <c r="C42" t="s">
        <v>2599</v>
      </c>
      <c r="D42" t="s">
        <v>2368</v>
      </c>
      <c r="E42" t="s">
        <v>2600</v>
      </c>
      <c r="F42" t="s">
        <v>2370</v>
      </c>
      <c r="G42" t="s">
        <v>2371</v>
      </c>
      <c r="H42" s="145" t="s">
        <v>2601</v>
      </c>
      <c r="I42" t="s">
        <v>2351</v>
      </c>
    </row>
    <row r="43" spans="2:9" x14ac:dyDescent="0.25">
      <c r="B43" t="s">
        <v>2602</v>
      </c>
      <c r="C43" t="s">
        <v>2603</v>
      </c>
      <c r="D43" t="s">
        <v>2368</v>
      </c>
      <c r="E43" t="s">
        <v>2473</v>
      </c>
      <c r="F43" t="s">
        <v>2370</v>
      </c>
      <c r="G43" t="s">
        <v>2511</v>
      </c>
      <c r="H43" s="145" t="s">
        <v>2604</v>
      </c>
      <c r="I43" t="s">
        <v>2351</v>
      </c>
    </row>
    <row r="44" spans="2:9" x14ac:dyDescent="0.25">
      <c r="B44" t="s">
        <v>2605</v>
      </c>
      <c r="C44" t="s">
        <v>2606</v>
      </c>
      <c r="D44" t="s">
        <v>2368</v>
      </c>
      <c r="E44" t="s">
        <v>2369</v>
      </c>
      <c r="F44" t="s">
        <v>2370</v>
      </c>
      <c r="G44" t="s">
        <v>2474</v>
      </c>
      <c r="H44" s="145" t="s">
        <v>2607</v>
      </c>
      <c r="I44" t="s">
        <v>2351</v>
      </c>
    </row>
    <row r="45" spans="2:9" x14ac:dyDescent="0.25">
      <c r="B45" t="s">
        <v>2608</v>
      </c>
      <c r="C45" t="s">
        <v>2571</v>
      </c>
      <c r="D45" t="s">
        <v>2368</v>
      </c>
      <c r="E45" t="s">
        <v>2609</v>
      </c>
      <c r="F45" t="s">
        <v>2610</v>
      </c>
      <c r="H45" s="145" t="s">
        <v>2611</v>
      </c>
      <c r="I45" t="s">
        <v>2351</v>
      </c>
    </row>
    <row r="46" spans="2:9" x14ac:dyDescent="0.25">
      <c r="B46" t="s">
        <v>2612</v>
      </c>
      <c r="C46" t="s">
        <v>2423</v>
      </c>
      <c r="D46" t="s">
        <v>2368</v>
      </c>
      <c r="E46" t="s">
        <v>2381</v>
      </c>
      <c r="F46" t="s">
        <v>2370</v>
      </c>
      <c r="G46" t="s">
        <v>2500</v>
      </c>
      <c r="H46" s="145" t="s">
        <v>2613</v>
      </c>
      <c r="I46" t="s">
        <v>2351</v>
      </c>
    </row>
    <row r="47" spans="2:9" x14ac:dyDescent="0.25">
      <c r="B47" t="s">
        <v>2614</v>
      </c>
      <c r="C47" t="s">
        <v>2615</v>
      </c>
      <c r="D47" t="s">
        <v>2368</v>
      </c>
      <c r="E47" t="s">
        <v>2473</v>
      </c>
      <c r="F47" t="s">
        <v>2370</v>
      </c>
      <c r="G47" t="s">
        <v>2576</v>
      </c>
      <c r="H47" s="145" t="s">
        <v>2616</v>
      </c>
      <c r="I47" t="s">
        <v>2351</v>
      </c>
    </row>
    <row r="48" spans="2:9" x14ac:dyDescent="0.25">
      <c r="B48" t="s">
        <v>2617</v>
      </c>
      <c r="C48" t="s">
        <v>2599</v>
      </c>
      <c r="D48" t="s">
        <v>2368</v>
      </c>
      <c r="E48" t="s">
        <v>2572</v>
      </c>
      <c r="F48" t="s">
        <v>2618</v>
      </c>
      <c r="G48" t="s">
        <v>2371</v>
      </c>
      <c r="H48" s="145" t="s">
        <v>2619</v>
      </c>
      <c r="I48" t="s">
        <v>2351</v>
      </c>
    </row>
    <row r="49" spans="2:9" x14ac:dyDescent="0.25">
      <c r="B49" t="s">
        <v>2620</v>
      </c>
      <c r="C49" t="s">
        <v>2621</v>
      </c>
      <c r="D49" t="s">
        <v>2368</v>
      </c>
      <c r="E49" t="s">
        <v>2609</v>
      </c>
      <c r="F49" t="s">
        <v>2622</v>
      </c>
      <c r="G49" t="s">
        <v>2371</v>
      </c>
      <c r="H49" s="145" t="s">
        <v>2623</v>
      </c>
      <c r="I49" t="s">
        <v>2351</v>
      </c>
    </row>
    <row r="50" spans="2:9" x14ac:dyDescent="0.25">
      <c r="B50" t="s">
        <v>2624</v>
      </c>
      <c r="C50" t="s">
        <v>2484</v>
      </c>
      <c r="D50" t="s">
        <v>2368</v>
      </c>
      <c r="E50" t="s">
        <v>2625</v>
      </c>
      <c r="F50" t="s">
        <v>2536</v>
      </c>
      <c r="G50" t="s">
        <v>2511</v>
      </c>
      <c r="H50" s="147" t="s">
        <v>2626</v>
      </c>
      <c r="I50" t="s">
        <v>2351</v>
      </c>
    </row>
    <row r="51" spans="2:9" x14ac:dyDescent="0.25">
      <c r="B51" t="s">
        <v>2627</v>
      </c>
      <c r="C51" t="s">
        <v>2628</v>
      </c>
      <c r="D51" t="s">
        <v>2629</v>
      </c>
      <c r="E51" t="s">
        <v>2630</v>
      </c>
      <c r="F51" t="s">
        <v>2631</v>
      </c>
      <c r="G51" t="s">
        <v>2511</v>
      </c>
      <c r="H51" s="145" t="s">
        <v>2632</v>
      </c>
      <c r="I51" t="s">
        <v>2351</v>
      </c>
    </row>
    <row r="52" spans="2:9" x14ac:dyDescent="0.25">
      <c r="B52" t="s">
        <v>2633</v>
      </c>
      <c r="C52" t="s">
        <v>2634</v>
      </c>
      <c r="D52" t="s">
        <v>2500</v>
      </c>
      <c r="E52" t="s">
        <v>2514</v>
      </c>
      <c r="F52" t="s">
        <v>2635</v>
      </c>
      <c r="G52" t="s">
        <v>2371</v>
      </c>
      <c r="H52" s="145" t="s">
        <v>2636</v>
      </c>
      <c r="I52" t="s">
        <v>2351</v>
      </c>
    </row>
    <row r="53" spans="2:9" x14ac:dyDescent="0.25">
      <c r="B53" t="s">
        <v>2637</v>
      </c>
      <c r="C53" t="s">
        <v>2638</v>
      </c>
      <c r="D53" t="s">
        <v>2368</v>
      </c>
      <c r="E53" t="s">
        <v>2369</v>
      </c>
      <c r="F53" t="s">
        <v>2639</v>
      </c>
      <c r="G53" t="s">
        <v>2474</v>
      </c>
      <c r="H53" s="145" t="s">
        <v>2640</v>
      </c>
      <c r="I53" t="s">
        <v>2351</v>
      </c>
    </row>
    <row r="54" spans="2:9" x14ac:dyDescent="0.25">
      <c r="B54" t="s">
        <v>2641</v>
      </c>
      <c r="C54" t="s">
        <v>2642</v>
      </c>
      <c r="D54" t="s">
        <v>2368</v>
      </c>
      <c r="E54" t="s">
        <v>2473</v>
      </c>
      <c r="F54" t="s">
        <v>2370</v>
      </c>
      <c r="G54" t="s">
        <v>2511</v>
      </c>
      <c r="H54" s="145" t="s">
        <v>2643</v>
      </c>
      <c r="I54" t="s">
        <v>2351</v>
      </c>
    </row>
    <row r="55" spans="2:9" x14ac:dyDescent="0.25">
      <c r="B55" t="s">
        <v>2644</v>
      </c>
      <c r="C55" t="s">
        <v>2645</v>
      </c>
      <c r="D55" t="s">
        <v>2368</v>
      </c>
      <c r="E55" t="s">
        <v>2600</v>
      </c>
      <c r="F55" t="s">
        <v>2646</v>
      </c>
      <c r="G55" t="s">
        <v>2576</v>
      </c>
      <c r="H55" s="145" t="s">
        <v>2647</v>
      </c>
      <c r="I55" t="s">
        <v>2351</v>
      </c>
    </row>
    <row r="56" spans="2:9" x14ac:dyDescent="0.25">
      <c r="B56" t="s">
        <v>2648</v>
      </c>
      <c r="C56" t="s">
        <v>2423</v>
      </c>
      <c r="D56" t="s">
        <v>2368</v>
      </c>
      <c r="E56" t="s">
        <v>2369</v>
      </c>
      <c r="F56" t="s">
        <v>2536</v>
      </c>
      <c r="G56" t="s">
        <v>2576</v>
      </c>
      <c r="H56" s="145" t="s">
        <v>2649</v>
      </c>
      <c r="I56" t="s">
        <v>2351</v>
      </c>
    </row>
    <row r="57" spans="2:9" x14ac:dyDescent="0.25">
      <c r="B57" t="s">
        <v>2650</v>
      </c>
      <c r="C57" t="s">
        <v>2651</v>
      </c>
      <c r="D57" t="s">
        <v>2396</v>
      </c>
      <c r="E57" t="s">
        <v>2410</v>
      </c>
      <c r="F57" t="s">
        <v>2652</v>
      </c>
      <c r="G57" t="s">
        <v>2396</v>
      </c>
      <c r="H57" s="145" t="s">
        <v>2653</v>
      </c>
      <c r="I57" t="s">
        <v>2351</v>
      </c>
    </row>
    <row r="58" spans="2:9" x14ac:dyDescent="0.25">
      <c r="B58" t="s">
        <v>2654</v>
      </c>
      <c r="C58" t="s">
        <v>2651</v>
      </c>
      <c r="D58" t="s">
        <v>2396</v>
      </c>
      <c r="E58" t="s">
        <v>2410</v>
      </c>
      <c r="F58" t="s">
        <v>2370</v>
      </c>
      <c r="G58" t="s">
        <v>2371</v>
      </c>
      <c r="H58" s="145" t="s">
        <v>2655</v>
      </c>
      <c r="I58" t="s">
        <v>2351</v>
      </c>
    </row>
    <row r="59" spans="2:9" x14ac:dyDescent="0.25">
      <c r="B59" t="s">
        <v>2656</v>
      </c>
      <c r="C59" t="s">
        <v>2423</v>
      </c>
      <c r="D59" t="s">
        <v>2550</v>
      </c>
      <c r="E59" t="s">
        <v>2381</v>
      </c>
      <c r="F59" t="s">
        <v>2536</v>
      </c>
      <c r="G59" t="s">
        <v>2474</v>
      </c>
      <c r="H59" s="145" t="s">
        <v>2657</v>
      </c>
      <c r="I59" t="s">
        <v>2351</v>
      </c>
    </row>
    <row r="60" spans="2:9" x14ac:dyDescent="0.25">
      <c r="B60" t="s">
        <v>2658</v>
      </c>
      <c r="C60" t="s">
        <v>2659</v>
      </c>
      <c r="D60" t="s">
        <v>2368</v>
      </c>
      <c r="E60" t="s">
        <v>2410</v>
      </c>
      <c r="F60" t="s">
        <v>2660</v>
      </c>
      <c r="G60" t="s">
        <v>2500</v>
      </c>
      <c r="H60" s="145" t="s">
        <v>2661</v>
      </c>
      <c r="I60" t="s">
        <v>2351</v>
      </c>
    </row>
    <row r="61" spans="2:9" x14ac:dyDescent="0.25">
      <c r="B61" t="s">
        <v>2662</v>
      </c>
      <c r="C61" t="s">
        <v>2663</v>
      </c>
      <c r="D61" t="s">
        <v>2368</v>
      </c>
      <c r="E61" t="s">
        <v>2381</v>
      </c>
      <c r="F61" t="s">
        <v>2370</v>
      </c>
      <c r="G61" t="s">
        <v>2474</v>
      </c>
      <c r="H61" s="145" t="s">
        <v>2664</v>
      </c>
      <c r="I61" t="s">
        <v>2351</v>
      </c>
    </row>
    <row r="62" spans="2:9" x14ac:dyDescent="0.25">
      <c r="B62" t="s">
        <v>2665</v>
      </c>
      <c r="C62" t="s">
        <v>2567</v>
      </c>
      <c r="D62" t="s">
        <v>2368</v>
      </c>
      <c r="E62" t="s">
        <v>2666</v>
      </c>
      <c r="F62" t="s">
        <v>2667</v>
      </c>
      <c r="G62" t="s">
        <v>2371</v>
      </c>
      <c r="H62" s="145" t="s">
        <v>2668</v>
      </c>
      <c r="I62" t="s">
        <v>2351</v>
      </c>
    </row>
    <row r="63" spans="2:9" x14ac:dyDescent="0.25">
      <c r="B63" t="s">
        <v>2669</v>
      </c>
      <c r="C63" t="s">
        <v>2663</v>
      </c>
      <c r="D63" t="s">
        <v>2368</v>
      </c>
      <c r="E63" t="s">
        <v>2572</v>
      </c>
      <c r="F63" t="s">
        <v>2670</v>
      </c>
      <c r="G63" t="s">
        <v>2474</v>
      </c>
      <c r="H63" s="145" t="s">
        <v>2671</v>
      </c>
      <c r="I63" t="s">
        <v>2351</v>
      </c>
    </row>
    <row r="64" spans="2:9" x14ac:dyDescent="0.25">
      <c r="B64" t="s">
        <v>2672</v>
      </c>
      <c r="C64" t="s">
        <v>2603</v>
      </c>
      <c r="D64" t="s">
        <v>2368</v>
      </c>
      <c r="E64" t="s">
        <v>2369</v>
      </c>
      <c r="F64" t="s">
        <v>2370</v>
      </c>
      <c r="G64" t="s">
        <v>2411</v>
      </c>
      <c r="H64" s="145" t="s">
        <v>2673</v>
      </c>
      <c r="I64" t="s">
        <v>2351</v>
      </c>
    </row>
    <row r="65" spans="2:9" x14ac:dyDescent="0.25">
      <c r="B65" t="s">
        <v>2674</v>
      </c>
      <c r="C65" t="s">
        <v>2603</v>
      </c>
      <c r="D65" t="s">
        <v>2368</v>
      </c>
      <c r="E65" t="s">
        <v>2666</v>
      </c>
      <c r="F65" t="s">
        <v>2675</v>
      </c>
      <c r="G65" t="s">
        <v>2371</v>
      </c>
      <c r="H65" s="147" t="s">
        <v>2676</v>
      </c>
      <c r="I65" t="s">
        <v>2351</v>
      </c>
    </row>
    <row r="66" spans="2:9" x14ac:dyDescent="0.25">
      <c r="B66" t="s">
        <v>2677</v>
      </c>
      <c r="C66" t="s">
        <v>2678</v>
      </c>
      <c r="D66" t="s">
        <v>2396</v>
      </c>
      <c r="E66" t="s">
        <v>2572</v>
      </c>
      <c r="F66" t="s">
        <v>2370</v>
      </c>
      <c r="G66" t="s">
        <v>2411</v>
      </c>
      <c r="H66" s="145" t="s">
        <v>2679</v>
      </c>
      <c r="I66" t="s">
        <v>2351</v>
      </c>
    </row>
    <row r="67" spans="2:9" x14ac:dyDescent="0.25">
      <c r="B67" t="s">
        <v>2680</v>
      </c>
      <c r="C67" t="s">
        <v>2642</v>
      </c>
      <c r="D67" t="s">
        <v>2396</v>
      </c>
      <c r="E67" t="s">
        <v>2572</v>
      </c>
      <c r="F67" t="s">
        <v>2681</v>
      </c>
      <c r="G67" t="s">
        <v>2411</v>
      </c>
      <c r="H67" s="145" t="s">
        <v>2682</v>
      </c>
      <c r="I67" t="s">
        <v>2351</v>
      </c>
    </row>
    <row r="68" spans="2:9" x14ac:dyDescent="0.25">
      <c r="B68" t="s">
        <v>2683</v>
      </c>
      <c r="C68" t="s">
        <v>2509</v>
      </c>
      <c r="D68" t="s">
        <v>2396</v>
      </c>
      <c r="E68" t="s">
        <v>2572</v>
      </c>
      <c r="F68" t="s">
        <v>2370</v>
      </c>
      <c r="G68" t="s">
        <v>2411</v>
      </c>
      <c r="H68" s="145" t="s">
        <v>2684</v>
      </c>
      <c r="I68" t="s">
        <v>2351</v>
      </c>
    </row>
    <row r="69" spans="2:9" x14ac:dyDescent="0.25">
      <c r="B69" t="s">
        <v>2685</v>
      </c>
      <c r="C69" t="s">
        <v>2686</v>
      </c>
      <c r="D69" t="s">
        <v>2396</v>
      </c>
      <c r="E69" t="s">
        <v>2572</v>
      </c>
      <c r="F69" t="s">
        <v>2370</v>
      </c>
      <c r="G69" t="s">
        <v>2411</v>
      </c>
      <c r="H69" s="145" t="s">
        <v>2687</v>
      </c>
      <c r="I69" t="s">
        <v>2351</v>
      </c>
    </row>
    <row r="70" spans="2:9" x14ac:dyDescent="0.25">
      <c r="B70" t="s">
        <v>2688</v>
      </c>
      <c r="C70" t="s">
        <v>2642</v>
      </c>
      <c r="D70" t="s">
        <v>2368</v>
      </c>
      <c r="E70" t="s">
        <v>2609</v>
      </c>
      <c r="F70" t="s">
        <v>2689</v>
      </c>
      <c r="G70" t="s">
        <v>2371</v>
      </c>
      <c r="H70" s="147" t="s">
        <v>2690</v>
      </c>
      <c r="I70" t="s">
        <v>2351</v>
      </c>
    </row>
    <row r="71" spans="2:9" x14ac:dyDescent="0.25">
      <c r="B71" t="s">
        <v>2691</v>
      </c>
      <c r="C71" t="s">
        <v>2686</v>
      </c>
      <c r="D71" t="s">
        <v>2368</v>
      </c>
      <c r="E71" t="s">
        <v>2369</v>
      </c>
      <c r="F71" t="s">
        <v>2692</v>
      </c>
      <c r="G71" t="s">
        <v>2411</v>
      </c>
      <c r="H71" s="145" t="s">
        <v>2693</v>
      </c>
      <c r="I71" t="s">
        <v>2351</v>
      </c>
    </row>
    <row r="72" spans="2:9" x14ac:dyDescent="0.25">
      <c r="B72" t="s">
        <v>2694</v>
      </c>
      <c r="C72" t="s">
        <v>2651</v>
      </c>
      <c r="D72" t="s">
        <v>2396</v>
      </c>
      <c r="E72" t="s">
        <v>2410</v>
      </c>
      <c r="F72" t="s">
        <v>2536</v>
      </c>
      <c r="G72" t="s">
        <v>2396</v>
      </c>
      <c r="H72" s="145" t="s">
        <v>2695</v>
      </c>
      <c r="I72" t="s">
        <v>2351</v>
      </c>
    </row>
    <row r="73" spans="2:9" x14ac:dyDescent="0.25">
      <c r="B73" t="s">
        <v>2696</v>
      </c>
      <c r="C73" t="s">
        <v>2697</v>
      </c>
      <c r="D73" t="s">
        <v>2368</v>
      </c>
      <c r="E73" t="s">
        <v>2514</v>
      </c>
      <c r="F73" t="s">
        <v>2370</v>
      </c>
      <c r="G73" t="s">
        <v>2698</v>
      </c>
      <c r="H73" s="145" t="s">
        <v>2699</v>
      </c>
      <c r="I73" t="s">
        <v>2351</v>
      </c>
    </row>
    <row r="74" spans="2:9" x14ac:dyDescent="0.25">
      <c r="B74" t="s">
        <v>2700</v>
      </c>
      <c r="C74" t="s">
        <v>2571</v>
      </c>
      <c r="D74" t="s">
        <v>2629</v>
      </c>
      <c r="E74" t="s">
        <v>2410</v>
      </c>
      <c r="F74" t="s">
        <v>2701</v>
      </c>
      <c r="G74" t="s">
        <v>2502</v>
      </c>
      <c r="H74" s="145" t="s">
        <v>2702</v>
      </c>
      <c r="I74" t="s">
        <v>2351</v>
      </c>
    </row>
    <row r="75" spans="2:9" x14ac:dyDescent="0.25">
      <c r="B75" t="s">
        <v>2703</v>
      </c>
      <c r="C75" t="s">
        <v>2596</v>
      </c>
      <c r="D75" t="s">
        <v>2368</v>
      </c>
      <c r="E75" t="s">
        <v>2514</v>
      </c>
      <c r="F75" t="s">
        <v>2704</v>
      </c>
      <c r="G75" t="s">
        <v>2516</v>
      </c>
      <c r="H75" s="147" t="s">
        <v>2705</v>
      </c>
      <c r="I75" t="s">
        <v>2351</v>
      </c>
    </row>
    <row r="76" spans="2:9" x14ac:dyDescent="0.25">
      <c r="B76" t="s">
        <v>2706</v>
      </c>
      <c r="C76" t="s">
        <v>2707</v>
      </c>
      <c r="D76" t="s">
        <v>2368</v>
      </c>
      <c r="E76" t="s">
        <v>2708</v>
      </c>
      <c r="F76" t="s">
        <v>2709</v>
      </c>
      <c r="G76" t="s">
        <v>2511</v>
      </c>
      <c r="H76" s="145" t="s">
        <v>2710</v>
      </c>
      <c r="I76" t="s">
        <v>2351</v>
      </c>
    </row>
    <row r="77" spans="2:9" x14ac:dyDescent="0.25">
      <c r="B77" t="s">
        <v>2711</v>
      </c>
      <c r="C77" t="s">
        <v>2712</v>
      </c>
      <c r="D77" t="s">
        <v>2629</v>
      </c>
      <c r="E77" t="s">
        <v>2713</v>
      </c>
      <c r="F77" t="s">
        <v>2714</v>
      </c>
      <c r="G77" t="s">
        <v>2715</v>
      </c>
      <c r="H77" s="145" t="s">
        <v>2716</v>
      </c>
      <c r="I77" t="s">
        <v>2351</v>
      </c>
    </row>
    <row r="78" spans="2:9" x14ac:dyDescent="0.25">
      <c r="B78" t="s">
        <v>2717</v>
      </c>
      <c r="C78" t="s">
        <v>2409</v>
      </c>
      <c r="D78" t="s">
        <v>2368</v>
      </c>
      <c r="E78" t="s">
        <v>2718</v>
      </c>
      <c r="F78" t="s">
        <v>2719</v>
      </c>
      <c r="G78" t="s">
        <v>2383</v>
      </c>
      <c r="H78" s="145" t="s">
        <v>2720</v>
      </c>
      <c r="I78" t="s">
        <v>2351</v>
      </c>
    </row>
    <row r="79" spans="2:9" x14ac:dyDescent="0.25">
      <c r="B79" t="s">
        <v>2721</v>
      </c>
      <c r="C79" t="s">
        <v>2559</v>
      </c>
      <c r="D79" t="s">
        <v>2722</v>
      </c>
      <c r="E79" t="s">
        <v>2369</v>
      </c>
      <c r="F79" t="s">
        <v>2562</v>
      </c>
      <c r="G79" t="s">
        <v>2371</v>
      </c>
      <c r="H79" s="145" t="s">
        <v>2723</v>
      </c>
      <c r="I79" t="s">
        <v>2351</v>
      </c>
    </row>
    <row r="80" spans="2:9" x14ac:dyDescent="0.25">
      <c r="B80" t="s">
        <v>2724</v>
      </c>
      <c r="C80" t="s">
        <v>2603</v>
      </c>
      <c r="D80" t="s">
        <v>2368</v>
      </c>
      <c r="E80" t="s">
        <v>2381</v>
      </c>
      <c r="F80" t="s">
        <v>2370</v>
      </c>
      <c r="G80" t="s">
        <v>2371</v>
      </c>
      <c r="H80" s="147" t="s">
        <v>2725</v>
      </c>
      <c r="I80" t="s">
        <v>2351</v>
      </c>
    </row>
    <row r="81" spans="2:9" x14ac:dyDescent="0.25">
      <c r="B81" t="s">
        <v>2726</v>
      </c>
      <c r="C81" t="s">
        <v>2727</v>
      </c>
      <c r="D81" t="s">
        <v>2368</v>
      </c>
      <c r="E81" t="s">
        <v>2381</v>
      </c>
      <c r="F81" t="s">
        <v>2728</v>
      </c>
      <c r="G81" t="s">
        <v>2371</v>
      </c>
      <c r="H81" s="145" t="s">
        <v>2729</v>
      </c>
      <c r="I81" t="s">
        <v>2351</v>
      </c>
    </row>
    <row r="82" spans="2:9" x14ac:dyDescent="0.25">
      <c r="B82" t="s">
        <v>2730</v>
      </c>
      <c r="C82" t="s">
        <v>2621</v>
      </c>
      <c r="D82" t="s">
        <v>2396</v>
      </c>
      <c r="E82" t="s">
        <v>2461</v>
      </c>
      <c r="F82" t="s">
        <v>2731</v>
      </c>
      <c r="G82" t="s">
        <v>2371</v>
      </c>
      <c r="H82" s="145" t="s">
        <v>2732</v>
      </c>
      <c r="I82" t="s">
        <v>2351</v>
      </c>
    </row>
    <row r="83" spans="2:9" x14ac:dyDescent="0.25">
      <c r="B83" t="s">
        <v>2733</v>
      </c>
      <c r="C83" t="s">
        <v>2734</v>
      </c>
      <c r="D83" t="s">
        <v>2396</v>
      </c>
      <c r="E83" t="s">
        <v>2381</v>
      </c>
      <c r="F83" t="s">
        <v>2735</v>
      </c>
      <c r="G83" t="s">
        <v>168</v>
      </c>
      <c r="H83" s="145" t="s">
        <v>2736</v>
      </c>
      <c r="I83" t="s">
        <v>2351</v>
      </c>
    </row>
    <row r="84" spans="2:9" x14ac:dyDescent="0.25">
      <c r="B84" t="s">
        <v>2737</v>
      </c>
      <c r="C84" t="s">
        <v>2606</v>
      </c>
      <c r="D84" t="s">
        <v>2368</v>
      </c>
      <c r="E84" t="s">
        <v>2473</v>
      </c>
      <c r="F84" t="s">
        <v>2370</v>
      </c>
      <c r="G84" t="s">
        <v>2474</v>
      </c>
      <c r="H84" s="145" t="s">
        <v>2738</v>
      </c>
      <c r="I84" t="s">
        <v>2351</v>
      </c>
    </row>
    <row r="85" spans="2:9" x14ac:dyDescent="0.25">
      <c r="B85" t="s">
        <v>2739</v>
      </c>
      <c r="C85" t="s">
        <v>2541</v>
      </c>
      <c r="D85" t="s">
        <v>2368</v>
      </c>
      <c r="E85" t="s">
        <v>2410</v>
      </c>
      <c r="F85" t="s">
        <v>2536</v>
      </c>
      <c r="G85" t="s">
        <v>2474</v>
      </c>
      <c r="H85" s="147" t="s">
        <v>2740</v>
      </c>
      <c r="I85" t="s">
        <v>2351</v>
      </c>
    </row>
    <row r="86" spans="2:9" x14ac:dyDescent="0.25">
      <c r="B86" t="s">
        <v>2741</v>
      </c>
      <c r="C86" t="s">
        <v>2599</v>
      </c>
      <c r="D86" t="s">
        <v>2368</v>
      </c>
      <c r="E86" t="s">
        <v>2514</v>
      </c>
      <c r="F86" t="s">
        <v>2370</v>
      </c>
      <c r="G86" t="s">
        <v>2371</v>
      </c>
      <c r="H86" s="145" t="s">
        <v>2742</v>
      </c>
      <c r="I86" t="s">
        <v>2351</v>
      </c>
    </row>
    <row r="87" spans="2:9" x14ac:dyDescent="0.25">
      <c r="B87" t="s">
        <v>2743</v>
      </c>
      <c r="C87" t="s">
        <v>2744</v>
      </c>
      <c r="D87" t="s">
        <v>2368</v>
      </c>
      <c r="E87" t="s">
        <v>2473</v>
      </c>
      <c r="F87" t="s">
        <v>2745</v>
      </c>
      <c r="G87" t="s">
        <v>2474</v>
      </c>
      <c r="H87" s="145" t="s">
        <v>2746</v>
      </c>
      <c r="I87" t="s">
        <v>2351</v>
      </c>
    </row>
    <row r="88" spans="2:9" x14ac:dyDescent="0.25">
      <c r="B88" t="s">
        <v>2747</v>
      </c>
      <c r="C88" t="s">
        <v>2596</v>
      </c>
      <c r="D88" t="s">
        <v>2368</v>
      </c>
      <c r="E88" t="s">
        <v>2369</v>
      </c>
      <c r="F88" t="s">
        <v>2748</v>
      </c>
      <c r="G88" t="s">
        <v>2511</v>
      </c>
      <c r="H88" s="145" t="s">
        <v>2749</v>
      </c>
      <c r="I88" t="s">
        <v>2351</v>
      </c>
    </row>
    <row r="89" spans="2:9" x14ac:dyDescent="0.25">
      <c r="B89" t="s">
        <v>14</v>
      </c>
      <c r="C89" t="s">
        <v>2409</v>
      </c>
      <c r="D89" t="s">
        <v>2368</v>
      </c>
      <c r="E89" t="s">
        <v>2514</v>
      </c>
      <c r="F89" t="s">
        <v>2750</v>
      </c>
      <c r="G89" t="s">
        <v>2383</v>
      </c>
      <c r="H89" s="147" t="s">
        <v>2751</v>
      </c>
      <c r="I89" t="s">
        <v>2351</v>
      </c>
    </row>
    <row r="90" spans="2:9" x14ac:dyDescent="0.25">
      <c r="B90" t="s">
        <v>2752</v>
      </c>
      <c r="C90" t="s">
        <v>2541</v>
      </c>
      <c r="D90" t="s">
        <v>2368</v>
      </c>
      <c r="E90" t="s">
        <v>2369</v>
      </c>
      <c r="F90" t="s">
        <v>2370</v>
      </c>
      <c r="G90" t="s">
        <v>2500</v>
      </c>
      <c r="H90" s="145" t="s">
        <v>2753</v>
      </c>
      <c r="I90" t="s">
        <v>2351</v>
      </c>
    </row>
    <row r="91" spans="2:9" x14ac:dyDescent="0.25">
      <c r="B91" t="s">
        <v>2754</v>
      </c>
      <c r="C91" t="s">
        <v>2534</v>
      </c>
      <c r="D91" t="s">
        <v>2368</v>
      </c>
      <c r="E91" t="s">
        <v>2514</v>
      </c>
      <c r="F91" t="s">
        <v>2370</v>
      </c>
      <c r="G91" t="s">
        <v>2383</v>
      </c>
      <c r="H91" s="145" t="s">
        <v>2755</v>
      </c>
      <c r="I91" t="s">
        <v>2351</v>
      </c>
    </row>
    <row r="92" spans="2:9" x14ac:dyDescent="0.25">
      <c r="B92" t="s">
        <v>2756</v>
      </c>
      <c r="C92" t="s">
        <v>2757</v>
      </c>
      <c r="D92" t="s">
        <v>2368</v>
      </c>
      <c r="E92" t="s">
        <v>2609</v>
      </c>
      <c r="F92" t="s">
        <v>2758</v>
      </c>
      <c r="G92" t="s">
        <v>2474</v>
      </c>
      <c r="H92" s="145" t="s">
        <v>2759</v>
      </c>
      <c r="I92" t="s">
        <v>2351</v>
      </c>
    </row>
    <row r="93" spans="2:9" x14ac:dyDescent="0.25">
      <c r="B93" t="s">
        <v>2760</v>
      </c>
      <c r="C93" t="s">
        <v>2761</v>
      </c>
      <c r="D93" t="s">
        <v>2368</v>
      </c>
      <c r="E93" t="s">
        <v>2369</v>
      </c>
      <c r="F93" t="s">
        <v>2562</v>
      </c>
      <c r="G93" t="s">
        <v>2500</v>
      </c>
      <c r="H93" s="145" t="s">
        <v>2762</v>
      </c>
      <c r="I93" t="s">
        <v>2351</v>
      </c>
    </row>
    <row r="94" spans="2:9" x14ac:dyDescent="0.25">
      <c r="B94" t="s">
        <v>2763</v>
      </c>
      <c r="C94" t="s">
        <v>2567</v>
      </c>
      <c r="D94" t="s">
        <v>2368</v>
      </c>
      <c r="E94" t="s">
        <v>2535</v>
      </c>
      <c r="F94" t="s">
        <v>2536</v>
      </c>
      <c r="G94" t="s">
        <v>2371</v>
      </c>
      <c r="H94" s="147" t="s">
        <v>2764</v>
      </c>
      <c r="I94" t="s">
        <v>2351</v>
      </c>
    </row>
    <row r="95" spans="2:9" x14ac:dyDescent="0.25">
      <c r="B95" t="s">
        <v>2765</v>
      </c>
      <c r="C95" t="s">
        <v>2766</v>
      </c>
      <c r="D95" t="s">
        <v>2368</v>
      </c>
      <c r="E95" t="s">
        <v>2410</v>
      </c>
      <c r="F95" t="s">
        <v>2370</v>
      </c>
      <c r="G95" t="s">
        <v>2511</v>
      </c>
      <c r="H95" s="145" t="s">
        <v>2767</v>
      </c>
      <c r="I95" t="s">
        <v>2351</v>
      </c>
    </row>
    <row r="96" spans="2:9" x14ac:dyDescent="0.25">
      <c r="B96" t="s">
        <v>2768</v>
      </c>
      <c r="C96" t="s">
        <v>2659</v>
      </c>
      <c r="D96" t="s">
        <v>2368</v>
      </c>
      <c r="E96" t="s">
        <v>2410</v>
      </c>
      <c r="F96" t="s">
        <v>2370</v>
      </c>
      <c r="G96" t="s">
        <v>2511</v>
      </c>
      <c r="H96" s="145" t="s">
        <v>2769</v>
      </c>
      <c r="I96" t="s">
        <v>2351</v>
      </c>
    </row>
    <row r="97" spans="2:9" x14ac:dyDescent="0.25">
      <c r="B97" t="s">
        <v>2770</v>
      </c>
      <c r="C97" t="s">
        <v>2659</v>
      </c>
      <c r="D97" t="s">
        <v>2368</v>
      </c>
      <c r="E97" t="s">
        <v>2410</v>
      </c>
      <c r="F97" t="s">
        <v>2771</v>
      </c>
      <c r="G97" t="s">
        <v>2511</v>
      </c>
      <c r="H97" s="145" t="s">
        <v>2772</v>
      </c>
      <c r="I97" t="s">
        <v>2351</v>
      </c>
    </row>
    <row r="98" spans="2:9" x14ac:dyDescent="0.25">
      <c r="B98" t="s">
        <v>2773</v>
      </c>
      <c r="C98" t="s">
        <v>2774</v>
      </c>
      <c r="D98" t="s">
        <v>2368</v>
      </c>
      <c r="E98" t="s">
        <v>2410</v>
      </c>
      <c r="F98" t="s">
        <v>2775</v>
      </c>
      <c r="G98" t="s">
        <v>2474</v>
      </c>
      <c r="H98" s="145" t="s">
        <v>2776</v>
      </c>
      <c r="I98" t="s">
        <v>2351</v>
      </c>
    </row>
    <row r="99" spans="2:9" x14ac:dyDescent="0.25">
      <c r="B99" t="s">
        <v>2777</v>
      </c>
      <c r="C99" t="s">
        <v>2686</v>
      </c>
      <c r="D99" t="s">
        <v>2368</v>
      </c>
      <c r="E99" t="s">
        <v>2510</v>
      </c>
      <c r="F99" t="s">
        <v>2536</v>
      </c>
      <c r="G99" t="s">
        <v>2371</v>
      </c>
      <c r="H99" s="145" t="s">
        <v>2778</v>
      </c>
      <c r="I99" t="s">
        <v>2351</v>
      </c>
    </row>
    <row r="100" spans="2:9" x14ac:dyDescent="0.25">
      <c r="B100" t="s">
        <v>2779</v>
      </c>
      <c r="C100" t="s">
        <v>2645</v>
      </c>
      <c r="D100" t="s">
        <v>2368</v>
      </c>
      <c r="E100" t="s">
        <v>2410</v>
      </c>
      <c r="F100" t="s">
        <v>2370</v>
      </c>
      <c r="G100" t="s">
        <v>2500</v>
      </c>
      <c r="H100" s="145" t="s">
        <v>2780</v>
      </c>
      <c r="I100" t="s">
        <v>2351</v>
      </c>
    </row>
    <row r="101" spans="2:9" x14ac:dyDescent="0.25">
      <c r="B101" t="s">
        <v>2781</v>
      </c>
      <c r="C101" t="s">
        <v>2782</v>
      </c>
      <c r="D101" t="s">
        <v>2368</v>
      </c>
      <c r="E101" t="s">
        <v>2369</v>
      </c>
      <c r="F101" t="s">
        <v>2783</v>
      </c>
      <c r="G101" t="s">
        <v>2371</v>
      </c>
      <c r="H101" s="145" t="s">
        <v>2784</v>
      </c>
      <c r="I101" t="s">
        <v>2351</v>
      </c>
    </row>
    <row r="102" spans="2:9" x14ac:dyDescent="0.25">
      <c r="B102" t="s">
        <v>2785</v>
      </c>
      <c r="C102" t="s">
        <v>2484</v>
      </c>
      <c r="D102" t="s">
        <v>2368</v>
      </c>
      <c r="E102" t="s">
        <v>2410</v>
      </c>
      <c r="F102" t="s">
        <v>2786</v>
      </c>
      <c r="G102" t="s">
        <v>2474</v>
      </c>
      <c r="H102" s="145" t="s">
        <v>2787</v>
      </c>
      <c r="I102" t="s">
        <v>2351</v>
      </c>
    </row>
    <row r="103" spans="2:9" x14ac:dyDescent="0.25">
      <c r="B103" t="s">
        <v>2788</v>
      </c>
      <c r="C103" t="s">
        <v>2559</v>
      </c>
      <c r="D103" t="s">
        <v>2368</v>
      </c>
      <c r="E103" t="s">
        <v>2473</v>
      </c>
      <c r="F103" t="s">
        <v>2370</v>
      </c>
      <c r="G103" t="s">
        <v>2371</v>
      </c>
      <c r="H103" s="145" t="s">
        <v>2789</v>
      </c>
      <c r="I103" t="s">
        <v>2351</v>
      </c>
    </row>
    <row r="104" spans="2:9" x14ac:dyDescent="0.25">
      <c r="B104" t="s">
        <v>2790</v>
      </c>
      <c r="C104" t="s">
        <v>2423</v>
      </c>
      <c r="D104" t="s">
        <v>2368</v>
      </c>
      <c r="E104" t="s">
        <v>2369</v>
      </c>
      <c r="F104" t="s">
        <v>2536</v>
      </c>
      <c r="G104" t="s">
        <v>2371</v>
      </c>
      <c r="H104" s="145" t="s">
        <v>2791</v>
      </c>
      <c r="I104" t="s">
        <v>2351</v>
      </c>
    </row>
    <row r="105" spans="2:9" x14ac:dyDescent="0.25">
      <c r="B105" t="s">
        <v>2792</v>
      </c>
      <c r="C105" t="s">
        <v>2793</v>
      </c>
      <c r="D105" t="s">
        <v>2368</v>
      </c>
      <c r="E105" t="s">
        <v>2410</v>
      </c>
      <c r="F105" t="s">
        <v>2794</v>
      </c>
      <c r="G105" t="s">
        <v>2371</v>
      </c>
      <c r="H105" s="145" t="s">
        <v>2795</v>
      </c>
      <c r="I105" t="s">
        <v>2351</v>
      </c>
    </row>
    <row r="106" spans="2:9" x14ac:dyDescent="0.25">
      <c r="B106" t="s">
        <v>2796</v>
      </c>
      <c r="C106" t="s">
        <v>2599</v>
      </c>
      <c r="D106" t="s">
        <v>2550</v>
      </c>
      <c r="E106" t="s">
        <v>2410</v>
      </c>
      <c r="F106" t="s">
        <v>2370</v>
      </c>
      <c r="G106" t="s">
        <v>2474</v>
      </c>
      <c r="H106" s="147" t="s">
        <v>2797</v>
      </c>
      <c r="I106" t="s">
        <v>2351</v>
      </c>
    </row>
    <row r="107" spans="2:9" x14ac:dyDescent="0.25">
      <c r="B107" t="s">
        <v>2798</v>
      </c>
      <c r="C107" t="s">
        <v>2757</v>
      </c>
      <c r="D107" t="s">
        <v>2550</v>
      </c>
      <c r="E107" t="s">
        <v>2381</v>
      </c>
      <c r="F107" t="s">
        <v>2536</v>
      </c>
      <c r="G107" t="s">
        <v>2371</v>
      </c>
      <c r="H107" s="145" t="s">
        <v>2799</v>
      </c>
      <c r="I107" t="s">
        <v>2351</v>
      </c>
    </row>
    <row r="108" spans="2:9" x14ac:dyDescent="0.25">
      <c r="B108" t="s">
        <v>2800</v>
      </c>
      <c r="C108" t="s">
        <v>2663</v>
      </c>
      <c r="D108" t="s">
        <v>2368</v>
      </c>
      <c r="E108" t="s">
        <v>2369</v>
      </c>
      <c r="F108" t="s">
        <v>2370</v>
      </c>
      <c r="G108" t="s">
        <v>2474</v>
      </c>
      <c r="H108" s="145" t="s">
        <v>2801</v>
      </c>
      <c r="I108" t="s">
        <v>2351</v>
      </c>
    </row>
    <row r="109" spans="2:9" x14ac:dyDescent="0.25">
      <c r="B109" t="s">
        <v>2802</v>
      </c>
      <c r="C109" t="s">
        <v>2499</v>
      </c>
      <c r="D109" t="s">
        <v>2368</v>
      </c>
      <c r="E109" t="s">
        <v>2369</v>
      </c>
      <c r="F109" t="s">
        <v>2370</v>
      </c>
      <c r="G109" t="s">
        <v>2411</v>
      </c>
      <c r="H109" s="145" t="s">
        <v>2803</v>
      </c>
      <c r="I109" t="s">
        <v>2351</v>
      </c>
    </row>
    <row r="110" spans="2:9" x14ac:dyDescent="0.25">
      <c r="B110" t="s">
        <v>2804</v>
      </c>
      <c r="C110" t="s">
        <v>2805</v>
      </c>
      <c r="D110" t="s">
        <v>2368</v>
      </c>
      <c r="E110" t="s">
        <v>2369</v>
      </c>
      <c r="F110" t="s">
        <v>2370</v>
      </c>
      <c r="G110" t="s">
        <v>2474</v>
      </c>
      <c r="H110" s="145" t="s">
        <v>2806</v>
      </c>
      <c r="I110" t="s">
        <v>2351</v>
      </c>
    </row>
    <row r="111" spans="2:9" x14ac:dyDescent="0.25">
      <c r="B111" t="s">
        <v>2807</v>
      </c>
      <c r="C111" t="s">
        <v>2808</v>
      </c>
      <c r="D111" t="s">
        <v>2396</v>
      </c>
      <c r="E111" t="s">
        <v>2514</v>
      </c>
      <c r="F111" t="s">
        <v>2809</v>
      </c>
      <c r="G111" t="s">
        <v>2516</v>
      </c>
      <c r="H111" s="145" t="s">
        <v>2810</v>
      </c>
      <c r="I111" t="s">
        <v>2351</v>
      </c>
    </row>
    <row r="112" spans="2:9" x14ac:dyDescent="0.25">
      <c r="B112" t="s">
        <v>2811</v>
      </c>
      <c r="C112" t="s">
        <v>2734</v>
      </c>
      <c r="D112" t="s">
        <v>2396</v>
      </c>
      <c r="E112" t="s">
        <v>168</v>
      </c>
      <c r="F112" t="s">
        <v>2812</v>
      </c>
      <c r="G112" t="s">
        <v>2383</v>
      </c>
      <c r="H112" s="145" t="s">
        <v>2813</v>
      </c>
      <c r="I112" t="s">
        <v>2351</v>
      </c>
    </row>
    <row r="113" spans="2:9" x14ac:dyDescent="0.25">
      <c r="B113" t="s">
        <v>2814</v>
      </c>
      <c r="C113" t="s">
        <v>2815</v>
      </c>
      <c r="D113" t="s">
        <v>2368</v>
      </c>
      <c r="E113" t="s">
        <v>2381</v>
      </c>
      <c r="F113" t="s">
        <v>2370</v>
      </c>
      <c r="G113" t="s">
        <v>2371</v>
      </c>
      <c r="H113" s="145" t="s">
        <v>2816</v>
      </c>
      <c r="I113" t="s">
        <v>2351</v>
      </c>
    </row>
    <row r="114" spans="2:9" x14ac:dyDescent="0.25">
      <c r="B114" t="s">
        <v>2817</v>
      </c>
      <c r="C114" t="s">
        <v>2818</v>
      </c>
      <c r="D114" t="s">
        <v>2368</v>
      </c>
      <c r="E114" t="s">
        <v>2510</v>
      </c>
      <c r="F114" t="s">
        <v>2819</v>
      </c>
      <c r="G114" t="s">
        <v>2474</v>
      </c>
      <c r="H114" s="145" t="s">
        <v>2820</v>
      </c>
      <c r="I114" t="s">
        <v>2351</v>
      </c>
    </row>
    <row r="115" spans="2:9" x14ac:dyDescent="0.25">
      <c r="B115" t="s">
        <v>2821</v>
      </c>
      <c r="C115" t="s">
        <v>2744</v>
      </c>
      <c r="D115" t="s">
        <v>2368</v>
      </c>
      <c r="E115" t="s">
        <v>2473</v>
      </c>
      <c r="F115" t="s">
        <v>2370</v>
      </c>
      <c r="G115" t="s">
        <v>2371</v>
      </c>
      <c r="H115" s="145" t="s">
        <v>2822</v>
      </c>
      <c r="I115" t="s">
        <v>2351</v>
      </c>
    </row>
    <row r="116" spans="2:9" x14ac:dyDescent="0.25">
      <c r="B116" t="s">
        <v>2823</v>
      </c>
      <c r="C116" t="s">
        <v>2590</v>
      </c>
      <c r="D116" t="s">
        <v>2368</v>
      </c>
      <c r="E116" t="s">
        <v>2514</v>
      </c>
      <c r="F116" t="s">
        <v>2370</v>
      </c>
      <c r="G116" t="s">
        <v>2411</v>
      </c>
      <c r="H116" s="145" t="s">
        <v>2824</v>
      </c>
      <c r="I116" t="s">
        <v>2351</v>
      </c>
    </row>
    <row r="117" spans="2:9" x14ac:dyDescent="0.25">
      <c r="B117" t="s">
        <v>2825</v>
      </c>
      <c r="C117" t="s">
        <v>2409</v>
      </c>
      <c r="D117" t="s">
        <v>2368</v>
      </c>
      <c r="E117" t="s">
        <v>2514</v>
      </c>
      <c r="F117" t="s">
        <v>2826</v>
      </c>
      <c r="G117" t="s">
        <v>2827</v>
      </c>
      <c r="H117" s="145" t="s">
        <v>2828</v>
      </c>
      <c r="I117" t="s">
        <v>2351</v>
      </c>
    </row>
    <row r="118" spans="2:9" x14ac:dyDescent="0.25">
      <c r="B118" t="s">
        <v>2829</v>
      </c>
      <c r="C118" t="s">
        <v>2409</v>
      </c>
      <c r="D118" t="s">
        <v>2368</v>
      </c>
      <c r="E118" t="s">
        <v>2381</v>
      </c>
      <c r="F118" t="s">
        <v>2830</v>
      </c>
      <c r="G118" t="s">
        <v>2474</v>
      </c>
      <c r="H118" s="145" t="s">
        <v>2831</v>
      </c>
      <c r="I118" t="s">
        <v>2351</v>
      </c>
    </row>
    <row r="119" spans="2:9" x14ac:dyDescent="0.25">
      <c r="B119" t="s">
        <v>2832</v>
      </c>
      <c r="C119" t="s">
        <v>2523</v>
      </c>
      <c r="D119" t="s">
        <v>2550</v>
      </c>
      <c r="E119" t="s">
        <v>2410</v>
      </c>
      <c r="F119" t="s">
        <v>2536</v>
      </c>
      <c r="G119" t="s">
        <v>2474</v>
      </c>
      <c r="H119" s="145" t="s">
        <v>2833</v>
      </c>
      <c r="I119" t="s">
        <v>2351</v>
      </c>
    </row>
    <row r="120" spans="2:9" x14ac:dyDescent="0.25">
      <c r="B120" t="s">
        <v>2834</v>
      </c>
      <c r="C120" t="s">
        <v>2523</v>
      </c>
      <c r="D120" t="s">
        <v>2368</v>
      </c>
      <c r="E120" t="s">
        <v>2572</v>
      </c>
      <c r="F120" t="s">
        <v>2370</v>
      </c>
      <c r="G120" t="s">
        <v>2474</v>
      </c>
      <c r="H120" s="145" t="s">
        <v>2835</v>
      </c>
      <c r="I120" t="s">
        <v>2351</v>
      </c>
    </row>
    <row r="121" spans="2:9" x14ac:dyDescent="0.25">
      <c r="B121" t="s">
        <v>2836</v>
      </c>
      <c r="C121" t="s">
        <v>2606</v>
      </c>
      <c r="D121" t="s">
        <v>2368</v>
      </c>
      <c r="E121" t="s">
        <v>2369</v>
      </c>
      <c r="F121" t="s">
        <v>2370</v>
      </c>
      <c r="G121" t="s">
        <v>2396</v>
      </c>
      <c r="H121" s="147" t="s">
        <v>2837</v>
      </c>
      <c r="I121" t="s">
        <v>2351</v>
      </c>
    </row>
    <row r="122" spans="2:9" x14ac:dyDescent="0.25">
      <c r="B122" t="s">
        <v>2838</v>
      </c>
      <c r="C122" t="s">
        <v>2839</v>
      </c>
      <c r="D122" t="s">
        <v>2368</v>
      </c>
      <c r="E122" t="s">
        <v>2410</v>
      </c>
      <c r="F122" t="s">
        <v>2370</v>
      </c>
      <c r="G122" t="s">
        <v>2840</v>
      </c>
      <c r="H122" s="145" t="s">
        <v>2841</v>
      </c>
      <c r="I122" t="s">
        <v>2351</v>
      </c>
    </row>
    <row r="123" spans="2:9" x14ac:dyDescent="0.25">
      <c r="B123" t="s">
        <v>2842</v>
      </c>
      <c r="C123" t="s">
        <v>2686</v>
      </c>
      <c r="D123" t="s">
        <v>2368</v>
      </c>
      <c r="E123" t="s">
        <v>2572</v>
      </c>
      <c r="F123" t="s">
        <v>2843</v>
      </c>
      <c r="G123" t="s">
        <v>2474</v>
      </c>
      <c r="H123" s="145" t="s">
        <v>2844</v>
      </c>
      <c r="I123" t="s">
        <v>2351</v>
      </c>
    </row>
    <row r="124" spans="2:9" x14ac:dyDescent="0.25">
      <c r="B124" t="s">
        <v>2845</v>
      </c>
      <c r="C124" t="s">
        <v>2727</v>
      </c>
      <c r="D124" t="s">
        <v>2550</v>
      </c>
      <c r="E124" t="s">
        <v>2410</v>
      </c>
      <c r="F124" t="s">
        <v>2370</v>
      </c>
      <c r="G124" t="s">
        <v>2511</v>
      </c>
      <c r="H124" s="147" t="s">
        <v>2846</v>
      </c>
      <c r="I124" t="s">
        <v>2351</v>
      </c>
    </row>
    <row r="125" spans="2:9" x14ac:dyDescent="0.25">
      <c r="B125" t="s">
        <v>2847</v>
      </c>
      <c r="C125" t="s">
        <v>2621</v>
      </c>
      <c r="D125" t="s">
        <v>2368</v>
      </c>
      <c r="E125" t="s">
        <v>2410</v>
      </c>
      <c r="F125" t="s">
        <v>2370</v>
      </c>
      <c r="G125" t="s">
        <v>2474</v>
      </c>
      <c r="H125" s="145" t="s">
        <v>2848</v>
      </c>
      <c r="I125" t="s">
        <v>2351</v>
      </c>
    </row>
    <row r="126" spans="2:9" x14ac:dyDescent="0.25">
      <c r="B126" t="s">
        <v>2849</v>
      </c>
      <c r="C126" t="s">
        <v>2707</v>
      </c>
      <c r="D126" t="s">
        <v>2629</v>
      </c>
      <c r="E126" t="s">
        <v>2473</v>
      </c>
      <c r="F126" t="s">
        <v>2370</v>
      </c>
      <c r="G126" t="s">
        <v>2371</v>
      </c>
      <c r="H126" s="145" t="s">
        <v>2850</v>
      </c>
      <c r="I126" t="s">
        <v>2351</v>
      </c>
    </row>
    <row r="127" spans="2:9" x14ac:dyDescent="0.25">
      <c r="B127" t="s">
        <v>2851</v>
      </c>
      <c r="C127" t="s">
        <v>2599</v>
      </c>
      <c r="D127" t="s">
        <v>2368</v>
      </c>
      <c r="E127" t="s">
        <v>2369</v>
      </c>
      <c r="F127" t="s">
        <v>2536</v>
      </c>
      <c r="G127" t="s">
        <v>2474</v>
      </c>
      <c r="H127" s="145" t="s">
        <v>2852</v>
      </c>
      <c r="I127" t="s">
        <v>2351</v>
      </c>
    </row>
    <row r="128" spans="2:9" x14ac:dyDescent="0.25">
      <c r="B128" t="s">
        <v>2853</v>
      </c>
      <c r="C128" t="s">
        <v>2854</v>
      </c>
      <c r="D128" t="s">
        <v>2368</v>
      </c>
      <c r="E128" t="s">
        <v>2410</v>
      </c>
      <c r="F128" t="s">
        <v>2855</v>
      </c>
      <c r="G128" t="s">
        <v>2500</v>
      </c>
      <c r="H128" s="147" t="s">
        <v>2856</v>
      </c>
      <c r="I128" t="s">
        <v>2351</v>
      </c>
    </row>
    <row r="129" spans="2:9" x14ac:dyDescent="0.25">
      <c r="B129" t="s">
        <v>1587</v>
      </c>
      <c r="C129" t="s">
        <v>2857</v>
      </c>
      <c r="D129" t="s">
        <v>2368</v>
      </c>
      <c r="E129" t="s">
        <v>2858</v>
      </c>
      <c r="F129" t="s">
        <v>2859</v>
      </c>
      <c r="G129" t="s">
        <v>2474</v>
      </c>
      <c r="H129" s="145" t="s">
        <v>2860</v>
      </c>
      <c r="I129" t="s">
        <v>2351</v>
      </c>
    </row>
    <row r="130" spans="2:9" x14ac:dyDescent="0.25">
      <c r="B130" t="s">
        <v>2861</v>
      </c>
      <c r="C130" t="s">
        <v>2727</v>
      </c>
      <c r="D130" t="s">
        <v>2862</v>
      </c>
      <c r="E130" t="s">
        <v>2369</v>
      </c>
      <c r="F130" t="s">
        <v>2863</v>
      </c>
      <c r="G130" t="s">
        <v>2396</v>
      </c>
      <c r="H130" s="147" t="s">
        <v>2864</v>
      </c>
      <c r="I130" t="s">
        <v>2351</v>
      </c>
    </row>
    <row r="131" spans="2:9" x14ac:dyDescent="0.25">
      <c r="B131" t="s">
        <v>2865</v>
      </c>
      <c r="C131" t="s">
        <v>2499</v>
      </c>
      <c r="D131" t="s">
        <v>2368</v>
      </c>
      <c r="E131" t="s">
        <v>2609</v>
      </c>
      <c r="F131" t="s">
        <v>2866</v>
      </c>
      <c r="G131" t="s">
        <v>2371</v>
      </c>
      <c r="H131" s="145" t="s">
        <v>2867</v>
      </c>
      <c r="I131" t="s">
        <v>2351</v>
      </c>
    </row>
    <row r="132" spans="2:9" x14ac:dyDescent="0.25">
      <c r="B132" t="s">
        <v>2868</v>
      </c>
      <c r="C132" t="s">
        <v>2869</v>
      </c>
      <c r="D132" t="s">
        <v>2368</v>
      </c>
      <c r="E132" t="s">
        <v>2514</v>
      </c>
      <c r="F132" t="s">
        <v>2870</v>
      </c>
      <c r="G132" t="s">
        <v>2500</v>
      </c>
      <c r="H132" s="145" t="s">
        <v>2871</v>
      </c>
      <c r="I132" t="s">
        <v>2351</v>
      </c>
    </row>
    <row r="133" spans="2:9" x14ac:dyDescent="0.25">
      <c r="B133" t="s">
        <v>2872</v>
      </c>
      <c r="C133" t="s">
        <v>2873</v>
      </c>
      <c r="D133" t="s">
        <v>2500</v>
      </c>
      <c r="E133" t="s">
        <v>2461</v>
      </c>
      <c r="F133" t="s">
        <v>2874</v>
      </c>
      <c r="G133" t="s">
        <v>2371</v>
      </c>
      <c r="H133" s="145" t="s">
        <v>2875</v>
      </c>
      <c r="I133" t="s">
        <v>2351</v>
      </c>
    </row>
    <row r="134" spans="2:9" x14ac:dyDescent="0.25">
      <c r="B134" t="s">
        <v>2876</v>
      </c>
      <c r="C134" t="s">
        <v>2638</v>
      </c>
      <c r="D134" t="s">
        <v>2629</v>
      </c>
      <c r="E134" t="s">
        <v>2381</v>
      </c>
      <c r="F134" t="s">
        <v>2370</v>
      </c>
      <c r="G134" t="s">
        <v>2371</v>
      </c>
      <c r="H134" s="145" t="s">
        <v>2877</v>
      </c>
      <c r="I134" t="s">
        <v>2351</v>
      </c>
    </row>
    <row r="135" spans="2:9" x14ac:dyDescent="0.25">
      <c r="B135" t="s">
        <v>2878</v>
      </c>
      <c r="C135" t="s">
        <v>2879</v>
      </c>
      <c r="D135" t="s">
        <v>2396</v>
      </c>
      <c r="E135" t="s">
        <v>2410</v>
      </c>
      <c r="F135" t="s">
        <v>2880</v>
      </c>
      <c r="G135" t="s">
        <v>2881</v>
      </c>
      <c r="H135" s="145" t="s">
        <v>2882</v>
      </c>
      <c r="I135" t="s">
        <v>2351</v>
      </c>
    </row>
    <row r="136" spans="2:9" x14ac:dyDescent="0.25">
      <c r="B136" t="s">
        <v>2883</v>
      </c>
      <c r="C136" t="s">
        <v>2774</v>
      </c>
      <c r="D136" t="s">
        <v>2368</v>
      </c>
      <c r="E136" t="s">
        <v>2473</v>
      </c>
      <c r="F136" t="s">
        <v>2370</v>
      </c>
      <c r="G136" t="s">
        <v>2371</v>
      </c>
      <c r="H136" s="145" t="s">
        <v>2884</v>
      </c>
      <c r="I136" t="s">
        <v>2351</v>
      </c>
    </row>
    <row r="137" spans="2:9" x14ac:dyDescent="0.25">
      <c r="B137" t="s">
        <v>2885</v>
      </c>
      <c r="C137" t="s">
        <v>2886</v>
      </c>
      <c r="D137" t="s">
        <v>2368</v>
      </c>
      <c r="E137" t="s">
        <v>2369</v>
      </c>
      <c r="F137" t="s">
        <v>2370</v>
      </c>
      <c r="G137" t="s">
        <v>2371</v>
      </c>
      <c r="H137" s="145" t="s">
        <v>2887</v>
      </c>
      <c r="I137" t="s">
        <v>2351</v>
      </c>
    </row>
    <row r="138" spans="2:9" x14ac:dyDescent="0.25">
      <c r="B138" t="s">
        <v>2888</v>
      </c>
      <c r="C138" t="s">
        <v>2541</v>
      </c>
      <c r="D138" t="s">
        <v>2368</v>
      </c>
      <c r="E138" t="s">
        <v>2609</v>
      </c>
      <c r="F138" t="s">
        <v>2758</v>
      </c>
      <c r="G138" t="s">
        <v>2371</v>
      </c>
      <c r="H138" s="145" t="s">
        <v>2889</v>
      </c>
      <c r="I138" t="s">
        <v>2351</v>
      </c>
    </row>
    <row r="139" spans="2:9" x14ac:dyDescent="0.25">
      <c r="B139" t="s">
        <v>2890</v>
      </c>
      <c r="C139" t="s">
        <v>2744</v>
      </c>
      <c r="D139" t="s">
        <v>2368</v>
      </c>
      <c r="E139" t="s">
        <v>2473</v>
      </c>
      <c r="F139" t="s">
        <v>2370</v>
      </c>
      <c r="G139" t="s">
        <v>2371</v>
      </c>
      <c r="H139" s="145" t="s">
        <v>2891</v>
      </c>
      <c r="I139" t="s">
        <v>2351</v>
      </c>
    </row>
    <row r="140" spans="2:9" x14ac:dyDescent="0.25">
      <c r="B140" t="s">
        <v>2892</v>
      </c>
      <c r="C140" t="s">
        <v>2893</v>
      </c>
      <c r="D140" t="s">
        <v>2368</v>
      </c>
      <c r="E140" t="s">
        <v>2410</v>
      </c>
      <c r="F140" t="s">
        <v>2894</v>
      </c>
      <c r="G140" t="s">
        <v>2629</v>
      </c>
      <c r="H140" s="145" t="s">
        <v>2895</v>
      </c>
      <c r="I140" t="s">
        <v>2351</v>
      </c>
    </row>
    <row r="141" spans="2:9" x14ac:dyDescent="0.25">
      <c r="B141" t="s">
        <v>2896</v>
      </c>
      <c r="C141" t="s">
        <v>2757</v>
      </c>
      <c r="D141" t="s">
        <v>2368</v>
      </c>
      <c r="E141" t="s">
        <v>2609</v>
      </c>
      <c r="F141" t="s">
        <v>2370</v>
      </c>
      <c r="G141" t="s">
        <v>2371</v>
      </c>
      <c r="H141" s="145" t="s">
        <v>2897</v>
      </c>
      <c r="I141" t="s">
        <v>2351</v>
      </c>
    </row>
    <row r="142" spans="2:9" x14ac:dyDescent="0.25">
      <c r="B142" t="s">
        <v>2898</v>
      </c>
      <c r="C142" t="s">
        <v>2596</v>
      </c>
      <c r="D142" t="s">
        <v>2550</v>
      </c>
      <c r="E142" t="s">
        <v>2410</v>
      </c>
      <c r="F142" t="s">
        <v>2899</v>
      </c>
      <c r="G142" t="s">
        <v>2511</v>
      </c>
      <c r="H142" s="145" t="s">
        <v>2900</v>
      </c>
      <c r="I142" t="s">
        <v>2351</v>
      </c>
    </row>
    <row r="143" spans="2:9" x14ac:dyDescent="0.25">
      <c r="B143" t="s">
        <v>2901</v>
      </c>
      <c r="C143" t="s">
        <v>2567</v>
      </c>
      <c r="D143" t="s">
        <v>2368</v>
      </c>
      <c r="E143" t="s">
        <v>2369</v>
      </c>
      <c r="F143" t="s">
        <v>2902</v>
      </c>
      <c r="G143" t="s">
        <v>2371</v>
      </c>
      <c r="H143" s="145" t="s">
        <v>2903</v>
      </c>
      <c r="I143" t="s">
        <v>2351</v>
      </c>
    </row>
    <row r="144" spans="2:9" x14ac:dyDescent="0.25">
      <c r="B144" t="s">
        <v>2904</v>
      </c>
      <c r="C144" t="s">
        <v>2638</v>
      </c>
      <c r="D144" t="s">
        <v>2368</v>
      </c>
      <c r="E144" t="s">
        <v>2369</v>
      </c>
      <c r="F144" t="s">
        <v>2905</v>
      </c>
      <c r="G144" t="s">
        <v>2474</v>
      </c>
      <c r="H144" s="145" t="s">
        <v>2906</v>
      </c>
      <c r="I144" t="s">
        <v>2351</v>
      </c>
    </row>
    <row r="145" spans="2:9" x14ac:dyDescent="0.25">
      <c r="B145" t="s">
        <v>2907</v>
      </c>
      <c r="C145" t="s">
        <v>2782</v>
      </c>
      <c r="D145" t="s">
        <v>2368</v>
      </c>
      <c r="E145" t="s">
        <v>2369</v>
      </c>
      <c r="F145" t="s">
        <v>2908</v>
      </c>
      <c r="G145" t="s">
        <v>2474</v>
      </c>
      <c r="H145" s="145" t="s">
        <v>2909</v>
      </c>
      <c r="I145" t="s">
        <v>2351</v>
      </c>
    </row>
    <row r="146" spans="2:9" x14ac:dyDescent="0.25">
      <c r="B146" t="s">
        <v>2910</v>
      </c>
      <c r="C146" t="s">
        <v>2590</v>
      </c>
      <c r="D146" t="s">
        <v>2368</v>
      </c>
      <c r="E146" t="s">
        <v>2514</v>
      </c>
      <c r="F146" t="s">
        <v>2911</v>
      </c>
      <c r="G146" t="s">
        <v>2511</v>
      </c>
      <c r="H146" s="145" t="s">
        <v>2912</v>
      </c>
      <c r="I146" t="s">
        <v>2351</v>
      </c>
    </row>
    <row r="147" spans="2:9" x14ac:dyDescent="0.25">
      <c r="B147" t="s">
        <v>2913</v>
      </c>
      <c r="C147" t="s">
        <v>2523</v>
      </c>
      <c r="D147" t="s">
        <v>2368</v>
      </c>
      <c r="E147" t="s">
        <v>2473</v>
      </c>
      <c r="F147" t="s">
        <v>2370</v>
      </c>
      <c r="G147" t="s">
        <v>2411</v>
      </c>
      <c r="H147" s="145" t="s">
        <v>2914</v>
      </c>
      <c r="I147" t="s">
        <v>2351</v>
      </c>
    </row>
    <row r="148" spans="2:9" x14ac:dyDescent="0.25">
      <c r="B148" t="s">
        <v>2915</v>
      </c>
      <c r="C148" t="s">
        <v>2916</v>
      </c>
      <c r="D148" t="s">
        <v>2629</v>
      </c>
      <c r="E148" t="s">
        <v>2514</v>
      </c>
      <c r="F148" t="s">
        <v>2917</v>
      </c>
      <c r="G148" t="s">
        <v>2918</v>
      </c>
      <c r="H148" s="145" t="s">
        <v>2919</v>
      </c>
      <c r="I148" t="s">
        <v>2351</v>
      </c>
    </row>
    <row r="149" spans="2:9" x14ac:dyDescent="0.25">
      <c r="B149" t="s">
        <v>2920</v>
      </c>
      <c r="C149" t="s">
        <v>2757</v>
      </c>
      <c r="D149" t="s">
        <v>2368</v>
      </c>
      <c r="E149" t="s">
        <v>2921</v>
      </c>
      <c r="F149" t="s">
        <v>2922</v>
      </c>
      <c r="G149" t="s">
        <v>2500</v>
      </c>
      <c r="H149" s="145" t="s">
        <v>2923</v>
      </c>
      <c r="I149" t="s">
        <v>2351</v>
      </c>
    </row>
    <row r="150" spans="2:9" x14ac:dyDescent="0.25">
      <c r="B150" t="s">
        <v>2924</v>
      </c>
      <c r="C150" t="s">
        <v>2925</v>
      </c>
      <c r="D150" t="s">
        <v>2396</v>
      </c>
      <c r="E150" t="s">
        <v>2514</v>
      </c>
      <c r="F150" t="s">
        <v>2926</v>
      </c>
      <c r="G150" t="s">
        <v>2383</v>
      </c>
      <c r="H150" s="145" t="s">
        <v>2927</v>
      </c>
      <c r="I150" t="s">
        <v>2351</v>
      </c>
    </row>
    <row r="151" spans="2:9" x14ac:dyDescent="0.25">
      <c r="B151" t="s">
        <v>2928</v>
      </c>
      <c r="C151" t="s">
        <v>2534</v>
      </c>
      <c r="D151" t="s">
        <v>2368</v>
      </c>
      <c r="E151" t="s">
        <v>2514</v>
      </c>
      <c r="F151" t="s">
        <v>2929</v>
      </c>
      <c r="G151" t="s">
        <v>2500</v>
      </c>
      <c r="H151" s="145" t="s">
        <v>2930</v>
      </c>
      <c r="I151" t="s">
        <v>2351</v>
      </c>
    </row>
    <row r="152" spans="2:9" x14ac:dyDescent="0.25">
      <c r="B152" t="s">
        <v>2931</v>
      </c>
      <c r="C152" t="s">
        <v>2932</v>
      </c>
      <c r="D152" t="s">
        <v>2368</v>
      </c>
      <c r="E152" t="s">
        <v>2410</v>
      </c>
      <c r="F152" t="s">
        <v>2933</v>
      </c>
      <c r="G152" t="s">
        <v>2474</v>
      </c>
      <c r="H152" s="145" t="s">
        <v>2934</v>
      </c>
      <c r="I152" t="s">
        <v>2351</v>
      </c>
    </row>
    <row r="153" spans="2:9" x14ac:dyDescent="0.25">
      <c r="B153" t="s">
        <v>2935</v>
      </c>
      <c r="C153" t="s">
        <v>2590</v>
      </c>
      <c r="D153" t="s">
        <v>2368</v>
      </c>
      <c r="E153" t="s">
        <v>2514</v>
      </c>
      <c r="F153" t="s">
        <v>2936</v>
      </c>
      <c r="G153" t="s">
        <v>2411</v>
      </c>
      <c r="H153" s="145" t="s">
        <v>2937</v>
      </c>
      <c r="I153" t="s">
        <v>2351</v>
      </c>
    </row>
    <row r="154" spans="2:9" x14ac:dyDescent="0.25">
      <c r="B154" t="s">
        <v>2938</v>
      </c>
      <c r="C154" t="s">
        <v>2939</v>
      </c>
      <c r="D154" t="s">
        <v>2368</v>
      </c>
      <c r="E154" t="s">
        <v>2369</v>
      </c>
      <c r="F154" t="s">
        <v>2940</v>
      </c>
      <c r="G154" t="s">
        <v>2474</v>
      </c>
      <c r="H154" s="145" t="s">
        <v>2941</v>
      </c>
      <c r="I154" t="s">
        <v>2351</v>
      </c>
    </row>
    <row r="155" spans="2:9" x14ac:dyDescent="0.25">
      <c r="B155" t="s">
        <v>2942</v>
      </c>
      <c r="C155" t="s">
        <v>2805</v>
      </c>
      <c r="D155" t="s">
        <v>2396</v>
      </c>
      <c r="E155" t="s">
        <v>2369</v>
      </c>
      <c r="F155" t="s">
        <v>2536</v>
      </c>
      <c r="G155" t="s">
        <v>2943</v>
      </c>
      <c r="H155" s="145" t="s">
        <v>2944</v>
      </c>
      <c r="I155" t="s">
        <v>2351</v>
      </c>
    </row>
    <row r="156" spans="2:9" x14ac:dyDescent="0.25">
      <c r="B156" t="s">
        <v>2945</v>
      </c>
      <c r="C156" t="s">
        <v>2946</v>
      </c>
      <c r="D156" t="s">
        <v>2368</v>
      </c>
      <c r="E156" t="s">
        <v>2514</v>
      </c>
      <c r="F156" t="s">
        <v>2947</v>
      </c>
      <c r="H156" s="145" t="s">
        <v>2948</v>
      </c>
      <c r="I156" t="s">
        <v>2351</v>
      </c>
    </row>
    <row r="157" spans="2:9" x14ac:dyDescent="0.25">
      <c r="B157" t="s">
        <v>2949</v>
      </c>
      <c r="C157" t="s">
        <v>2707</v>
      </c>
      <c r="D157" t="s">
        <v>2368</v>
      </c>
      <c r="E157" t="s">
        <v>2381</v>
      </c>
      <c r="F157" t="s">
        <v>2370</v>
      </c>
      <c r="G157" t="s">
        <v>2511</v>
      </c>
      <c r="H157" s="145" t="s">
        <v>2950</v>
      </c>
      <c r="I157" t="s">
        <v>2351</v>
      </c>
    </row>
    <row r="158" spans="2:9" x14ac:dyDescent="0.25">
      <c r="B158" t="s">
        <v>2951</v>
      </c>
      <c r="C158" t="s">
        <v>2449</v>
      </c>
      <c r="D158" t="s">
        <v>2368</v>
      </c>
      <c r="E158" t="s">
        <v>2410</v>
      </c>
      <c r="F158" t="s">
        <v>2536</v>
      </c>
      <c r="G158" t="s">
        <v>2500</v>
      </c>
      <c r="H158" s="147" t="s">
        <v>2952</v>
      </c>
      <c r="I158" t="s">
        <v>2351</v>
      </c>
    </row>
    <row r="159" spans="2:9" x14ac:dyDescent="0.25">
      <c r="B159" t="s">
        <v>2953</v>
      </c>
      <c r="C159" t="s">
        <v>2954</v>
      </c>
      <c r="D159" t="s">
        <v>2368</v>
      </c>
      <c r="E159" t="s">
        <v>2485</v>
      </c>
      <c r="F159" t="s">
        <v>2955</v>
      </c>
      <c r="G159" t="s">
        <v>2474</v>
      </c>
      <c r="H159" s="145" t="s">
        <v>2956</v>
      </c>
      <c r="I159" t="s">
        <v>2351</v>
      </c>
    </row>
    <row r="160" spans="2:9" x14ac:dyDescent="0.25">
      <c r="B160" t="s">
        <v>2957</v>
      </c>
      <c r="C160" t="s">
        <v>2559</v>
      </c>
      <c r="D160" t="s">
        <v>2500</v>
      </c>
      <c r="E160" t="s">
        <v>2514</v>
      </c>
      <c r="F160" t="s">
        <v>2958</v>
      </c>
      <c r="G160" t="s">
        <v>2959</v>
      </c>
      <c r="H160" s="145" t="s">
        <v>2960</v>
      </c>
      <c r="I160" t="s">
        <v>2351</v>
      </c>
    </row>
    <row r="161" spans="2:9" x14ac:dyDescent="0.25">
      <c r="B161" t="s">
        <v>2961</v>
      </c>
      <c r="C161" t="s">
        <v>2727</v>
      </c>
      <c r="D161" t="s">
        <v>2368</v>
      </c>
      <c r="E161" t="s">
        <v>2514</v>
      </c>
      <c r="F161" t="s">
        <v>2962</v>
      </c>
      <c r="G161" t="s">
        <v>2371</v>
      </c>
      <c r="H161" s="145" t="s">
        <v>2963</v>
      </c>
      <c r="I161" t="s">
        <v>2351</v>
      </c>
    </row>
    <row r="162" spans="2:9" x14ac:dyDescent="0.25">
      <c r="B162" t="s">
        <v>2964</v>
      </c>
      <c r="C162" t="s">
        <v>2686</v>
      </c>
      <c r="D162" t="s">
        <v>2550</v>
      </c>
      <c r="E162" t="s">
        <v>2381</v>
      </c>
      <c r="F162" t="s">
        <v>2370</v>
      </c>
      <c r="G162" t="s">
        <v>2474</v>
      </c>
      <c r="H162" s="145" t="s">
        <v>2965</v>
      </c>
      <c r="I162" t="s">
        <v>2351</v>
      </c>
    </row>
    <row r="163" spans="2:9" x14ac:dyDescent="0.25">
      <c r="B163" t="s">
        <v>2966</v>
      </c>
      <c r="C163" t="s">
        <v>2523</v>
      </c>
      <c r="D163" t="s">
        <v>2368</v>
      </c>
      <c r="E163" t="s">
        <v>2369</v>
      </c>
      <c r="F163" t="s">
        <v>2967</v>
      </c>
      <c r="G163" t="s">
        <v>2396</v>
      </c>
      <c r="H163" s="145" t="s">
        <v>2968</v>
      </c>
      <c r="I163" t="s">
        <v>2351</v>
      </c>
    </row>
    <row r="164" spans="2:9" x14ac:dyDescent="0.25">
      <c r="B164" t="s">
        <v>2969</v>
      </c>
      <c r="C164" t="s">
        <v>2970</v>
      </c>
      <c r="D164" t="s">
        <v>2368</v>
      </c>
      <c r="E164" t="s">
        <v>2514</v>
      </c>
      <c r="F164" t="s">
        <v>2370</v>
      </c>
      <c r="G164" t="s">
        <v>2474</v>
      </c>
      <c r="H164" s="147" t="s">
        <v>2971</v>
      </c>
      <c r="I164" t="s">
        <v>2351</v>
      </c>
    </row>
    <row r="165" spans="2:9" x14ac:dyDescent="0.25">
      <c r="B165" t="s">
        <v>2972</v>
      </c>
      <c r="C165" t="s">
        <v>2484</v>
      </c>
      <c r="D165" t="s">
        <v>2368</v>
      </c>
      <c r="E165" t="s">
        <v>2514</v>
      </c>
      <c r="F165" t="s">
        <v>2973</v>
      </c>
      <c r="G165" t="s">
        <v>2371</v>
      </c>
      <c r="H165" s="145" t="s">
        <v>2974</v>
      </c>
      <c r="I165" t="s">
        <v>2351</v>
      </c>
    </row>
    <row r="166" spans="2:9" x14ac:dyDescent="0.25">
      <c r="B166" t="s">
        <v>2975</v>
      </c>
      <c r="C166" t="s">
        <v>2686</v>
      </c>
      <c r="D166" t="s">
        <v>2368</v>
      </c>
      <c r="E166" t="s">
        <v>2381</v>
      </c>
      <c r="F166" t="s">
        <v>2536</v>
      </c>
      <c r="G166" t="s">
        <v>2383</v>
      </c>
      <c r="H166" s="145" t="s">
        <v>2976</v>
      </c>
      <c r="I166" t="s">
        <v>2351</v>
      </c>
    </row>
    <row r="167" spans="2:9" x14ac:dyDescent="0.25">
      <c r="B167" t="s">
        <v>2977</v>
      </c>
      <c r="C167" t="s">
        <v>2954</v>
      </c>
      <c r="D167" t="s">
        <v>2629</v>
      </c>
      <c r="E167" t="s">
        <v>2514</v>
      </c>
      <c r="F167" t="s">
        <v>2978</v>
      </c>
      <c r="G167" t="s">
        <v>2425</v>
      </c>
      <c r="H167" s="145" t="s">
        <v>2979</v>
      </c>
      <c r="I167" t="s">
        <v>2351</v>
      </c>
    </row>
    <row r="168" spans="2:9" x14ac:dyDescent="0.25">
      <c r="B168" t="s">
        <v>2980</v>
      </c>
      <c r="C168" t="s">
        <v>2981</v>
      </c>
      <c r="D168" t="s">
        <v>2368</v>
      </c>
      <c r="E168" t="s">
        <v>2514</v>
      </c>
      <c r="F168" t="s">
        <v>2370</v>
      </c>
      <c r="G168" t="s">
        <v>2474</v>
      </c>
      <c r="H168" s="147" t="s">
        <v>2982</v>
      </c>
      <c r="I168" t="s">
        <v>2351</v>
      </c>
    </row>
    <row r="169" spans="2:9" x14ac:dyDescent="0.25">
      <c r="B169" t="s">
        <v>2983</v>
      </c>
      <c r="C169" t="s">
        <v>2599</v>
      </c>
      <c r="D169" t="s">
        <v>2368</v>
      </c>
      <c r="E169" t="s">
        <v>2473</v>
      </c>
      <c r="F169" t="s">
        <v>2370</v>
      </c>
      <c r="G169" t="s">
        <v>2576</v>
      </c>
      <c r="H169" s="145" t="s">
        <v>2984</v>
      </c>
      <c r="I169" t="s">
        <v>2351</v>
      </c>
    </row>
    <row r="170" spans="2:9" x14ac:dyDescent="0.25">
      <c r="B170" t="s">
        <v>2985</v>
      </c>
      <c r="C170" t="s">
        <v>2596</v>
      </c>
      <c r="D170" t="s">
        <v>2368</v>
      </c>
      <c r="E170" t="s">
        <v>2986</v>
      </c>
      <c r="F170" t="s">
        <v>2987</v>
      </c>
      <c r="G170" t="s">
        <v>2474</v>
      </c>
      <c r="H170" s="145" t="s">
        <v>2988</v>
      </c>
      <c r="I170" t="s">
        <v>2351</v>
      </c>
    </row>
    <row r="171" spans="2:9" x14ac:dyDescent="0.25">
      <c r="B171" t="s">
        <v>2989</v>
      </c>
      <c r="C171" t="s">
        <v>2523</v>
      </c>
      <c r="D171" t="s">
        <v>2550</v>
      </c>
      <c r="E171" t="s">
        <v>2410</v>
      </c>
      <c r="F171" t="s">
        <v>2536</v>
      </c>
      <c r="G171" t="s">
        <v>2474</v>
      </c>
      <c r="H171" s="145" t="s">
        <v>2990</v>
      </c>
      <c r="I171" t="s">
        <v>2351</v>
      </c>
    </row>
    <row r="172" spans="2:9" x14ac:dyDescent="0.25">
      <c r="B172" t="s">
        <v>2991</v>
      </c>
      <c r="C172" t="s">
        <v>2567</v>
      </c>
      <c r="D172" t="s">
        <v>2425</v>
      </c>
      <c r="E172" t="s">
        <v>2514</v>
      </c>
      <c r="F172" t="s">
        <v>2992</v>
      </c>
      <c r="G172" t="s">
        <v>2993</v>
      </c>
      <c r="H172" s="145" t="s">
        <v>2994</v>
      </c>
      <c r="I172" t="s">
        <v>2351</v>
      </c>
    </row>
    <row r="173" spans="2:9" x14ac:dyDescent="0.25">
      <c r="B173" t="s">
        <v>2995</v>
      </c>
      <c r="C173" t="s">
        <v>2970</v>
      </c>
      <c r="D173" t="s">
        <v>2629</v>
      </c>
      <c r="E173" t="s">
        <v>2708</v>
      </c>
      <c r="F173" t="s">
        <v>2996</v>
      </c>
      <c r="G173" t="s">
        <v>2425</v>
      </c>
      <c r="H173" s="145" t="s">
        <v>2997</v>
      </c>
      <c r="I173" t="s">
        <v>2351</v>
      </c>
    </row>
    <row r="174" spans="2:9" x14ac:dyDescent="0.25">
      <c r="B174" t="s">
        <v>2998</v>
      </c>
      <c r="C174" t="s">
        <v>2621</v>
      </c>
      <c r="D174" t="s">
        <v>2368</v>
      </c>
      <c r="E174" t="s">
        <v>2369</v>
      </c>
      <c r="F174" t="s">
        <v>2370</v>
      </c>
      <c r="G174" t="s">
        <v>2371</v>
      </c>
      <c r="H174" s="147" t="s">
        <v>2999</v>
      </c>
      <c r="I174" t="s">
        <v>2351</v>
      </c>
    </row>
    <row r="175" spans="2:9" x14ac:dyDescent="0.25">
      <c r="B175" t="s">
        <v>3000</v>
      </c>
      <c r="C175" t="s">
        <v>2590</v>
      </c>
      <c r="D175" t="s">
        <v>2368</v>
      </c>
      <c r="E175" t="s">
        <v>2381</v>
      </c>
      <c r="F175" t="s">
        <v>3001</v>
      </c>
      <c r="G175" t="s">
        <v>2474</v>
      </c>
      <c r="H175" s="145" t="s">
        <v>3002</v>
      </c>
      <c r="I175" t="s">
        <v>2351</v>
      </c>
    </row>
    <row r="176" spans="2:9" x14ac:dyDescent="0.25">
      <c r="B176" t="s">
        <v>3003</v>
      </c>
      <c r="C176" t="s">
        <v>2571</v>
      </c>
      <c r="D176" t="s">
        <v>2368</v>
      </c>
      <c r="E176" t="s">
        <v>2369</v>
      </c>
      <c r="F176" t="s">
        <v>2370</v>
      </c>
      <c r="G176" t="s">
        <v>2371</v>
      </c>
      <c r="H176" s="145" t="s">
        <v>3004</v>
      </c>
      <c r="I176" t="s">
        <v>2351</v>
      </c>
    </row>
    <row r="177" spans="2:9" x14ac:dyDescent="0.25">
      <c r="B177" t="s">
        <v>3005</v>
      </c>
      <c r="C177" t="s">
        <v>2599</v>
      </c>
      <c r="D177" t="s">
        <v>2550</v>
      </c>
      <c r="E177" t="s">
        <v>2369</v>
      </c>
      <c r="F177" t="s">
        <v>2536</v>
      </c>
      <c r="G177" t="s">
        <v>2371</v>
      </c>
      <c r="H177" s="145" t="s">
        <v>3006</v>
      </c>
      <c r="I177" t="s">
        <v>2351</v>
      </c>
    </row>
    <row r="178" spans="2:9" x14ac:dyDescent="0.25">
      <c r="B178" t="s">
        <v>3007</v>
      </c>
      <c r="C178" t="s">
        <v>2409</v>
      </c>
      <c r="D178" t="s">
        <v>2368</v>
      </c>
      <c r="E178" t="s">
        <v>2369</v>
      </c>
      <c r="F178" t="s">
        <v>3008</v>
      </c>
      <c r="G178" t="s">
        <v>2474</v>
      </c>
      <c r="H178" s="145" t="s">
        <v>3009</v>
      </c>
      <c r="I178" t="s">
        <v>2351</v>
      </c>
    </row>
    <row r="179" spans="2:9" x14ac:dyDescent="0.25">
      <c r="B179" t="s">
        <v>3010</v>
      </c>
      <c r="C179" t="s">
        <v>2599</v>
      </c>
      <c r="D179" t="s">
        <v>3011</v>
      </c>
      <c r="E179" t="s">
        <v>2369</v>
      </c>
      <c r="F179" t="s">
        <v>2370</v>
      </c>
      <c r="G179" t="s">
        <v>2371</v>
      </c>
      <c r="H179" s="145" t="s">
        <v>3012</v>
      </c>
      <c r="I179" t="s">
        <v>2351</v>
      </c>
    </row>
    <row r="180" spans="2:9" x14ac:dyDescent="0.25">
      <c r="B180" t="s">
        <v>3013</v>
      </c>
      <c r="C180" t="s">
        <v>2509</v>
      </c>
      <c r="D180" t="s">
        <v>2629</v>
      </c>
      <c r="E180" t="s">
        <v>2381</v>
      </c>
      <c r="F180" t="s">
        <v>3014</v>
      </c>
      <c r="G180" t="s">
        <v>2371</v>
      </c>
      <c r="H180" s="145" t="s">
        <v>3015</v>
      </c>
      <c r="I180" t="s">
        <v>2351</v>
      </c>
    </row>
    <row r="181" spans="2:9" x14ac:dyDescent="0.25">
      <c r="B181" t="s">
        <v>3016</v>
      </c>
      <c r="C181" t="s">
        <v>2423</v>
      </c>
      <c r="D181" t="s">
        <v>2368</v>
      </c>
      <c r="E181" t="s">
        <v>2514</v>
      </c>
      <c r="F181" t="s">
        <v>2370</v>
      </c>
      <c r="G181" t="s">
        <v>2474</v>
      </c>
      <c r="H181" s="145" t="s">
        <v>3017</v>
      </c>
      <c r="I181" t="s">
        <v>2351</v>
      </c>
    </row>
    <row r="182" spans="2:9" x14ac:dyDescent="0.25">
      <c r="B182" t="s">
        <v>3018</v>
      </c>
      <c r="C182" t="s">
        <v>2423</v>
      </c>
      <c r="D182" t="s">
        <v>2550</v>
      </c>
      <c r="E182" t="s">
        <v>2572</v>
      </c>
      <c r="F182" t="s">
        <v>3019</v>
      </c>
      <c r="G182" t="s">
        <v>2411</v>
      </c>
      <c r="H182" s="145" t="s">
        <v>3020</v>
      </c>
      <c r="I182" t="s">
        <v>2351</v>
      </c>
    </row>
    <row r="183" spans="2:9" x14ac:dyDescent="0.25">
      <c r="B183" t="s">
        <v>3021</v>
      </c>
      <c r="C183" t="s">
        <v>2805</v>
      </c>
      <c r="D183" t="s">
        <v>2368</v>
      </c>
      <c r="E183" t="s">
        <v>2572</v>
      </c>
      <c r="F183" t="s">
        <v>3022</v>
      </c>
      <c r="G183" t="s">
        <v>2474</v>
      </c>
      <c r="H183" s="145" t="s">
        <v>3023</v>
      </c>
      <c r="I183" t="s">
        <v>2351</v>
      </c>
    </row>
    <row r="184" spans="2:9" x14ac:dyDescent="0.25">
      <c r="B184" t="s">
        <v>3024</v>
      </c>
      <c r="C184" t="s">
        <v>2606</v>
      </c>
      <c r="D184" t="s">
        <v>2368</v>
      </c>
      <c r="E184" t="s">
        <v>2369</v>
      </c>
      <c r="F184" t="s">
        <v>3022</v>
      </c>
      <c r="G184" t="s">
        <v>2474</v>
      </c>
      <c r="H184" s="145" t="s">
        <v>3025</v>
      </c>
      <c r="I184" t="s">
        <v>2351</v>
      </c>
    </row>
    <row r="185" spans="2:9" x14ac:dyDescent="0.25">
      <c r="B185" t="s">
        <v>3026</v>
      </c>
      <c r="C185" t="s">
        <v>2495</v>
      </c>
      <c r="D185" t="s">
        <v>2368</v>
      </c>
      <c r="E185" t="s">
        <v>2410</v>
      </c>
      <c r="F185" t="s">
        <v>3027</v>
      </c>
      <c r="G185" t="s">
        <v>2474</v>
      </c>
      <c r="H185" s="147" t="s">
        <v>3028</v>
      </c>
      <c r="I185" t="s">
        <v>2351</v>
      </c>
    </row>
    <row r="186" spans="2:9" x14ac:dyDescent="0.25">
      <c r="B186" t="s">
        <v>3029</v>
      </c>
      <c r="C186" t="s">
        <v>2603</v>
      </c>
      <c r="D186" t="s">
        <v>2368</v>
      </c>
      <c r="E186" t="s">
        <v>2609</v>
      </c>
      <c r="F186" t="s">
        <v>3030</v>
      </c>
      <c r="G186" t="s">
        <v>2474</v>
      </c>
      <c r="H186" s="145" t="s">
        <v>3031</v>
      </c>
      <c r="I186" t="s">
        <v>2351</v>
      </c>
    </row>
    <row r="187" spans="2:9" x14ac:dyDescent="0.25">
      <c r="B187" t="s">
        <v>3032</v>
      </c>
      <c r="C187" t="s">
        <v>2766</v>
      </c>
      <c r="D187" t="s">
        <v>2550</v>
      </c>
      <c r="E187" t="s">
        <v>2572</v>
      </c>
      <c r="F187" t="s">
        <v>2536</v>
      </c>
      <c r="G187" t="s">
        <v>2411</v>
      </c>
      <c r="H187" s="145" t="s">
        <v>3033</v>
      </c>
      <c r="I187" t="s">
        <v>2351</v>
      </c>
    </row>
    <row r="188" spans="2:9" x14ac:dyDescent="0.25">
      <c r="B188" t="s">
        <v>3034</v>
      </c>
      <c r="C188" t="s">
        <v>2857</v>
      </c>
      <c r="D188" t="s">
        <v>2368</v>
      </c>
      <c r="E188" t="s">
        <v>2473</v>
      </c>
      <c r="F188" t="s">
        <v>3035</v>
      </c>
      <c r="G188" t="s">
        <v>2474</v>
      </c>
      <c r="H188" s="145" t="s">
        <v>3036</v>
      </c>
      <c r="I188" t="s">
        <v>2351</v>
      </c>
    </row>
    <row r="189" spans="2:9" x14ac:dyDescent="0.25">
      <c r="B189" t="s">
        <v>3037</v>
      </c>
      <c r="C189" t="s">
        <v>2893</v>
      </c>
      <c r="D189" t="s">
        <v>2368</v>
      </c>
      <c r="E189" t="s">
        <v>2708</v>
      </c>
      <c r="F189" t="s">
        <v>3038</v>
      </c>
      <c r="G189" t="s">
        <v>2371</v>
      </c>
      <c r="H189" s="145" t="s">
        <v>3039</v>
      </c>
      <c r="I189" t="s">
        <v>2351</v>
      </c>
    </row>
    <row r="190" spans="2:9" x14ac:dyDescent="0.25">
      <c r="B190" t="s">
        <v>3040</v>
      </c>
      <c r="C190" t="s">
        <v>2659</v>
      </c>
      <c r="D190" t="s">
        <v>2396</v>
      </c>
      <c r="E190" t="s">
        <v>2514</v>
      </c>
      <c r="F190" t="s">
        <v>3041</v>
      </c>
      <c r="G190" t="s">
        <v>2371</v>
      </c>
      <c r="H190" s="145" t="s">
        <v>3042</v>
      </c>
      <c r="I190" t="s">
        <v>2351</v>
      </c>
    </row>
    <row r="191" spans="2:9" x14ac:dyDescent="0.25">
      <c r="B191" t="s">
        <v>3043</v>
      </c>
      <c r="C191" t="s">
        <v>3044</v>
      </c>
      <c r="D191" t="s">
        <v>2396</v>
      </c>
      <c r="E191" t="s">
        <v>2514</v>
      </c>
      <c r="F191" t="s">
        <v>3045</v>
      </c>
      <c r="G191" t="s">
        <v>2502</v>
      </c>
      <c r="H191" s="145" t="s">
        <v>3046</v>
      </c>
      <c r="I191" t="s">
        <v>2351</v>
      </c>
    </row>
    <row r="192" spans="2:9" x14ac:dyDescent="0.25">
      <c r="B192" t="s">
        <v>3047</v>
      </c>
      <c r="C192" t="s">
        <v>3048</v>
      </c>
      <c r="D192" t="s">
        <v>2396</v>
      </c>
      <c r="E192" t="s">
        <v>2381</v>
      </c>
      <c r="F192" t="s">
        <v>3049</v>
      </c>
      <c r="G192" t="s">
        <v>2993</v>
      </c>
      <c r="H192" s="145" t="s">
        <v>3050</v>
      </c>
      <c r="I192" t="s">
        <v>2351</v>
      </c>
    </row>
    <row r="193" spans="2:9" x14ac:dyDescent="0.25">
      <c r="B193" t="s">
        <v>3051</v>
      </c>
      <c r="C193" t="s">
        <v>2761</v>
      </c>
      <c r="D193" t="s">
        <v>2368</v>
      </c>
      <c r="E193" t="s">
        <v>2609</v>
      </c>
      <c r="F193" t="s">
        <v>2370</v>
      </c>
      <c r="G193" t="s">
        <v>2474</v>
      </c>
      <c r="H193" s="145" t="s">
        <v>3052</v>
      </c>
      <c r="I193" t="s">
        <v>2351</v>
      </c>
    </row>
    <row r="194" spans="2:9" x14ac:dyDescent="0.25">
      <c r="B194" t="s">
        <v>3053</v>
      </c>
      <c r="C194" t="s">
        <v>2854</v>
      </c>
      <c r="D194" t="s">
        <v>2368</v>
      </c>
      <c r="E194" t="s">
        <v>2514</v>
      </c>
      <c r="F194" t="s">
        <v>2370</v>
      </c>
      <c r="G194" t="s">
        <v>2371</v>
      </c>
      <c r="H194" s="145" t="s">
        <v>3054</v>
      </c>
      <c r="I194" t="s">
        <v>2351</v>
      </c>
    </row>
    <row r="195" spans="2:9" x14ac:dyDescent="0.25">
      <c r="B195" t="s">
        <v>3055</v>
      </c>
      <c r="C195" t="s">
        <v>2642</v>
      </c>
      <c r="D195" t="s">
        <v>2368</v>
      </c>
      <c r="E195" t="s">
        <v>2708</v>
      </c>
      <c r="F195" t="s">
        <v>3056</v>
      </c>
      <c r="G195" t="s">
        <v>2511</v>
      </c>
      <c r="H195" s="145" t="s">
        <v>3057</v>
      </c>
      <c r="I195" t="s">
        <v>2351</v>
      </c>
    </row>
    <row r="196" spans="2:9" x14ac:dyDescent="0.25">
      <c r="B196" t="s">
        <v>3058</v>
      </c>
      <c r="C196" t="s">
        <v>2593</v>
      </c>
      <c r="D196" t="s">
        <v>2368</v>
      </c>
      <c r="E196" t="s">
        <v>2514</v>
      </c>
      <c r="F196" t="s">
        <v>3059</v>
      </c>
      <c r="G196" t="s">
        <v>2411</v>
      </c>
      <c r="H196" s="145" t="s">
        <v>3060</v>
      </c>
      <c r="I196" t="s">
        <v>2351</v>
      </c>
    </row>
    <row r="197" spans="2:9" x14ac:dyDescent="0.25">
      <c r="B197" t="s">
        <v>3061</v>
      </c>
      <c r="C197" t="s">
        <v>2727</v>
      </c>
      <c r="D197" t="s">
        <v>2368</v>
      </c>
      <c r="E197" t="s">
        <v>2514</v>
      </c>
      <c r="F197" t="s">
        <v>3062</v>
      </c>
      <c r="G197" t="s">
        <v>2396</v>
      </c>
      <c r="H197" s="147" t="s">
        <v>3063</v>
      </c>
      <c r="I197" t="s">
        <v>2351</v>
      </c>
    </row>
    <row r="198" spans="2:9" x14ac:dyDescent="0.25">
      <c r="B198" t="s">
        <v>3064</v>
      </c>
      <c r="C198" t="s">
        <v>2409</v>
      </c>
      <c r="D198" t="s">
        <v>2368</v>
      </c>
      <c r="E198" t="s">
        <v>2369</v>
      </c>
      <c r="F198" t="s">
        <v>2536</v>
      </c>
      <c r="G198" t="s">
        <v>2371</v>
      </c>
      <c r="H198" s="145" t="s">
        <v>3065</v>
      </c>
      <c r="I198" t="s">
        <v>2351</v>
      </c>
    </row>
    <row r="199" spans="2:9" x14ac:dyDescent="0.25">
      <c r="B199" t="s">
        <v>3066</v>
      </c>
      <c r="C199" t="s">
        <v>3067</v>
      </c>
      <c r="D199" t="s">
        <v>2629</v>
      </c>
      <c r="E199" t="s">
        <v>2410</v>
      </c>
      <c r="F199" t="s">
        <v>3068</v>
      </c>
      <c r="G199" t="s">
        <v>2371</v>
      </c>
      <c r="H199" s="145" t="s">
        <v>3069</v>
      </c>
      <c r="I199" t="s">
        <v>2351</v>
      </c>
    </row>
    <row r="200" spans="2:9" x14ac:dyDescent="0.25">
      <c r="B200" t="s">
        <v>3070</v>
      </c>
      <c r="C200" t="s">
        <v>2686</v>
      </c>
      <c r="D200" t="s">
        <v>2368</v>
      </c>
      <c r="E200" t="s">
        <v>2514</v>
      </c>
      <c r="F200" t="s">
        <v>3071</v>
      </c>
      <c r="G200" t="s">
        <v>2371</v>
      </c>
      <c r="H200" s="145" t="s">
        <v>3072</v>
      </c>
      <c r="I200" t="s">
        <v>2351</v>
      </c>
    </row>
    <row r="201" spans="2:9" x14ac:dyDescent="0.25">
      <c r="B201" t="s">
        <v>3073</v>
      </c>
      <c r="C201" t="s">
        <v>3074</v>
      </c>
      <c r="D201" t="s">
        <v>2396</v>
      </c>
      <c r="E201" t="s">
        <v>3075</v>
      </c>
      <c r="F201" t="s">
        <v>3076</v>
      </c>
      <c r="G201" t="s">
        <v>2383</v>
      </c>
      <c r="H201" s="145" t="s">
        <v>3077</v>
      </c>
      <c r="I201" t="s">
        <v>2351</v>
      </c>
    </row>
    <row r="202" spans="2:9" x14ac:dyDescent="0.25">
      <c r="B202" t="s">
        <v>3078</v>
      </c>
      <c r="C202" t="s">
        <v>2380</v>
      </c>
      <c r="D202" t="s">
        <v>2368</v>
      </c>
      <c r="E202" t="s">
        <v>2514</v>
      </c>
      <c r="F202" t="s">
        <v>2370</v>
      </c>
      <c r="G202" t="s">
        <v>2371</v>
      </c>
      <c r="H202" s="147" t="s">
        <v>3079</v>
      </c>
      <c r="I202" t="s">
        <v>2351</v>
      </c>
    </row>
    <row r="203" spans="2:9" x14ac:dyDescent="0.25">
      <c r="B203" t="s">
        <v>3080</v>
      </c>
      <c r="C203" t="s">
        <v>2409</v>
      </c>
      <c r="D203" t="s">
        <v>2368</v>
      </c>
      <c r="E203" t="s">
        <v>2369</v>
      </c>
      <c r="F203" t="s">
        <v>3081</v>
      </c>
      <c r="G203" t="s">
        <v>2511</v>
      </c>
      <c r="H203" s="145" t="s">
        <v>3082</v>
      </c>
      <c r="I203" t="s">
        <v>2351</v>
      </c>
    </row>
    <row r="204" spans="2:9" x14ac:dyDescent="0.25">
      <c r="B204" t="s">
        <v>122</v>
      </c>
      <c r="C204" t="s">
        <v>2744</v>
      </c>
      <c r="D204" t="s">
        <v>2368</v>
      </c>
      <c r="E204" t="s">
        <v>2514</v>
      </c>
      <c r="F204" t="s">
        <v>3083</v>
      </c>
      <c r="G204" t="s">
        <v>2500</v>
      </c>
      <c r="H204" s="145" t="s">
        <v>3084</v>
      </c>
      <c r="I204" t="s">
        <v>2351</v>
      </c>
    </row>
    <row r="205" spans="2:9" x14ac:dyDescent="0.25">
      <c r="B205" t="s">
        <v>3085</v>
      </c>
      <c r="C205" t="s">
        <v>2590</v>
      </c>
      <c r="D205" t="s">
        <v>2550</v>
      </c>
      <c r="E205" t="s">
        <v>2410</v>
      </c>
      <c r="F205" t="s">
        <v>2370</v>
      </c>
      <c r="G205" t="s">
        <v>2474</v>
      </c>
      <c r="H205" s="145" t="s">
        <v>3086</v>
      </c>
      <c r="I205" t="s">
        <v>2351</v>
      </c>
    </row>
    <row r="206" spans="2:9" x14ac:dyDescent="0.25">
      <c r="B206" t="s">
        <v>3087</v>
      </c>
      <c r="C206" t="s">
        <v>2541</v>
      </c>
      <c r="D206" t="s">
        <v>2368</v>
      </c>
      <c r="E206" t="s">
        <v>3088</v>
      </c>
      <c r="F206" t="s">
        <v>3089</v>
      </c>
      <c r="G206" t="s">
        <v>2371</v>
      </c>
      <c r="H206" s="145" t="s">
        <v>3090</v>
      </c>
      <c r="I206" t="s">
        <v>2351</v>
      </c>
    </row>
    <row r="207" spans="2:9" x14ac:dyDescent="0.25">
      <c r="B207" t="s">
        <v>3091</v>
      </c>
      <c r="C207" t="s">
        <v>2530</v>
      </c>
      <c r="D207" t="s">
        <v>2368</v>
      </c>
      <c r="E207" t="s">
        <v>2410</v>
      </c>
      <c r="F207" t="s">
        <v>3092</v>
      </c>
      <c r="G207" t="s">
        <v>2371</v>
      </c>
      <c r="H207" s="147" t="s">
        <v>3093</v>
      </c>
      <c r="I207" t="s">
        <v>2351</v>
      </c>
    </row>
    <row r="208" spans="2:9" x14ac:dyDescent="0.25">
      <c r="B208" t="s">
        <v>3094</v>
      </c>
      <c r="C208" t="s">
        <v>2505</v>
      </c>
      <c r="D208" t="s">
        <v>2368</v>
      </c>
      <c r="E208" t="s">
        <v>2410</v>
      </c>
      <c r="F208" t="s">
        <v>3092</v>
      </c>
      <c r="G208" t="s">
        <v>2411</v>
      </c>
      <c r="H208" s="145" t="s">
        <v>3095</v>
      </c>
      <c r="I208" t="s">
        <v>2351</v>
      </c>
    </row>
    <row r="209" spans="2:9" x14ac:dyDescent="0.25">
      <c r="B209" t="s">
        <v>3096</v>
      </c>
      <c r="C209" t="s">
        <v>2774</v>
      </c>
      <c r="D209" t="s">
        <v>2368</v>
      </c>
      <c r="E209" t="s">
        <v>2410</v>
      </c>
      <c r="F209" t="s">
        <v>3097</v>
      </c>
      <c r="G209" t="s">
        <v>2511</v>
      </c>
      <c r="H209" s="145" t="s">
        <v>3098</v>
      </c>
      <c r="I209" t="s">
        <v>2351</v>
      </c>
    </row>
    <row r="210" spans="2:9" x14ac:dyDescent="0.25">
      <c r="B210" t="s">
        <v>3099</v>
      </c>
      <c r="C210" t="s">
        <v>2727</v>
      </c>
      <c r="D210" t="s">
        <v>2368</v>
      </c>
      <c r="E210" t="s">
        <v>2514</v>
      </c>
      <c r="F210" t="s">
        <v>3100</v>
      </c>
      <c r="G210" t="s">
        <v>2500</v>
      </c>
      <c r="H210" s="145" t="s">
        <v>3101</v>
      </c>
      <c r="I210" t="s">
        <v>2351</v>
      </c>
    </row>
    <row r="211" spans="2:9" x14ac:dyDescent="0.25">
      <c r="B211" t="s">
        <v>3102</v>
      </c>
      <c r="C211" t="s">
        <v>2519</v>
      </c>
      <c r="D211" t="s">
        <v>2368</v>
      </c>
      <c r="E211" t="s">
        <v>2514</v>
      </c>
      <c r="F211" t="s">
        <v>3103</v>
      </c>
      <c r="G211" t="s">
        <v>2383</v>
      </c>
      <c r="H211" s="147" t="s">
        <v>3104</v>
      </c>
      <c r="I211" t="s">
        <v>2351</v>
      </c>
    </row>
    <row r="212" spans="2:9" x14ac:dyDescent="0.25">
      <c r="B212" t="s">
        <v>3105</v>
      </c>
      <c r="C212" t="s">
        <v>2367</v>
      </c>
      <c r="D212" t="s">
        <v>2368</v>
      </c>
      <c r="E212" t="s">
        <v>2381</v>
      </c>
      <c r="F212" t="s">
        <v>2370</v>
      </c>
      <c r="G212" t="s">
        <v>2396</v>
      </c>
      <c r="H212" s="145" t="s">
        <v>3106</v>
      </c>
      <c r="I212" t="s">
        <v>2351</v>
      </c>
    </row>
    <row r="213" spans="2:9" x14ac:dyDescent="0.25">
      <c r="B213" t="s">
        <v>3107</v>
      </c>
      <c r="C213" t="s">
        <v>2559</v>
      </c>
      <c r="D213" t="s">
        <v>2396</v>
      </c>
      <c r="E213" t="s">
        <v>2461</v>
      </c>
      <c r="F213" t="s">
        <v>3108</v>
      </c>
      <c r="G213" t="s">
        <v>2500</v>
      </c>
      <c r="H213" s="145" t="s">
        <v>3109</v>
      </c>
      <c r="I213" t="s">
        <v>2351</v>
      </c>
    </row>
    <row r="214" spans="2:9" x14ac:dyDescent="0.25">
      <c r="B214" t="s">
        <v>3110</v>
      </c>
      <c r="C214" t="s">
        <v>2621</v>
      </c>
      <c r="D214" t="s">
        <v>2396</v>
      </c>
      <c r="E214" t="s">
        <v>2410</v>
      </c>
      <c r="F214" t="s">
        <v>3111</v>
      </c>
      <c r="G214" t="s">
        <v>2993</v>
      </c>
      <c r="H214" s="145" t="s">
        <v>3112</v>
      </c>
      <c r="I214" t="s">
        <v>2351</v>
      </c>
    </row>
    <row r="215" spans="2:9" x14ac:dyDescent="0.25">
      <c r="B215" t="s">
        <v>3113</v>
      </c>
      <c r="C215" t="s">
        <v>2599</v>
      </c>
      <c r="D215" t="s">
        <v>2368</v>
      </c>
      <c r="E215" t="s">
        <v>2473</v>
      </c>
      <c r="F215" t="s">
        <v>2370</v>
      </c>
      <c r="G215" t="s">
        <v>2371</v>
      </c>
      <c r="H215" s="145" t="s">
        <v>3114</v>
      </c>
      <c r="I215" t="s">
        <v>2351</v>
      </c>
    </row>
    <row r="216" spans="2:9" x14ac:dyDescent="0.25">
      <c r="B216" t="s">
        <v>3115</v>
      </c>
      <c r="C216" t="s">
        <v>3116</v>
      </c>
      <c r="D216" t="s">
        <v>2396</v>
      </c>
      <c r="E216" t="s">
        <v>2381</v>
      </c>
      <c r="F216" t="s">
        <v>3117</v>
      </c>
      <c r="G216" t="s">
        <v>2993</v>
      </c>
      <c r="H216" s="145" t="s">
        <v>3118</v>
      </c>
      <c r="I216" t="s">
        <v>2351</v>
      </c>
    </row>
    <row r="217" spans="2:9" x14ac:dyDescent="0.25">
      <c r="B217" t="s">
        <v>3119</v>
      </c>
      <c r="C217" t="s">
        <v>2409</v>
      </c>
      <c r="D217" t="s">
        <v>2550</v>
      </c>
      <c r="E217" t="s">
        <v>2514</v>
      </c>
      <c r="F217" t="s">
        <v>2370</v>
      </c>
      <c r="G217" t="s">
        <v>2411</v>
      </c>
      <c r="H217" s="145" t="s">
        <v>3120</v>
      </c>
      <c r="I217" t="s">
        <v>2351</v>
      </c>
    </row>
    <row r="218" spans="2:9" x14ac:dyDescent="0.25">
      <c r="B218" t="s">
        <v>3121</v>
      </c>
      <c r="C218" t="s">
        <v>2857</v>
      </c>
      <c r="D218" t="s">
        <v>2368</v>
      </c>
      <c r="E218" t="s">
        <v>2473</v>
      </c>
      <c r="F218" t="s">
        <v>3122</v>
      </c>
      <c r="G218" t="s">
        <v>2511</v>
      </c>
      <c r="H218" s="145" t="s">
        <v>3123</v>
      </c>
      <c r="I218" t="s">
        <v>2351</v>
      </c>
    </row>
    <row r="219" spans="2:9" x14ac:dyDescent="0.25">
      <c r="B219" t="s">
        <v>3124</v>
      </c>
      <c r="C219" t="s">
        <v>2642</v>
      </c>
      <c r="D219" t="s">
        <v>2368</v>
      </c>
      <c r="E219" t="s">
        <v>2369</v>
      </c>
      <c r="F219" t="s">
        <v>2370</v>
      </c>
      <c r="G219" t="s">
        <v>2371</v>
      </c>
      <c r="H219" s="145" t="s">
        <v>3125</v>
      </c>
      <c r="I219" t="s">
        <v>2351</v>
      </c>
    </row>
    <row r="220" spans="2:9" x14ac:dyDescent="0.25">
      <c r="B220" t="s">
        <v>3126</v>
      </c>
      <c r="C220" t="s">
        <v>2939</v>
      </c>
      <c r="D220" t="s">
        <v>2368</v>
      </c>
      <c r="E220" t="s">
        <v>2369</v>
      </c>
      <c r="F220" t="s">
        <v>2370</v>
      </c>
      <c r="G220" t="s">
        <v>2371</v>
      </c>
      <c r="H220" s="147" t="s">
        <v>3127</v>
      </c>
      <c r="I220" t="s">
        <v>2351</v>
      </c>
    </row>
    <row r="221" spans="2:9" x14ac:dyDescent="0.25">
      <c r="B221" t="s">
        <v>3128</v>
      </c>
      <c r="C221" t="s">
        <v>2541</v>
      </c>
      <c r="D221" t="s">
        <v>2550</v>
      </c>
      <c r="E221" t="s">
        <v>2369</v>
      </c>
      <c r="F221" t="s">
        <v>2536</v>
      </c>
      <c r="G221" t="s">
        <v>2371</v>
      </c>
      <c r="H221" s="145" t="s">
        <v>3129</v>
      </c>
      <c r="I221" t="s">
        <v>2351</v>
      </c>
    </row>
    <row r="222" spans="2:9" x14ac:dyDescent="0.25">
      <c r="B222" t="s">
        <v>3130</v>
      </c>
      <c r="C222" t="s">
        <v>3131</v>
      </c>
      <c r="D222" t="s">
        <v>2368</v>
      </c>
      <c r="E222" t="s">
        <v>2369</v>
      </c>
      <c r="F222" t="s">
        <v>3132</v>
      </c>
      <c r="G222" t="s">
        <v>2425</v>
      </c>
      <c r="H222" s="145" t="s">
        <v>3133</v>
      </c>
      <c r="I222" t="s">
        <v>2351</v>
      </c>
    </row>
    <row r="223" spans="2:9" x14ac:dyDescent="0.25">
      <c r="B223" t="s">
        <v>3134</v>
      </c>
      <c r="C223" t="s">
        <v>2761</v>
      </c>
      <c r="D223" t="s">
        <v>2368</v>
      </c>
      <c r="E223" t="s">
        <v>2369</v>
      </c>
      <c r="F223" t="s">
        <v>2370</v>
      </c>
      <c r="G223" t="s">
        <v>2511</v>
      </c>
      <c r="H223" s="145" t="s">
        <v>3135</v>
      </c>
      <c r="I223" t="s">
        <v>2351</v>
      </c>
    </row>
    <row r="224" spans="2:9" x14ac:dyDescent="0.25">
      <c r="B224" t="s">
        <v>3136</v>
      </c>
      <c r="C224" t="s">
        <v>3137</v>
      </c>
      <c r="D224" t="s">
        <v>2368</v>
      </c>
      <c r="E224" t="s">
        <v>2514</v>
      </c>
      <c r="F224" t="s">
        <v>2370</v>
      </c>
      <c r="G224" t="s">
        <v>2383</v>
      </c>
      <c r="H224" s="145" t="s">
        <v>3138</v>
      </c>
      <c r="I224" t="s">
        <v>2351</v>
      </c>
    </row>
    <row r="225" spans="2:9" x14ac:dyDescent="0.25">
      <c r="B225" t="s">
        <v>3139</v>
      </c>
      <c r="C225" t="s">
        <v>2596</v>
      </c>
      <c r="D225" t="s">
        <v>2368</v>
      </c>
      <c r="E225" t="s">
        <v>2572</v>
      </c>
      <c r="F225" t="s">
        <v>3140</v>
      </c>
      <c r="G225" t="s">
        <v>2371</v>
      </c>
      <c r="H225" s="145" t="s">
        <v>3141</v>
      </c>
      <c r="I225" t="s">
        <v>2351</v>
      </c>
    </row>
    <row r="226" spans="2:9" x14ac:dyDescent="0.25">
      <c r="B226" t="s">
        <v>3142</v>
      </c>
      <c r="C226" t="s">
        <v>2815</v>
      </c>
      <c r="D226" t="s">
        <v>2396</v>
      </c>
      <c r="E226" t="s">
        <v>2514</v>
      </c>
      <c r="F226" t="s">
        <v>3143</v>
      </c>
      <c r="G226" t="s">
        <v>2371</v>
      </c>
      <c r="H226" s="145" t="s">
        <v>3144</v>
      </c>
      <c r="I226" t="s">
        <v>2351</v>
      </c>
    </row>
    <row r="227" spans="2:9" x14ac:dyDescent="0.25">
      <c r="B227" t="s">
        <v>3145</v>
      </c>
      <c r="C227" t="s">
        <v>2815</v>
      </c>
      <c r="D227" t="s">
        <v>2368</v>
      </c>
      <c r="E227" t="s">
        <v>2473</v>
      </c>
      <c r="F227" t="s">
        <v>3146</v>
      </c>
      <c r="G227" t="s">
        <v>2576</v>
      </c>
      <c r="H227" s="145" t="s">
        <v>3147</v>
      </c>
      <c r="I227" t="s">
        <v>2351</v>
      </c>
    </row>
    <row r="228" spans="2:9" x14ac:dyDescent="0.25">
      <c r="B228" t="s">
        <v>3148</v>
      </c>
      <c r="C228" t="s">
        <v>3149</v>
      </c>
      <c r="D228" t="s">
        <v>2368</v>
      </c>
      <c r="E228" t="s">
        <v>2630</v>
      </c>
      <c r="F228" t="s">
        <v>2370</v>
      </c>
      <c r="G228" t="s">
        <v>2371</v>
      </c>
      <c r="H228" s="145" t="s">
        <v>3150</v>
      </c>
      <c r="I228" t="s">
        <v>2351</v>
      </c>
    </row>
    <row r="229" spans="2:9" x14ac:dyDescent="0.25">
      <c r="B229" t="s">
        <v>3151</v>
      </c>
      <c r="C229" t="s">
        <v>2495</v>
      </c>
      <c r="D229" t="s">
        <v>2368</v>
      </c>
      <c r="E229" t="s">
        <v>2514</v>
      </c>
      <c r="F229" t="s">
        <v>2370</v>
      </c>
      <c r="G229" t="s">
        <v>2425</v>
      </c>
      <c r="H229" s="147" t="s">
        <v>3152</v>
      </c>
      <c r="I229" t="s">
        <v>2351</v>
      </c>
    </row>
    <row r="230" spans="2:9" x14ac:dyDescent="0.25">
      <c r="B230" t="s">
        <v>3153</v>
      </c>
      <c r="C230" t="s">
        <v>3154</v>
      </c>
      <c r="D230" t="s">
        <v>2368</v>
      </c>
      <c r="E230" t="s">
        <v>2381</v>
      </c>
      <c r="F230" t="s">
        <v>3155</v>
      </c>
      <c r="G230" t="s">
        <v>2396</v>
      </c>
      <c r="H230" s="145" t="s">
        <v>3156</v>
      </c>
      <c r="I230" t="s">
        <v>2351</v>
      </c>
    </row>
    <row r="231" spans="2:9" x14ac:dyDescent="0.25">
      <c r="B231" t="s">
        <v>3157</v>
      </c>
      <c r="C231" t="s">
        <v>3158</v>
      </c>
      <c r="D231" t="s">
        <v>2629</v>
      </c>
      <c r="E231" t="s">
        <v>3159</v>
      </c>
      <c r="F231" t="s">
        <v>2370</v>
      </c>
      <c r="G231" t="s">
        <v>2502</v>
      </c>
      <c r="H231" s="145" t="s">
        <v>3160</v>
      </c>
      <c r="I231" t="s">
        <v>2351</v>
      </c>
    </row>
    <row r="232" spans="2:9" x14ac:dyDescent="0.25">
      <c r="B232" t="s">
        <v>3161</v>
      </c>
      <c r="C232" t="s">
        <v>2593</v>
      </c>
      <c r="D232" t="s">
        <v>2368</v>
      </c>
      <c r="E232" t="s">
        <v>2410</v>
      </c>
      <c r="F232" t="s">
        <v>2370</v>
      </c>
      <c r="G232" t="s">
        <v>2396</v>
      </c>
      <c r="H232" s="145" t="s">
        <v>3162</v>
      </c>
      <c r="I232" t="s">
        <v>2351</v>
      </c>
    </row>
    <row r="233" spans="2:9" x14ac:dyDescent="0.25">
      <c r="B233" t="s">
        <v>3163</v>
      </c>
      <c r="C233" t="s">
        <v>2734</v>
      </c>
      <c r="D233" t="s">
        <v>2368</v>
      </c>
      <c r="E233" t="s">
        <v>2410</v>
      </c>
      <c r="F233" t="s">
        <v>2562</v>
      </c>
      <c r="G233" t="s">
        <v>2411</v>
      </c>
      <c r="H233" s="145" t="s">
        <v>3164</v>
      </c>
      <c r="I233" t="s">
        <v>2351</v>
      </c>
    </row>
    <row r="234" spans="2:9" x14ac:dyDescent="0.25">
      <c r="B234" t="s">
        <v>3165</v>
      </c>
      <c r="C234" t="s">
        <v>2638</v>
      </c>
      <c r="D234" t="s">
        <v>2550</v>
      </c>
      <c r="E234" t="s">
        <v>2410</v>
      </c>
      <c r="F234" t="s">
        <v>2536</v>
      </c>
      <c r="G234" t="s">
        <v>2371</v>
      </c>
      <c r="H234" s="147" t="s">
        <v>3166</v>
      </c>
      <c r="I234" t="s">
        <v>2351</v>
      </c>
    </row>
    <row r="235" spans="2:9" x14ac:dyDescent="0.25">
      <c r="B235" t="s">
        <v>3167</v>
      </c>
      <c r="C235" t="s">
        <v>2805</v>
      </c>
      <c r="D235" t="s">
        <v>2368</v>
      </c>
      <c r="E235" t="s">
        <v>2381</v>
      </c>
      <c r="F235" t="s">
        <v>2370</v>
      </c>
      <c r="G235" t="s">
        <v>2474</v>
      </c>
      <c r="H235" s="145" t="s">
        <v>3168</v>
      </c>
      <c r="I235" t="s">
        <v>2351</v>
      </c>
    </row>
    <row r="236" spans="2:9" x14ac:dyDescent="0.25">
      <c r="B236" t="s">
        <v>3169</v>
      </c>
      <c r="C236" t="s">
        <v>2596</v>
      </c>
      <c r="D236" t="s">
        <v>2368</v>
      </c>
      <c r="E236" t="s">
        <v>2473</v>
      </c>
      <c r="F236" t="s">
        <v>3170</v>
      </c>
      <c r="G236" t="s">
        <v>2474</v>
      </c>
      <c r="H236" s="145" t="s">
        <v>3171</v>
      </c>
      <c r="I236" t="s">
        <v>2351</v>
      </c>
    </row>
    <row r="237" spans="2:9" x14ac:dyDescent="0.25">
      <c r="B237" t="s">
        <v>3172</v>
      </c>
      <c r="C237" t="s">
        <v>2686</v>
      </c>
      <c r="D237" t="s">
        <v>2368</v>
      </c>
      <c r="E237" t="s">
        <v>2381</v>
      </c>
      <c r="F237" t="s">
        <v>3173</v>
      </c>
      <c r="G237" t="s">
        <v>2383</v>
      </c>
      <c r="H237" s="145" t="s">
        <v>3174</v>
      </c>
      <c r="I237" t="s">
        <v>2351</v>
      </c>
    </row>
    <row r="238" spans="2:9" x14ac:dyDescent="0.25">
      <c r="B238" t="s">
        <v>3175</v>
      </c>
      <c r="C238" t="s">
        <v>2678</v>
      </c>
      <c r="D238" t="s">
        <v>2396</v>
      </c>
      <c r="E238" t="s">
        <v>2708</v>
      </c>
      <c r="F238" t="s">
        <v>3176</v>
      </c>
      <c r="G238" t="s">
        <v>2425</v>
      </c>
      <c r="H238" s="145" t="s">
        <v>3177</v>
      </c>
      <c r="I238" t="s">
        <v>2351</v>
      </c>
    </row>
    <row r="239" spans="2:9" x14ac:dyDescent="0.25">
      <c r="B239" t="s">
        <v>3178</v>
      </c>
      <c r="C239" t="s">
        <v>2534</v>
      </c>
      <c r="D239" t="s">
        <v>2629</v>
      </c>
      <c r="E239" t="s">
        <v>2473</v>
      </c>
      <c r="F239" t="s">
        <v>3179</v>
      </c>
      <c r="G239" t="s">
        <v>2425</v>
      </c>
      <c r="H239" s="145" t="s">
        <v>3180</v>
      </c>
      <c r="I239" t="s">
        <v>2351</v>
      </c>
    </row>
    <row r="240" spans="2:9" x14ac:dyDescent="0.25">
      <c r="B240" t="s">
        <v>3181</v>
      </c>
      <c r="C240" t="s">
        <v>2757</v>
      </c>
      <c r="D240" t="s">
        <v>2368</v>
      </c>
      <c r="E240" t="s">
        <v>2369</v>
      </c>
      <c r="F240" t="s">
        <v>3182</v>
      </c>
      <c r="G240" t="s">
        <v>2474</v>
      </c>
      <c r="H240" s="145" t="s">
        <v>3183</v>
      </c>
      <c r="I240" t="s">
        <v>2351</v>
      </c>
    </row>
    <row r="241" spans="2:9" x14ac:dyDescent="0.25">
      <c r="B241" t="s">
        <v>3184</v>
      </c>
      <c r="C241" t="s">
        <v>2782</v>
      </c>
      <c r="D241" t="s">
        <v>2368</v>
      </c>
      <c r="E241" t="s">
        <v>2473</v>
      </c>
      <c r="F241" t="s">
        <v>3185</v>
      </c>
      <c r="G241" t="s">
        <v>3186</v>
      </c>
      <c r="H241" s="145" t="s">
        <v>3187</v>
      </c>
      <c r="I241" t="s">
        <v>2351</v>
      </c>
    </row>
    <row r="242" spans="2:9" x14ac:dyDescent="0.25">
      <c r="B242" t="s">
        <v>3188</v>
      </c>
      <c r="C242" t="s">
        <v>2559</v>
      </c>
      <c r="D242" t="s">
        <v>2368</v>
      </c>
      <c r="E242" t="s">
        <v>2514</v>
      </c>
      <c r="F242" t="s">
        <v>3189</v>
      </c>
      <c r="G242" t="s">
        <v>2383</v>
      </c>
      <c r="H242" s="147" t="s">
        <v>3190</v>
      </c>
      <c r="I242" t="s">
        <v>2351</v>
      </c>
    </row>
    <row r="243" spans="2:9" x14ac:dyDescent="0.25">
      <c r="B243" t="s">
        <v>3191</v>
      </c>
      <c r="C243" t="s">
        <v>2593</v>
      </c>
      <c r="D243" t="s">
        <v>2368</v>
      </c>
      <c r="E243" t="s">
        <v>2514</v>
      </c>
      <c r="F243" t="s">
        <v>3192</v>
      </c>
      <c r="G243" t="s">
        <v>2425</v>
      </c>
      <c r="H243" s="145" t="s">
        <v>3193</v>
      </c>
      <c r="I243" t="s">
        <v>2351</v>
      </c>
    </row>
    <row r="244" spans="2:9" x14ac:dyDescent="0.25">
      <c r="B244" t="s">
        <v>3194</v>
      </c>
      <c r="C244" t="s">
        <v>2571</v>
      </c>
      <c r="D244" t="s">
        <v>2368</v>
      </c>
      <c r="E244" t="s">
        <v>2708</v>
      </c>
      <c r="F244" t="s">
        <v>3195</v>
      </c>
      <c r="G244" t="s">
        <v>2371</v>
      </c>
      <c r="H244" s="145" t="s">
        <v>3196</v>
      </c>
      <c r="I244" t="s">
        <v>2351</v>
      </c>
    </row>
    <row r="245" spans="2:9" x14ac:dyDescent="0.25">
      <c r="B245" t="s">
        <v>3197</v>
      </c>
      <c r="C245" t="s">
        <v>2893</v>
      </c>
      <c r="D245" t="s">
        <v>2368</v>
      </c>
      <c r="E245" t="s">
        <v>2381</v>
      </c>
      <c r="F245" t="s">
        <v>3198</v>
      </c>
      <c r="G245" t="s">
        <v>2474</v>
      </c>
      <c r="H245" s="145" t="s">
        <v>3199</v>
      </c>
      <c r="I245" t="s">
        <v>2351</v>
      </c>
    </row>
    <row r="246" spans="2:9" x14ac:dyDescent="0.25">
      <c r="B246" t="s">
        <v>3200</v>
      </c>
      <c r="C246" t="s">
        <v>3131</v>
      </c>
      <c r="D246" t="s">
        <v>2368</v>
      </c>
      <c r="E246" t="s">
        <v>2381</v>
      </c>
      <c r="F246" t="s">
        <v>2536</v>
      </c>
      <c r="G246" t="s">
        <v>2474</v>
      </c>
      <c r="H246" s="145" t="s">
        <v>3201</v>
      </c>
      <c r="I246" t="s">
        <v>2351</v>
      </c>
    </row>
    <row r="247" spans="2:9" x14ac:dyDescent="0.25">
      <c r="B247" t="s">
        <v>3202</v>
      </c>
      <c r="C247" t="s">
        <v>2380</v>
      </c>
      <c r="D247" t="s">
        <v>2368</v>
      </c>
      <c r="E247" t="s">
        <v>2410</v>
      </c>
      <c r="F247" t="s">
        <v>3203</v>
      </c>
      <c r="G247" t="s">
        <v>2411</v>
      </c>
      <c r="H247" s="147" t="s">
        <v>3204</v>
      </c>
      <c r="I247" t="s">
        <v>2351</v>
      </c>
    </row>
    <row r="248" spans="2:9" x14ac:dyDescent="0.25">
      <c r="B248" t="s">
        <v>3205</v>
      </c>
      <c r="C248" t="s">
        <v>2472</v>
      </c>
      <c r="D248" t="s">
        <v>2368</v>
      </c>
      <c r="E248" t="s">
        <v>2381</v>
      </c>
      <c r="F248" t="s">
        <v>3206</v>
      </c>
      <c r="G248" t="s">
        <v>2500</v>
      </c>
      <c r="H248" s="145" t="s">
        <v>3207</v>
      </c>
      <c r="I248" t="s">
        <v>2351</v>
      </c>
    </row>
    <row r="249" spans="2:9" x14ac:dyDescent="0.25">
      <c r="B249" t="s">
        <v>3208</v>
      </c>
      <c r="C249" t="s">
        <v>2593</v>
      </c>
      <c r="D249" t="s">
        <v>2368</v>
      </c>
      <c r="E249" t="s">
        <v>2369</v>
      </c>
      <c r="F249" t="s">
        <v>3122</v>
      </c>
      <c r="G249" t="s">
        <v>2474</v>
      </c>
      <c r="H249" s="145" t="s">
        <v>3209</v>
      </c>
      <c r="I249" t="s">
        <v>2351</v>
      </c>
    </row>
    <row r="250" spans="2:9" x14ac:dyDescent="0.25">
      <c r="B250" t="s">
        <v>3210</v>
      </c>
      <c r="C250" t="s">
        <v>2970</v>
      </c>
      <c r="D250" t="s">
        <v>2368</v>
      </c>
      <c r="E250" t="s">
        <v>2473</v>
      </c>
      <c r="F250" t="s">
        <v>2370</v>
      </c>
      <c r="G250" t="s">
        <v>2474</v>
      </c>
      <c r="H250" s="145" t="s">
        <v>3211</v>
      </c>
      <c r="I250" t="s">
        <v>2351</v>
      </c>
    </row>
    <row r="251" spans="2:9" x14ac:dyDescent="0.25">
      <c r="B251" t="s">
        <v>3212</v>
      </c>
      <c r="C251" t="s">
        <v>3213</v>
      </c>
      <c r="D251" t="s">
        <v>2396</v>
      </c>
      <c r="E251" t="s">
        <v>2381</v>
      </c>
      <c r="F251" t="s">
        <v>2370</v>
      </c>
      <c r="G251" t="s">
        <v>2500</v>
      </c>
      <c r="H251" s="145" t="s">
        <v>3214</v>
      </c>
      <c r="I251" t="s">
        <v>2351</v>
      </c>
    </row>
    <row r="252" spans="2:9" x14ac:dyDescent="0.25">
      <c r="B252" t="s">
        <v>3215</v>
      </c>
      <c r="C252" t="s">
        <v>2509</v>
      </c>
      <c r="D252" t="s">
        <v>2629</v>
      </c>
      <c r="E252" t="s">
        <v>2369</v>
      </c>
      <c r="F252" t="s">
        <v>2370</v>
      </c>
      <c r="G252" t="s">
        <v>2371</v>
      </c>
      <c r="H252" s="145" t="s">
        <v>3216</v>
      </c>
      <c r="I252" t="s">
        <v>2351</v>
      </c>
    </row>
    <row r="253" spans="2:9" x14ac:dyDescent="0.25">
      <c r="B253" t="s">
        <v>3217</v>
      </c>
      <c r="C253" t="s">
        <v>2484</v>
      </c>
      <c r="D253" t="s">
        <v>2500</v>
      </c>
      <c r="E253" t="s">
        <v>2369</v>
      </c>
      <c r="F253" t="s">
        <v>3218</v>
      </c>
      <c r="G253" t="s">
        <v>2425</v>
      </c>
      <c r="H253" s="145" t="s">
        <v>3219</v>
      </c>
      <c r="I253" t="s">
        <v>2351</v>
      </c>
    </row>
    <row r="254" spans="2:9" x14ac:dyDescent="0.25">
      <c r="B254" t="s">
        <v>3220</v>
      </c>
      <c r="C254" t="s">
        <v>2678</v>
      </c>
      <c r="D254" t="s">
        <v>2368</v>
      </c>
      <c r="E254" t="s">
        <v>2514</v>
      </c>
      <c r="F254" t="s">
        <v>3221</v>
      </c>
      <c r="G254" t="s">
        <v>2371</v>
      </c>
      <c r="H254" s="145" t="s">
        <v>3222</v>
      </c>
      <c r="I254" t="s">
        <v>2351</v>
      </c>
    </row>
    <row r="255" spans="2:9" x14ac:dyDescent="0.25">
      <c r="B255" t="s">
        <v>3223</v>
      </c>
      <c r="C255" t="s">
        <v>2590</v>
      </c>
      <c r="D255" t="s">
        <v>3224</v>
      </c>
      <c r="E255" t="s">
        <v>2609</v>
      </c>
      <c r="F255" t="s">
        <v>2370</v>
      </c>
      <c r="G255" t="s">
        <v>2371</v>
      </c>
      <c r="H255" s="145" t="s">
        <v>3225</v>
      </c>
      <c r="I255" t="s">
        <v>2351</v>
      </c>
    </row>
    <row r="256" spans="2:9" x14ac:dyDescent="0.25">
      <c r="B256" t="s">
        <v>3226</v>
      </c>
      <c r="C256" t="s">
        <v>2367</v>
      </c>
      <c r="D256" t="s">
        <v>2368</v>
      </c>
      <c r="E256" t="s">
        <v>2461</v>
      </c>
      <c r="F256" t="s">
        <v>2370</v>
      </c>
      <c r="G256" t="s">
        <v>2371</v>
      </c>
      <c r="H256" s="145" t="s">
        <v>3227</v>
      </c>
      <c r="I256" t="s">
        <v>2351</v>
      </c>
    </row>
    <row r="257" spans="2:9" x14ac:dyDescent="0.25">
      <c r="B257" t="s">
        <v>3228</v>
      </c>
      <c r="C257" t="s">
        <v>2707</v>
      </c>
      <c r="D257" t="s">
        <v>2368</v>
      </c>
      <c r="E257" t="s">
        <v>2369</v>
      </c>
      <c r="F257" t="s">
        <v>3229</v>
      </c>
      <c r="G257" t="s">
        <v>2411</v>
      </c>
      <c r="H257" s="145" t="s">
        <v>3230</v>
      </c>
      <c r="I257" t="s">
        <v>2351</v>
      </c>
    </row>
    <row r="258" spans="2:9" x14ac:dyDescent="0.25">
      <c r="B258" t="s">
        <v>3231</v>
      </c>
      <c r="C258" t="s">
        <v>3149</v>
      </c>
      <c r="D258" t="s">
        <v>2368</v>
      </c>
      <c r="E258" t="s">
        <v>2514</v>
      </c>
      <c r="F258" t="s">
        <v>2370</v>
      </c>
      <c r="G258" t="s">
        <v>2371</v>
      </c>
      <c r="H258" s="147" t="s">
        <v>3232</v>
      </c>
      <c r="I258" t="s">
        <v>2351</v>
      </c>
    </row>
    <row r="259" spans="2:9" x14ac:dyDescent="0.25">
      <c r="B259" t="s">
        <v>3233</v>
      </c>
      <c r="C259" t="s">
        <v>3234</v>
      </c>
      <c r="D259" t="s">
        <v>2368</v>
      </c>
      <c r="E259" t="s">
        <v>2369</v>
      </c>
      <c r="F259" t="s">
        <v>2536</v>
      </c>
      <c r="G259" t="s">
        <v>2371</v>
      </c>
      <c r="H259" s="147" t="s">
        <v>3235</v>
      </c>
      <c r="I259" t="s">
        <v>2351</v>
      </c>
    </row>
    <row r="260" spans="2:9" x14ac:dyDescent="0.25">
      <c r="B260" t="s">
        <v>3236</v>
      </c>
      <c r="C260" t="s">
        <v>2499</v>
      </c>
      <c r="D260" t="s">
        <v>2368</v>
      </c>
      <c r="E260" t="s">
        <v>2369</v>
      </c>
      <c r="F260" t="s">
        <v>2536</v>
      </c>
      <c r="G260" t="s">
        <v>2371</v>
      </c>
      <c r="H260" s="145" t="s">
        <v>3237</v>
      </c>
      <c r="I260" t="s">
        <v>2351</v>
      </c>
    </row>
    <row r="261" spans="2:9" x14ac:dyDescent="0.25">
      <c r="B261" t="s">
        <v>3238</v>
      </c>
      <c r="C261" t="s">
        <v>2596</v>
      </c>
      <c r="D261" t="s">
        <v>2629</v>
      </c>
      <c r="E261" t="s">
        <v>2381</v>
      </c>
      <c r="F261" t="s">
        <v>2536</v>
      </c>
      <c r="G261" t="s">
        <v>2371</v>
      </c>
      <c r="H261" s="145" t="s">
        <v>3239</v>
      </c>
      <c r="I261" t="s">
        <v>2351</v>
      </c>
    </row>
    <row r="262" spans="2:9" x14ac:dyDescent="0.25">
      <c r="B262" t="s">
        <v>3240</v>
      </c>
      <c r="C262" t="s">
        <v>2815</v>
      </c>
      <c r="D262" t="s">
        <v>2368</v>
      </c>
      <c r="E262" t="s">
        <v>2461</v>
      </c>
      <c r="F262" t="s">
        <v>2370</v>
      </c>
      <c r="G262" t="s">
        <v>3241</v>
      </c>
      <c r="H262" s="145" t="s">
        <v>3242</v>
      </c>
      <c r="I262" t="s">
        <v>2351</v>
      </c>
    </row>
    <row r="263" spans="2:9" x14ac:dyDescent="0.25">
      <c r="B263" t="s">
        <v>3243</v>
      </c>
      <c r="C263" t="s">
        <v>2757</v>
      </c>
      <c r="D263" t="s">
        <v>2368</v>
      </c>
      <c r="E263" t="s">
        <v>2666</v>
      </c>
      <c r="F263" t="s">
        <v>2370</v>
      </c>
      <c r="G263" t="s">
        <v>2371</v>
      </c>
      <c r="H263" s="145" t="s">
        <v>3244</v>
      </c>
      <c r="I263" t="s">
        <v>2351</v>
      </c>
    </row>
    <row r="264" spans="2:9" x14ac:dyDescent="0.25">
      <c r="B264" t="s">
        <v>3245</v>
      </c>
      <c r="C264" t="s">
        <v>3048</v>
      </c>
      <c r="D264" t="s">
        <v>2368</v>
      </c>
      <c r="E264" t="s">
        <v>2369</v>
      </c>
      <c r="F264" t="s">
        <v>2370</v>
      </c>
      <c r="G264" t="s">
        <v>2629</v>
      </c>
      <c r="H264" s="145" t="s">
        <v>3246</v>
      </c>
      <c r="I264" t="s">
        <v>2351</v>
      </c>
    </row>
    <row r="265" spans="2:9" x14ac:dyDescent="0.25">
      <c r="B265" t="s">
        <v>3247</v>
      </c>
      <c r="C265" t="s">
        <v>2367</v>
      </c>
      <c r="D265" t="s">
        <v>2368</v>
      </c>
      <c r="E265" t="s">
        <v>2410</v>
      </c>
      <c r="F265" t="s">
        <v>2370</v>
      </c>
      <c r="G265" t="s">
        <v>2629</v>
      </c>
      <c r="H265" s="145" t="s">
        <v>3248</v>
      </c>
      <c r="I265" t="s">
        <v>2351</v>
      </c>
    </row>
    <row r="266" spans="2:9" x14ac:dyDescent="0.25">
      <c r="B266" t="s">
        <v>3249</v>
      </c>
      <c r="C266" t="s">
        <v>3250</v>
      </c>
      <c r="D266" t="s">
        <v>2368</v>
      </c>
      <c r="E266" t="s">
        <v>2473</v>
      </c>
      <c r="F266" t="s">
        <v>3251</v>
      </c>
      <c r="G266" t="s">
        <v>2993</v>
      </c>
      <c r="H266" s="145" t="s">
        <v>3252</v>
      </c>
      <c r="I266" t="s">
        <v>2351</v>
      </c>
    </row>
    <row r="267" spans="2:9" x14ac:dyDescent="0.25">
      <c r="B267" t="s">
        <v>3253</v>
      </c>
      <c r="C267" t="s">
        <v>3158</v>
      </c>
      <c r="D267" t="s">
        <v>2368</v>
      </c>
      <c r="E267" t="s">
        <v>3254</v>
      </c>
      <c r="F267" t="s">
        <v>3255</v>
      </c>
      <c r="G267" t="s">
        <v>2881</v>
      </c>
      <c r="H267" s="145" t="s">
        <v>3256</v>
      </c>
      <c r="I267" t="s">
        <v>2351</v>
      </c>
    </row>
    <row r="268" spans="2:9" x14ac:dyDescent="0.25">
      <c r="B268" t="s">
        <v>3257</v>
      </c>
      <c r="C268" t="s">
        <v>2559</v>
      </c>
      <c r="D268" t="s">
        <v>2368</v>
      </c>
      <c r="E268" t="s">
        <v>2514</v>
      </c>
      <c r="F268" t="s">
        <v>2370</v>
      </c>
      <c r="G268" t="s">
        <v>2411</v>
      </c>
      <c r="H268" s="147" t="s">
        <v>3258</v>
      </c>
      <c r="I268" t="s">
        <v>2351</v>
      </c>
    </row>
    <row r="269" spans="2:9" x14ac:dyDescent="0.25">
      <c r="B269" t="s">
        <v>3259</v>
      </c>
      <c r="C269" t="s">
        <v>2519</v>
      </c>
      <c r="D269" t="s">
        <v>2368</v>
      </c>
      <c r="E269" t="s">
        <v>2514</v>
      </c>
      <c r="F269" t="s">
        <v>3260</v>
      </c>
      <c r="G269" t="s">
        <v>3261</v>
      </c>
      <c r="H269" s="145" t="s">
        <v>3262</v>
      </c>
      <c r="I269" t="s">
        <v>2351</v>
      </c>
    </row>
    <row r="270" spans="2:9" x14ac:dyDescent="0.25">
      <c r="B270" t="s">
        <v>3263</v>
      </c>
      <c r="C270" t="s">
        <v>2380</v>
      </c>
      <c r="D270" t="s">
        <v>2368</v>
      </c>
      <c r="E270" t="s">
        <v>2514</v>
      </c>
      <c r="F270" t="s">
        <v>2370</v>
      </c>
      <c r="G270" t="s">
        <v>2500</v>
      </c>
      <c r="H270" s="145" t="s">
        <v>3264</v>
      </c>
      <c r="I270" t="s">
        <v>2351</v>
      </c>
    </row>
    <row r="271" spans="2:9" x14ac:dyDescent="0.25">
      <c r="B271" t="s">
        <v>3265</v>
      </c>
      <c r="C271" t="s">
        <v>3266</v>
      </c>
      <c r="D271" t="s">
        <v>2368</v>
      </c>
      <c r="E271" t="s">
        <v>2461</v>
      </c>
      <c r="F271" t="s">
        <v>2370</v>
      </c>
      <c r="G271" t="s">
        <v>2371</v>
      </c>
      <c r="H271" s="147" t="s">
        <v>3267</v>
      </c>
      <c r="I271" t="s">
        <v>2351</v>
      </c>
    </row>
    <row r="272" spans="2:9" x14ac:dyDescent="0.25">
      <c r="B272" t="s">
        <v>3268</v>
      </c>
      <c r="C272" t="s">
        <v>2697</v>
      </c>
      <c r="D272" t="s">
        <v>2500</v>
      </c>
      <c r="E272" t="s">
        <v>2514</v>
      </c>
      <c r="F272" t="s">
        <v>3269</v>
      </c>
      <c r="G272" t="s">
        <v>2371</v>
      </c>
      <c r="H272" s="145" t="s">
        <v>3270</v>
      </c>
      <c r="I272" t="s">
        <v>2351</v>
      </c>
    </row>
    <row r="273" spans="2:9" x14ac:dyDescent="0.25">
      <c r="B273" t="s">
        <v>3271</v>
      </c>
      <c r="C273" t="s">
        <v>2651</v>
      </c>
      <c r="D273" t="s">
        <v>2368</v>
      </c>
      <c r="E273" t="s">
        <v>2381</v>
      </c>
      <c r="F273" t="s">
        <v>3272</v>
      </c>
      <c r="G273" t="s">
        <v>2500</v>
      </c>
      <c r="H273" s="145" t="s">
        <v>3273</v>
      </c>
      <c r="I273" t="s">
        <v>2351</v>
      </c>
    </row>
    <row r="274" spans="2:9" x14ac:dyDescent="0.25">
      <c r="B274" t="s">
        <v>3274</v>
      </c>
      <c r="C274" t="s">
        <v>2587</v>
      </c>
      <c r="D274" t="s">
        <v>2368</v>
      </c>
      <c r="E274" t="s">
        <v>2369</v>
      </c>
      <c r="F274" t="s">
        <v>2370</v>
      </c>
      <c r="G274" t="s">
        <v>2474</v>
      </c>
      <c r="H274" s="145" t="s">
        <v>3275</v>
      </c>
      <c r="I274" t="s">
        <v>2351</v>
      </c>
    </row>
    <row r="275" spans="2:9" x14ac:dyDescent="0.25">
      <c r="B275" t="s">
        <v>3276</v>
      </c>
      <c r="C275" t="s">
        <v>2744</v>
      </c>
      <c r="D275" t="s">
        <v>2368</v>
      </c>
      <c r="E275" t="s">
        <v>2369</v>
      </c>
      <c r="F275" t="s">
        <v>2370</v>
      </c>
      <c r="G275" t="s">
        <v>2371</v>
      </c>
      <c r="H275" s="145" t="s">
        <v>3277</v>
      </c>
      <c r="I275" t="s">
        <v>2351</v>
      </c>
    </row>
    <row r="276" spans="2:9" x14ac:dyDescent="0.25">
      <c r="B276" t="s">
        <v>3278</v>
      </c>
      <c r="C276" t="s">
        <v>2854</v>
      </c>
      <c r="D276" t="s">
        <v>2368</v>
      </c>
      <c r="E276" t="s">
        <v>2369</v>
      </c>
      <c r="F276" t="s">
        <v>2370</v>
      </c>
      <c r="G276" t="s">
        <v>2371</v>
      </c>
      <c r="H276" s="145" t="s">
        <v>3279</v>
      </c>
      <c r="I276" t="s">
        <v>2351</v>
      </c>
    </row>
    <row r="277" spans="2:9" x14ac:dyDescent="0.25">
      <c r="B277" t="s">
        <v>3280</v>
      </c>
      <c r="C277" t="s">
        <v>2839</v>
      </c>
      <c r="D277" t="s">
        <v>2396</v>
      </c>
      <c r="E277" t="s">
        <v>2514</v>
      </c>
      <c r="F277" t="s">
        <v>3281</v>
      </c>
      <c r="G277" t="s">
        <v>2500</v>
      </c>
      <c r="H277" s="145" t="s">
        <v>3282</v>
      </c>
      <c r="I277" t="s">
        <v>2351</v>
      </c>
    </row>
    <row r="278" spans="2:9" x14ac:dyDescent="0.25">
      <c r="B278" t="s">
        <v>3283</v>
      </c>
      <c r="C278" t="s">
        <v>2472</v>
      </c>
      <c r="D278" t="s">
        <v>2500</v>
      </c>
      <c r="E278" t="s">
        <v>2514</v>
      </c>
      <c r="F278" t="s">
        <v>3284</v>
      </c>
      <c r="G278" t="s">
        <v>2371</v>
      </c>
      <c r="H278" s="145" t="s">
        <v>3285</v>
      </c>
      <c r="I278" t="s">
        <v>2351</v>
      </c>
    </row>
    <row r="279" spans="2:9" x14ac:dyDescent="0.25">
      <c r="B279" t="s">
        <v>3286</v>
      </c>
      <c r="C279" t="s">
        <v>2559</v>
      </c>
      <c r="D279" t="s">
        <v>2368</v>
      </c>
      <c r="E279" t="s">
        <v>2514</v>
      </c>
      <c r="F279" t="s">
        <v>2370</v>
      </c>
      <c r="G279" t="s">
        <v>2371</v>
      </c>
      <c r="H279" s="147" t="s">
        <v>3287</v>
      </c>
      <c r="I279" t="s">
        <v>2351</v>
      </c>
    </row>
    <row r="280" spans="2:9" x14ac:dyDescent="0.25">
      <c r="B280" t="s">
        <v>3288</v>
      </c>
      <c r="C280" t="s">
        <v>2575</v>
      </c>
      <c r="D280" t="s">
        <v>2368</v>
      </c>
      <c r="E280" t="s">
        <v>2514</v>
      </c>
      <c r="F280" t="s">
        <v>3289</v>
      </c>
      <c r="G280" t="s">
        <v>2474</v>
      </c>
      <c r="H280" s="147" t="s">
        <v>3290</v>
      </c>
      <c r="I280" t="s">
        <v>2351</v>
      </c>
    </row>
    <row r="281" spans="2:9" x14ac:dyDescent="0.25">
      <c r="B281" t="s">
        <v>3291</v>
      </c>
      <c r="C281" t="s">
        <v>2886</v>
      </c>
      <c r="D281" t="s">
        <v>2500</v>
      </c>
      <c r="E281" t="s">
        <v>2514</v>
      </c>
      <c r="F281" t="s">
        <v>3292</v>
      </c>
      <c r="G281" t="s">
        <v>2371</v>
      </c>
      <c r="H281" s="145" t="s">
        <v>3293</v>
      </c>
      <c r="I281" t="s">
        <v>2351</v>
      </c>
    </row>
    <row r="282" spans="2:9" x14ac:dyDescent="0.25">
      <c r="B282" t="s">
        <v>3294</v>
      </c>
      <c r="C282" t="s">
        <v>2839</v>
      </c>
      <c r="D282" t="s">
        <v>2368</v>
      </c>
      <c r="E282" t="s">
        <v>2921</v>
      </c>
      <c r="F282" t="s">
        <v>3295</v>
      </c>
      <c r="G282" t="s">
        <v>2474</v>
      </c>
      <c r="H282" s="145" t="s">
        <v>3296</v>
      </c>
      <c r="I282" t="s">
        <v>2351</v>
      </c>
    </row>
    <row r="283" spans="2:9" x14ac:dyDescent="0.25">
      <c r="B283" t="s">
        <v>3297</v>
      </c>
      <c r="C283" t="s">
        <v>2603</v>
      </c>
      <c r="D283" t="s">
        <v>2368</v>
      </c>
      <c r="E283" t="s">
        <v>2514</v>
      </c>
      <c r="F283" t="s">
        <v>3298</v>
      </c>
      <c r="G283" t="s">
        <v>2371</v>
      </c>
      <c r="H283" s="147" t="s">
        <v>3299</v>
      </c>
      <c r="I283" t="s">
        <v>2351</v>
      </c>
    </row>
    <row r="284" spans="2:9" x14ac:dyDescent="0.25">
      <c r="B284" t="s">
        <v>3300</v>
      </c>
      <c r="C284" t="s">
        <v>2409</v>
      </c>
      <c r="D284" t="s">
        <v>2368</v>
      </c>
      <c r="E284" t="s">
        <v>2514</v>
      </c>
      <c r="F284" t="s">
        <v>3301</v>
      </c>
      <c r="G284" t="s">
        <v>2500</v>
      </c>
      <c r="H284" s="145" t="s">
        <v>3302</v>
      </c>
      <c r="I284" t="s">
        <v>2351</v>
      </c>
    </row>
    <row r="285" spans="2:9" x14ac:dyDescent="0.25">
      <c r="B285" t="s">
        <v>3303</v>
      </c>
      <c r="C285" t="s">
        <v>2744</v>
      </c>
      <c r="D285" t="s">
        <v>2368</v>
      </c>
      <c r="E285" t="s">
        <v>2369</v>
      </c>
      <c r="F285" t="s">
        <v>2370</v>
      </c>
      <c r="G285" t="s">
        <v>2371</v>
      </c>
      <c r="H285" s="145" t="s">
        <v>3304</v>
      </c>
      <c r="I285" t="s">
        <v>2351</v>
      </c>
    </row>
    <row r="286" spans="2:9" x14ac:dyDescent="0.25">
      <c r="B286" t="s">
        <v>3305</v>
      </c>
      <c r="C286" t="s">
        <v>2519</v>
      </c>
      <c r="D286" t="s">
        <v>2550</v>
      </c>
      <c r="E286" t="s">
        <v>2381</v>
      </c>
      <c r="F286" t="s">
        <v>3306</v>
      </c>
      <c r="G286" t="s">
        <v>2396</v>
      </c>
      <c r="H286" s="145" t="s">
        <v>3307</v>
      </c>
      <c r="I286" t="s">
        <v>2351</v>
      </c>
    </row>
    <row r="287" spans="2:9" x14ac:dyDescent="0.25">
      <c r="B287" t="s">
        <v>3308</v>
      </c>
      <c r="C287" t="s">
        <v>2596</v>
      </c>
      <c r="D287" t="s">
        <v>2368</v>
      </c>
      <c r="E287" t="s">
        <v>2473</v>
      </c>
      <c r="F287" t="s">
        <v>2370</v>
      </c>
      <c r="G287" t="s">
        <v>2371</v>
      </c>
      <c r="H287" s="145" t="s">
        <v>3309</v>
      </c>
      <c r="I287" t="s">
        <v>2351</v>
      </c>
    </row>
    <row r="288" spans="2:9" x14ac:dyDescent="0.25">
      <c r="B288" t="s">
        <v>3310</v>
      </c>
      <c r="C288" t="s">
        <v>3067</v>
      </c>
      <c r="D288" t="s">
        <v>2629</v>
      </c>
      <c r="E288" t="s">
        <v>2410</v>
      </c>
      <c r="F288" t="s">
        <v>3311</v>
      </c>
      <c r="G288" t="s">
        <v>2511</v>
      </c>
      <c r="H288" s="145" t="s">
        <v>3312</v>
      </c>
      <c r="I288" t="s">
        <v>2351</v>
      </c>
    </row>
    <row r="289" spans="2:9" x14ac:dyDescent="0.25">
      <c r="B289" t="s">
        <v>3313</v>
      </c>
      <c r="C289" t="s">
        <v>2599</v>
      </c>
      <c r="D289" t="s">
        <v>2550</v>
      </c>
      <c r="E289" t="s">
        <v>2410</v>
      </c>
      <c r="F289" t="s">
        <v>2536</v>
      </c>
      <c r="G289" t="s">
        <v>2474</v>
      </c>
      <c r="H289" s="145" t="s">
        <v>3314</v>
      </c>
      <c r="I289" t="s">
        <v>2351</v>
      </c>
    </row>
    <row r="290" spans="2:9" x14ac:dyDescent="0.25">
      <c r="B290" t="s">
        <v>3315</v>
      </c>
      <c r="C290" t="s">
        <v>2774</v>
      </c>
      <c r="D290" t="s">
        <v>2368</v>
      </c>
      <c r="E290" t="s">
        <v>2410</v>
      </c>
      <c r="F290" t="s">
        <v>3316</v>
      </c>
      <c r="G290" t="s">
        <v>2500</v>
      </c>
      <c r="H290" s="147" t="s">
        <v>3317</v>
      </c>
      <c r="I290" t="s">
        <v>2351</v>
      </c>
    </row>
    <row r="291" spans="2:9" x14ac:dyDescent="0.25">
      <c r="B291" t="s">
        <v>3318</v>
      </c>
      <c r="C291" t="s">
        <v>2734</v>
      </c>
      <c r="D291" t="s">
        <v>2368</v>
      </c>
      <c r="E291" t="s">
        <v>2381</v>
      </c>
      <c r="F291" t="s">
        <v>2370</v>
      </c>
      <c r="G291" t="s">
        <v>2383</v>
      </c>
      <c r="H291" s="145" t="s">
        <v>3319</v>
      </c>
      <c r="I291" t="s">
        <v>2351</v>
      </c>
    </row>
    <row r="292" spans="2:9" x14ac:dyDescent="0.25">
      <c r="B292" t="s">
        <v>3320</v>
      </c>
      <c r="C292" t="s">
        <v>2541</v>
      </c>
      <c r="D292" t="s">
        <v>2368</v>
      </c>
      <c r="E292" t="s">
        <v>2350</v>
      </c>
      <c r="F292" t="s">
        <v>3321</v>
      </c>
      <c r="G292" t="s">
        <v>2576</v>
      </c>
      <c r="H292" s="145" t="s">
        <v>3322</v>
      </c>
      <c r="I292" t="s">
        <v>2351</v>
      </c>
    </row>
    <row r="293" spans="2:9" x14ac:dyDescent="0.25">
      <c r="B293" t="s">
        <v>3323</v>
      </c>
      <c r="C293" t="s">
        <v>2839</v>
      </c>
      <c r="D293" t="s">
        <v>2368</v>
      </c>
      <c r="E293" t="s">
        <v>2514</v>
      </c>
      <c r="F293" t="s">
        <v>3324</v>
      </c>
      <c r="G293" t="s">
        <v>2993</v>
      </c>
      <c r="H293" s="145" t="s">
        <v>3325</v>
      </c>
      <c r="I293" t="s">
        <v>2351</v>
      </c>
    </row>
    <row r="294" spans="2:9" x14ac:dyDescent="0.25">
      <c r="B294" t="s">
        <v>3326</v>
      </c>
      <c r="C294" t="s">
        <v>3327</v>
      </c>
      <c r="D294" t="s">
        <v>2368</v>
      </c>
      <c r="E294" t="s">
        <v>2410</v>
      </c>
      <c r="F294" t="s">
        <v>3328</v>
      </c>
      <c r="G294" t="s">
        <v>2411</v>
      </c>
      <c r="H294" s="145" t="s">
        <v>3329</v>
      </c>
      <c r="I294" t="s">
        <v>2351</v>
      </c>
    </row>
    <row r="295" spans="2:9" x14ac:dyDescent="0.25">
      <c r="B295" t="s">
        <v>3330</v>
      </c>
      <c r="C295" t="s">
        <v>2596</v>
      </c>
      <c r="D295" t="s">
        <v>2368</v>
      </c>
      <c r="E295" t="s">
        <v>2369</v>
      </c>
      <c r="F295" t="s">
        <v>3331</v>
      </c>
      <c r="G295" t="s">
        <v>2371</v>
      </c>
      <c r="H295" s="145" t="s">
        <v>3332</v>
      </c>
      <c r="I295" t="s">
        <v>2351</v>
      </c>
    </row>
    <row r="296" spans="2:9" x14ac:dyDescent="0.25">
      <c r="B296" t="s">
        <v>110</v>
      </c>
      <c r="C296" t="s">
        <v>2519</v>
      </c>
      <c r="D296" t="s">
        <v>3333</v>
      </c>
      <c r="E296" t="s">
        <v>2410</v>
      </c>
      <c r="F296" t="s">
        <v>2370</v>
      </c>
      <c r="G296" t="s">
        <v>2576</v>
      </c>
      <c r="H296" s="147" t="s">
        <v>3334</v>
      </c>
      <c r="I296" t="s">
        <v>2351</v>
      </c>
    </row>
    <row r="297" spans="2:9" x14ac:dyDescent="0.25">
      <c r="B297" t="s">
        <v>3335</v>
      </c>
      <c r="C297" t="s">
        <v>2519</v>
      </c>
      <c r="D297" t="s">
        <v>2550</v>
      </c>
      <c r="E297" t="s">
        <v>2369</v>
      </c>
      <c r="F297" t="s">
        <v>3336</v>
      </c>
      <c r="G297" t="s">
        <v>2511</v>
      </c>
      <c r="H297" s="147" t="s">
        <v>3337</v>
      </c>
      <c r="I297" t="s">
        <v>2351</v>
      </c>
    </row>
    <row r="298" spans="2:9" x14ac:dyDescent="0.25">
      <c r="B298" t="s">
        <v>3338</v>
      </c>
      <c r="C298" t="s">
        <v>2815</v>
      </c>
      <c r="D298" t="s">
        <v>2550</v>
      </c>
      <c r="E298" t="s">
        <v>2514</v>
      </c>
      <c r="F298" t="s">
        <v>3339</v>
      </c>
      <c r="G298" t="s">
        <v>2396</v>
      </c>
      <c r="H298" s="147" t="s">
        <v>3340</v>
      </c>
      <c r="I298" t="s">
        <v>2351</v>
      </c>
    </row>
    <row r="299" spans="2:9" x14ac:dyDescent="0.25">
      <c r="B299" t="s">
        <v>3341</v>
      </c>
      <c r="C299" t="s">
        <v>2744</v>
      </c>
      <c r="D299" t="s">
        <v>2368</v>
      </c>
      <c r="E299" t="s">
        <v>2514</v>
      </c>
      <c r="F299" t="s">
        <v>2370</v>
      </c>
      <c r="G299" t="s">
        <v>2371</v>
      </c>
      <c r="H299" s="145" t="s">
        <v>3342</v>
      </c>
      <c r="I299" t="s">
        <v>2351</v>
      </c>
    </row>
    <row r="300" spans="2:9" x14ac:dyDescent="0.25">
      <c r="B300" t="s">
        <v>3343</v>
      </c>
      <c r="C300" t="s">
        <v>3116</v>
      </c>
      <c r="D300" t="s">
        <v>2368</v>
      </c>
      <c r="E300" t="s">
        <v>2473</v>
      </c>
      <c r="F300" t="s">
        <v>2370</v>
      </c>
      <c r="G300" t="s">
        <v>2511</v>
      </c>
      <c r="H300" s="147" t="s">
        <v>3344</v>
      </c>
      <c r="I300" t="s">
        <v>2351</v>
      </c>
    </row>
    <row r="301" spans="2:9" x14ac:dyDescent="0.25">
      <c r="B301" t="s">
        <v>3345</v>
      </c>
      <c r="C301" t="s">
        <v>2645</v>
      </c>
      <c r="D301" t="s">
        <v>2368</v>
      </c>
      <c r="E301" t="s">
        <v>2369</v>
      </c>
      <c r="F301" t="s">
        <v>3122</v>
      </c>
      <c r="G301" t="s">
        <v>2511</v>
      </c>
      <c r="H301" s="145" t="s">
        <v>3346</v>
      </c>
      <c r="I301" t="s">
        <v>2351</v>
      </c>
    </row>
    <row r="302" spans="2:9" x14ac:dyDescent="0.25">
      <c r="B302" t="s">
        <v>3347</v>
      </c>
      <c r="C302" t="s">
        <v>3158</v>
      </c>
      <c r="D302" t="s">
        <v>3348</v>
      </c>
      <c r="E302" t="s">
        <v>2514</v>
      </c>
      <c r="F302" t="s">
        <v>3349</v>
      </c>
      <c r="G302" t="s">
        <v>2993</v>
      </c>
      <c r="H302" s="145" t="s">
        <v>3350</v>
      </c>
      <c r="I302" t="s">
        <v>2351</v>
      </c>
    </row>
    <row r="303" spans="2:9" x14ac:dyDescent="0.25">
      <c r="B303" t="s">
        <v>3351</v>
      </c>
      <c r="C303" t="s">
        <v>2423</v>
      </c>
      <c r="D303" t="s">
        <v>2368</v>
      </c>
      <c r="E303" t="s">
        <v>2572</v>
      </c>
      <c r="F303" t="s">
        <v>3352</v>
      </c>
      <c r="G303" t="s">
        <v>2396</v>
      </c>
      <c r="H303" s="145" t="s">
        <v>3353</v>
      </c>
      <c r="I303" t="s">
        <v>2351</v>
      </c>
    </row>
    <row r="304" spans="2:9" x14ac:dyDescent="0.25">
      <c r="B304" t="s">
        <v>3354</v>
      </c>
      <c r="C304" t="s">
        <v>2603</v>
      </c>
      <c r="D304" t="s">
        <v>2368</v>
      </c>
      <c r="E304" t="s">
        <v>2609</v>
      </c>
      <c r="F304" t="s">
        <v>3038</v>
      </c>
      <c r="G304" t="s">
        <v>2474</v>
      </c>
      <c r="H304" s="145" t="s">
        <v>3355</v>
      </c>
      <c r="I304" t="s">
        <v>2351</v>
      </c>
    </row>
    <row r="305" spans="2:9" x14ac:dyDescent="0.25">
      <c r="B305" t="s">
        <v>3356</v>
      </c>
      <c r="C305" t="s">
        <v>2590</v>
      </c>
      <c r="D305" t="s">
        <v>2368</v>
      </c>
      <c r="E305" t="s">
        <v>2473</v>
      </c>
      <c r="F305" t="s">
        <v>3357</v>
      </c>
      <c r="G305" t="s">
        <v>2474</v>
      </c>
      <c r="H305" s="145" t="s">
        <v>3358</v>
      </c>
      <c r="I305" t="s">
        <v>2351</v>
      </c>
    </row>
    <row r="306" spans="2:9" x14ac:dyDescent="0.25">
      <c r="B306" t="s">
        <v>3359</v>
      </c>
      <c r="C306" t="s">
        <v>2615</v>
      </c>
      <c r="D306" t="s">
        <v>2368</v>
      </c>
      <c r="E306" t="s">
        <v>2514</v>
      </c>
      <c r="F306" t="s">
        <v>2370</v>
      </c>
      <c r="G306" t="s">
        <v>2371</v>
      </c>
      <c r="H306" s="147" t="s">
        <v>3360</v>
      </c>
      <c r="I306" t="s">
        <v>2351</v>
      </c>
    </row>
    <row r="307" spans="2:9" x14ac:dyDescent="0.25">
      <c r="B307" t="s">
        <v>3361</v>
      </c>
      <c r="C307" t="s">
        <v>2659</v>
      </c>
      <c r="D307" t="s">
        <v>2368</v>
      </c>
      <c r="E307" t="s">
        <v>2410</v>
      </c>
      <c r="F307" t="s">
        <v>2370</v>
      </c>
      <c r="G307" t="s">
        <v>2629</v>
      </c>
      <c r="H307" s="147" t="s">
        <v>3362</v>
      </c>
      <c r="I307" t="s">
        <v>2351</v>
      </c>
    </row>
    <row r="308" spans="2:9" x14ac:dyDescent="0.25">
      <c r="B308" t="s">
        <v>3363</v>
      </c>
      <c r="C308" t="s">
        <v>2460</v>
      </c>
      <c r="D308" t="s">
        <v>2368</v>
      </c>
      <c r="E308" t="s">
        <v>2461</v>
      </c>
      <c r="F308" t="s">
        <v>3364</v>
      </c>
      <c r="G308" t="s">
        <v>2629</v>
      </c>
      <c r="H308" s="145" t="s">
        <v>3365</v>
      </c>
      <c r="I308" t="s">
        <v>2351</v>
      </c>
    </row>
    <row r="309" spans="2:9" x14ac:dyDescent="0.25">
      <c r="B309" t="s">
        <v>3366</v>
      </c>
      <c r="C309" t="s">
        <v>2590</v>
      </c>
      <c r="D309" t="s">
        <v>2368</v>
      </c>
      <c r="E309" t="s">
        <v>2535</v>
      </c>
      <c r="F309" t="s">
        <v>2370</v>
      </c>
      <c r="G309" t="s">
        <v>2629</v>
      </c>
      <c r="H309" s="145" t="s">
        <v>3367</v>
      </c>
      <c r="I309" t="s">
        <v>2351</v>
      </c>
    </row>
    <row r="310" spans="2:9" x14ac:dyDescent="0.25">
      <c r="B310" t="s">
        <v>3368</v>
      </c>
      <c r="C310" t="s">
        <v>2409</v>
      </c>
      <c r="D310" t="s">
        <v>2368</v>
      </c>
      <c r="E310" t="s">
        <v>2514</v>
      </c>
      <c r="F310" t="s">
        <v>3369</v>
      </c>
      <c r="G310" t="s">
        <v>2411</v>
      </c>
      <c r="H310" s="147" t="s">
        <v>3370</v>
      </c>
      <c r="I310" t="s">
        <v>2351</v>
      </c>
    </row>
    <row r="311" spans="2:9" x14ac:dyDescent="0.25">
      <c r="B311" t="s">
        <v>3371</v>
      </c>
      <c r="C311" t="s">
        <v>2409</v>
      </c>
      <c r="D311" t="s">
        <v>2368</v>
      </c>
      <c r="E311" t="s">
        <v>2609</v>
      </c>
      <c r="F311" t="s">
        <v>3372</v>
      </c>
      <c r="G311" t="s">
        <v>2511</v>
      </c>
      <c r="H311" s="145" t="s">
        <v>3373</v>
      </c>
      <c r="I311" t="s">
        <v>2351</v>
      </c>
    </row>
    <row r="312" spans="2:9" x14ac:dyDescent="0.25">
      <c r="B312" t="s">
        <v>3374</v>
      </c>
      <c r="C312" t="s">
        <v>2603</v>
      </c>
      <c r="D312" t="s">
        <v>2368</v>
      </c>
      <c r="E312" t="s">
        <v>3375</v>
      </c>
      <c r="F312" t="s">
        <v>3376</v>
      </c>
      <c r="G312" t="s">
        <v>2511</v>
      </c>
      <c r="H312" s="145" t="s">
        <v>3377</v>
      </c>
      <c r="I312" t="s">
        <v>2351</v>
      </c>
    </row>
    <row r="313" spans="2:9" x14ac:dyDescent="0.25">
      <c r="B313" t="s">
        <v>3378</v>
      </c>
      <c r="C313" t="s">
        <v>2596</v>
      </c>
      <c r="D313" t="s">
        <v>2550</v>
      </c>
      <c r="E313" t="s">
        <v>2369</v>
      </c>
      <c r="F313" t="s">
        <v>2370</v>
      </c>
      <c r="G313" t="s">
        <v>2396</v>
      </c>
      <c r="H313" s="145" t="s">
        <v>3379</v>
      </c>
      <c r="I313" t="s">
        <v>2351</v>
      </c>
    </row>
    <row r="314" spans="2:9" x14ac:dyDescent="0.25">
      <c r="B314" t="s">
        <v>3380</v>
      </c>
      <c r="C314" t="s">
        <v>2893</v>
      </c>
      <c r="D314" t="s">
        <v>2550</v>
      </c>
      <c r="E314" t="s">
        <v>2410</v>
      </c>
      <c r="F314" t="s">
        <v>2536</v>
      </c>
      <c r="G314" t="s">
        <v>2474</v>
      </c>
      <c r="H314" s="147" t="s">
        <v>3381</v>
      </c>
      <c r="I314" t="s">
        <v>2351</v>
      </c>
    </row>
    <row r="315" spans="2:9" x14ac:dyDescent="0.25">
      <c r="B315" t="s">
        <v>3382</v>
      </c>
      <c r="C315" t="s">
        <v>2603</v>
      </c>
      <c r="D315" t="s">
        <v>2368</v>
      </c>
      <c r="E315" t="s">
        <v>2572</v>
      </c>
      <c r="F315" t="s">
        <v>3383</v>
      </c>
      <c r="G315" t="s">
        <v>2474</v>
      </c>
      <c r="H315" s="145" t="s">
        <v>3384</v>
      </c>
      <c r="I315" t="s">
        <v>2351</v>
      </c>
    </row>
    <row r="316" spans="2:9" x14ac:dyDescent="0.25">
      <c r="B316" t="s">
        <v>3385</v>
      </c>
      <c r="C316" t="s">
        <v>2707</v>
      </c>
      <c r="D316" t="s">
        <v>2368</v>
      </c>
      <c r="E316" t="s">
        <v>2514</v>
      </c>
      <c r="F316" t="s">
        <v>3386</v>
      </c>
      <c r="G316" t="s">
        <v>2371</v>
      </c>
      <c r="H316" s="147" t="s">
        <v>3387</v>
      </c>
      <c r="I316" t="s">
        <v>2351</v>
      </c>
    </row>
    <row r="317" spans="2:9" x14ac:dyDescent="0.25">
      <c r="B317" t="s">
        <v>3388</v>
      </c>
      <c r="C317" t="s">
        <v>2534</v>
      </c>
      <c r="D317" t="s">
        <v>2550</v>
      </c>
      <c r="E317" t="s">
        <v>2514</v>
      </c>
      <c r="F317" t="s">
        <v>3389</v>
      </c>
      <c r="G317" t="s">
        <v>2411</v>
      </c>
      <c r="H317" s="147" t="s">
        <v>3390</v>
      </c>
      <c r="I317" t="s">
        <v>2351</v>
      </c>
    </row>
    <row r="318" spans="2:9" x14ac:dyDescent="0.25">
      <c r="B318" t="s">
        <v>3391</v>
      </c>
      <c r="C318" t="s">
        <v>2939</v>
      </c>
      <c r="D318" t="s">
        <v>2368</v>
      </c>
      <c r="E318" t="s">
        <v>3159</v>
      </c>
      <c r="F318" t="s">
        <v>2370</v>
      </c>
      <c r="G318" t="s">
        <v>2474</v>
      </c>
      <c r="H318" s="145" t="s">
        <v>3392</v>
      </c>
      <c r="I318" t="s">
        <v>2351</v>
      </c>
    </row>
    <row r="319" spans="2:9" x14ac:dyDescent="0.25">
      <c r="B319" t="s">
        <v>3393</v>
      </c>
      <c r="C319" t="s">
        <v>2606</v>
      </c>
      <c r="D319" t="s">
        <v>2368</v>
      </c>
      <c r="E319" t="s">
        <v>2381</v>
      </c>
      <c r="F319" t="s">
        <v>3132</v>
      </c>
      <c r="G319" t="s">
        <v>2715</v>
      </c>
      <c r="H319" s="145" t="s">
        <v>3394</v>
      </c>
      <c r="I319" t="s">
        <v>2351</v>
      </c>
    </row>
    <row r="320" spans="2:9" x14ac:dyDescent="0.25">
      <c r="B320" t="s">
        <v>3395</v>
      </c>
      <c r="C320" t="s">
        <v>2571</v>
      </c>
      <c r="D320" t="s">
        <v>2368</v>
      </c>
      <c r="E320" t="s">
        <v>2986</v>
      </c>
      <c r="F320" t="s">
        <v>3396</v>
      </c>
      <c r="G320" t="s">
        <v>2474</v>
      </c>
      <c r="H320" s="145" t="s">
        <v>3397</v>
      </c>
      <c r="I320" t="s">
        <v>2351</v>
      </c>
    </row>
    <row r="321" spans="2:9" x14ac:dyDescent="0.25">
      <c r="B321" t="s">
        <v>3398</v>
      </c>
      <c r="C321" t="s">
        <v>2818</v>
      </c>
      <c r="D321" t="s">
        <v>2368</v>
      </c>
      <c r="E321" t="s">
        <v>2609</v>
      </c>
      <c r="F321" t="s">
        <v>3399</v>
      </c>
      <c r="G321" t="s">
        <v>2371</v>
      </c>
      <c r="H321" s="145" t="s">
        <v>3400</v>
      </c>
      <c r="I321" t="s">
        <v>2351</v>
      </c>
    </row>
    <row r="322" spans="2:9" x14ac:dyDescent="0.25">
      <c r="B322" t="s">
        <v>3401</v>
      </c>
      <c r="C322" t="s">
        <v>2472</v>
      </c>
      <c r="D322" t="s">
        <v>2550</v>
      </c>
      <c r="E322" t="s">
        <v>2514</v>
      </c>
      <c r="F322" t="s">
        <v>3402</v>
      </c>
      <c r="G322" t="s">
        <v>2474</v>
      </c>
      <c r="H322" s="145" t="s">
        <v>3403</v>
      </c>
      <c r="I322" t="s">
        <v>2351</v>
      </c>
    </row>
    <row r="323" spans="2:9" x14ac:dyDescent="0.25">
      <c r="B323" t="s">
        <v>3404</v>
      </c>
      <c r="C323" t="s">
        <v>3405</v>
      </c>
      <c r="D323" t="s">
        <v>2396</v>
      </c>
      <c r="E323" t="s">
        <v>2514</v>
      </c>
      <c r="F323" t="s">
        <v>3406</v>
      </c>
      <c r="G323" t="s">
        <v>2959</v>
      </c>
      <c r="H323" s="145" t="s">
        <v>3407</v>
      </c>
      <c r="I323" t="s">
        <v>2351</v>
      </c>
    </row>
    <row r="324" spans="2:9" x14ac:dyDescent="0.25">
      <c r="B324" t="s">
        <v>3408</v>
      </c>
      <c r="C324" t="s">
        <v>2423</v>
      </c>
      <c r="D324" t="s">
        <v>2368</v>
      </c>
      <c r="E324" t="s">
        <v>2381</v>
      </c>
      <c r="F324" t="s">
        <v>3409</v>
      </c>
      <c r="G324" t="s">
        <v>2474</v>
      </c>
      <c r="H324" s="145" t="s">
        <v>3410</v>
      </c>
      <c r="I324" t="s">
        <v>2351</v>
      </c>
    </row>
    <row r="325" spans="2:9" x14ac:dyDescent="0.25">
      <c r="B325" t="s">
        <v>3411</v>
      </c>
      <c r="C325" t="s">
        <v>2472</v>
      </c>
      <c r="D325" t="s">
        <v>2368</v>
      </c>
      <c r="E325" t="s">
        <v>2369</v>
      </c>
      <c r="F325" t="s">
        <v>2370</v>
      </c>
      <c r="G325" t="s">
        <v>2511</v>
      </c>
      <c r="H325" s="145" t="s">
        <v>3412</v>
      </c>
      <c r="I325" t="s">
        <v>2351</v>
      </c>
    </row>
    <row r="326" spans="2:9" x14ac:dyDescent="0.25">
      <c r="B326" t="s">
        <v>3413</v>
      </c>
      <c r="C326" t="s">
        <v>2818</v>
      </c>
      <c r="D326" t="s">
        <v>2368</v>
      </c>
      <c r="E326" t="s">
        <v>2350</v>
      </c>
      <c r="F326" t="s">
        <v>3414</v>
      </c>
      <c r="G326" t="s">
        <v>2425</v>
      </c>
      <c r="H326" s="145" t="s">
        <v>3415</v>
      </c>
      <c r="I326" t="s">
        <v>2351</v>
      </c>
    </row>
    <row r="327" spans="2:9" x14ac:dyDescent="0.25">
      <c r="B327" t="s">
        <v>3416</v>
      </c>
      <c r="C327" t="s">
        <v>2678</v>
      </c>
      <c r="D327" t="s">
        <v>2368</v>
      </c>
      <c r="E327" t="s">
        <v>2461</v>
      </c>
      <c r="F327" t="s">
        <v>2536</v>
      </c>
      <c r="G327" t="s">
        <v>2371</v>
      </c>
      <c r="H327" s="145" t="s">
        <v>3417</v>
      </c>
      <c r="I327" t="s">
        <v>2351</v>
      </c>
    </row>
    <row r="328" spans="2:9" x14ac:dyDescent="0.25">
      <c r="B328" t="s">
        <v>3418</v>
      </c>
      <c r="C328" t="s">
        <v>2642</v>
      </c>
      <c r="D328" t="s">
        <v>2396</v>
      </c>
      <c r="E328" t="s">
        <v>2461</v>
      </c>
      <c r="F328" t="s">
        <v>3419</v>
      </c>
      <c r="G328" t="s">
        <v>2576</v>
      </c>
      <c r="H328" s="145" t="s">
        <v>3420</v>
      </c>
      <c r="I328" t="s">
        <v>2351</v>
      </c>
    </row>
    <row r="329" spans="2:9" x14ac:dyDescent="0.25">
      <c r="B329" t="s">
        <v>3421</v>
      </c>
      <c r="C329" t="s">
        <v>2873</v>
      </c>
      <c r="D329" t="s">
        <v>2368</v>
      </c>
      <c r="E329" t="s">
        <v>2381</v>
      </c>
      <c r="F329" t="s">
        <v>3422</v>
      </c>
      <c r="G329" t="s">
        <v>2500</v>
      </c>
      <c r="H329" s="145" t="s">
        <v>3423</v>
      </c>
      <c r="I329" t="s">
        <v>2351</v>
      </c>
    </row>
    <row r="330" spans="2:9" x14ac:dyDescent="0.25">
      <c r="B330" t="s">
        <v>3424</v>
      </c>
      <c r="C330" t="s">
        <v>2815</v>
      </c>
      <c r="D330" t="s">
        <v>2368</v>
      </c>
      <c r="E330" t="s">
        <v>2381</v>
      </c>
      <c r="F330" t="s">
        <v>2536</v>
      </c>
      <c r="G330" t="s">
        <v>3425</v>
      </c>
      <c r="H330" s="145" t="s">
        <v>3426</v>
      </c>
      <c r="I330" t="s">
        <v>2351</v>
      </c>
    </row>
    <row r="331" spans="2:9" x14ac:dyDescent="0.25">
      <c r="B331" t="s">
        <v>3427</v>
      </c>
      <c r="C331" t="s">
        <v>2815</v>
      </c>
      <c r="D331" t="s">
        <v>2368</v>
      </c>
      <c r="E331" t="s">
        <v>2381</v>
      </c>
      <c r="F331" t="s">
        <v>3428</v>
      </c>
      <c r="G331" t="s">
        <v>2371</v>
      </c>
      <c r="H331" s="145" t="s">
        <v>3429</v>
      </c>
      <c r="I331" t="s">
        <v>2351</v>
      </c>
    </row>
    <row r="332" spans="2:9" x14ac:dyDescent="0.25">
      <c r="B332" t="s">
        <v>3430</v>
      </c>
      <c r="C332" t="s">
        <v>2599</v>
      </c>
      <c r="D332" t="s">
        <v>2550</v>
      </c>
      <c r="E332" t="s">
        <v>2410</v>
      </c>
      <c r="F332" t="s">
        <v>2536</v>
      </c>
      <c r="G332" t="s">
        <v>2474</v>
      </c>
      <c r="H332" s="147" t="s">
        <v>3431</v>
      </c>
      <c r="I332" t="s">
        <v>2351</v>
      </c>
    </row>
    <row r="333" spans="2:9" x14ac:dyDescent="0.25">
      <c r="B333" t="s">
        <v>3432</v>
      </c>
      <c r="C333" t="s">
        <v>2599</v>
      </c>
      <c r="D333" t="s">
        <v>2368</v>
      </c>
      <c r="E333" t="s">
        <v>3433</v>
      </c>
      <c r="F333" t="s">
        <v>2370</v>
      </c>
      <c r="G333" t="s">
        <v>2371</v>
      </c>
      <c r="H333" s="145" t="s">
        <v>3434</v>
      </c>
      <c r="I333" t="s">
        <v>2351</v>
      </c>
    </row>
    <row r="334" spans="2:9" x14ac:dyDescent="0.25">
      <c r="B334" t="s">
        <v>3435</v>
      </c>
      <c r="C334" t="s">
        <v>3327</v>
      </c>
      <c r="D334" t="s">
        <v>2368</v>
      </c>
      <c r="E334" t="s">
        <v>2410</v>
      </c>
      <c r="F334" t="s">
        <v>2536</v>
      </c>
      <c r="G334" t="s">
        <v>2371</v>
      </c>
      <c r="H334" s="145" t="s">
        <v>3436</v>
      </c>
      <c r="I334" t="s">
        <v>2351</v>
      </c>
    </row>
    <row r="335" spans="2:9" x14ac:dyDescent="0.25">
      <c r="B335" t="s">
        <v>3437</v>
      </c>
      <c r="C335" t="s">
        <v>2628</v>
      </c>
      <c r="D335" t="s">
        <v>2368</v>
      </c>
      <c r="E335" t="s">
        <v>2514</v>
      </c>
      <c r="F335" t="s">
        <v>3438</v>
      </c>
      <c r="G335" t="s">
        <v>2500</v>
      </c>
      <c r="H335" s="147" t="s">
        <v>3439</v>
      </c>
      <c r="I335" t="s">
        <v>2351</v>
      </c>
    </row>
    <row r="336" spans="2:9" x14ac:dyDescent="0.25">
      <c r="B336" t="s">
        <v>3440</v>
      </c>
      <c r="C336" t="s">
        <v>2509</v>
      </c>
      <c r="D336" t="s">
        <v>2368</v>
      </c>
      <c r="E336" t="s">
        <v>2461</v>
      </c>
      <c r="F336" t="s">
        <v>2370</v>
      </c>
      <c r="G336" t="s">
        <v>2576</v>
      </c>
      <c r="H336" s="147" t="s">
        <v>3441</v>
      </c>
      <c r="I336" t="s">
        <v>2351</v>
      </c>
    </row>
    <row r="337" spans="2:9" x14ac:dyDescent="0.25">
      <c r="B337" t="s">
        <v>3442</v>
      </c>
      <c r="C337" t="s">
        <v>2642</v>
      </c>
      <c r="D337" t="s">
        <v>2368</v>
      </c>
      <c r="E337" t="s">
        <v>2410</v>
      </c>
      <c r="F337" t="s">
        <v>2370</v>
      </c>
      <c r="G337" t="s">
        <v>2474</v>
      </c>
      <c r="H337" s="145" t="s">
        <v>3443</v>
      </c>
      <c r="I337" t="s">
        <v>2351</v>
      </c>
    </row>
    <row r="338" spans="2:9" x14ac:dyDescent="0.25">
      <c r="B338" t="s">
        <v>3444</v>
      </c>
      <c r="C338" t="s">
        <v>3327</v>
      </c>
      <c r="D338" t="s">
        <v>2368</v>
      </c>
      <c r="E338" t="s">
        <v>2381</v>
      </c>
      <c r="F338" t="s">
        <v>3445</v>
      </c>
      <c r="G338" t="s">
        <v>2411</v>
      </c>
      <c r="H338" s="145" t="s">
        <v>3446</v>
      </c>
      <c r="I338" t="s">
        <v>2351</v>
      </c>
    </row>
    <row r="339" spans="2:9" x14ac:dyDescent="0.25">
      <c r="B339" t="s">
        <v>3447</v>
      </c>
      <c r="C339" t="s">
        <v>2526</v>
      </c>
      <c r="D339" t="s">
        <v>2500</v>
      </c>
      <c r="E339" t="s">
        <v>2514</v>
      </c>
      <c r="F339" t="s">
        <v>3448</v>
      </c>
      <c r="G339" t="s">
        <v>2371</v>
      </c>
      <c r="H339" s="145" t="s">
        <v>3449</v>
      </c>
      <c r="I339" t="s">
        <v>2351</v>
      </c>
    </row>
    <row r="340" spans="2:9" x14ac:dyDescent="0.25">
      <c r="B340" t="s">
        <v>3450</v>
      </c>
      <c r="C340" t="s">
        <v>2879</v>
      </c>
      <c r="D340" t="s">
        <v>2368</v>
      </c>
      <c r="E340" t="s">
        <v>2514</v>
      </c>
      <c r="F340" t="s">
        <v>3451</v>
      </c>
      <c r="G340" t="s">
        <v>2500</v>
      </c>
      <c r="H340" s="147" t="s">
        <v>3452</v>
      </c>
      <c r="I340" t="s">
        <v>2351</v>
      </c>
    </row>
    <row r="341" spans="2:9" x14ac:dyDescent="0.25">
      <c r="B341" t="s">
        <v>3453</v>
      </c>
      <c r="C341" t="s">
        <v>2981</v>
      </c>
      <c r="D341" t="s">
        <v>2368</v>
      </c>
      <c r="E341" t="s">
        <v>2381</v>
      </c>
      <c r="F341" t="s">
        <v>2562</v>
      </c>
      <c r="G341" t="s">
        <v>3454</v>
      </c>
      <c r="H341" s="147" t="s">
        <v>3455</v>
      </c>
      <c r="I341" t="s">
        <v>2351</v>
      </c>
    </row>
    <row r="342" spans="2:9" x14ac:dyDescent="0.25">
      <c r="B342" t="s">
        <v>3456</v>
      </c>
      <c r="C342" t="s">
        <v>2761</v>
      </c>
      <c r="D342" t="s">
        <v>2396</v>
      </c>
      <c r="E342" t="s">
        <v>3159</v>
      </c>
      <c r="F342" t="s">
        <v>2370</v>
      </c>
      <c r="G342" t="s">
        <v>3457</v>
      </c>
      <c r="H342" s="145" t="s">
        <v>3458</v>
      </c>
      <c r="I342" t="s">
        <v>2351</v>
      </c>
    </row>
    <row r="343" spans="2:9" x14ac:dyDescent="0.25">
      <c r="B343" t="s">
        <v>3459</v>
      </c>
      <c r="C343" t="s">
        <v>2873</v>
      </c>
      <c r="D343" t="s">
        <v>2368</v>
      </c>
      <c r="E343" t="s">
        <v>2369</v>
      </c>
      <c r="F343" t="s">
        <v>3460</v>
      </c>
      <c r="G343" t="s">
        <v>2500</v>
      </c>
      <c r="H343" s="145" t="s">
        <v>3461</v>
      </c>
      <c r="I343" t="s">
        <v>2351</v>
      </c>
    </row>
    <row r="344" spans="2:9" x14ac:dyDescent="0.25">
      <c r="B344" t="s">
        <v>3462</v>
      </c>
      <c r="C344" t="s">
        <v>2460</v>
      </c>
      <c r="D344" t="s">
        <v>2368</v>
      </c>
      <c r="E344" t="s">
        <v>2410</v>
      </c>
      <c r="F344" t="s">
        <v>2370</v>
      </c>
      <c r="G344" t="s">
        <v>2474</v>
      </c>
      <c r="H344" s="145" t="s">
        <v>3463</v>
      </c>
      <c r="I344" t="s">
        <v>2351</v>
      </c>
    </row>
    <row r="345" spans="2:9" x14ac:dyDescent="0.25">
      <c r="B345" t="s">
        <v>3464</v>
      </c>
      <c r="C345" t="s">
        <v>2932</v>
      </c>
      <c r="D345" t="s">
        <v>2368</v>
      </c>
      <c r="E345" t="s">
        <v>2369</v>
      </c>
      <c r="F345" t="s">
        <v>2536</v>
      </c>
      <c r="G345" t="s">
        <v>2371</v>
      </c>
      <c r="H345" s="145" t="s">
        <v>3465</v>
      </c>
      <c r="I345" t="s">
        <v>2351</v>
      </c>
    </row>
    <row r="346" spans="2:9" x14ac:dyDescent="0.25">
      <c r="B346" t="s">
        <v>3466</v>
      </c>
      <c r="C346" t="s">
        <v>2893</v>
      </c>
      <c r="D346" t="s">
        <v>2368</v>
      </c>
      <c r="E346" t="s">
        <v>2473</v>
      </c>
      <c r="F346" t="s">
        <v>3467</v>
      </c>
      <c r="G346" t="s">
        <v>2474</v>
      </c>
      <c r="H346" s="145" t="s">
        <v>3468</v>
      </c>
      <c r="I346" t="s">
        <v>2351</v>
      </c>
    </row>
    <row r="347" spans="2:9" x14ac:dyDescent="0.25">
      <c r="B347" t="s">
        <v>3469</v>
      </c>
      <c r="C347" t="s">
        <v>2567</v>
      </c>
      <c r="D347" t="s">
        <v>2368</v>
      </c>
      <c r="E347" t="s">
        <v>2473</v>
      </c>
      <c r="F347" t="s">
        <v>3470</v>
      </c>
      <c r="G347" t="s">
        <v>2511</v>
      </c>
      <c r="H347" s="145" t="s">
        <v>3471</v>
      </c>
      <c r="I347" t="s">
        <v>2351</v>
      </c>
    </row>
    <row r="348" spans="2:9" x14ac:dyDescent="0.25">
      <c r="B348" t="s">
        <v>3472</v>
      </c>
      <c r="C348" t="s">
        <v>2571</v>
      </c>
      <c r="D348" t="s">
        <v>2368</v>
      </c>
      <c r="E348" t="s">
        <v>2473</v>
      </c>
      <c r="F348" t="s">
        <v>3473</v>
      </c>
      <c r="G348" t="s">
        <v>2511</v>
      </c>
      <c r="H348" s="145" t="s">
        <v>3474</v>
      </c>
      <c r="I348" t="s">
        <v>2351</v>
      </c>
    </row>
    <row r="349" spans="2:9" x14ac:dyDescent="0.25">
      <c r="B349" t="s">
        <v>3475</v>
      </c>
      <c r="C349" t="s">
        <v>2567</v>
      </c>
      <c r="D349" t="s">
        <v>2368</v>
      </c>
      <c r="E349" t="s">
        <v>2473</v>
      </c>
      <c r="F349" t="s">
        <v>3476</v>
      </c>
      <c r="G349" t="s">
        <v>2511</v>
      </c>
      <c r="H349" s="145" t="s">
        <v>3477</v>
      </c>
      <c r="I349" t="s">
        <v>2351</v>
      </c>
    </row>
    <row r="350" spans="2:9" x14ac:dyDescent="0.25">
      <c r="B350" t="s">
        <v>3478</v>
      </c>
      <c r="C350" t="s">
        <v>2509</v>
      </c>
      <c r="D350" t="s">
        <v>2368</v>
      </c>
      <c r="E350" t="s">
        <v>2473</v>
      </c>
      <c r="F350" t="s">
        <v>3479</v>
      </c>
      <c r="G350" t="s">
        <v>2511</v>
      </c>
      <c r="H350" s="145" t="s">
        <v>3480</v>
      </c>
      <c r="I350" t="s">
        <v>2351</v>
      </c>
    </row>
    <row r="351" spans="2:9" x14ac:dyDescent="0.25">
      <c r="B351" t="s">
        <v>3481</v>
      </c>
      <c r="C351" t="s">
        <v>2380</v>
      </c>
      <c r="D351" t="s">
        <v>2368</v>
      </c>
      <c r="E351" t="s">
        <v>2514</v>
      </c>
      <c r="F351" t="s">
        <v>3482</v>
      </c>
      <c r="G351" t="s">
        <v>2500</v>
      </c>
      <c r="H351" s="145" t="s">
        <v>3483</v>
      </c>
      <c r="I351" t="s">
        <v>2351</v>
      </c>
    </row>
    <row r="352" spans="2:9" x14ac:dyDescent="0.25">
      <c r="B352" t="s">
        <v>3484</v>
      </c>
      <c r="C352" t="s">
        <v>3137</v>
      </c>
      <c r="D352" t="s">
        <v>2368</v>
      </c>
      <c r="E352" t="s">
        <v>2381</v>
      </c>
      <c r="F352" t="s">
        <v>3485</v>
      </c>
      <c r="G352" t="s">
        <v>2425</v>
      </c>
      <c r="H352" s="147" t="s">
        <v>3486</v>
      </c>
      <c r="I352" t="s">
        <v>2351</v>
      </c>
    </row>
    <row r="353" spans="2:9" x14ac:dyDescent="0.25">
      <c r="B353" t="s">
        <v>3487</v>
      </c>
      <c r="C353" t="s">
        <v>3137</v>
      </c>
      <c r="D353" t="s">
        <v>2368</v>
      </c>
      <c r="E353" t="s">
        <v>2381</v>
      </c>
      <c r="F353" t="s">
        <v>3488</v>
      </c>
      <c r="G353" t="s">
        <v>2500</v>
      </c>
      <c r="H353" s="145" t="s">
        <v>3489</v>
      </c>
      <c r="I353" t="s">
        <v>2351</v>
      </c>
    </row>
    <row r="354" spans="2:9" x14ac:dyDescent="0.25">
      <c r="B354" t="s">
        <v>3490</v>
      </c>
      <c r="C354" t="s">
        <v>2638</v>
      </c>
      <c r="D354" t="s">
        <v>2368</v>
      </c>
      <c r="E354" t="s">
        <v>2369</v>
      </c>
      <c r="F354" t="s">
        <v>3491</v>
      </c>
      <c r="G354" t="s">
        <v>2411</v>
      </c>
      <c r="H354" s="145" t="s">
        <v>3492</v>
      </c>
      <c r="I354" t="s">
        <v>2351</v>
      </c>
    </row>
    <row r="355" spans="2:9" x14ac:dyDescent="0.25">
      <c r="B355" t="s">
        <v>3493</v>
      </c>
      <c r="C355" t="s">
        <v>3494</v>
      </c>
      <c r="D355" t="s">
        <v>2368</v>
      </c>
      <c r="E355" t="s">
        <v>2473</v>
      </c>
      <c r="F355" t="s">
        <v>2370</v>
      </c>
      <c r="G355" t="s">
        <v>3495</v>
      </c>
      <c r="H355" s="147" t="s">
        <v>3496</v>
      </c>
      <c r="I355" t="s">
        <v>2351</v>
      </c>
    </row>
    <row r="356" spans="2:9" x14ac:dyDescent="0.25">
      <c r="B356" t="s">
        <v>3497</v>
      </c>
      <c r="C356" t="s">
        <v>2782</v>
      </c>
      <c r="D356" t="s">
        <v>2396</v>
      </c>
      <c r="E356" t="s">
        <v>2381</v>
      </c>
      <c r="F356" t="s">
        <v>3498</v>
      </c>
      <c r="G356" t="s">
        <v>2383</v>
      </c>
      <c r="H356" s="145" t="s">
        <v>3499</v>
      </c>
      <c r="I356" t="s">
        <v>2351</v>
      </c>
    </row>
    <row r="357" spans="2:9" x14ac:dyDescent="0.25">
      <c r="B357" t="s">
        <v>3500</v>
      </c>
      <c r="C357" t="s">
        <v>2541</v>
      </c>
      <c r="D357" t="s">
        <v>2368</v>
      </c>
      <c r="E357" t="s">
        <v>2473</v>
      </c>
      <c r="F357" t="s">
        <v>3501</v>
      </c>
      <c r="G357" t="s">
        <v>2474</v>
      </c>
      <c r="H357" s="145" t="s">
        <v>3502</v>
      </c>
      <c r="I357" t="s">
        <v>2351</v>
      </c>
    </row>
    <row r="358" spans="2:9" x14ac:dyDescent="0.25">
      <c r="B358" t="s">
        <v>3503</v>
      </c>
      <c r="C358" t="s">
        <v>2939</v>
      </c>
      <c r="D358" t="s">
        <v>2368</v>
      </c>
      <c r="E358" t="s">
        <v>2410</v>
      </c>
      <c r="F358" t="s">
        <v>2536</v>
      </c>
      <c r="G358" t="s">
        <v>2371</v>
      </c>
      <c r="H358" s="145" t="s">
        <v>3504</v>
      </c>
      <c r="I358" t="s">
        <v>2351</v>
      </c>
    </row>
    <row r="359" spans="2:9" x14ac:dyDescent="0.25">
      <c r="B359" t="s">
        <v>3505</v>
      </c>
      <c r="C359" t="s">
        <v>2599</v>
      </c>
      <c r="D359" t="s">
        <v>2368</v>
      </c>
      <c r="E359" t="s">
        <v>2381</v>
      </c>
      <c r="F359" t="s">
        <v>3506</v>
      </c>
      <c r="G359" t="s">
        <v>2474</v>
      </c>
      <c r="H359" s="145" t="s">
        <v>3507</v>
      </c>
      <c r="I359" t="s">
        <v>2351</v>
      </c>
    </row>
    <row r="360" spans="2:9" x14ac:dyDescent="0.25">
      <c r="B360" t="s">
        <v>3508</v>
      </c>
      <c r="C360" t="s">
        <v>2509</v>
      </c>
      <c r="D360" t="s">
        <v>2368</v>
      </c>
      <c r="E360" t="s">
        <v>2718</v>
      </c>
      <c r="F360" t="s">
        <v>2536</v>
      </c>
      <c r="G360" t="s">
        <v>2371</v>
      </c>
      <c r="H360" s="145" t="s">
        <v>3509</v>
      </c>
      <c r="I360" t="s">
        <v>2351</v>
      </c>
    </row>
    <row r="361" spans="2:9" x14ac:dyDescent="0.25">
      <c r="B361" t="s">
        <v>3510</v>
      </c>
      <c r="C361" t="s">
        <v>2599</v>
      </c>
      <c r="D361" t="s">
        <v>2550</v>
      </c>
      <c r="E361" t="s">
        <v>2410</v>
      </c>
      <c r="F361" t="s">
        <v>2536</v>
      </c>
      <c r="G361" t="s">
        <v>2474</v>
      </c>
      <c r="H361" s="147" t="s">
        <v>3511</v>
      </c>
      <c r="I361" t="s">
        <v>2351</v>
      </c>
    </row>
    <row r="362" spans="2:9" x14ac:dyDescent="0.25">
      <c r="B362" t="s">
        <v>3512</v>
      </c>
      <c r="C362" t="s">
        <v>2606</v>
      </c>
      <c r="D362" t="s">
        <v>2368</v>
      </c>
      <c r="E362" t="s">
        <v>2369</v>
      </c>
      <c r="F362" t="s">
        <v>2370</v>
      </c>
      <c r="G362" t="s">
        <v>2629</v>
      </c>
      <c r="H362" s="145" t="s">
        <v>3513</v>
      </c>
      <c r="I362" t="s">
        <v>2351</v>
      </c>
    </row>
    <row r="363" spans="2:9" x14ac:dyDescent="0.25">
      <c r="I363" t="s">
        <v>2351</v>
      </c>
    </row>
    <row r="364" spans="2:9" x14ac:dyDescent="0.25">
      <c r="I364" t="s">
        <v>2351</v>
      </c>
    </row>
    <row r="365" spans="2:9" x14ac:dyDescent="0.25">
      <c r="I365" t="s">
        <v>2351</v>
      </c>
    </row>
    <row r="366" spans="2:9" x14ac:dyDescent="0.25">
      <c r="I366" t="s">
        <v>2351</v>
      </c>
    </row>
    <row r="367" spans="2:9" x14ac:dyDescent="0.25">
      <c r="I367" t="s">
        <v>2351</v>
      </c>
    </row>
    <row r="368" spans="2:9" x14ac:dyDescent="0.25">
      <c r="I368" t="s">
        <v>2351</v>
      </c>
    </row>
    <row r="369" spans="9:9" x14ac:dyDescent="0.25">
      <c r="I369" t="s">
        <v>2351</v>
      </c>
    </row>
    <row r="370" spans="9:9" x14ac:dyDescent="0.25">
      <c r="I370" t="s">
        <v>2351</v>
      </c>
    </row>
    <row r="371" spans="9:9" x14ac:dyDescent="0.25">
      <c r="I371" t="s">
        <v>2351</v>
      </c>
    </row>
    <row r="372" spans="9:9" x14ac:dyDescent="0.25">
      <c r="I372" t="s">
        <v>2351</v>
      </c>
    </row>
    <row r="373" spans="9:9" x14ac:dyDescent="0.25">
      <c r="I373" t="s">
        <v>2351</v>
      </c>
    </row>
    <row r="374" spans="9:9" x14ac:dyDescent="0.25">
      <c r="I374" t="s">
        <v>2351</v>
      </c>
    </row>
    <row r="375" spans="9:9" x14ac:dyDescent="0.25">
      <c r="I375" t="s">
        <v>2351</v>
      </c>
    </row>
    <row r="376" spans="9:9" x14ac:dyDescent="0.25">
      <c r="I376" t="s">
        <v>2351</v>
      </c>
    </row>
    <row r="377" spans="9:9" x14ac:dyDescent="0.25">
      <c r="I377" t="s">
        <v>2351</v>
      </c>
    </row>
    <row r="378" spans="9:9" x14ac:dyDescent="0.25">
      <c r="I378" t="s">
        <v>2351</v>
      </c>
    </row>
    <row r="379" spans="9:9" x14ac:dyDescent="0.25">
      <c r="I379" t="s">
        <v>2351</v>
      </c>
    </row>
    <row r="380" spans="9:9" x14ac:dyDescent="0.25">
      <c r="I380" t="s">
        <v>2351</v>
      </c>
    </row>
    <row r="381" spans="9:9" x14ac:dyDescent="0.25">
      <c r="I381" t="s">
        <v>2351</v>
      </c>
    </row>
    <row r="382" spans="9:9" x14ac:dyDescent="0.25">
      <c r="I382" t="s">
        <v>2351</v>
      </c>
    </row>
    <row r="383" spans="9:9" x14ac:dyDescent="0.25">
      <c r="I383" t="s">
        <v>2351</v>
      </c>
    </row>
    <row r="384" spans="9:9" x14ac:dyDescent="0.25">
      <c r="I384" t="s">
        <v>2351</v>
      </c>
    </row>
    <row r="385" spans="9:9" x14ac:dyDescent="0.25">
      <c r="I385" t="s">
        <v>2351</v>
      </c>
    </row>
    <row r="386" spans="9:9" x14ac:dyDescent="0.25">
      <c r="I386" t="s">
        <v>2351</v>
      </c>
    </row>
    <row r="387" spans="9:9" x14ac:dyDescent="0.25">
      <c r="I387" t="s">
        <v>2351</v>
      </c>
    </row>
    <row r="388" spans="9:9" x14ac:dyDescent="0.25">
      <c r="I388" t="s">
        <v>2351</v>
      </c>
    </row>
    <row r="389" spans="9:9" x14ac:dyDescent="0.25">
      <c r="I389" t="s">
        <v>2351</v>
      </c>
    </row>
    <row r="390" spans="9:9" x14ac:dyDescent="0.25">
      <c r="I390" t="s">
        <v>2351</v>
      </c>
    </row>
    <row r="391" spans="9:9" x14ac:dyDescent="0.25">
      <c r="I391" t="s">
        <v>2351</v>
      </c>
    </row>
    <row r="392" spans="9:9" x14ac:dyDescent="0.25">
      <c r="I392" t="s">
        <v>2351</v>
      </c>
    </row>
    <row r="393" spans="9:9" x14ac:dyDescent="0.25">
      <c r="I393" t="s">
        <v>2351</v>
      </c>
    </row>
    <row r="394" spans="9:9" x14ac:dyDescent="0.25">
      <c r="I394" t="s">
        <v>2351</v>
      </c>
    </row>
    <row r="395" spans="9:9" x14ac:dyDescent="0.25">
      <c r="I395" t="s">
        <v>2351</v>
      </c>
    </row>
    <row r="396" spans="9:9" x14ac:dyDescent="0.25">
      <c r="I396" t="s">
        <v>2351</v>
      </c>
    </row>
    <row r="397" spans="9:9" x14ac:dyDescent="0.25">
      <c r="I397" t="s">
        <v>2351</v>
      </c>
    </row>
    <row r="398" spans="9:9" x14ac:dyDescent="0.25">
      <c r="I398" t="s">
        <v>2351</v>
      </c>
    </row>
    <row r="399" spans="9:9" x14ac:dyDescent="0.25">
      <c r="I399" t="s">
        <v>2351</v>
      </c>
    </row>
    <row r="400" spans="9:9" x14ac:dyDescent="0.25">
      <c r="I400" t="s">
        <v>2351</v>
      </c>
    </row>
    <row r="401" spans="9:9" x14ac:dyDescent="0.25">
      <c r="I401" t="s">
        <v>2351</v>
      </c>
    </row>
    <row r="402" spans="9:9" x14ac:dyDescent="0.25">
      <c r="I402" t="s">
        <v>2351</v>
      </c>
    </row>
    <row r="403" spans="9:9" x14ac:dyDescent="0.25">
      <c r="I403" t="s">
        <v>2351</v>
      </c>
    </row>
    <row r="404" spans="9:9" x14ac:dyDescent="0.25">
      <c r="I404" t="s">
        <v>2351</v>
      </c>
    </row>
    <row r="405" spans="9:9" x14ac:dyDescent="0.25">
      <c r="I405" t="s">
        <v>2351</v>
      </c>
    </row>
    <row r="406" spans="9:9" x14ac:dyDescent="0.25">
      <c r="I406" t="s">
        <v>2351</v>
      </c>
    </row>
    <row r="407" spans="9:9" x14ac:dyDescent="0.25">
      <c r="I407" t="s">
        <v>2351</v>
      </c>
    </row>
    <row r="408" spans="9:9" x14ac:dyDescent="0.25">
      <c r="I408" t="s">
        <v>2351</v>
      </c>
    </row>
    <row r="409" spans="9:9" x14ac:dyDescent="0.25">
      <c r="I409" t="s">
        <v>2351</v>
      </c>
    </row>
    <row r="410" spans="9:9" x14ac:dyDescent="0.25">
      <c r="I410" t="s">
        <v>2351</v>
      </c>
    </row>
    <row r="411" spans="9:9" x14ac:dyDescent="0.25">
      <c r="I411" t="s">
        <v>2351</v>
      </c>
    </row>
    <row r="412" spans="9:9" x14ac:dyDescent="0.25">
      <c r="I412" t="s">
        <v>2351</v>
      </c>
    </row>
    <row r="413" spans="9:9" x14ac:dyDescent="0.25">
      <c r="I413" t="s">
        <v>2351</v>
      </c>
    </row>
    <row r="414" spans="9:9" x14ac:dyDescent="0.25">
      <c r="I414" t="s">
        <v>2351</v>
      </c>
    </row>
    <row r="415" spans="9:9" x14ac:dyDescent="0.25">
      <c r="I415" t="s">
        <v>2351</v>
      </c>
    </row>
    <row r="416" spans="9:9" x14ac:dyDescent="0.25">
      <c r="I416" t="s">
        <v>2351</v>
      </c>
    </row>
    <row r="417" spans="9:9" x14ac:dyDescent="0.25">
      <c r="I417" t="s">
        <v>2351</v>
      </c>
    </row>
    <row r="418" spans="9:9" x14ac:dyDescent="0.25">
      <c r="I418" t="s">
        <v>2351</v>
      </c>
    </row>
    <row r="419" spans="9:9" x14ac:dyDescent="0.25">
      <c r="I419" t="s">
        <v>2351</v>
      </c>
    </row>
    <row r="420" spans="9:9" x14ac:dyDescent="0.25">
      <c r="I420" t="s">
        <v>2351</v>
      </c>
    </row>
    <row r="421" spans="9:9" x14ac:dyDescent="0.25">
      <c r="I421" t="s">
        <v>2351</v>
      </c>
    </row>
    <row r="422" spans="9:9" x14ac:dyDescent="0.25">
      <c r="I422" t="s">
        <v>2351</v>
      </c>
    </row>
    <row r="423" spans="9:9" x14ac:dyDescent="0.25">
      <c r="I423" t="s">
        <v>2351</v>
      </c>
    </row>
    <row r="424" spans="9:9" x14ac:dyDescent="0.25">
      <c r="I424" t="s">
        <v>2351</v>
      </c>
    </row>
    <row r="425" spans="9:9" x14ac:dyDescent="0.25">
      <c r="I425" t="s">
        <v>2351</v>
      </c>
    </row>
    <row r="426" spans="9:9" x14ac:dyDescent="0.25">
      <c r="I426" t="s">
        <v>2351</v>
      </c>
    </row>
    <row r="427" spans="9:9" x14ac:dyDescent="0.25">
      <c r="I427" t="s">
        <v>2351</v>
      </c>
    </row>
    <row r="428" spans="9:9" x14ac:dyDescent="0.25">
      <c r="I428" t="s">
        <v>2351</v>
      </c>
    </row>
    <row r="429" spans="9:9" x14ac:dyDescent="0.25">
      <c r="I429" t="s">
        <v>2351</v>
      </c>
    </row>
    <row r="430" spans="9:9" x14ac:dyDescent="0.25">
      <c r="I430" t="s">
        <v>2351</v>
      </c>
    </row>
    <row r="431" spans="9:9" x14ac:dyDescent="0.25">
      <c r="I431" t="s">
        <v>2351</v>
      </c>
    </row>
    <row r="432" spans="9:9" x14ac:dyDescent="0.25">
      <c r="I432" t="s">
        <v>2351</v>
      </c>
    </row>
    <row r="433" spans="9:9" x14ac:dyDescent="0.25">
      <c r="I433" t="s">
        <v>2351</v>
      </c>
    </row>
    <row r="434" spans="9:9" x14ac:dyDescent="0.25">
      <c r="I434" t="s">
        <v>2351</v>
      </c>
    </row>
    <row r="435" spans="9:9" x14ac:dyDescent="0.25">
      <c r="I435" t="s">
        <v>2351</v>
      </c>
    </row>
    <row r="436" spans="9:9" x14ac:dyDescent="0.25">
      <c r="I436" t="s">
        <v>2351</v>
      </c>
    </row>
    <row r="437" spans="9:9" x14ac:dyDescent="0.25">
      <c r="I437" t="s">
        <v>2351</v>
      </c>
    </row>
    <row r="438" spans="9:9" x14ac:dyDescent="0.25">
      <c r="I438" t="s">
        <v>2351</v>
      </c>
    </row>
    <row r="439" spans="9:9" x14ac:dyDescent="0.25">
      <c r="I439" t="s">
        <v>2351</v>
      </c>
    </row>
    <row r="440" spans="9:9" x14ac:dyDescent="0.25">
      <c r="I440" t="s">
        <v>2351</v>
      </c>
    </row>
    <row r="441" spans="9:9" x14ac:dyDescent="0.25">
      <c r="I441" t="s">
        <v>2351</v>
      </c>
    </row>
    <row r="442" spans="9:9" x14ac:dyDescent="0.25">
      <c r="I442" t="s">
        <v>2351</v>
      </c>
    </row>
    <row r="443" spans="9:9" x14ac:dyDescent="0.25">
      <c r="I443" t="s">
        <v>2351</v>
      </c>
    </row>
    <row r="444" spans="9:9" x14ac:dyDescent="0.25">
      <c r="I444" t="s">
        <v>2351</v>
      </c>
    </row>
    <row r="445" spans="9:9" x14ac:dyDescent="0.25">
      <c r="I445" t="s">
        <v>2351</v>
      </c>
    </row>
    <row r="446" spans="9:9" x14ac:dyDescent="0.25">
      <c r="I446" t="s">
        <v>2351</v>
      </c>
    </row>
    <row r="447" spans="9:9" x14ac:dyDescent="0.25">
      <c r="I447" t="s">
        <v>2351</v>
      </c>
    </row>
    <row r="448" spans="9:9" x14ac:dyDescent="0.25">
      <c r="I448" t="s">
        <v>2351</v>
      </c>
    </row>
    <row r="449" spans="9:9" x14ac:dyDescent="0.25">
      <c r="I449" t="s">
        <v>2351</v>
      </c>
    </row>
    <row r="450" spans="9:9" x14ac:dyDescent="0.25">
      <c r="I450" t="s">
        <v>2351</v>
      </c>
    </row>
    <row r="451" spans="9:9" x14ac:dyDescent="0.25">
      <c r="I451" t="s">
        <v>2351</v>
      </c>
    </row>
    <row r="452" spans="9:9" x14ac:dyDescent="0.25">
      <c r="I452" t="s">
        <v>2351</v>
      </c>
    </row>
    <row r="453" spans="9:9" x14ac:dyDescent="0.25">
      <c r="I453" t="s">
        <v>2351</v>
      </c>
    </row>
    <row r="454" spans="9:9" x14ac:dyDescent="0.25">
      <c r="I454" t="s">
        <v>2351</v>
      </c>
    </row>
    <row r="455" spans="9:9" x14ac:dyDescent="0.25">
      <c r="I455" t="s">
        <v>2351</v>
      </c>
    </row>
    <row r="456" spans="9:9" x14ac:dyDescent="0.25">
      <c r="I456" t="s">
        <v>2351</v>
      </c>
    </row>
    <row r="457" spans="9:9" x14ac:dyDescent="0.25">
      <c r="I457" t="s">
        <v>2351</v>
      </c>
    </row>
    <row r="458" spans="9:9" x14ac:dyDescent="0.25">
      <c r="I458" t="s">
        <v>2351</v>
      </c>
    </row>
    <row r="459" spans="9:9" x14ac:dyDescent="0.25">
      <c r="I459" t="s">
        <v>2351</v>
      </c>
    </row>
    <row r="460" spans="9:9" x14ac:dyDescent="0.25">
      <c r="I460" t="s">
        <v>2351</v>
      </c>
    </row>
    <row r="461" spans="9:9" x14ac:dyDescent="0.25">
      <c r="I461" t="s">
        <v>2351</v>
      </c>
    </row>
    <row r="462" spans="9:9" x14ac:dyDescent="0.25">
      <c r="I462" t="s">
        <v>2351</v>
      </c>
    </row>
    <row r="463" spans="9:9" x14ac:dyDescent="0.25">
      <c r="I463" t="s">
        <v>2351</v>
      </c>
    </row>
    <row r="464" spans="9:9" x14ac:dyDescent="0.25">
      <c r="I464" t="s">
        <v>2351</v>
      </c>
    </row>
    <row r="465" spans="9:9" x14ac:dyDescent="0.25">
      <c r="I465" t="s">
        <v>2351</v>
      </c>
    </row>
    <row r="466" spans="9:9" x14ac:dyDescent="0.25">
      <c r="I466" t="s">
        <v>2351</v>
      </c>
    </row>
    <row r="467" spans="9:9" x14ac:dyDescent="0.25">
      <c r="I467" t="s">
        <v>2351</v>
      </c>
    </row>
    <row r="468" spans="9:9" x14ac:dyDescent="0.25">
      <c r="I468" t="s">
        <v>2351</v>
      </c>
    </row>
    <row r="469" spans="9:9" x14ac:dyDescent="0.25">
      <c r="I469" t="s">
        <v>2351</v>
      </c>
    </row>
    <row r="470" spans="9:9" x14ac:dyDescent="0.25">
      <c r="I470" t="s">
        <v>2351</v>
      </c>
    </row>
    <row r="471" spans="9:9" x14ac:dyDescent="0.25">
      <c r="I471" t="s">
        <v>2351</v>
      </c>
    </row>
    <row r="472" spans="9:9" x14ac:dyDescent="0.25">
      <c r="I472" t="s">
        <v>2351</v>
      </c>
    </row>
    <row r="473" spans="9:9" x14ac:dyDescent="0.25">
      <c r="I473" t="s">
        <v>2351</v>
      </c>
    </row>
    <row r="474" spans="9:9" x14ac:dyDescent="0.25">
      <c r="I474" t="s">
        <v>2351</v>
      </c>
    </row>
    <row r="475" spans="9:9" x14ac:dyDescent="0.25">
      <c r="I475" t="s">
        <v>2351</v>
      </c>
    </row>
    <row r="476" spans="9:9" x14ac:dyDescent="0.25">
      <c r="I476" t="s">
        <v>2351</v>
      </c>
    </row>
    <row r="477" spans="9:9" x14ac:dyDescent="0.25">
      <c r="I477" t="s">
        <v>2351</v>
      </c>
    </row>
    <row r="478" spans="9:9" x14ac:dyDescent="0.25">
      <c r="I478" t="s">
        <v>2351</v>
      </c>
    </row>
    <row r="479" spans="9:9" x14ac:dyDescent="0.25">
      <c r="I479" t="s">
        <v>2351</v>
      </c>
    </row>
    <row r="480" spans="9:9" x14ac:dyDescent="0.25">
      <c r="I480" t="s">
        <v>2351</v>
      </c>
    </row>
    <row r="481" spans="9:9" x14ac:dyDescent="0.25">
      <c r="I481" t="s">
        <v>2351</v>
      </c>
    </row>
    <row r="482" spans="9:9" x14ac:dyDescent="0.25">
      <c r="I482" t="s">
        <v>2351</v>
      </c>
    </row>
    <row r="483" spans="9:9" x14ac:dyDescent="0.25">
      <c r="I483" t="s">
        <v>2351</v>
      </c>
    </row>
    <row r="484" spans="9:9" x14ac:dyDescent="0.25">
      <c r="I484" t="s">
        <v>2351</v>
      </c>
    </row>
    <row r="485" spans="9:9" x14ac:dyDescent="0.25">
      <c r="I485" t="s">
        <v>2351</v>
      </c>
    </row>
    <row r="486" spans="9:9" x14ac:dyDescent="0.25">
      <c r="I486" t="s">
        <v>2351</v>
      </c>
    </row>
    <row r="487" spans="9:9" x14ac:dyDescent="0.25">
      <c r="I487" t="s">
        <v>2351</v>
      </c>
    </row>
    <row r="488" spans="9:9" x14ac:dyDescent="0.25">
      <c r="I488" t="s">
        <v>2351</v>
      </c>
    </row>
    <row r="489" spans="9:9" x14ac:dyDescent="0.25">
      <c r="I489" t="s">
        <v>2351</v>
      </c>
    </row>
    <row r="490" spans="9:9" x14ac:dyDescent="0.25">
      <c r="I490" t="s">
        <v>2351</v>
      </c>
    </row>
    <row r="491" spans="9:9" x14ac:dyDescent="0.25">
      <c r="I491" t="s">
        <v>2351</v>
      </c>
    </row>
    <row r="492" spans="9:9" x14ac:dyDescent="0.25">
      <c r="I492" t="s">
        <v>2351</v>
      </c>
    </row>
    <row r="493" spans="9:9" x14ac:dyDescent="0.25">
      <c r="I493" t="s">
        <v>2351</v>
      </c>
    </row>
    <row r="494" spans="9:9" x14ac:dyDescent="0.25">
      <c r="I494" t="s">
        <v>2351</v>
      </c>
    </row>
    <row r="495" spans="9:9" x14ac:dyDescent="0.25">
      <c r="I495" t="s">
        <v>2351</v>
      </c>
    </row>
    <row r="496" spans="9:9" x14ac:dyDescent="0.25">
      <c r="I496" t="s">
        <v>2351</v>
      </c>
    </row>
    <row r="497" spans="9:9" x14ac:dyDescent="0.25">
      <c r="I497" t="s">
        <v>2351</v>
      </c>
    </row>
    <row r="498" spans="9:9" x14ac:dyDescent="0.25">
      <c r="I498" t="s">
        <v>2351</v>
      </c>
    </row>
    <row r="499" spans="9:9" x14ac:dyDescent="0.25">
      <c r="I499" t="s">
        <v>2351</v>
      </c>
    </row>
    <row r="500" spans="9:9" x14ac:dyDescent="0.25">
      <c r="I500" t="s">
        <v>2351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31</vt:i4>
      </vt:variant>
      <vt:variant>
        <vt:lpstr>Именованные диапазоны</vt:lpstr>
      </vt:variant>
      <vt:variant>
        <vt:i4>256</vt:i4>
      </vt:variant>
    </vt:vector>
  </HeadingPairs>
  <TitlesOfParts>
    <vt:vector size="287" baseType="lpstr">
      <vt:lpstr>Developer</vt:lpstr>
      <vt:lpstr>C_Input</vt:lpstr>
      <vt:lpstr>Лист4</vt:lpstr>
      <vt:lpstr>C_Skills</vt:lpstr>
      <vt:lpstr>C_Combat_Statistics</vt:lpstr>
      <vt:lpstr>C_Inventory</vt:lpstr>
      <vt:lpstr>C_Variables</vt:lpstr>
      <vt:lpstr>O_Character Sheet</vt:lpstr>
      <vt:lpstr>Character Sheet I</vt:lpstr>
      <vt:lpstr>D00_Leveling</vt:lpstr>
      <vt:lpstr>D01_Races</vt:lpstr>
      <vt:lpstr>D011_RacialTraits</vt:lpstr>
      <vt:lpstr>D02_Background</vt:lpstr>
      <vt:lpstr>D03_Skills</vt:lpstr>
      <vt:lpstr>D04_Classes</vt:lpstr>
      <vt:lpstr>D041_ClassFeatures</vt:lpstr>
      <vt:lpstr>D042ClassDependent</vt:lpstr>
      <vt:lpstr>D05_Feats</vt:lpstr>
      <vt:lpstr>D06_Deities</vt:lpstr>
      <vt:lpstr>D07_Animals</vt:lpstr>
      <vt:lpstr>D08_Spells</vt:lpstr>
      <vt:lpstr>I01_Armor</vt:lpstr>
      <vt:lpstr>I02_Weapon</vt:lpstr>
      <vt:lpstr>I03_</vt:lpstr>
      <vt:lpstr>I04_Weight&amp;Cost</vt:lpstr>
      <vt:lpstr>Лист2</vt:lpstr>
      <vt:lpstr>Лист3</vt:lpstr>
      <vt:lpstr>Лист5</vt:lpstr>
      <vt:lpstr>Лист1</vt:lpstr>
      <vt:lpstr>Names</vt:lpstr>
      <vt:lpstr>Лист10</vt:lpstr>
      <vt:lpstr>Age</vt:lpstr>
      <vt:lpstr>Alignment</vt:lpstr>
      <vt:lpstr>Archetype1</vt:lpstr>
      <vt:lpstr>Archetype2</vt:lpstr>
      <vt:lpstr>Archetype3</vt:lpstr>
      <vt:lpstr>Archetype4</vt:lpstr>
      <vt:lpstr>Archetype5</vt:lpstr>
      <vt:lpstr>Archetype6</vt:lpstr>
      <vt:lpstr>ArmorClass</vt:lpstr>
      <vt:lpstr>ASINumber</vt:lpstr>
      <vt:lpstr>AspectofBeast</vt:lpstr>
      <vt:lpstr>Background</vt:lpstr>
      <vt:lpstr>BackgroundFeature</vt:lpstr>
      <vt:lpstr>BackgroundFeatureDescription</vt:lpstr>
      <vt:lpstr>BackgroundSpecialty</vt:lpstr>
      <vt:lpstr>BarbarianLevel</vt:lpstr>
      <vt:lpstr>BarbarianMultiClass</vt:lpstr>
      <vt:lpstr>BarbarianSpiritTotems</vt:lpstr>
      <vt:lpstr>BardCollegeOfLore</vt:lpstr>
      <vt:lpstr>BardLevel</vt:lpstr>
      <vt:lpstr>BardMultiClass</vt:lpstr>
      <vt:lpstr>BaseCha</vt:lpstr>
      <vt:lpstr>BaseCon</vt:lpstr>
      <vt:lpstr>BaseDex</vt:lpstr>
      <vt:lpstr>BaseInt</vt:lpstr>
      <vt:lpstr>BaseStr</vt:lpstr>
      <vt:lpstr>BaseWis</vt:lpstr>
      <vt:lpstr>Bond</vt:lpstr>
      <vt:lpstr>'Character Sheet I'!CHAMod</vt:lpstr>
      <vt:lpstr>ChaMOD</vt:lpstr>
      <vt:lpstr>CHAModTemp</vt:lpstr>
      <vt:lpstr>Character_Name</vt:lpstr>
      <vt:lpstr>Charisma</vt:lpstr>
      <vt:lpstr>CharismaST</vt:lpstr>
      <vt:lpstr>ChaST</vt:lpstr>
      <vt:lpstr>ClassTraitList_WorkName</vt:lpstr>
      <vt:lpstr>ClassTraitList1</vt:lpstr>
      <vt:lpstr>ClericLevel</vt:lpstr>
      <vt:lpstr>ClericMultiClass</vt:lpstr>
      <vt:lpstr>CombatManeuver1</vt:lpstr>
      <vt:lpstr>CombatManeuver10</vt:lpstr>
      <vt:lpstr>CombatManeuver11</vt:lpstr>
      <vt:lpstr>CombatManeuver2</vt:lpstr>
      <vt:lpstr>CombatManeuver3</vt:lpstr>
      <vt:lpstr>CombatManeuver4</vt:lpstr>
      <vt:lpstr>CombatManeuver5</vt:lpstr>
      <vt:lpstr>CombatManeuver6</vt:lpstr>
      <vt:lpstr>CombatManeuver7</vt:lpstr>
      <vt:lpstr>CombatManeuver8</vt:lpstr>
      <vt:lpstr>CombatManeuver9</vt:lpstr>
      <vt:lpstr>CombatManeuversKnown</vt:lpstr>
      <vt:lpstr>'Character Sheet I'!CONMod</vt:lpstr>
      <vt:lpstr>ConMOD</vt:lpstr>
      <vt:lpstr>CONModTemp</vt:lpstr>
      <vt:lpstr>ConST</vt:lpstr>
      <vt:lpstr>Constitution</vt:lpstr>
      <vt:lpstr>ConstitutionST</vt:lpstr>
      <vt:lpstr>DefensiveTactics</vt:lpstr>
      <vt:lpstr>Deity</vt:lpstr>
      <vt:lpstr>'Character Sheet I'!DEXMod</vt:lpstr>
      <vt:lpstr>DexMOD</vt:lpstr>
      <vt:lpstr>DEXModTemp</vt:lpstr>
      <vt:lpstr>DexST</vt:lpstr>
      <vt:lpstr>Dexterity</vt:lpstr>
      <vt:lpstr>DexterityST</vt:lpstr>
      <vt:lpstr>DomainKnowledgeSkills</vt:lpstr>
      <vt:lpstr>DomainNatureSkill</vt:lpstr>
      <vt:lpstr>DruidicLanguage</vt:lpstr>
      <vt:lpstr>DruidLand1</vt:lpstr>
      <vt:lpstr>DruidLand2</vt:lpstr>
      <vt:lpstr>DruidLand3</vt:lpstr>
      <vt:lpstr>DruidLand4</vt:lpstr>
      <vt:lpstr>DruidLands</vt:lpstr>
      <vt:lpstr>DruidLevel</vt:lpstr>
      <vt:lpstr>DruidMultiClass</vt:lpstr>
      <vt:lpstr>ElementalDiscipline1</vt:lpstr>
      <vt:lpstr>ElementalDiscipline2</vt:lpstr>
      <vt:lpstr>ElementalDiscipline3</vt:lpstr>
      <vt:lpstr>ElementalDiscipline4</vt:lpstr>
      <vt:lpstr>ElementalDiscipline5</vt:lpstr>
      <vt:lpstr>Expertise1</vt:lpstr>
      <vt:lpstr>Expertise2</vt:lpstr>
      <vt:lpstr>Expertise3</vt:lpstr>
      <vt:lpstr>Expertise4</vt:lpstr>
      <vt:lpstr>Expertise5</vt:lpstr>
      <vt:lpstr>Expertise6</vt:lpstr>
      <vt:lpstr>Expertise7</vt:lpstr>
      <vt:lpstr>Expertise8</vt:lpstr>
      <vt:lpstr>ExpertiseNumber</vt:lpstr>
      <vt:lpstr>Eyes</vt:lpstr>
      <vt:lpstr>FavoredEnemy1</vt:lpstr>
      <vt:lpstr>FavoredEnemy2</vt:lpstr>
      <vt:lpstr>FavoredEnemy3</vt:lpstr>
      <vt:lpstr>Feat1</vt:lpstr>
      <vt:lpstr>Feat2</vt:lpstr>
      <vt:lpstr>Feat3</vt:lpstr>
      <vt:lpstr>Feat4</vt:lpstr>
      <vt:lpstr>Feat5</vt:lpstr>
      <vt:lpstr>Feat6</vt:lpstr>
      <vt:lpstr>Feat7</vt:lpstr>
      <vt:lpstr>Feat8</vt:lpstr>
      <vt:lpstr>FeatMartialAdept</vt:lpstr>
      <vt:lpstr>FeatsAvalaibilty</vt:lpstr>
      <vt:lpstr>FeatsTotal</vt:lpstr>
      <vt:lpstr>FighterBattleMasterLevel</vt:lpstr>
      <vt:lpstr>FighterLevel</vt:lpstr>
      <vt:lpstr>FightingStylesNumber</vt:lpstr>
      <vt:lpstr>Flaw</vt:lpstr>
      <vt:lpstr>Gender</vt:lpstr>
      <vt:lpstr>Hair</vt:lpstr>
      <vt:lpstr>HeavyArmorProficiency</vt:lpstr>
      <vt:lpstr>Height</vt:lpstr>
      <vt:lpstr>HuntersPrey</vt:lpstr>
      <vt:lpstr>Ideal</vt:lpstr>
      <vt:lpstr>Intelligence</vt:lpstr>
      <vt:lpstr>IntelligenceST</vt:lpstr>
      <vt:lpstr>'Character Sheet I'!INTMod</vt:lpstr>
      <vt:lpstr>IntMOD</vt:lpstr>
      <vt:lpstr>INTModTemp</vt:lpstr>
      <vt:lpstr>IntST</vt:lpstr>
      <vt:lpstr>Invocation1</vt:lpstr>
      <vt:lpstr>Invocation2</vt:lpstr>
      <vt:lpstr>Invocation3</vt:lpstr>
      <vt:lpstr>Invocation4</vt:lpstr>
      <vt:lpstr>Invocation5</vt:lpstr>
      <vt:lpstr>Invocation6</vt:lpstr>
      <vt:lpstr>Invocation7</vt:lpstr>
      <vt:lpstr>Invocation8</vt:lpstr>
      <vt:lpstr>Language1</vt:lpstr>
      <vt:lpstr>Language10</vt:lpstr>
      <vt:lpstr>Language11</vt:lpstr>
      <vt:lpstr>Language12</vt:lpstr>
      <vt:lpstr>Language13</vt:lpstr>
      <vt:lpstr>Language14</vt:lpstr>
      <vt:lpstr>Language15</vt:lpstr>
      <vt:lpstr>Language16</vt:lpstr>
      <vt:lpstr>Language17</vt:lpstr>
      <vt:lpstr>Language2</vt:lpstr>
      <vt:lpstr>Language3</vt:lpstr>
      <vt:lpstr>Language4</vt:lpstr>
      <vt:lpstr>Language5</vt:lpstr>
      <vt:lpstr>Language6</vt:lpstr>
      <vt:lpstr>Language7</vt:lpstr>
      <vt:lpstr>Language8</vt:lpstr>
      <vt:lpstr>Language9</vt:lpstr>
      <vt:lpstr>LanguageList</vt:lpstr>
      <vt:lpstr>LanguagesKnown</vt:lpstr>
      <vt:lpstr>LightArmorProficiency</vt:lpstr>
      <vt:lpstr>MainClass</vt:lpstr>
      <vt:lpstr>MainClassLevel</vt:lpstr>
      <vt:lpstr>MainClassSelected</vt:lpstr>
      <vt:lpstr>MartialWeaponsProficiency</vt:lpstr>
      <vt:lpstr>MediumArmorProficiency</vt:lpstr>
      <vt:lpstr>MonkElementalDisciplines</vt:lpstr>
      <vt:lpstr>MonkLevel</vt:lpstr>
      <vt:lpstr>Multiattack</vt:lpstr>
      <vt:lpstr>Multiclass1</vt:lpstr>
      <vt:lpstr>MultiClass1Level</vt:lpstr>
      <vt:lpstr>Multiclass2</vt:lpstr>
      <vt:lpstr>MultiClass2Level</vt:lpstr>
      <vt:lpstr>Multiclass3</vt:lpstr>
      <vt:lpstr>MultiClass3Level</vt:lpstr>
      <vt:lpstr>Multiclass4</vt:lpstr>
      <vt:lpstr>MultiClass4Level</vt:lpstr>
      <vt:lpstr>Multiclass5</vt:lpstr>
      <vt:lpstr>MultiClass5Level</vt:lpstr>
      <vt:lpstr>NaturalExplorer1</vt:lpstr>
      <vt:lpstr>NaturalExplorer2</vt:lpstr>
      <vt:lpstr>NaturalExplorer3</vt:lpstr>
      <vt:lpstr>PactBoon</vt:lpstr>
      <vt:lpstr>PaladinLevel</vt:lpstr>
      <vt:lpstr>PersonalTrait1</vt:lpstr>
      <vt:lpstr>PersonalTrait2</vt:lpstr>
      <vt:lpstr>ProfBonus</vt:lpstr>
      <vt:lpstr>Proficiency_Bonus</vt:lpstr>
      <vt:lpstr>Proficiency_Parsing</vt:lpstr>
      <vt:lpstr>Race</vt:lpstr>
      <vt:lpstr>RacialTrait1</vt:lpstr>
      <vt:lpstr>RacialTrait2</vt:lpstr>
      <vt:lpstr>RacialTrait3</vt:lpstr>
      <vt:lpstr>RacialTrait4</vt:lpstr>
      <vt:lpstr>RacialTrait5</vt:lpstr>
      <vt:lpstr>RacialTrait6</vt:lpstr>
      <vt:lpstr>RangerFavoredEnemiesNumber</vt:lpstr>
      <vt:lpstr>RangerHunterFeatures</vt:lpstr>
      <vt:lpstr>RangerLevel</vt:lpstr>
      <vt:lpstr>RangerMultiClass</vt:lpstr>
      <vt:lpstr>RangerNaturalExplorer</vt:lpstr>
      <vt:lpstr>RogueLanguage</vt:lpstr>
      <vt:lpstr>RogueLevel</vt:lpstr>
      <vt:lpstr>RogueMultiClass</vt:lpstr>
      <vt:lpstr>SelectedSkill1</vt:lpstr>
      <vt:lpstr>SelectedSkill10</vt:lpstr>
      <vt:lpstr>SelectedSkill11</vt:lpstr>
      <vt:lpstr>SelectedSkill12</vt:lpstr>
      <vt:lpstr>SelectedSkill13</vt:lpstr>
      <vt:lpstr>SelectedSkill14</vt:lpstr>
      <vt:lpstr>SelectedSkill15</vt:lpstr>
      <vt:lpstr>SelectedSkill16</vt:lpstr>
      <vt:lpstr>SelectedSkill17</vt:lpstr>
      <vt:lpstr>SelectedSkill18</vt:lpstr>
      <vt:lpstr>SelectedSkill2</vt:lpstr>
      <vt:lpstr>SelectedSkill3</vt:lpstr>
      <vt:lpstr>SelectedSkill4</vt:lpstr>
      <vt:lpstr>SelectedSkill5</vt:lpstr>
      <vt:lpstr>SelectedSkill6</vt:lpstr>
      <vt:lpstr>SelectedSkill7</vt:lpstr>
      <vt:lpstr>SelectedSkill8</vt:lpstr>
      <vt:lpstr>SelectedSkill9</vt:lpstr>
      <vt:lpstr>SelectText</vt:lpstr>
      <vt:lpstr>ShieldsProficiency</vt:lpstr>
      <vt:lpstr>SimpleWeaponsProficiency</vt:lpstr>
      <vt:lpstr>Skin</vt:lpstr>
      <vt:lpstr>SorcererLevel</vt:lpstr>
      <vt:lpstr>Strength</vt:lpstr>
      <vt:lpstr>StrengthST</vt:lpstr>
      <vt:lpstr>'Character Sheet I'!STRMod</vt:lpstr>
      <vt:lpstr>StrMod</vt:lpstr>
      <vt:lpstr>STRModTemp</vt:lpstr>
      <vt:lpstr>StrST</vt:lpstr>
      <vt:lpstr>SubRace</vt:lpstr>
      <vt:lpstr>SuperiorHuntersDefense</vt:lpstr>
      <vt:lpstr>test</vt:lpstr>
      <vt:lpstr>Tools1</vt:lpstr>
      <vt:lpstr>Tools10</vt:lpstr>
      <vt:lpstr>Tools11</vt:lpstr>
      <vt:lpstr>Tools12</vt:lpstr>
      <vt:lpstr>Tools13</vt:lpstr>
      <vt:lpstr>Tools2</vt:lpstr>
      <vt:lpstr>Tools3</vt:lpstr>
      <vt:lpstr>Tools4</vt:lpstr>
      <vt:lpstr>Tools5</vt:lpstr>
      <vt:lpstr>Tools6</vt:lpstr>
      <vt:lpstr>Tools7</vt:lpstr>
      <vt:lpstr>Tools8</vt:lpstr>
      <vt:lpstr>Tools9</vt:lpstr>
      <vt:lpstr>ToolsProficiencyNumber</vt:lpstr>
      <vt:lpstr>ToolsProficiencyThievesTools</vt:lpstr>
      <vt:lpstr>Total_Character_Level</vt:lpstr>
      <vt:lpstr>TotemicAttunement</vt:lpstr>
      <vt:lpstr>TotemSpirit</vt:lpstr>
      <vt:lpstr>Typeofabilityroll</vt:lpstr>
      <vt:lpstr>Var_Expertise</vt:lpstr>
      <vt:lpstr>Var_JoT</vt:lpstr>
      <vt:lpstr>WarlockInvocationsKnown</vt:lpstr>
      <vt:lpstr>WarlockLevel</vt:lpstr>
      <vt:lpstr>Weight</vt:lpstr>
      <vt:lpstr>Wisdom</vt:lpstr>
      <vt:lpstr>WisdomST</vt:lpstr>
      <vt:lpstr>'Character Sheet I'!WISMod</vt:lpstr>
      <vt:lpstr>WisMOD</vt:lpstr>
      <vt:lpstr>WISModTemp</vt:lpstr>
      <vt:lpstr>WisST</vt:lpstr>
      <vt:lpstr>WizardEvocationLevel</vt:lpstr>
      <vt:lpstr>WizardLevel</vt:lpstr>
      <vt:lpstr>'Character Sheet I'!Область_печати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Антон Палихов</dc:creator>
  <cp:lastModifiedBy>Антон Палихов</cp:lastModifiedBy>
  <cp:lastPrinted>2015-03-24T12:47:07Z</cp:lastPrinted>
  <dcterms:created xsi:type="dcterms:W3CDTF">2015-01-12T10:40:15Z</dcterms:created>
  <dcterms:modified xsi:type="dcterms:W3CDTF">2015-03-24T15:07:54Z</dcterms:modified>
</cp:coreProperties>
</file>